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3785" yWindow="-45" windowWidth="15390" windowHeight="11760" tabRatio="899" firstSheet="15" activeTab="2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抵押物清单" sheetId="81" r:id="rId14"/>
    <sheet name="数据-汇总表" sheetId="6" r:id="rId15"/>
    <sheet name="数据-取费表" sheetId="1" r:id="rId16"/>
    <sheet name="估价对象房地状况" sheetId="20" state="hidden" r:id="rId17"/>
    <sheet name="海龙大厦7-18层台账" sheetId="88" r:id="rId18"/>
    <sheet name="海龙大厦2-6层台账" sheetId="89" r:id="rId19"/>
    <sheet name="系统读取表" sheetId="74" r:id="rId20"/>
    <sheet name="结果表" sheetId="9" r:id="rId21"/>
    <sheet name="成本法 (元)" sheetId="69" state="hidden" r:id="rId22"/>
    <sheet name="假设开发法" sheetId="12" state="hidden" r:id="rId23"/>
    <sheet name="收益法 (元)" sheetId="67" state="hidden"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r:id="rId29"/>
    <sheet name="比较法-工业" sheetId="37" state="hidden" r:id="rId30"/>
    <sheet name="收益法" sheetId="15" r:id="rId31"/>
    <sheet name="比较法-办公租金" sheetId="84" r:id="rId32"/>
    <sheet name="典型户型修正" sheetId="31" r:id="rId33"/>
    <sheet name="结果表-车位" sheetId="86" r:id="rId34"/>
    <sheet name="成本法" sheetId="68" r:id="rId35"/>
    <sheet name="基准地价修正" sheetId="43" r:id="rId36"/>
    <sheet name="收益法-地下" sheetId="85" r:id="rId37"/>
    <sheet name="比较法-车位" sheetId="35" state="hidden" r:id="rId38"/>
    <sheet name="比较法-仓储" sheetId="36" state="hidden" r:id="rId39"/>
    <sheet name="土地比较法-住宅、综合" sheetId="39" state="hidden" r:id="rId40"/>
    <sheet name="土地比较法-工业" sheetId="40" state="hidden" r:id="rId41"/>
    <sheet name="基准地价（汇总）" sheetId="76" state="hidden" r:id="rId42"/>
    <sheet name="修正" sheetId="45" state="hidden" r:id="rId43"/>
    <sheet name="容积率修正" sheetId="46" state="hidden" r:id="rId44"/>
    <sheet name="成本法（废）" sheetId="11" state="hidden" r:id="rId45"/>
    <sheet name="区片价" sheetId="44" state="hidden" r:id="rId46"/>
    <sheet name="因素修正幅度" sheetId="65" state="hidden" r:id="rId47"/>
    <sheet name="区片价（范围）" sheetId="75" state="hidden" r:id="rId48"/>
    <sheet name="地价-分区" sheetId="79" state="hidden" r:id="rId49"/>
    <sheet name="地价" sheetId="71" state="hidden" r:id="rId50"/>
    <sheet name="存贷款利率" sheetId="73" state="hidden" r:id="rId51"/>
    <sheet name="Sheet1" sheetId="80" r:id="rId52"/>
    <sheet name="租金" sheetId="82" r:id="rId53"/>
    <sheet name="售价" sheetId="83" r:id="rId54"/>
    <sheet name="车位租金" sheetId="87" r:id="rId55"/>
    <sheet name="仓储" sheetId="90" r:id="rId56"/>
    <sheet name="Sheet2" sheetId="91" r:id="rId57"/>
  </sheets>
  <externalReferences>
    <externalReference r:id="rId58"/>
    <externalReference r:id="rId59"/>
    <externalReference r:id="rId60"/>
  </externalReferences>
  <definedNames>
    <definedName name="_xlnm._FilterDatabase" localSheetId="28" hidden="1">'比较法-办公'!$A$1:$L$50</definedName>
    <definedName name="_xlnm._FilterDatabase" localSheetId="31" hidden="1">'比较法-办公租金'!$A$1:$L$50</definedName>
    <definedName name="_xlnm._FilterDatabase" localSheetId="38" hidden="1">'比较法-仓储'!$A$1:$L$37</definedName>
    <definedName name="_xlnm._FilterDatabase" localSheetId="37"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8" hidden="1">'海龙大厦2-6层台账'!$A$3:$B$29</definedName>
    <definedName name="_xlnm._FilterDatabase" localSheetId="17" hidden="1">'海龙大厦7-18层台账'!$A$3:$XFB$154</definedName>
    <definedName name="_xlnm._FilterDatabase" localSheetId="12"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'比较法-办公租金'!$A$1:$K$55,'比较法-办公租金'!$A$58:$M$132</definedName>
    <definedName name="_xlnm.Print_Area" localSheetId="38">'比较法-仓储'!$A$1:$K$42,'比较法-仓储'!$A$45:$M$96</definedName>
    <definedName name="_xlnm.Print_Area" localSheetId="37">'比较法-车位'!$A$1:$K$44,'比较法-车位'!$A$47:$M$102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34">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41">'基准地价（汇总）'!$A$1:$E$13</definedName>
    <definedName name="_xlnm.Print_Area" localSheetId="35">基准地价修正!$A$1:$J$44,基准地价修正!$A$47:$H$101,基准地价修正!$R$1:$V$16</definedName>
    <definedName name="_xlnm.Print_Area" localSheetId="22">假设开发法!$A$1:$K$32</definedName>
    <definedName name="_xlnm.Print_Area" localSheetId="20">结果表!$A$1:$I$127</definedName>
    <definedName name="_xlnm.Print_Area" localSheetId="33">'结果表-车位'!$A$1:$I$127</definedName>
    <definedName name="_xlnm.Print_Area" localSheetId="30">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36">'收益法-地下'!$A$1:$F$43,'收益法-地下'!$H$3:$M$29,'收益法-地下'!$A$46:$F$71,'收益法-地下'!$I$46:$N$65</definedName>
    <definedName name="_xlnm.Print_Area" localSheetId="14">'数据-汇总表'!$A$1:$P$32</definedName>
    <definedName name="_xlnm.Print_Area" localSheetId="40">'土地比较法-工业'!$A$1:$K$61,'土地比较法-工业'!$A$64:$M$121</definedName>
    <definedName name="_xlnm.Print_Area" localSheetId="39">'土地比较法-住宅、综合'!$A$1:$K$65,'土地比较法-住宅、综合'!$A$68:$M$131</definedName>
    <definedName name="_xlnm.Print_Area" localSheetId="19">系统读取表!$A$1:$I$26</definedName>
    <definedName name="_xlnm.Print_Area" localSheetId="11">项目基本情况!$A$1:$I$38</definedName>
    <definedName name="八级">区片价!$P$1:$P$44</definedName>
    <definedName name="办公层高" localSheetId="31">'比较法-办公租金'!$B$119:$M$119</definedName>
    <definedName name="办公层高">'比较法-办公'!$B$119:$M$119</definedName>
    <definedName name="办公朝向" localSheetId="31">'比较法-办公租金'!$B$91:$M$91</definedName>
    <definedName name="办公朝向">'比较法-办公'!$B$91:$M$91</definedName>
    <definedName name="办公道路级别" localSheetId="31">'比较法-办公租金'!$B$87:$M$87</definedName>
    <definedName name="办公道路级别">'比较法-办公'!$B$87:$M$87</definedName>
    <definedName name="办公公共部分装修" localSheetId="31">'比较法-办公租金'!$B$108:$M$108</definedName>
    <definedName name="办公公共部分装修">'比较法-办公'!$B$108:$M$108</definedName>
    <definedName name="办公基础设施水平" localSheetId="31">'比较法-办公租金'!$B$117:$M$117</definedName>
    <definedName name="办公基础设施水平">'比较法-办公'!$B$117:$M$117</definedName>
    <definedName name="办公集聚程度">定义!$M$1:$M$6</definedName>
    <definedName name="办公建筑结构" localSheetId="31">'比较法-办公租金'!$B$106:$M$106</definedName>
    <definedName name="办公建筑结构">'比较法-办公'!$B$106:$M$106</definedName>
    <definedName name="办公建筑类型" localSheetId="31">'比较法-办公租金'!$B$101:$M$101</definedName>
    <definedName name="办公建筑类型">'比较法-办公'!$B$101:$M$101</definedName>
    <definedName name="办公交易情况" localSheetId="31">'比较法-办公租金'!$A$62:$M$62</definedName>
    <definedName name="办公交易情况">'比较法-办公'!$A$62:$M$62</definedName>
    <definedName name="办公楼层" localSheetId="31">'比较法-办公租金'!$B$89:$M$89</definedName>
    <definedName name="办公楼层">'比较法-办公'!$B$89:$M$89</definedName>
    <definedName name="办公内部装修" localSheetId="31">'比较法-办公租金'!$B$123:$M$123</definedName>
    <definedName name="办公内部装修">'比较法-办公'!$B$123:$M$123</definedName>
    <definedName name="办公物业管理" localSheetId="31">'比较法-办公租金'!$B$115:$M$115</definedName>
    <definedName name="办公物业管理">'比较法-办公'!$B$115:$M$115</definedName>
    <definedName name="办公用途" localSheetId="31">'比较法-办公租金'!$B$64:$M$64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 localSheetId="31">'比较法-办公租金'!$B$113:$M$113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W17" i="89" l="1"/>
  <c r="JW16" i="89"/>
  <c r="JW15" i="89"/>
  <c r="JW14" i="89"/>
  <c r="JW13" i="89"/>
  <c r="JW12" i="89"/>
  <c r="JW11" i="89"/>
  <c r="JW10" i="89"/>
  <c r="JW9" i="89"/>
  <c r="JW8" i="89"/>
  <c r="JW7" i="89"/>
  <c r="JW6" i="89"/>
  <c r="JW5" i="89"/>
  <c r="JW4" i="89"/>
  <c r="U131" i="91"/>
  <c r="U130" i="91"/>
  <c r="U129" i="91"/>
  <c r="U128" i="91"/>
  <c r="U127" i="91"/>
  <c r="U126" i="91"/>
  <c r="U125" i="91"/>
  <c r="U124" i="91"/>
  <c r="U123" i="91"/>
  <c r="U122" i="91"/>
  <c r="U121" i="91"/>
  <c r="U120" i="91"/>
  <c r="U119" i="91"/>
  <c r="U118" i="91"/>
  <c r="U117" i="91"/>
  <c r="U116" i="91"/>
  <c r="U115" i="91"/>
  <c r="U114" i="91"/>
  <c r="U113" i="91"/>
  <c r="U112" i="91"/>
  <c r="U111" i="91"/>
  <c r="U110" i="91"/>
  <c r="U109" i="91"/>
  <c r="U108" i="91"/>
  <c r="U107" i="91"/>
  <c r="U106" i="91"/>
  <c r="U105" i="91"/>
  <c r="U104" i="91"/>
  <c r="U103" i="91"/>
  <c r="U102" i="91"/>
  <c r="U101" i="91"/>
  <c r="U100" i="91"/>
  <c r="U99" i="91"/>
  <c r="U98" i="91"/>
  <c r="U97" i="91"/>
  <c r="U96" i="91"/>
  <c r="U95" i="91"/>
  <c r="U94" i="91"/>
  <c r="U93" i="91"/>
  <c r="U92" i="91"/>
  <c r="U91" i="91"/>
  <c r="U90" i="91"/>
  <c r="U89" i="91"/>
  <c r="U88" i="91"/>
  <c r="U87" i="91"/>
  <c r="U86" i="91"/>
  <c r="U85" i="91"/>
  <c r="U84" i="91"/>
  <c r="U83" i="91"/>
  <c r="U82" i="91"/>
  <c r="U81" i="91"/>
  <c r="U80" i="91"/>
  <c r="U79" i="91"/>
  <c r="U78" i="91"/>
  <c r="U77" i="91"/>
  <c r="U76" i="91"/>
  <c r="U75" i="91"/>
  <c r="U74" i="91"/>
  <c r="U73" i="91"/>
  <c r="U72" i="91"/>
  <c r="U71" i="91"/>
  <c r="U70" i="91"/>
  <c r="U69" i="91"/>
  <c r="U68" i="91"/>
  <c r="U67" i="91"/>
  <c r="U66" i="91"/>
  <c r="U65" i="91"/>
  <c r="U64" i="91"/>
  <c r="U63" i="91"/>
  <c r="U62" i="91"/>
  <c r="U61" i="91"/>
  <c r="U60" i="91"/>
  <c r="U59" i="91"/>
  <c r="U58" i="91"/>
  <c r="U57" i="91"/>
  <c r="U56" i="91"/>
  <c r="U55" i="91"/>
  <c r="U54" i="91"/>
  <c r="U53" i="91"/>
  <c r="U52" i="91"/>
  <c r="U51" i="91"/>
  <c r="U50" i="91"/>
  <c r="U49" i="91"/>
  <c r="U48" i="91"/>
  <c r="U47" i="91"/>
  <c r="U46" i="91"/>
  <c r="U45" i="91"/>
  <c r="U44" i="91"/>
  <c r="U43" i="91"/>
  <c r="U42" i="91"/>
  <c r="U41" i="91"/>
  <c r="U40" i="91"/>
  <c r="U39" i="91"/>
  <c r="U38" i="91"/>
  <c r="U37" i="91"/>
  <c r="U36" i="91"/>
  <c r="U35" i="91"/>
  <c r="U34" i="91"/>
  <c r="U33" i="91"/>
  <c r="U32" i="91"/>
  <c r="U31" i="91"/>
  <c r="U30" i="91"/>
  <c r="U29" i="91"/>
  <c r="U28" i="91"/>
  <c r="U27" i="91"/>
  <c r="U26" i="91"/>
  <c r="U25" i="91"/>
  <c r="U24" i="91"/>
  <c r="U23" i="91"/>
  <c r="U22" i="91"/>
  <c r="U21" i="91"/>
  <c r="U20" i="91"/>
  <c r="U19" i="91"/>
  <c r="U18" i="91"/>
  <c r="U17" i="91"/>
  <c r="U16" i="91"/>
  <c r="U15" i="91"/>
  <c r="U14" i="91"/>
  <c r="U13" i="91"/>
  <c r="U12" i="91"/>
  <c r="U11" i="91"/>
  <c r="U10" i="91"/>
  <c r="U9" i="91"/>
  <c r="U8" i="91"/>
  <c r="U7" i="91"/>
  <c r="U6" i="91"/>
  <c r="U5" i="91"/>
  <c r="U4" i="91"/>
  <c r="U3" i="91"/>
  <c r="U2" i="91"/>
  <c r="N21" i="1"/>
  <c r="AC24" i="1" l="1"/>
  <c r="Z24" i="1" l="1"/>
  <c r="AF24" i="1"/>
  <c r="D41" i="43"/>
  <c r="V28" i="1"/>
  <c r="W25" i="1"/>
  <c r="AA25" i="1" l="1"/>
  <c r="V24" i="1"/>
  <c r="D42" i="43" l="1"/>
  <c r="V26" i="1"/>
  <c r="U141" i="88"/>
  <c r="U140" i="88"/>
  <c r="U139" i="88"/>
  <c r="F141" i="88"/>
  <c r="I140" i="88"/>
  <c r="G140" i="88"/>
  <c r="D140" i="88"/>
  <c r="D139" i="88"/>
  <c r="D141" i="88" s="1"/>
  <c r="V141" i="88" s="1"/>
  <c r="T23" i="89"/>
  <c r="J23" i="89"/>
  <c r="H23" i="89"/>
  <c r="I23" i="89"/>
  <c r="G23" i="89"/>
  <c r="D23" i="89"/>
  <c r="KO19" i="89"/>
  <c r="KD19" i="89"/>
  <c r="JY19" i="89"/>
  <c r="FI19" i="89"/>
  <c r="FD19" i="89"/>
  <c r="FE19" i="89" s="1"/>
  <c r="FC19" i="89"/>
  <c r="EP19" i="89"/>
  <c r="ER19" i="89" s="1"/>
  <c r="EO19" i="89"/>
  <c r="EN19" i="89"/>
  <c r="EM19" i="89"/>
  <c r="EI19" i="89"/>
  <c r="EK19" i="89" s="1"/>
  <c r="EH19" i="89"/>
  <c r="EG19" i="89"/>
  <c r="EF19" i="89"/>
  <c r="BA19" i="89"/>
  <c r="AX19" i="89"/>
  <c r="AJ19" i="89"/>
  <c r="AI19" i="89"/>
  <c r="AK19" i="89" s="1"/>
  <c r="AH19" i="89"/>
  <c r="AE19" i="89"/>
  <c r="AD19" i="89"/>
  <c r="AF19" i="89" s="1"/>
  <c r="AC19" i="89"/>
  <c r="KM18" i="89"/>
  <c r="KK18" i="89"/>
  <c r="KJ18" i="89"/>
  <c r="KI18" i="89"/>
  <c r="KH18" i="89"/>
  <c r="KC18" i="89"/>
  <c r="KB18" i="89"/>
  <c r="JP18" i="89"/>
  <c r="JO18" i="89"/>
  <c r="JN18" i="89"/>
  <c r="JM18" i="89"/>
  <c r="JL18" i="89"/>
  <c r="JK18" i="89"/>
  <c r="JJ18" i="89"/>
  <c r="JI18" i="89"/>
  <c r="JH18" i="89"/>
  <c r="JG18" i="89"/>
  <c r="JF18" i="89"/>
  <c r="JE18" i="89"/>
  <c r="JB18" i="89"/>
  <c r="JA18" i="89"/>
  <c r="IZ18" i="89"/>
  <c r="IY18" i="89"/>
  <c r="IX18" i="89"/>
  <c r="IW18" i="89"/>
  <c r="IV18" i="89"/>
  <c r="IU18" i="89"/>
  <c r="IT18" i="89"/>
  <c r="IS18" i="89"/>
  <c r="IR18" i="89"/>
  <c r="IO18" i="89"/>
  <c r="IL18" i="89"/>
  <c r="GL18" i="89"/>
  <c r="GH18" i="89"/>
  <c r="GD18" i="89"/>
  <c r="FZ18" i="89"/>
  <c r="FV18" i="89"/>
  <c r="FR18" i="89"/>
  <c r="FN18" i="89"/>
  <c r="FJ18" i="89"/>
  <c r="FF18" i="89"/>
  <c r="FB18" i="89"/>
  <c r="EX18" i="89"/>
  <c r="ET18" i="89"/>
  <c r="ES18" i="89"/>
  <c r="EL18" i="89"/>
  <c r="EB18" i="89"/>
  <c r="DY18" i="89"/>
  <c r="DW18" i="89"/>
  <c r="DT18" i="89"/>
  <c r="DQ18" i="89"/>
  <c r="DO18" i="89"/>
  <c r="DL18" i="89"/>
  <c r="DI18" i="89"/>
  <c r="DG18" i="89"/>
  <c r="DD18" i="89"/>
  <c r="DA18" i="89"/>
  <c r="CY18" i="89"/>
  <c r="CV18" i="89"/>
  <c r="CS18" i="89"/>
  <c r="CQ18" i="89"/>
  <c r="CN18" i="89"/>
  <c r="CK18" i="89"/>
  <c r="CI18" i="89"/>
  <c r="CF18" i="89"/>
  <c r="CC18" i="89"/>
  <c r="CA18" i="89"/>
  <c r="BX18" i="89"/>
  <c r="BS18" i="89"/>
  <c r="BK18" i="89"/>
  <c r="BJ18" i="89"/>
  <c r="BC18" i="89"/>
  <c r="BB18" i="89"/>
  <c r="AZ18" i="89"/>
  <c r="AW18" i="89"/>
  <c r="AU18" i="89"/>
  <c r="AT18" i="89"/>
  <c r="AM18" i="89"/>
  <c r="Z18" i="89"/>
  <c r="T18" i="89"/>
  <c r="L18" i="89"/>
  <c r="K18" i="89"/>
  <c r="J18" i="89"/>
  <c r="KO17" i="89"/>
  <c r="KL17" i="89"/>
  <c r="JT17" i="89"/>
  <c r="JS17" i="89"/>
  <c r="JC17" i="89"/>
  <c r="JY17" i="89" s="1"/>
  <c r="IP17" i="89"/>
  <c r="JX17" i="89" s="1"/>
  <c r="JU17" i="89" s="1"/>
  <c r="IK17" i="89"/>
  <c r="IG17" i="89"/>
  <c r="IC17" i="89"/>
  <c r="HY17" i="89"/>
  <c r="HU17" i="89"/>
  <c r="HQ17" i="89"/>
  <c r="HM17" i="89"/>
  <c r="HI17" i="89"/>
  <c r="KA17" i="89" s="1"/>
  <c r="KD17" i="89" s="1"/>
  <c r="HE17" i="89"/>
  <c r="HA17" i="89"/>
  <c r="GW17" i="89"/>
  <c r="GS17" i="89"/>
  <c r="GO17" i="89"/>
  <c r="GK17" i="89"/>
  <c r="GG17" i="89"/>
  <c r="GC17" i="89"/>
  <c r="FY17" i="89"/>
  <c r="FU17" i="89"/>
  <c r="FQ17" i="89"/>
  <c r="FM17" i="89"/>
  <c r="FI17" i="89"/>
  <c r="FE17" i="89"/>
  <c r="FA17" i="89"/>
  <c r="EW17" i="89"/>
  <c r="EP17" i="89"/>
  <c r="JV17" i="89" s="1"/>
  <c r="EO17" i="89"/>
  <c r="EN17" i="89"/>
  <c r="EM17" i="89"/>
  <c r="EK17" i="89"/>
  <c r="EJ17" i="89"/>
  <c r="EI17" i="89"/>
  <c r="EH17" i="89"/>
  <c r="EG17" i="89"/>
  <c r="EF17" i="89"/>
  <c r="EC17" i="89"/>
  <c r="DZ17" i="89"/>
  <c r="DU17" i="89"/>
  <c r="DR17" i="89"/>
  <c r="DM17" i="89"/>
  <c r="DJ17" i="89"/>
  <c r="DE17" i="89"/>
  <c r="DB17" i="89"/>
  <c r="CW17" i="89"/>
  <c r="CT17" i="89"/>
  <c r="CO17" i="89"/>
  <c r="CL17" i="89"/>
  <c r="CG17" i="89"/>
  <c r="CD17" i="89"/>
  <c r="BY17" i="89"/>
  <c r="BV17" i="89"/>
  <c r="BQ17" i="89"/>
  <c r="BN17" i="89"/>
  <c r="BI17" i="89"/>
  <c r="BF17" i="89"/>
  <c r="BA17" i="89"/>
  <c r="AX17" i="89"/>
  <c r="AS17" i="89"/>
  <c r="AP17" i="89"/>
  <c r="AJ17" i="89"/>
  <c r="AI17" i="89"/>
  <c r="AK17" i="89" s="1"/>
  <c r="AH17" i="89"/>
  <c r="AE17" i="89"/>
  <c r="AD17" i="89"/>
  <c r="AF17" i="89" s="1"/>
  <c r="AC17" i="89"/>
  <c r="Y17" i="89"/>
  <c r="W17" i="89" s="1"/>
  <c r="U17" i="89"/>
  <c r="S17" i="89"/>
  <c r="R17" i="89"/>
  <c r="N17" i="89"/>
  <c r="O17" i="89" s="1"/>
  <c r="M17" i="89"/>
  <c r="KN16" i="89"/>
  <c r="KO16" i="89" s="1"/>
  <c r="KD16" i="89"/>
  <c r="JR16" i="89"/>
  <c r="JQ16" i="89"/>
  <c r="JC16" i="89"/>
  <c r="IP16" i="89"/>
  <c r="IN16" i="89"/>
  <c r="IM16" i="89"/>
  <c r="IK16" i="89"/>
  <c r="IJ16" i="89"/>
  <c r="II16" i="89"/>
  <c r="IG16" i="89"/>
  <c r="IF16" i="89"/>
  <c r="IE16" i="89"/>
  <c r="IB16" i="89"/>
  <c r="IA16" i="89"/>
  <c r="HX16" i="89"/>
  <c r="HY16" i="89" s="1"/>
  <c r="HW16" i="89"/>
  <c r="HU16" i="89"/>
  <c r="HT16" i="89"/>
  <c r="HS16" i="89"/>
  <c r="HQ16" i="89"/>
  <c r="HP16" i="89"/>
  <c r="JX16" i="89" s="1"/>
  <c r="HO16" i="89"/>
  <c r="HL16" i="89"/>
  <c r="HM16" i="89" s="1"/>
  <c r="HK16" i="89"/>
  <c r="HH16" i="89"/>
  <c r="HI16" i="89" s="1"/>
  <c r="HG16" i="89"/>
  <c r="HE16" i="89"/>
  <c r="HD16" i="89"/>
  <c r="HC16" i="89"/>
  <c r="HA16" i="89"/>
  <c r="GZ16" i="89"/>
  <c r="GY16" i="89"/>
  <c r="GV16" i="89"/>
  <c r="GW16" i="89" s="1"/>
  <c r="GU16" i="89"/>
  <c r="GR16" i="89"/>
  <c r="GS16" i="89" s="1"/>
  <c r="GQ16" i="89"/>
  <c r="GO16" i="89"/>
  <c r="GN16" i="89"/>
  <c r="GM16" i="89"/>
  <c r="GK16" i="89"/>
  <c r="GJ16" i="89"/>
  <c r="GI16" i="89"/>
  <c r="GF16" i="89"/>
  <c r="GG16" i="89" s="1"/>
  <c r="GE16" i="89"/>
  <c r="GB16" i="89"/>
  <c r="GC16" i="89" s="1"/>
  <c r="GA16" i="89"/>
  <c r="FY16" i="89"/>
  <c r="FX16" i="89"/>
  <c r="FW16" i="89"/>
  <c r="FU16" i="89"/>
  <c r="FT16" i="89"/>
  <c r="FS16" i="89"/>
  <c r="FP16" i="89"/>
  <c r="FQ16" i="89" s="1"/>
  <c r="FO16" i="89"/>
  <c r="FL16" i="89"/>
  <c r="FM16" i="89" s="1"/>
  <c r="FK16" i="89"/>
  <c r="FI16" i="89"/>
  <c r="FH16" i="89"/>
  <c r="FG16" i="89"/>
  <c r="FE16" i="89"/>
  <c r="FD16" i="89"/>
  <c r="FC16" i="89"/>
  <c r="EZ16" i="89"/>
  <c r="EP16" i="89" s="1"/>
  <c r="ER16" i="89" s="1"/>
  <c r="EY16" i="89"/>
  <c r="EO16" i="89" s="1"/>
  <c r="EW16" i="89"/>
  <c r="EQ16" i="89"/>
  <c r="EN16" i="89"/>
  <c r="EM16" i="89"/>
  <c r="EI16" i="89"/>
  <c r="EH16" i="89"/>
  <c r="EG16" i="89"/>
  <c r="EF16" i="89"/>
  <c r="EA16" i="89"/>
  <c r="EC16" i="89" s="1"/>
  <c r="DZ16" i="89"/>
  <c r="DX16" i="89"/>
  <c r="DU16" i="89"/>
  <c r="DR16" i="89"/>
  <c r="DM16" i="89"/>
  <c r="DJ16" i="89"/>
  <c r="DC16" i="89"/>
  <c r="DE16" i="89" s="1"/>
  <c r="DB16" i="89"/>
  <c r="CZ16" i="89"/>
  <c r="CW16" i="89"/>
  <c r="CT16" i="89"/>
  <c r="CO16" i="89"/>
  <c r="CL16" i="89"/>
  <c r="CE16" i="89"/>
  <c r="CG16" i="89" s="1"/>
  <c r="CD16" i="89"/>
  <c r="CB16" i="89"/>
  <c r="BY16" i="89"/>
  <c r="BV16" i="89"/>
  <c r="BU16" i="89"/>
  <c r="BU18" i="89" s="1"/>
  <c r="BQ16" i="89"/>
  <c r="BN16" i="89"/>
  <c r="BI16" i="89"/>
  <c r="BH16" i="89"/>
  <c r="BH18" i="89" s="1"/>
  <c r="BG16" i="89"/>
  <c r="BE16" i="89"/>
  <c r="BE18" i="89" s="1"/>
  <c r="BD16" i="89"/>
  <c r="AD16" i="89" s="1"/>
  <c r="BA16" i="89"/>
  <c r="AX16" i="89"/>
  <c r="AS16" i="89"/>
  <c r="AP16" i="89"/>
  <c r="AH16" i="89"/>
  <c r="Y16" i="89"/>
  <c r="W16" i="89"/>
  <c r="U16" i="89"/>
  <c r="S16" i="89" s="1"/>
  <c r="Q16" i="89"/>
  <c r="R16" i="89" s="1"/>
  <c r="O16" i="89"/>
  <c r="D16" i="89"/>
  <c r="KO15" i="89"/>
  <c r="JR15" i="89"/>
  <c r="JQ15" i="89"/>
  <c r="JC15" i="89"/>
  <c r="IP15" i="89"/>
  <c r="IN15" i="89"/>
  <c r="IM15" i="89"/>
  <c r="IK15" i="89"/>
  <c r="II15" i="89"/>
  <c r="IG15" i="89"/>
  <c r="IE15" i="89"/>
  <c r="IB15" i="89"/>
  <c r="IC15" i="89" s="1"/>
  <c r="IA15" i="89"/>
  <c r="HY15" i="89"/>
  <c r="HX15" i="89"/>
  <c r="HW15" i="89"/>
  <c r="HU15" i="89"/>
  <c r="HT15" i="89"/>
  <c r="HS15" i="89"/>
  <c r="HQ15" i="89"/>
  <c r="HP15" i="89"/>
  <c r="JX15" i="89" s="1"/>
  <c r="HO15" i="89"/>
  <c r="HL15" i="89"/>
  <c r="HM15" i="89" s="1"/>
  <c r="HK15" i="89"/>
  <c r="HI15" i="89"/>
  <c r="KA15" i="89" s="1"/>
  <c r="KD15" i="89" s="1"/>
  <c r="HH15" i="89"/>
  <c r="HG15" i="89"/>
  <c r="HE15" i="89"/>
  <c r="HD15" i="89"/>
  <c r="HC15" i="89"/>
  <c r="GZ15" i="89"/>
  <c r="HA15" i="89" s="1"/>
  <c r="GY15" i="89"/>
  <c r="GV15" i="89"/>
  <c r="GW15" i="89" s="1"/>
  <c r="GU15" i="89"/>
  <c r="GS15" i="89"/>
  <c r="GR15" i="89"/>
  <c r="GQ15" i="89"/>
  <c r="GN15" i="89"/>
  <c r="GO15" i="89" s="1"/>
  <c r="GM15" i="89"/>
  <c r="GK15" i="89"/>
  <c r="GJ15" i="89"/>
  <c r="GI15" i="89"/>
  <c r="GF15" i="89"/>
  <c r="GG15" i="89" s="1"/>
  <c r="GE15" i="89"/>
  <c r="GC15" i="89"/>
  <c r="GB15" i="89"/>
  <c r="GA15" i="89"/>
  <c r="FY15" i="89"/>
  <c r="FX15" i="89"/>
  <c r="FW15" i="89"/>
  <c r="FU15" i="89"/>
  <c r="FT15" i="89"/>
  <c r="FS15" i="89"/>
  <c r="FP15" i="89"/>
  <c r="FQ15" i="89" s="1"/>
  <c r="FO15" i="89"/>
  <c r="FM15" i="89"/>
  <c r="FL15" i="89"/>
  <c r="FK15" i="89"/>
  <c r="FI15" i="89"/>
  <c r="FH15" i="89"/>
  <c r="FG15" i="89"/>
  <c r="FE15" i="89"/>
  <c r="FD15" i="89"/>
  <c r="EI15" i="89" s="1"/>
  <c r="FC15" i="89"/>
  <c r="EH15" i="89" s="1"/>
  <c r="EZ15" i="89"/>
  <c r="EY15" i="89"/>
  <c r="EO15" i="89" s="1"/>
  <c r="EW15" i="89"/>
  <c r="EV15" i="89"/>
  <c r="EU15" i="89"/>
  <c r="EN15" i="89"/>
  <c r="EM15" i="89"/>
  <c r="EG15" i="89"/>
  <c r="EF15" i="89"/>
  <c r="EC15" i="89"/>
  <c r="EA15" i="89"/>
  <c r="DX15" i="89"/>
  <c r="DZ15" i="89" s="1"/>
  <c r="DU15" i="89"/>
  <c r="DS15" i="89"/>
  <c r="DP15" i="89"/>
  <c r="DR15" i="89" s="1"/>
  <c r="DM15" i="89"/>
  <c r="DK15" i="89"/>
  <c r="DH15" i="89"/>
  <c r="DJ15" i="89" s="1"/>
  <c r="DC15" i="89"/>
  <c r="DE15" i="89" s="1"/>
  <c r="CZ15" i="89"/>
  <c r="DB15" i="89" s="1"/>
  <c r="CW15" i="89"/>
  <c r="CU15" i="89"/>
  <c r="CR15" i="89"/>
  <c r="CT15" i="89" s="1"/>
  <c r="CO15" i="89"/>
  <c r="CM15" i="89"/>
  <c r="CJ15" i="89"/>
  <c r="CL15" i="89" s="1"/>
  <c r="CG15" i="89"/>
  <c r="CE15" i="89"/>
  <c r="CB15" i="89"/>
  <c r="CD15" i="89" s="1"/>
  <c r="BW15" i="89"/>
  <c r="BY15" i="89" s="1"/>
  <c r="BV15" i="89"/>
  <c r="BT15" i="89"/>
  <c r="BO15" i="89"/>
  <c r="BQ15" i="89" s="1"/>
  <c r="BN15" i="89"/>
  <c r="BL15" i="89"/>
  <c r="BG15" i="89"/>
  <c r="BI15" i="89" s="1"/>
  <c r="BF15" i="89"/>
  <c r="BD15" i="89"/>
  <c r="AY15" i="89"/>
  <c r="BA15" i="89" s="1"/>
  <c r="AX15" i="89"/>
  <c r="AV15" i="89"/>
  <c r="AQ15" i="89"/>
  <c r="AH15" i="89" s="1"/>
  <c r="AP15" i="89"/>
  <c r="AN15" i="89"/>
  <c r="JS15" i="89" s="1"/>
  <c r="AJ15" i="89"/>
  <c r="AE15" i="89"/>
  <c r="Y15" i="89"/>
  <c r="W15" i="89"/>
  <c r="U15" i="89"/>
  <c r="S15" i="89" s="1"/>
  <c r="R15" i="89"/>
  <c r="O15" i="89"/>
  <c r="KO14" i="89"/>
  <c r="JR14" i="89"/>
  <c r="JQ14" i="89"/>
  <c r="JS14" i="89" s="1"/>
  <c r="JC14" i="89"/>
  <c r="IP14" i="89"/>
  <c r="IN14" i="89"/>
  <c r="IM14" i="89"/>
  <c r="IK14" i="89"/>
  <c r="II14" i="89"/>
  <c r="IG14" i="89"/>
  <c r="IE14" i="89"/>
  <c r="IC14" i="89"/>
  <c r="IB14" i="89"/>
  <c r="IA14" i="89"/>
  <c r="HY14" i="89"/>
  <c r="HX14" i="89"/>
  <c r="JX14" i="89" s="1"/>
  <c r="HW14" i="89"/>
  <c r="HT14" i="89"/>
  <c r="HU14" i="89" s="1"/>
  <c r="HS14" i="89"/>
  <c r="HQ14" i="89"/>
  <c r="HP14" i="89"/>
  <c r="HO14" i="89"/>
  <c r="HM14" i="89"/>
  <c r="HL14" i="89"/>
  <c r="HK14" i="89"/>
  <c r="HI14" i="89"/>
  <c r="KA14" i="89" s="1"/>
  <c r="KD14" i="89" s="1"/>
  <c r="HH14" i="89"/>
  <c r="HG14" i="89"/>
  <c r="HD14" i="89"/>
  <c r="HE14" i="89" s="1"/>
  <c r="HC14" i="89"/>
  <c r="HA14" i="89"/>
  <c r="GZ14" i="89"/>
  <c r="GY14" i="89"/>
  <c r="GW14" i="89"/>
  <c r="GV14" i="89"/>
  <c r="GU14" i="89"/>
  <c r="GS14" i="89"/>
  <c r="GR14" i="89"/>
  <c r="GQ14" i="89"/>
  <c r="GN14" i="89"/>
  <c r="GO14" i="89" s="1"/>
  <c r="GM14" i="89"/>
  <c r="GK14" i="89"/>
  <c r="GJ14" i="89"/>
  <c r="GI14" i="89"/>
  <c r="GG14" i="89"/>
  <c r="GF14" i="89"/>
  <c r="GE14" i="89"/>
  <c r="GC14" i="89"/>
  <c r="GB14" i="89"/>
  <c r="GA14" i="89"/>
  <c r="FX14" i="89"/>
  <c r="FY14" i="89" s="1"/>
  <c r="FW14" i="89"/>
  <c r="FU14" i="89"/>
  <c r="FT14" i="89"/>
  <c r="FS14" i="89"/>
  <c r="FQ14" i="89"/>
  <c r="FP14" i="89"/>
  <c r="FO14" i="89"/>
  <c r="FM14" i="89"/>
  <c r="FL14" i="89"/>
  <c r="FK14" i="89"/>
  <c r="FH14" i="89"/>
  <c r="FI14" i="89" s="1"/>
  <c r="FG14" i="89"/>
  <c r="EO14" i="89" s="1"/>
  <c r="FE14" i="89"/>
  <c r="FD14" i="89"/>
  <c r="FC14" i="89"/>
  <c r="FA14" i="89"/>
  <c r="EZ14" i="89"/>
  <c r="EY14" i="89"/>
  <c r="EW14" i="89"/>
  <c r="EV14" i="89"/>
  <c r="EI14" i="89" s="1"/>
  <c r="EU14" i="89"/>
  <c r="EN14" i="89"/>
  <c r="EM14" i="89"/>
  <c r="EH14" i="89"/>
  <c r="EG14" i="89"/>
  <c r="EF14" i="89"/>
  <c r="EA14" i="89"/>
  <c r="EC14" i="89" s="1"/>
  <c r="DZ14" i="89"/>
  <c r="DX14" i="89"/>
  <c r="DS14" i="89"/>
  <c r="DS18" i="89" s="1"/>
  <c r="DR14" i="89"/>
  <c r="DP14" i="89"/>
  <c r="DK14" i="89"/>
  <c r="DM14" i="89" s="1"/>
  <c r="DJ14" i="89"/>
  <c r="DH14" i="89"/>
  <c r="DC14" i="89"/>
  <c r="DE14" i="89" s="1"/>
  <c r="DB14" i="89"/>
  <c r="CZ14" i="89"/>
  <c r="CU14" i="89"/>
  <c r="CU18" i="89" s="1"/>
  <c r="CT14" i="89"/>
  <c r="CR14" i="89"/>
  <c r="CM14" i="89"/>
  <c r="CO14" i="89" s="1"/>
  <c r="CL14" i="89"/>
  <c r="CJ14" i="89"/>
  <c r="CE14" i="89"/>
  <c r="CE18" i="89" s="1"/>
  <c r="CD14" i="89"/>
  <c r="CB14" i="89"/>
  <c r="BW14" i="89"/>
  <c r="BW18" i="89" s="1"/>
  <c r="BV14" i="89"/>
  <c r="BT14" i="89"/>
  <c r="BO14" i="89"/>
  <c r="BQ14" i="89" s="1"/>
  <c r="BN14" i="89"/>
  <c r="BL14" i="89"/>
  <c r="BG14" i="89"/>
  <c r="BG18" i="89" s="1"/>
  <c r="BF14" i="89"/>
  <c r="BD14" i="89"/>
  <c r="AY14" i="89"/>
  <c r="AY18" i="89" s="1"/>
  <c r="AX14" i="89"/>
  <c r="AV14" i="89"/>
  <c r="AQ14" i="89"/>
  <c r="AH14" i="89" s="1"/>
  <c r="AP14" i="89"/>
  <c r="AN14" i="89"/>
  <c r="AJ14" i="89"/>
  <c r="AE14" i="89"/>
  <c r="AF14" i="89" s="1"/>
  <c r="AD14" i="89"/>
  <c r="AC14" i="89"/>
  <c r="Y14" i="89"/>
  <c r="W14" i="89"/>
  <c r="U14" i="89"/>
  <c r="S14" i="89" s="1"/>
  <c r="R14" i="89"/>
  <c r="O14" i="89"/>
  <c r="KO13" i="89"/>
  <c r="JR13" i="89"/>
  <c r="JQ13" i="89"/>
  <c r="JS13" i="89" s="1"/>
  <c r="JC13" i="89"/>
  <c r="IP13" i="89"/>
  <c r="IN13" i="89"/>
  <c r="IM13" i="89"/>
  <c r="IK13" i="89"/>
  <c r="II13" i="89"/>
  <c r="IG13" i="89"/>
  <c r="IE13" i="89"/>
  <c r="IC13" i="89"/>
  <c r="IB13" i="89"/>
  <c r="IA13" i="89"/>
  <c r="HY13" i="89"/>
  <c r="HX13" i="89"/>
  <c r="JX13" i="89" s="1"/>
  <c r="HW13" i="89"/>
  <c r="HT13" i="89"/>
  <c r="HU13" i="89" s="1"/>
  <c r="HS13" i="89"/>
  <c r="HQ13" i="89"/>
  <c r="HP13" i="89"/>
  <c r="HO13" i="89"/>
  <c r="HM13" i="89"/>
  <c r="HL13" i="89"/>
  <c r="HK13" i="89"/>
  <c r="HI13" i="89"/>
  <c r="KA13" i="89" s="1"/>
  <c r="KD13" i="89" s="1"/>
  <c r="HH13" i="89"/>
  <c r="HG13" i="89"/>
  <c r="HD13" i="89"/>
  <c r="HE13" i="89" s="1"/>
  <c r="HC13" i="89"/>
  <c r="HA13" i="89"/>
  <c r="GZ13" i="89"/>
  <c r="GY13" i="89"/>
  <c r="GW13" i="89"/>
  <c r="GV13" i="89"/>
  <c r="GU13" i="89"/>
  <c r="GS13" i="89"/>
  <c r="GR13" i="89"/>
  <c r="GQ13" i="89"/>
  <c r="GN13" i="89"/>
  <c r="GO13" i="89" s="1"/>
  <c r="GM13" i="89"/>
  <c r="GK13" i="89"/>
  <c r="GJ13" i="89"/>
  <c r="GI13" i="89"/>
  <c r="GG13" i="89"/>
  <c r="GF13" i="89"/>
  <c r="GE13" i="89"/>
  <c r="GC13" i="89"/>
  <c r="GB13" i="89"/>
  <c r="GA13" i="89"/>
  <c r="FX13" i="89"/>
  <c r="FY13" i="89" s="1"/>
  <c r="FW13" i="89"/>
  <c r="FU13" i="89"/>
  <c r="FT13" i="89"/>
  <c r="FS13" i="89"/>
  <c r="FQ13" i="89"/>
  <c r="FP13" i="89"/>
  <c r="FO13" i="89"/>
  <c r="FM13" i="89"/>
  <c r="FL13" i="89"/>
  <c r="FK13" i="89"/>
  <c r="FH13" i="89"/>
  <c r="FI13" i="89" s="1"/>
  <c r="FG13" i="89"/>
  <c r="EO13" i="89" s="1"/>
  <c r="FE13" i="89"/>
  <c r="FD13" i="89"/>
  <c r="FC13" i="89"/>
  <c r="FA13" i="89"/>
  <c r="EZ13" i="89"/>
  <c r="EY13" i="89"/>
  <c r="EW13" i="89"/>
  <c r="EV13" i="89"/>
  <c r="EI13" i="89" s="1"/>
  <c r="EU13" i="89"/>
  <c r="EN13" i="89"/>
  <c r="EM13" i="89"/>
  <c r="EH13" i="89"/>
  <c r="EG13" i="89"/>
  <c r="EF13" i="89"/>
  <c r="EC13" i="89"/>
  <c r="DZ13" i="89"/>
  <c r="DX13" i="89"/>
  <c r="DU13" i="89"/>
  <c r="DP13" i="89"/>
  <c r="DP18" i="89" s="1"/>
  <c r="DM13" i="89"/>
  <c r="DJ13" i="89"/>
  <c r="DH13" i="89"/>
  <c r="DE13" i="89"/>
  <c r="DB13" i="89"/>
  <c r="CZ13" i="89"/>
  <c r="CW13" i="89"/>
  <c r="CT13" i="89"/>
  <c r="CR13" i="89"/>
  <c r="CR18" i="89" s="1"/>
  <c r="CO13" i="89"/>
  <c r="CJ13" i="89"/>
  <c r="CL13" i="89" s="1"/>
  <c r="CG13" i="89"/>
  <c r="CD13" i="89"/>
  <c r="CB13" i="89"/>
  <c r="CB18" i="89" s="1"/>
  <c r="BY13" i="89"/>
  <c r="BV13" i="89"/>
  <c r="BT13" i="89"/>
  <c r="BT18" i="89" s="1"/>
  <c r="BQ13" i="89"/>
  <c r="BN13" i="89"/>
  <c r="BM13" i="89"/>
  <c r="BL13" i="89"/>
  <c r="BI13" i="89"/>
  <c r="BF13" i="89"/>
  <c r="BD13" i="89"/>
  <c r="BD18" i="89" s="1"/>
  <c r="BA13" i="89"/>
  <c r="AV13" i="89"/>
  <c r="AV18" i="89" s="1"/>
  <c r="AS13" i="89"/>
  <c r="AP13" i="89"/>
  <c r="AN13" i="89"/>
  <c r="AK13" i="89"/>
  <c r="AJ13" i="89"/>
  <c r="AI13" i="89"/>
  <c r="AH13" i="89"/>
  <c r="AE13" i="89"/>
  <c r="Y13" i="89"/>
  <c r="W13" i="89" s="1"/>
  <c r="U13" i="89"/>
  <c r="S13" i="89" s="1"/>
  <c r="R13" i="89"/>
  <c r="O13" i="89"/>
  <c r="KL12" i="89"/>
  <c r="KO12" i="89" s="1"/>
  <c r="JX12" i="89"/>
  <c r="JT12" i="89"/>
  <c r="JS12" i="89"/>
  <c r="JC12" i="89"/>
  <c r="JY12" i="89" s="1"/>
  <c r="IP12" i="89"/>
  <c r="IH12" i="89"/>
  <c r="IK12" i="89" s="1"/>
  <c r="IG12" i="89"/>
  <c r="ID12" i="89"/>
  <c r="HZ12" i="89"/>
  <c r="IC12" i="89" s="1"/>
  <c r="HY12" i="89"/>
  <c r="HV12" i="89"/>
  <c r="HR12" i="89"/>
  <c r="HU12" i="89" s="1"/>
  <c r="HQ12" i="89"/>
  <c r="HN12" i="89"/>
  <c r="HJ12" i="89"/>
  <c r="HM12" i="89" s="1"/>
  <c r="HI12" i="89"/>
  <c r="HF12" i="89"/>
  <c r="HB12" i="89"/>
  <c r="HE12" i="89" s="1"/>
  <c r="HA12" i="89"/>
  <c r="GX12" i="89"/>
  <c r="GT12" i="89"/>
  <c r="GS12" i="89"/>
  <c r="GP12" i="89"/>
  <c r="GO12" i="89"/>
  <c r="GK12" i="89"/>
  <c r="GG12" i="89"/>
  <c r="GC12" i="89"/>
  <c r="FY12" i="89"/>
  <c r="FU12" i="89"/>
  <c r="FQ12" i="89"/>
  <c r="FM12" i="89"/>
  <c r="FI12" i="89"/>
  <c r="FE12" i="89"/>
  <c r="FA12" i="89"/>
  <c r="EW12" i="89"/>
  <c r="EP12" i="89"/>
  <c r="ER12" i="89" s="1"/>
  <c r="EO12" i="89"/>
  <c r="EM12" i="89"/>
  <c r="EI12" i="89"/>
  <c r="EH12" i="89"/>
  <c r="EK12" i="89" s="1"/>
  <c r="EG12" i="89"/>
  <c r="EJ12" i="89" s="1"/>
  <c r="EF12" i="89"/>
  <c r="EC12" i="89"/>
  <c r="DZ12" i="89"/>
  <c r="DU12" i="89"/>
  <c r="DR12" i="89"/>
  <c r="DM12" i="89"/>
  <c r="DJ12" i="89"/>
  <c r="DE12" i="89"/>
  <c r="DB12" i="89"/>
  <c r="CW12" i="89"/>
  <c r="CT12" i="89"/>
  <c r="CO12" i="89"/>
  <c r="CL12" i="89"/>
  <c r="CG12" i="89"/>
  <c r="CD12" i="89"/>
  <c r="BY12" i="89"/>
  <c r="BV12" i="89"/>
  <c r="BQ12" i="89"/>
  <c r="BN12" i="89"/>
  <c r="BI12" i="89"/>
  <c r="BF12" i="89"/>
  <c r="BA12" i="89"/>
  <c r="AX12" i="89"/>
  <c r="AS12" i="89"/>
  <c r="AP12" i="89"/>
  <c r="AJ12" i="89"/>
  <c r="AI12" i="89"/>
  <c r="AH12" i="89"/>
  <c r="AE12" i="89"/>
  <c r="AD12" i="89"/>
  <c r="AC12" i="89"/>
  <c r="Y12" i="89"/>
  <c r="W12" i="89"/>
  <c r="U12" i="89"/>
  <c r="S12" i="89" s="1"/>
  <c r="Q12" i="89"/>
  <c r="P12" i="89"/>
  <c r="N12" i="89"/>
  <c r="N18" i="89" s="1"/>
  <c r="M12" i="89"/>
  <c r="O12" i="89" s="1"/>
  <c r="D12" i="89"/>
  <c r="KO11" i="89"/>
  <c r="JT11" i="89"/>
  <c r="JS11" i="89"/>
  <c r="JC11" i="89"/>
  <c r="JY11" i="89" s="1"/>
  <c r="JV11" i="89" s="1"/>
  <c r="IP11" i="89"/>
  <c r="JX11" i="89" s="1"/>
  <c r="IK11" i="89"/>
  <c r="IG11" i="89"/>
  <c r="IC11" i="89"/>
  <c r="HY11" i="89"/>
  <c r="HU11" i="89"/>
  <c r="HQ11" i="89"/>
  <c r="HM11" i="89"/>
  <c r="HI11" i="89"/>
  <c r="HE11" i="89"/>
  <c r="HA11" i="89"/>
  <c r="GW11" i="89"/>
  <c r="GS11" i="89"/>
  <c r="EP11" i="89"/>
  <c r="EO11" i="89"/>
  <c r="EN11" i="89"/>
  <c r="EM11" i="89"/>
  <c r="EK11" i="89"/>
  <c r="EI11" i="89"/>
  <c r="EH11" i="89"/>
  <c r="EG11" i="89"/>
  <c r="EJ11" i="89" s="1"/>
  <c r="EF11" i="89"/>
  <c r="EC11" i="89"/>
  <c r="DZ11" i="89"/>
  <c r="DU11" i="89"/>
  <c r="DR11" i="89"/>
  <c r="DM11" i="89"/>
  <c r="DJ11" i="89"/>
  <c r="DE11" i="89"/>
  <c r="DB11" i="89"/>
  <c r="CW11" i="89"/>
  <c r="CT11" i="89"/>
  <c r="CO11" i="89"/>
  <c r="CL11" i="89"/>
  <c r="AJ11" i="89"/>
  <c r="AI11" i="89"/>
  <c r="AK11" i="89" s="1"/>
  <c r="AH11" i="89"/>
  <c r="AE11" i="89"/>
  <c r="AD11" i="89"/>
  <c r="AF11" i="89" s="1"/>
  <c r="AC11" i="89"/>
  <c r="Y11" i="89"/>
  <c r="W11" i="89" s="1"/>
  <c r="U11" i="89"/>
  <c r="S11" i="89"/>
  <c r="R11" i="89"/>
  <c r="O11" i="89"/>
  <c r="KO10" i="89"/>
  <c r="JY10" i="89"/>
  <c r="JX10" i="89"/>
  <c r="JT10" i="89"/>
  <c r="JS10" i="89"/>
  <c r="JC10" i="89"/>
  <c r="IP10" i="89"/>
  <c r="IK10" i="89"/>
  <c r="IG10" i="89"/>
  <c r="IC10" i="89"/>
  <c r="HY10" i="89"/>
  <c r="HU10" i="89"/>
  <c r="HQ10" i="89"/>
  <c r="HM10" i="89"/>
  <c r="HI10" i="89"/>
  <c r="KA10" i="89" s="1"/>
  <c r="KD10" i="89" s="1"/>
  <c r="HE10" i="89"/>
  <c r="HA10" i="89"/>
  <c r="GW10" i="89"/>
  <c r="GS10" i="89"/>
  <c r="ER10" i="89"/>
  <c r="EQ10" i="89"/>
  <c r="EP10" i="89"/>
  <c r="EO10" i="89"/>
  <c r="EN10" i="89"/>
  <c r="EM10" i="89"/>
  <c r="EI10" i="89"/>
  <c r="EH10" i="89"/>
  <c r="EG10" i="89"/>
  <c r="EF10" i="89"/>
  <c r="EC10" i="89"/>
  <c r="DZ10" i="89"/>
  <c r="DU10" i="89"/>
  <c r="DR10" i="89"/>
  <c r="DM10" i="89"/>
  <c r="DJ10" i="89"/>
  <c r="DE10" i="89"/>
  <c r="DB10" i="89"/>
  <c r="CW10" i="89"/>
  <c r="CT10" i="89"/>
  <c r="CO10" i="89"/>
  <c r="CL10" i="89"/>
  <c r="AK10" i="89"/>
  <c r="AJ10" i="89"/>
  <c r="AI10" i="89"/>
  <c r="AH10" i="89"/>
  <c r="AF10" i="89"/>
  <c r="AE10" i="89"/>
  <c r="AD10" i="89"/>
  <c r="AC10" i="89"/>
  <c r="Y10" i="89"/>
  <c r="W10" i="89" s="1"/>
  <c r="U10" i="89"/>
  <c r="S10" i="89" s="1"/>
  <c r="R10" i="89"/>
  <c r="O10" i="89"/>
  <c r="KO9" i="89"/>
  <c r="JT9" i="89"/>
  <c r="JS9" i="89"/>
  <c r="JC9" i="89"/>
  <c r="JY9" i="89" s="1"/>
  <c r="JV9" i="89" s="1"/>
  <c r="IP9" i="89"/>
  <c r="JX9" i="89" s="1"/>
  <c r="IK9" i="89"/>
  <c r="IG9" i="89"/>
  <c r="IC9" i="89"/>
  <c r="HY9" i="89"/>
  <c r="HU9" i="89"/>
  <c r="HQ9" i="89"/>
  <c r="HM9" i="89"/>
  <c r="HI9" i="89"/>
  <c r="KA9" i="89" s="1"/>
  <c r="KD9" i="89" s="1"/>
  <c r="HE9" i="89"/>
  <c r="HA9" i="89"/>
  <c r="GW9" i="89"/>
  <c r="GS9" i="89"/>
  <c r="EP9" i="89"/>
  <c r="ER9" i="89" s="1"/>
  <c r="EO9" i="89"/>
  <c r="EN9" i="89"/>
  <c r="EM9" i="89"/>
  <c r="EJ9" i="89"/>
  <c r="EI9" i="89"/>
  <c r="EK9" i="89" s="1"/>
  <c r="EH9" i="89"/>
  <c r="EG9" i="89"/>
  <c r="EF9" i="89"/>
  <c r="EC9" i="89"/>
  <c r="DZ9" i="89"/>
  <c r="DU9" i="89"/>
  <c r="DR9" i="89"/>
  <c r="DM9" i="89"/>
  <c r="DJ9" i="89"/>
  <c r="DE9" i="89"/>
  <c r="DB9" i="89"/>
  <c r="CW9" i="89"/>
  <c r="CT9" i="89"/>
  <c r="CO9" i="89"/>
  <c r="CL9" i="89"/>
  <c r="AK9" i="89"/>
  <c r="AJ9" i="89"/>
  <c r="AI9" i="89"/>
  <c r="AH9" i="89"/>
  <c r="AF9" i="89"/>
  <c r="AE9" i="89"/>
  <c r="AD9" i="89"/>
  <c r="AC9" i="89"/>
  <c r="Y9" i="89"/>
  <c r="W9" i="89" s="1"/>
  <c r="U9" i="89"/>
  <c r="S9" i="89"/>
  <c r="R9" i="89"/>
  <c r="O9" i="89"/>
  <c r="KO8" i="89"/>
  <c r="JT8" i="89"/>
  <c r="JS8" i="89"/>
  <c r="JC8" i="89"/>
  <c r="JY8" i="89" s="1"/>
  <c r="IP8" i="89"/>
  <c r="JX8" i="89" s="1"/>
  <c r="IK8" i="89"/>
  <c r="IG8" i="89"/>
  <c r="IC8" i="89"/>
  <c r="HY8" i="89"/>
  <c r="HU8" i="89"/>
  <c r="HQ8" i="89"/>
  <c r="HM8" i="89"/>
  <c r="HI8" i="89"/>
  <c r="KA8" i="89" s="1"/>
  <c r="KD8" i="89" s="1"/>
  <c r="HE8" i="89"/>
  <c r="HA8" i="89"/>
  <c r="GW8" i="89"/>
  <c r="GS8" i="89"/>
  <c r="EP8" i="89"/>
  <c r="EQ8" i="89" s="1"/>
  <c r="EO8" i="89"/>
  <c r="EN8" i="89"/>
  <c r="EM8" i="89"/>
  <c r="EK8" i="89"/>
  <c r="EI8" i="89"/>
  <c r="EH8" i="89"/>
  <c r="EG8" i="89"/>
  <c r="EJ8" i="89" s="1"/>
  <c r="EF8" i="89"/>
  <c r="EC8" i="89"/>
  <c r="DZ8" i="89"/>
  <c r="DU8" i="89"/>
  <c r="DR8" i="89"/>
  <c r="DM8" i="89"/>
  <c r="DJ8" i="89"/>
  <c r="DE8" i="89"/>
  <c r="DB8" i="89"/>
  <c r="CW8" i="89"/>
  <c r="CT8" i="89"/>
  <c r="CO8" i="89"/>
  <c r="CL8" i="89"/>
  <c r="AJ8" i="89"/>
  <c r="AK8" i="89" s="1"/>
  <c r="AI8" i="89"/>
  <c r="AH8" i="89"/>
  <c r="AE8" i="89"/>
  <c r="JU8" i="89" s="1"/>
  <c r="AD8" i="89"/>
  <c r="AC8" i="89"/>
  <c r="Y8" i="89"/>
  <c r="W8" i="89"/>
  <c r="U8" i="89"/>
  <c r="S8" i="89" s="1"/>
  <c r="R8" i="89"/>
  <c r="O8" i="89"/>
  <c r="KO7" i="89"/>
  <c r="KG7" i="89"/>
  <c r="KF7" i="89"/>
  <c r="KF18" i="89" s="1"/>
  <c r="JC7" i="89"/>
  <c r="JY7" i="89" s="1"/>
  <c r="IP7" i="89"/>
  <c r="JX7" i="89" s="1"/>
  <c r="IK7" i="89"/>
  <c r="IG7" i="89"/>
  <c r="IC7" i="89"/>
  <c r="HY7" i="89"/>
  <c r="HU7" i="89"/>
  <c r="HQ7" i="89"/>
  <c r="HM7" i="89"/>
  <c r="HL7" i="89"/>
  <c r="HK7" i="89"/>
  <c r="HH7" i="89"/>
  <c r="HI7" i="89" s="1"/>
  <c r="KA7" i="89" s="1"/>
  <c r="KD7" i="89" s="1"/>
  <c r="HG7" i="89"/>
  <c r="HD7" i="89"/>
  <c r="HE7" i="89" s="1"/>
  <c r="HC7" i="89"/>
  <c r="EO7" i="89" s="1"/>
  <c r="HB7" i="89"/>
  <c r="GZ7" i="89"/>
  <c r="HA7" i="89" s="1"/>
  <c r="GY7" i="89"/>
  <c r="JS7" i="89" s="1"/>
  <c r="GX7" i="89"/>
  <c r="EF7" i="89" s="1"/>
  <c r="GW7" i="89"/>
  <c r="GS7" i="89"/>
  <c r="EN7" i="89"/>
  <c r="EM7" i="89"/>
  <c r="EI7" i="89"/>
  <c r="EC7" i="89"/>
  <c r="DZ7" i="89"/>
  <c r="DU7" i="89"/>
  <c r="DR7" i="89"/>
  <c r="DM7" i="89"/>
  <c r="DJ7" i="89"/>
  <c r="DE7" i="89"/>
  <c r="DB7" i="89"/>
  <c r="CW7" i="89"/>
  <c r="CT7" i="89"/>
  <c r="CO7" i="89"/>
  <c r="CL7" i="89"/>
  <c r="AK7" i="89"/>
  <c r="AJ7" i="89"/>
  <c r="AI7" i="89"/>
  <c r="AH7" i="89"/>
  <c r="AF7" i="89"/>
  <c r="AE7" i="89"/>
  <c r="JU7" i="89" s="1"/>
  <c r="AD7" i="89"/>
  <c r="AC7" i="89"/>
  <c r="Y7" i="89"/>
  <c r="W7" i="89" s="1"/>
  <c r="U7" i="89"/>
  <c r="S7" i="89"/>
  <c r="R7" i="89"/>
  <c r="O7" i="89"/>
  <c r="KN6" i="89"/>
  <c r="KN18" i="89" s="1"/>
  <c r="KL6" i="89"/>
  <c r="KL18" i="89" s="1"/>
  <c r="KG6" i="89"/>
  <c r="KG18" i="89" s="1"/>
  <c r="JD6" i="89"/>
  <c r="JD18" i="89" s="1"/>
  <c r="JC6" i="89"/>
  <c r="JY6" i="89" s="1"/>
  <c r="IQ6" i="89"/>
  <c r="IQ18" i="89" s="1"/>
  <c r="IN6" i="89"/>
  <c r="IM6" i="89"/>
  <c r="IJ6" i="89"/>
  <c r="IJ18" i="89" s="1"/>
  <c r="II6" i="89"/>
  <c r="IH6" i="89"/>
  <c r="IH18" i="89" s="1"/>
  <c r="IF6" i="89"/>
  <c r="IF18" i="89" s="1"/>
  <c r="IE6" i="89"/>
  <c r="ID6" i="89"/>
  <c r="ID18" i="89" s="1"/>
  <c r="IB6" i="89"/>
  <c r="IB18" i="89" s="1"/>
  <c r="IA6" i="89"/>
  <c r="HZ6" i="89"/>
  <c r="HZ18" i="89" s="1"/>
  <c r="HX6" i="89"/>
  <c r="HX18" i="89" s="1"/>
  <c r="HW6" i="89"/>
  <c r="HV6" i="89"/>
  <c r="HV18" i="89" s="1"/>
  <c r="HT6" i="89"/>
  <c r="HS6" i="89"/>
  <c r="HR6" i="89"/>
  <c r="HR18" i="89" s="1"/>
  <c r="HP6" i="89"/>
  <c r="HO6" i="89"/>
  <c r="HN6" i="89"/>
  <c r="HN18" i="89" s="1"/>
  <c r="HL6" i="89"/>
  <c r="HK6" i="89"/>
  <c r="HJ6" i="89"/>
  <c r="HJ18" i="89" s="1"/>
  <c r="HH6" i="89"/>
  <c r="HG6" i="89"/>
  <c r="HF6" i="89"/>
  <c r="HF18" i="89" s="1"/>
  <c r="HD6" i="89"/>
  <c r="HC6" i="89"/>
  <c r="HB6" i="89"/>
  <c r="HB18" i="89" s="1"/>
  <c r="GZ6" i="89"/>
  <c r="GY6" i="89"/>
  <c r="GX6" i="89"/>
  <c r="GX18" i="89" s="1"/>
  <c r="GV6" i="89"/>
  <c r="GU6" i="89"/>
  <c r="EO6" i="89" s="1"/>
  <c r="GT6" i="89"/>
  <c r="GT18" i="89" s="1"/>
  <c r="GS6" i="89"/>
  <c r="GP6" i="89"/>
  <c r="GP18" i="89" s="1"/>
  <c r="EP6" i="89"/>
  <c r="ER6" i="89" s="1"/>
  <c r="EM6" i="89"/>
  <c r="EI6" i="89"/>
  <c r="EH6" i="89"/>
  <c r="EK6" i="89" s="1"/>
  <c r="EA6" i="89"/>
  <c r="EA18" i="89" s="1"/>
  <c r="DZ6" i="89"/>
  <c r="DX6" i="89"/>
  <c r="DX18" i="89" s="1"/>
  <c r="DU6" i="89"/>
  <c r="DR6" i="89"/>
  <c r="DM6" i="89"/>
  <c r="DJ6" i="89"/>
  <c r="DC6" i="89"/>
  <c r="DC18" i="89" s="1"/>
  <c r="DB6" i="89"/>
  <c r="CZ6" i="89"/>
  <c r="CZ18" i="89" s="1"/>
  <c r="CW6" i="89"/>
  <c r="CT6" i="89"/>
  <c r="CO6" i="89"/>
  <c r="CM6" i="89"/>
  <c r="JT6" i="89" s="1"/>
  <c r="CJ6" i="89"/>
  <c r="CL6" i="89" s="1"/>
  <c r="AJ6" i="89"/>
  <c r="AH6" i="89"/>
  <c r="AE6" i="89"/>
  <c r="AC6" i="89"/>
  <c r="Y6" i="89"/>
  <c r="W6" i="89" s="1"/>
  <c r="V6" i="89"/>
  <c r="U6" i="89"/>
  <c r="S6" i="89" s="1"/>
  <c r="R6" i="89"/>
  <c r="O6" i="89"/>
  <c r="KO5" i="89"/>
  <c r="JR5" i="89"/>
  <c r="JV5" i="89" s="1"/>
  <c r="JQ5" i="89"/>
  <c r="JC5" i="89"/>
  <c r="JY5" i="89" s="1"/>
  <c r="IP5" i="89"/>
  <c r="IN5" i="89"/>
  <c r="IM5" i="89"/>
  <c r="IK5" i="89"/>
  <c r="II5" i="89"/>
  <c r="IG5" i="89"/>
  <c r="IE5" i="89"/>
  <c r="IC5" i="89"/>
  <c r="IA5" i="89"/>
  <c r="HY5" i="89"/>
  <c r="HW5" i="89"/>
  <c r="HU5" i="89"/>
  <c r="HT5" i="89"/>
  <c r="HS5" i="89"/>
  <c r="HP5" i="89"/>
  <c r="HQ5" i="89" s="1"/>
  <c r="HO5" i="89"/>
  <c r="HL5" i="89"/>
  <c r="HM5" i="89" s="1"/>
  <c r="HK5" i="89"/>
  <c r="HI5" i="89"/>
  <c r="KA5" i="89" s="1"/>
  <c r="KD5" i="89" s="1"/>
  <c r="HH5" i="89"/>
  <c r="HG5" i="89"/>
  <c r="HE5" i="89"/>
  <c r="HD5" i="89"/>
  <c r="HC5" i="89"/>
  <c r="GZ5" i="89"/>
  <c r="HA5" i="89" s="1"/>
  <c r="GY5" i="89"/>
  <c r="GV5" i="89"/>
  <c r="GW5" i="89" s="1"/>
  <c r="GU5" i="89"/>
  <c r="GS5" i="89"/>
  <c r="GR5" i="89"/>
  <c r="GQ5" i="89"/>
  <c r="GO5" i="89"/>
  <c r="GN5" i="89"/>
  <c r="GM5" i="89"/>
  <c r="GJ5" i="89"/>
  <c r="GK5" i="89" s="1"/>
  <c r="GI5" i="89"/>
  <c r="GF5" i="89"/>
  <c r="GG5" i="89" s="1"/>
  <c r="GE5" i="89"/>
  <c r="GC5" i="89"/>
  <c r="GB5" i="89"/>
  <c r="GA5" i="89"/>
  <c r="FY5" i="89"/>
  <c r="FX5" i="89"/>
  <c r="FW5" i="89"/>
  <c r="FT5" i="89"/>
  <c r="FU5" i="89" s="1"/>
  <c r="FS5" i="89"/>
  <c r="FP5" i="89"/>
  <c r="FQ5" i="89" s="1"/>
  <c r="FO5" i="89"/>
  <c r="FM5" i="89"/>
  <c r="FL5" i="89"/>
  <c r="FK5" i="89"/>
  <c r="FI5" i="89"/>
  <c r="FH5" i="89"/>
  <c r="EP5" i="89" s="1"/>
  <c r="FG5" i="89"/>
  <c r="FD5" i="89"/>
  <c r="FE5" i="89" s="1"/>
  <c r="FC5" i="89"/>
  <c r="FA5" i="89"/>
  <c r="EZ5" i="89"/>
  <c r="EY5" i="89"/>
  <c r="EO5" i="89" s="1"/>
  <c r="EW5" i="89"/>
  <c r="EV5" i="89"/>
  <c r="EU5" i="89"/>
  <c r="EN5" i="89"/>
  <c r="EM5" i="89"/>
  <c r="EI5" i="89"/>
  <c r="EJ5" i="89" s="1"/>
  <c r="EH5" i="89"/>
  <c r="EG5" i="89"/>
  <c r="EF5" i="89"/>
  <c r="EC5" i="89"/>
  <c r="DZ5" i="89"/>
  <c r="DU5" i="89"/>
  <c r="DR5" i="89"/>
  <c r="DM5" i="89"/>
  <c r="DK5" i="89"/>
  <c r="DJ5" i="89"/>
  <c r="DH5" i="89"/>
  <c r="DE5" i="89"/>
  <c r="DB5" i="89"/>
  <c r="CW5" i="89"/>
  <c r="CT5" i="89"/>
  <c r="CO5" i="89"/>
  <c r="CM5" i="89"/>
  <c r="CL5" i="89"/>
  <c r="CJ5" i="89"/>
  <c r="CG5" i="89"/>
  <c r="CD5" i="89"/>
  <c r="BY5" i="89"/>
  <c r="BV5" i="89"/>
  <c r="BQ5" i="89"/>
  <c r="BP5" i="89"/>
  <c r="BO5" i="89"/>
  <c r="BM5" i="89"/>
  <c r="BM18" i="89" s="1"/>
  <c r="BL5" i="89"/>
  <c r="BI5" i="89"/>
  <c r="BF5" i="89"/>
  <c r="BA5" i="89"/>
  <c r="AX5" i="89"/>
  <c r="AR5" i="89"/>
  <c r="AQ5" i="89"/>
  <c r="AH5" i="89" s="1"/>
  <c r="AP5" i="89"/>
  <c r="AO5" i="89"/>
  <c r="AO18" i="89" s="1"/>
  <c r="AN5" i="89"/>
  <c r="JS5" i="89" s="1"/>
  <c r="AJ5" i="89"/>
  <c r="AD5" i="89"/>
  <c r="AC5" i="89"/>
  <c r="Y5" i="89"/>
  <c r="W5" i="89" s="1"/>
  <c r="X5" i="89"/>
  <c r="X18" i="89" s="1"/>
  <c r="V5" i="89"/>
  <c r="V18" i="89" s="1"/>
  <c r="U5" i="89"/>
  <c r="S5" i="89" s="1"/>
  <c r="R5" i="89"/>
  <c r="P5" i="89"/>
  <c r="P18" i="89" s="1"/>
  <c r="O5" i="89"/>
  <c r="M5" i="89"/>
  <c r="M18" i="89" s="1"/>
  <c r="D5" i="89"/>
  <c r="D18" i="89" s="1"/>
  <c r="KO4" i="89"/>
  <c r="JR4" i="89"/>
  <c r="JR18" i="89" s="1"/>
  <c r="JQ4" i="89"/>
  <c r="JQ18" i="89" s="1"/>
  <c r="JC4" i="89"/>
  <c r="IP4" i="89"/>
  <c r="IN4" i="89"/>
  <c r="IN18" i="89" s="1"/>
  <c r="IM4" i="89"/>
  <c r="IK4" i="89"/>
  <c r="II4" i="89"/>
  <c r="II18" i="89" s="1"/>
  <c r="IG4" i="89"/>
  <c r="IE4" i="89"/>
  <c r="IE18" i="89" s="1"/>
  <c r="IC4" i="89"/>
  <c r="IA4" i="89"/>
  <c r="IA18" i="89" s="1"/>
  <c r="HY4" i="89"/>
  <c r="HW4" i="89"/>
  <c r="HW18" i="89" s="1"/>
  <c r="HT4" i="89"/>
  <c r="HT18" i="89" s="1"/>
  <c r="HS4" i="89"/>
  <c r="HS18" i="89" s="1"/>
  <c r="HQ4" i="89"/>
  <c r="HP4" i="89"/>
  <c r="HO4" i="89"/>
  <c r="HO18" i="89" s="1"/>
  <c r="HM4" i="89"/>
  <c r="HL4" i="89"/>
  <c r="HL18" i="89" s="1"/>
  <c r="HK4" i="89"/>
  <c r="HI4" i="89"/>
  <c r="KA4" i="89" s="1"/>
  <c r="HH4" i="89"/>
  <c r="HG4" i="89"/>
  <c r="HG18" i="89" s="1"/>
  <c r="HD4" i="89"/>
  <c r="HD18" i="89" s="1"/>
  <c r="HC4" i="89"/>
  <c r="HA4" i="89"/>
  <c r="GZ4" i="89"/>
  <c r="GY4" i="89"/>
  <c r="GY18" i="89" s="1"/>
  <c r="GW4" i="89"/>
  <c r="GV4" i="89"/>
  <c r="GV18" i="89" s="1"/>
  <c r="GU4" i="89"/>
  <c r="GS4" i="89"/>
  <c r="GS18" i="89" s="1"/>
  <c r="GR4" i="89"/>
  <c r="GR18" i="89" s="1"/>
  <c r="GQ4" i="89"/>
  <c r="GQ18" i="89" s="1"/>
  <c r="GN4" i="89"/>
  <c r="GN18" i="89" s="1"/>
  <c r="GM4" i="89"/>
  <c r="GM18" i="89" s="1"/>
  <c r="GK4" i="89"/>
  <c r="GJ4" i="89"/>
  <c r="GI4" i="89"/>
  <c r="GI18" i="89" s="1"/>
  <c r="GG4" i="89"/>
  <c r="GF4" i="89"/>
  <c r="GF18" i="89" s="1"/>
  <c r="GE4" i="89"/>
  <c r="GC4" i="89"/>
  <c r="GC18" i="89" s="1"/>
  <c r="GB4" i="89"/>
  <c r="GB18" i="89" s="1"/>
  <c r="GA4" i="89"/>
  <c r="GA18" i="89" s="1"/>
  <c r="FX4" i="89"/>
  <c r="FX18" i="89" s="1"/>
  <c r="FW4" i="89"/>
  <c r="FW18" i="89" s="1"/>
  <c r="FU4" i="89"/>
  <c r="FT4" i="89"/>
  <c r="FS4" i="89"/>
  <c r="FS18" i="89" s="1"/>
  <c r="FQ4" i="89"/>
  <c r="FP4" i="89"/>
  <c r="FP18" i="89" s="1"/>
  <c r="FO4" i="89"/>
  <c r="FM4" i="89"/>
  <c r="FM18" i="89" s="1"/>
  <c r="FL4" i="89"/>
  <c r="FL18" i="89" s="1"/>
  <c r="FK4" i="89"/>
  <c r="FK18" i="89" s="1"/>
  <c r="FH4" i="89"/>
  <c r="FH18" i="89" s="1"/>
  <c r="FG4" i="89"/>
  <c r="FG18" i="89" s="1"/>
  <c r="FE4" i="89"/>
  <c r="FD4" i="89"/>
  <c r="FC4" i="89"/>
  <c r="FC18" i="89" s="1"/>
  <c r="FA4" i="89"/>
  <c r="EZ4" i="89"/>
  <c r="EZ18" i="89" s="1"/>
  <c r="EY4" i="89"/>
  <c r="EW4" i="89"/>
  <c r="EW18" i="89" s="1"/>
  <c r="EV4" i="89"/>
  <c r="EV18" i="89" s="1"/>
  <c r="EU4" i="89"/>
  <c r="EU18" i="89" s="1"/>
  <c r="EO4" i="89"/>
  <c r="EN4" i="89"/>
  <c r="EM4" i="89"/>
  <c r="EM18" i="89" s="1"/>
  <c r="EH4" i="89"/>
  <c r="EG4" i="89"/>
  <c r="EF4" i="89"/>
  <c r="EC4" i="89"/>
  <c r="DZ4" i="89"/>
  <c r="DZ18" i="89" s="1"/>
  <c r="DU4" i="89"/>
  <c r="DR4" i="89"/>
  <c r="DK4" i="89"/>
  <c r="DK18" i="89" s="1"/>
  <c r="DJ4" i="89"/>
  <c r="DJ18" i="89" s="1"/>
  <c r="DH4" i="89"/>
  <c r="DH18" i="89" s="1"/>
  <c r="DE4" i="89"/>
  <c r="DB4" i="89"/>
  <c r="DB18" i="89" s="1"/>
  <c r="CW4" i="89"/>
  <c r="CT4" i="89"/>
  <c r="CM4" i="89"/>
  <c r="CM18" i="89" s="1"/>
  <c r="CL4" i="89"/>
  <c r="CJ4" i="89"/>
  <c r="CG4" i="89"/>
  <c r="CD4" i="89"/>
  <c r="CD18" i="89" s="1"/>
  <c r="BY4" i="89"/>
  <c r="BV4" i="89"/>
  <c r="BV18" i="89" s="1"/>
  <c r="BP4" i="89"/>
  <c r="BP18" i="89" s="1"/>
  <c r="FX25" i="89" s="1"/>
  <c r="BO4" i="89"/>
  <c r="BO18" i="89" s="1"/>
  <c r="BN4" i="89"/>
  <c r="BL4" i="89"/>
  <c r="BL18" i="89" s="1"/>
  <c r="BI4" i="89"/>
  <c r="BF4" i="89"/>
  <c r="BA4" i="89"/>
  <c r="AX4" i="89"/>
  <c r="AS4" i="89"/>
  <c r="AR4" i="89"/>
  <c r="AR18" i="89" s="1"/>
  <c r="AQ4" i="89"/>
  <c r="AN4" i="89"/>
  <c r="AN18" i="89" s="1"/>
  <c r="AH4" i="89"/>
  <c r="AE4" i="89"/>
  <c r="AC4" i="89"/>
  <c r="Y4" i="89"/>
  <c r="W4" i="89" s="1"/>
  <c r="U4" i="89"/>
  <c r="S4" i="89"/>
  <c r="R4" i="89"/>
  <c r="O4" i="89"/>
  <c r="EW154" i="88"/>
  <c r="EV154" i="88"/>
  <c r="EW153" i="88"/>
  <c r="EV153" i="88"/>
  <c r="FE152" i="88"/>
  <c r="FD152" i="88"/>
  <c r="FE151" i="88"/>
  <c r="FD151" i="88"/>
  <c r="EW151" i="88"/>
  <c r="EV151" i="88"/>
  <c r="FE150" i="88"/>
  <c r="FD150" i="88"/>
  <c r="EW150" i="88"/>
  <c r="FE149" i="88"/>
  <c r="FD149" i="88"/>
  <c r="FE148" i="88"/>
  <c r="FD148" i="88"/>
  <c r="EW148" i="88"/>
  <c r="EV148" i="88"/>
  <c r="FE147" i="88"/>
  <c r="FD147" i="88"/>
  <c r="EW147" i="88"/>
  <c r="EV147" i="88"/>
  <c r="FE146" i="88"/>
  <c r="FD146" i="88"/>
  <c r="GK145" i="88"/>
  <c r="GJ145" i="88"/>
  <c r="FE145" i="88"/>
  <c r="FD145" i="88"/>
  <c r="EW145" i="88"/>
  <c r="EV145" i="88"/>
  <c r="GK144" i="88"/>
  <c r="GJ144" i="88"/>
  <c r="GC144" i="88"/>
  <c r="GB144" i="88"/>
  <c r="FE144" i="88"/>
  <c r="FD144" i="88"/>
  <c r="EW144" i="88"/>
  <c r="EV144" i="88"/>
  <c r="GC143" i="88"/>
  <c r="GB143" i="88"/>
  <c r="LM140" i="88"/>
  <c r="LM139" i="88"/>
  <c r="KQ139" i="88"/>
  <c r="CD139" i="88"/>
  <c r="BT139" i="88"/>
  <c r="LM138" i="88"/>
  <c r="CT138" i="88"/>
  <c r="AX138" i="88"/>
  <c r="AV138" i="88"/>
  <c r="AN138" i="88"/>
  <c r="LM137" i="88"/>
  <c r="KQ137" i="88"/>
  <c r="KD136" i="88"/>
  <c r="KQ135" i="88"/>
  <c r="LL133" i="88"/>
  <c r="LL136" i="88" s="1"/>
  <c r="KO133" i="88"/>
  <c r="KK133" i="88"/>
  <c r="KJ133" i="88"/>
  <c r="KG133" i="88"/>
  <c r="KE133" i="88"/>
  <c r="KC133" i="88"/>
  <c r="JP133" i="88"/>
  <c r="JO133" i="88"/>
  <c r="JN133" i="88"/>
  <c r="JM133" i="88"/>
  <c r="JB133" i="88"/>
  <c r="JA133" i="88"/>
  <c r="IZ133" i="88"/>
  <c r="IO133" i="88"/>
  <c r="IL133" i="88"/>
  <c r="GH133" i="88"/>
  <c r="FZ133" i="88"/>
  <c r="FV133" i="88"/>
  <c r="FR133" i="88"/>
  <c r="FN133" i="88"/>
  <c r="FJ133" i="88"/>
  <c r="FF133" i="88"/>
  <c r="FB133" i="88"/>
  <c r="EX133" i="88"/>
  <c r="ET133" i="88"/>
  <c r="ES133" i="88"/>
  <c r="ES135" i="88" s="1"/>
  <c r="EL133" i="88"/>
  <c r="EL135" i="88" s="1"/>
  <c r="ED133" i="88"/>
  <c r="EB133" i="88"/>
  <c r="DY133" i="88"/>
  <c r="DW133" i="88"/>
  <c r="DV133" i="88"/>
  <c r="DT133" i="88"/>
  <c r="DQ133" i="88"/>
  <c r="DO133" i="88"/>
  <c r="DN133" i="88"/>
  <c r="DL133" i="88"/>
  <c r="DI133" i="88"/>
  <c r="DG133" i="88"/>
  <c r="DF133" i="88"/>
  <c r="DD133" i="88"/>
  <c r="CY133" i="88"/>
  <c r="CX133" i="88"/>
  <c r="CS133" i="88"/>
  <c r="CQ133" i="88"/>
  <c r="CP133" i="88"/>
  <c r="CI133" i="88"/>
  <c r="CH133" i="88"/>
  <c r="CA133" i="88"/>
  <c r="BZ133" i="88"/>
  <c r="BS133" i="88"/>
  <c r="BR133" i="88"/>
  <c r="BK133" i="88"/>
  <c r="BJ133" i="88"/>
  <c r="BC133" i="88"/>
  <c r="BB133" i="88"/>
  <c r="AU133" i="88"/>
  <c r="AT133" i="88"/>
  <c r="AM133" i="88"/>
  <c r="Z133" i="88"/>
  <c r="X133" i="88"/>
  <c r="T133" i="88"/>
  <c r="L133" i="88"/>
  <c r="KQ132" i="88"/>
  <c r="JT132" i="88"/>
  <c r="JS132" i="88"/>
  <c r="JC132" i="88"/>
  <c r="JY132" i="88" s="1"/>
  <c r="IP132" i="88"/>
  <c r="JX132" i="88" s="1"/>
  <c r="IK132" i="88"/>
  <c r="IG132" i="88"/>
  <c r="IC132" i="88"/>
  <c r="HY132" i="88"/>
  <c r="HU132" i="88"/>
  <c r="HQ132" i="88"/>
  <c r="HM132" i="88"/>
  <c r="HI132" i="88"/>
  <c r="HE132" i="88"/>
  <c r="HA132" i="88"/>
  <c r="GW132" i="88"/>
  <c r="GS132" i="88"/>
  <c r="GO132" i="88"/>
  <c r="GK132" i="88"/>
  <c r="GG132" i="88"/>
  <c r="GC132" i="88"/>
  <c r="FY132" i="88"/>
  <c r="FU132" i="88"/>
  <c r="FQ132" i="88"/>
  <c r="FM132" i="88"/>
  <c r="FI132" i="88"/>
  <c r="FE132" i="88"/>
  <c r="FA132" i="88"/>
  <c r="EW132" i="88"/>
  <c r="EP132" i="88"/>
  <c r="ER132" i="88" s="1"/>
  <c r="EO132" i="88"/>
  <c r="EN132" i="88"/>
  <c r="EM132" i="88"/>
  <c r="EI132" i="88"/>
  <c r="EK132" i="88" s="1"/>
  <c r="EH132" i="88"/>
  <c r="EG132" i="88"/>
  <c r="EF132" i="88"/>
  <c r="EC132" i="88"/>
  <c r="DZ132" i="88"/>
  <c r="DU132" i="88"/>
  <c r="DR132" i="88"/>
  <c r="DM132" i="88"/>
  <c r="DJ132" i="88"/>
  <c r="DE132" i="88"/>
  <c r="DB132" i="88"/>
  <c r="CW132" i="88"/>
  <c r="CT132" i="88"/>
  <c r="CO132" i="88"/>
  <c r="CL132" i="88"/>
  <c r="CG132" i="88"/>
  <c r="CD132" i="88"/>
  <c r="BY132" i="88"/>
  <c r="BV132" i="88"/>
  <c r="BQ132" i="88"/>
  <c r="BN132" i="88"/>
  <c r="BI132" i="88"/>
  <c r="BF132" i="88"/>
  <c r="BA132" i="88"/>
  <c r="AX132" i="88"/>
  <c r="AS132" i="88"/>
  <c r="AP132" i="88"/>
  <c r="AJ132" i="88"/>
  <c r="AI132" i="88"/>
  <c r="AH132" i="88"/>
  <c r="AE132" i="88"/>
  <c r="AD132" i="88"/>
  <c r="AC132" i="88"/>
  <c r="Y132" i="88"/>
  <c r="W132" i="88" s="1"/>
  <c r="U132" i="88"/>
  <c r="S132" i="88" s="1"/>
  <c r="R132" i="88"/>
  <c r="O132" i="88"/>
  <c r="KQ131" i="88"/>
  <c r="KI131" i="88"/>
  <c r="JR131" i="88"/>
  <c r="JQ131" i="88"/>
  <c r="JD131" i="88"/>
  <c r="JC131" i="88" s="1"/>
  <c r="JY131" i="88" s="1"/>
  <c r="IQ131" i="88"/>
  <c r="IP131" i="88"/>
  <c r="IN131" i="88"/>
  <c r="IM131" i="88"/>
  <c r="IJ131" i="88"/>
  <c r="IK131" i="88" s="1"/>
  <c r="II131" i="88"/>
  <c r="IF131" i="88"/>
  <c r="IG131" i="88" s="1"/>
  <c r="IE131" i="88"/>
  <c r="IC131" i="88"/>
  <c r="IB131" i="88"/>
  <c r="IA131" i="88"/>
  <c r="HX131" i="88"/>
  <c r="HY131" i="88" s="1"/>
  <c r="HW131" i="88"/>
  <c r="HT131" i="88"/>
  <c r="HU131" i="88" s="1"/>
  <c r="HS131" i="88"/>
  <c r="HP131" i="88"/>
  <c r="JX131" i="88" s="1"/>
  <c r="HO131" i="88"/>
  <c r="HM131" i="88"/>
  <c r="HL131" i="88"/>
  <c r="HK131" i="88"/>
  <c r="HH131" i="88"/>
  <c r="HI131" i="88" s="1"/>
  <c r="HG131" i="88"/>
  <c r="HD131" i="88"/>
  <c r="HE131" i="88" s="1"/>
  <c r="HC131" i="88"/>
  <c r="GZ131" i="88"/>
  <c r="HA131" i="88" s="1"/>
  <c r="GY131" i="88"/>
  <c r="GW131" i="88"/>
  <c r="GV131" i="88"/>
  <c r="GU131" i="88"/>
  <c r="GR131" i="88"/>
  <c r="GS131" i="88" s="1"/>
  <c r="GQ131" i="88"/>
  <c r="GN131" i="88"/>
  <c r="GO131" i="88" s="1"/>
  <c r="GM131" i="88"/>
  <c r="GJ131" i="88"/>
  <c r="GK131" i="88" s="1"/>
  <c r="GI131" i="88"/>
  <c r="GG131" i="88"/>
  <c r="GF131" i="88"/>
  <c r="GE131" i="88"/>
  <c r="GB131" i="88"/>
  <c r="GC131" i="88" s="1"/>
  <c r="GA131" i="88"/>
  <c r="FX131" i="88"/>
  <c r="FY131" i="88" s="1"/>
  <c r="FW131" i="88"/>
  <c r="FT131" i="88"/>
  <c r="FU131" i="88" s="1"/>
  <c r="FS131" i="88"/>
  <c r="FQ131" i="88"/>
  <c r="FP131" i="88"/>
  <c r="FO131" i="88"/>
  <c r="FL131" i="88"/>
  <c r="FM131" i="88" s="1"/>
  <c r="FK131" i="88"/>
  <c r="FH131" i="88"/>
  <c r="FI131" i="88" s="1"/>
  <c r="FG131" i="88"/>
  <c r="JT131" i="88" s="1"/>
  <c r="FD131" i="88"/>
  <c r="FE131" i="88" s="1"/>
  <c r="FC131" i="88"/>
  <c r="FA131" i="88"/>
  <c r="EZ131" i="88"/>
  <c r="EY131" i="88"/>
  <c r="EV131" i="88"/>
  <c r="EW131" i="88" s="1"/>
  <c r="EU131" i="88"/>
  <c r="EP131" i="88"/>
  <c r="EN131" i="88"/>
  <c r="EM131" i="88"/>
  <c r="EH131" i="88"/>
  <c r="EG131" i="88"/>
  <c r="EF131" i="88"/>
  <c r="EC131" i="88"/>
  <c r="DZ131" i="88"/>
  <c r="DU131" i="88"/>
  <c r="DR131" i="88"/>
  <c r="DM131" i="88"/>
  <c r="DJ131" i="88"/>
  <c r="DE131" i="88"/>
  <c r="DB131" i="88"/>
  <c r="CW131" i="88"/>
  <c r="CT131" i="88"/>
  <c r="CO131" i="88"/>
  <c r="CL131" i="88"/>
  <c r="CG131" i="88"/>
  <c r="CD131" i="88"/>
  <c r="BY131" i="88"/>
  <c r="BV131" i="88"/>
  <c r="BQ131" i="88"/>
  <c r="BN131" i="88"/>
  <c r="BI131" i="88"/>
  <c r="BF131" i="88"/>
  <c r="BA131" i="88"/>
  <c r="AX131" i="88"/>
  <c r="AS131" i="88"/>
  <c r="AQ131" i="88"/>
  <c r="AI131" i="88" s="1"/>
  <c r="AK131" i="88" s="1"/>
  <c r="AN131" i="88"/>
  <c r="AP131" i="88" s="1"/>
  <c r="AJ131" i="88"/>
  <c r="AH131" i="88"/>
  <c r="AE131" i="88"/>
  <c r="AC131" i="88"/>
  <c r="Y131" i="88"/>
  <c r="W131" i="88" s="1"/>
  <c r="V131" i="88"/>
  <c r="U131" i="88"/>
  <c r="S131" i="88" s="1"/>
  <c r="Q131" i="88"/>
  <c r="R131" i="88" s="1"/>
  <c r="N131" i="88"/>
  <c r="O131" i="88" s="1"/>
  <c r="KQ130" i="88"/>
  <c r="JT130" i="88"/>
  <c r="JS130" i="88"/>
  <c r="JC130" i="88"/>
  <c r="JY130" i="88" s="1"/>
  <c r="IP130" i="88"/>
  <c r="JX130" i="88" s="1"/>
  <c r="IK130" i="88"/>
  <c r="IG130" i="88"/>
  <c r="IC130" i="88"/>
  <c r="HY130" i="88"/>
  <c r="HU130" i="88"/>
  <c r="HQ130" i="88"/>
  <c r="HM130" i="88"/>
  <c r="HI130" i="88"/>
  <c r="HE130" i="88"/>
  <c r="HA130" i="88"/>
  <c r="GW130" i="88"/>
  <c r="GS130" i="88"/>
  <c r="GO130" i="88"/>
  <c r="GK130" i="88"/>
  <c r="GG130" i="88"/>
  <c r="GC130" i="88"/>
  <c r="FY130" i="88"/>
  <c r="FU130" i="88"/>
  <c r="FQ130" i="88"/>
  <c r="FM130" i="88"/>
  <c r="FI130" i="88"/>
  <c r="FE130" i="88"/>
  <c r="FA130" i="88"/>
  <c r="EW130" i="88"/>
  <c r="EP130" i="88"/>
  <c r="EO130" i="88"/>
  <c r="EN130" i="88"/>
  <c r="EM130" i="88"/>
  <c r="EI130" i="88"/>
  <c r="EK130" i="88" s="1"/>
  <c r="EH130" i="88"/>
  <c r="EG130" i="88"/>
  <c r="EF130" i="88"/>
  <c r="EC130" i="88"/>
  <c r="DZ130" i="88"/>
  <c r="DU130" i="88"/>
  <c r="DR130" i="88"/>
  <c r="DM130" i="88"/>
  <c r="DJ130" i="88"/>
  <c r="DE130" i="88"/>
  <c r="DB130" i="88"/>
  <c r="CW130" i="88"/>
  <c r="CT130" i="88"/>
  <c r="CO130" i="88"/>
  <c r="CL130" i="88"/>
  <c r="CG130" i="88"/>
  <c r="CD130" i="88"/>
  <c r="BY130" i="88"/>
  <c r="BV130" i="88"/>
  <c r="BQ130" i="88"/>
  <c r="BN130" i="88"/>
  <c r="BI130" i="88"/>
  <c r="BF130" i="88"/>
  <c r="BA130" i="88"/>
  <c r="AX130" i="88"/>
  <c r="AS130" i="88"/>
  <c r="AP130" i="88"/>
  <c r="AJ130" i="88"/>
  <c r="JV130" i="88" s="1"/>
  <c r="AI130" i="88"/>
  <c r="AH130" i="88"/>
  <c r="AE130" i="88"/>
  <c r="AD130" i="88"/>
  <c r="AC130" i="88"/>
  <c r="Y130" i="88"/>
  <c r="W130" i="88"/>
  <c r="U130" i="88"/>
  <c r="S130" i="88" s="1"/>
  <c r="R130" i="88"/>
  <c r="O130" i="88"/>
  <c r="KQ129" i="88"/>
  <c r="JT129" i="88"/>
  <c r="JS129" i="88"/>
  <c r="JC129" i="88"/>
  <c r="JY129" i="88" s="1"/>
  <c r="IP129" i="88"/>
  <c r="JX129" i="88" s="1"/>
  <c r="IK129" i="88"/>
  <c r="IG129" i="88"/>
  <c r="IC129" i="88"/>
  <c r="HY129" i="88"/>
  <c r="HU129" i="88"/>
  <c r="HQ129" i="88"/>
  <c r="HM129" i="88"/>
  <c r="HI129" i="88"/>
  <c r="HE129" i="88"/>
  <c r="HA129" i="88"/>
  <c r="GW129" i="88"/>
  <c r="GS129" i="88"/>
  <c r="GO129" i="88"/>
  <c r="GK129" i="88"/>
  <c r="GG129" i="88"/>
  <c r="GC129" i="88"/>
  <c r="FY129" i="88"/>
  <c r="FU129" i="88"/>
  <c r="FQ129" i="88"/>
  <c r="FM129" i="88"/>
  <c r="FI129" i="88"/>
  <c r="FE129" i="88"/>
  <c r="FA129" i="88"/>
  <c r="EW129" i="88"/>
  <c r="EP129" i="88"/>
  <c r="ER129" i="88" s="1"/>
  <c r="EO129" i="88"/>
  <c r="EN129" i="88"/>
  <c r="EM129" i="88"/>
  <c r="EI129" i="88"/>
  <c r="EK129" i="88" s="1"/>
  <c r="EH129" i="88"/>
  <c r="EG129" i="88"/>
  <c r="EF129" i="88"/>
  <c r="EC129" i="88"/>
  <c r="DZ129" i="88"/>
  <c r="DU129" i="88"/>
  <c r="DR129" i="88"/>
  <c r="DM129" i="88"/>
  <c r="DJ129" i="88"/>
  <c r="DE129" i="88"/>
  <c r="DB129" i="88"/>
  <c r="CW129" i="88"/>
  <c r="CT129" i="88"/>
  <c r="CO129" i="88"/>
  <c r="CL129" i="88"/>
  <c r="CG129" i="88"/>
  <c r="CD129" i="88"/>
  <c r="BY129" i="88"/>
  <c r="BV129" i="88"/>
  <c r="BQ129" i="88"/>
  <c r="BN129" i="88"/>
  <c r="BI129" i="88"/>
  <c r="BF129" i="88"/>
  <c r="BA129" i="88"/>
  <c r="AX129" i="88"/>
  <c r="AS129" i="88"/>
  <c r="AP129" i="88"/>
  <c r="AJ129" i="88"/>
  <c r="AI129" i="88"/>
  <c r="AH129" i="88"/>
  <c r="AE129" i="88"/>
  <c r="AD129" i="88"/>
  <c r="AC129" i="88"/>
  <c r="Y129" i="88"/>
  <c r="W129" i="88" s="1"/>
  <c r="U129" i="88"/>
  <c r="S129" i="88" s="1"/>
  <c r="R129" i="88"/>
  <c r="O129" i="88"/>
  <c r="D129" i="88"/>
  <c r="KQ128" i="88"/>
  <c r="JR128" i="88"/>
  <c r="JQ128" i="88"/>
  <c r="JL128" i="88"/>
  <c r="JL133" i="88" s="1"/>
  <c r="JK128" i="88"/>
  <c r="JK133" i="88" s="1"/>
  <c r="JJ128" i="88"/>
  <c r="JJ133" i="88" s="1"/>
  <c r="JI128" i="88"/>
  <c r="JI133" i="88" s="1"/>
  <c r="JH128" i="88"/>
  <c r="JH133" i="88" s="1"/>
  <c r="JG128" i="88"/>
  <c r="JG133" i="88" s="1"/>
  <c r="JF128" i="88"/>
  <c r="JF133" i="88" s="1"/>
  <c r="JE128" i="88"/>
  <c r="JD128" i="88"/>
  <c r="JC128" i="88" s="1"/>
  <c r="IY128" i="88"/>
  <c r="IY133" i="88" s="1"/>
  <c r="IX128" i="88"/>
  <c r="IX133" i="88" s="1"/>
  <c r="IW128" i="88"/>
  <c r="IW133" i="88" s="1"/>
  <c r="IV128" i="88"/>
  <c r="IV133" i="88" s="1"/>
  <c r="IU128" i="88"/>
  <c r="IU133" i="88" s="1"/>
  <c r="IT128" i="88"/>
  <c r="IT133" i="88" s="1"/>
  <c r="IS128" i="88"/>
  <c r="IS133" i="88" s="1"/>
  <c r="IR128" i="88"/>
  <c r="IQ128" i="88"/>
  <c r="IP128" i="88" s="1"/>
  <c r="IN128" i="88"/>
  <c r="IM128" i="88"/>
  <c r="IK128" i="88"/>
  <c r="IJ128" i="88"/>
  <c r="II128" i="88"/>
  <c r="IF128" i="88"/>
  <c r="IG128" i="88" s="1"/>
  <c r="IE128" i="88"/>
  <c r="IC128" i="88"/>
  <c r="IB128" i="88"/>
  <c r="IA128" i="88"/>
  <c r="HX128" i="88"/>
  <c r="HY128" i="88" s="1"/>
  <c r="HW128" i="88"/>
  <c r="HU128" i="88"/>
  <c r="HT128" i="88"/>
  <c r="HS128" i="88"/>
  <c r="HP128" i="88"/>
  <c r="JX128" i="88" s="1"/>
  <c r="HO128" i="88"/>
  <c r="HM128" i="88"/>
  <c r="HL128" i="88"/>
  <c r="HK128" i="88"/>
  <c r="HH128" i="88"/>
  <c r="HI128" i="88" s="1"/>
  <c r="KA128" i="88" s="1"/>
  <c r="KD128" i="88" s="1"/>
  <c r="HG128" i="88"/>
  <c r="HE128" i="88"/>
  <c r="HD128" i="88"/>
  <c r="HC128" i="88"/>
  <c r="GZ128" i="88"/>
  <c r="HA128" i="88" s="1"/>
  <c r="GY128" i="88"/>
  <c r="GW128" i="88"/>
  <c r="GV128" i="88"/>
  <c r="GU128" i="88"/>
  <c r="GR128" i="88"/>
  <c r="GS128" i="88" s="1"/>
  <c r="GQ128" i="88"/>
  <c r="GO128" i="88"/>
  <c r="GN128" i="88"/>
  <c r="GM128" i="88"/>
  <c r="GJ128" i="88"/>
  <c r="GK128" i="88" s="1"/>
  <c r="GI128" i="88"/>
  <c r="GG128" i="88"/>
  <c r="GF128" i="88"/>
  <c r="GE128" i="88"/>
  <c r="GB128" i="88"/>
  <c r="GC128" i="88" s="1"/>
  <c r="GA128" i="88"/>
  <c r="FY128" i="88"/>
  <c r="FX128" i="88"/>
  <c r="FW128" i="88"/>
  <c r="FT128" i="88"/>
  <c r="FU128" i="88" s="1"/>
  <c r="FS128" i="88"/>
  <c r="FQ128" i="88"/>
  <c r="FP128" i="88"/>
  <c r="FO128" i="88"/>
  <c r="FL128" i="88"/>
  <c r="FM128" i="88" s="1"/>
  <c r="FK128" i="88"/>
  <c r="FI128" i="88"/>
  <c r="FH128" i="88"/>
  <c r="FG128" i="88"/>
  <c r="FD128" i="88"/>
  <c r="FE128" i="88" s="1"/>
  <c r="FC128" i="88"/>
  <c r="FA128" i="88"/>
  <c r="EZ128" i="88"/>
  <c r="EY128" i="88"/>
  <c r="EO128" i="88" s="1"/>
  <c r="ER128" i="88" s="1"/>
  <c r="EV128" i="88"/>
  <c r="EW128" i="88" s="1"/>
  <c r="EU128" i="88"/>
  <c r="EP128" i="88"/>
  <c r="EN128" i="88"/>
  <c r="EM128" i="88"/>
  <c r="EI128" i="88"/>
  <c r="EH128" i="88"/>
  <c r="EG128" i="88"/>
  <c r="EF128" i="88"/>
  <c r="EC128" i="88"/>
  <c r="DZ128" i="88"/>
  <c r="DU128" i="88"/>
  <c r="DR128" i="88"/>
  <c r="DM128" i="88"/>
  <c r="DJ128" i="88"/>
  <c r="DE128" i="88"/>
  <c r="DB128" i="88"/>
  <c r="CW128" i="88"/>
  <c r="CU128" i="88"/>
  <c r="CT128" i="88"/>
  <c r="CR128" i="88"/>
  <c r="JS128" i="88" s="1"/>
  <c r="CO128" i="88"/>
  <c r="CL128" i="88"/>
  <c r="CG128" i="88"/>
  <c r="CD128" i="88"/>
  <c r="BY128" i="88"/>
  <c r="BV128" i="88"/>
  <c r="BQ128" i="88"/>
  <c r="BN128" i="88"/>
  <c r="BI128" i="88"/>
  <c r="BF128" i="88"/>
  <c r="BA128" i="88"/>
  <c r="AX128" i="88"/>
  <c r="AS128" i="88"/>
  <c r="AP128" i="88"/>
  <c r="AJ128" i="88"/>
  <c r="AI128" i="88"/>
  <c r="AH128" i="88"/>
  <c r="AE128" i="88"/>
  <c r="AD128" i="88"/>
  <c r="AF128" i="88" s="1"/>
  <c r="AC128" i="88"/>
  <c r="Y128" i="88"/>
  <c r="W128" i="88" s="1"/>
  <c r="V128" i="88"/>
  <c r="U128" i="88"/>
  <c r="S128" i="88" s="1"/>
  <c r="R128" i="88"/>
  <c r="O128" i="88"/>
  <c r="KQ127" i="88"/>
  <c r="JR127" i="88"/>
  <c r="JQ127" i="88"/>
  <c r="JC127" i="88"/>
  <c r="IP127" i="88"/>
  <c r="IN127" i="88"/>
  <c r="IM127" i="88"/>
  <c r="IJ127" i="88"/>
  <c r="IK127" i="88" s="1"/>
  <c r="II127" i="88"/>
  <c r="IG127" i="88"/>
  <c r="IF127" i="88"/>
  <c r="IE127" i="88"/>
  <c r="IB127" i="88"/>
  <c r="IC127" i="88" s="1"/>
  <c r="IA127" i="88"/>
  <c r="HX127" i="88"/>
  <c r="HY127" i="88" s="1"/>
  <c r="HW127" i="88"/>
  <c r="HT127" i="88"/>
  <c r="HS127" i="88"/>
  <c r="HQ127" i="88"/>
  <c r="HP127" i="88"/>
  <c r="HO127" i="88"/>
  <c r="HL127" i="88"/>
  <c r="HM127" i="88" s="1"/>
  <c r="HK127" i="88"/>
  <c r="HH127" i="88"/>
  <c r="HI127" i="88" s="1"/>
  <c r="HG127" i="88"/>
  <c r="HD127" i="88"/>
  <c r="HE127" i="88" s="1"/>
  <c r="HC127" i="88"/>
  <c r="HA127" i="88"/>
  <c r="GZ127" i="88"/>
  <c r="GY127" i="88"/>
  <c r="GV127" i="88"/>
  <c r="GW127" i="88" s="1"/>
  <c r="GU127" i="88"/>
  <c r="GR127" i="88"/>
  <c r="GS127" i="88" s="1"/>
  <c r="GQ127" i="88"/>
  <c r="GN127" i="88"/>
  <c r="GO127" i="88" s="1"/>
  <c r="GM127" i="88"/>
  <c r="GK127" i="88"/>
  <c r="GJ127" i="88"/>
  <c r="GI127" i="88"/>
  <c r="GF127" i="88"/>
  <c r="GG127" i="88" s="1"/>
  <c r="GE127" i="88"/>
  <c r="GB127" i="88"/>
  <c r="GC127" i="88" s="1"/>
  <c r="GA127" i="88"/>
  <c r="FX127" i="88"/>
  <c r="FY127" i="88" s="1"/>
  <c r="FW127" i="88"/>
  <c r="FU127" i="88"/>
  <c r="FT127" i="88"/>
  <c r="FS127" i="88"/>
  <c r="FP127" i="88"/>
  <c r="FQ127" i="88" s="1"/>
  <c r="FO127" i="88"/>
  <c r="FL127" i="88"/>
  <c r="FM127" i="88" s="1"/>
  <c r="FK127" i="88"/>
  <c r="FH127" i="88"/>
  <c r="FI127" i="88" s="1"/>
  <c r="FG127" i="88"/>
  <c r="FE127" i="88"/>
  <c r="FD127" i="88"/>
  <c r="FC127" i="88"/>
  <c r="EZ127" i="88"/>
  <c r="FA127" i="88" s="1"/>
  <c r="EY127" i="88"/>
  <c r="EV127" i="88"/>
  <c r="EI127" i="88" s="1"/>
  <c r="EU127" i="88"/>
  <c r="EH127" i="88" s="1"/>
  <c r="EO127" i="88"/>
  <c r="EN127" i="88"/>
  <c r="EM127" i="88"/>
  <c r="EG127" i="88"/>
  <c r="EF127" i="88"/>
  <c r="EA127" i="88"/>
  <c r="EC127" i="88" s="1"/>
  <c r="DX127" i="88"/>
  <c r="DZ127" i="88" s="1"/>
  <c r="DU127" i="88"/>
  <c r="DR127" i="88"/>
  <c r="DM127" i="88"/>
  <c r="DJ127" i="88"/>
  <c r="DC127" i="88"/>
  <c r="DE127" i="88" s="1"/>
  <c r="CZ127" i="88"/>
  <c r="CZ138" i="88" s="1"/>
  <c r="CW127" i="88"/>
  <c r="CT127" i="88"/>
  <c r="CO127" i="88"/>
  <c r="CL127" i="88"/>
  <c r="CE127" i="88"/>
  <c r="CG127" i="88" s="1"/>
  <c r="CB127" i="88"/>
  <c r="BY127" i="88"/>
  <c r="BV127" i="88"/>
  <c r="BQ127" i="88"/>
  <c r="BN127" i="88"/>
  <c r="BI127" i="88"/>
  <c r="BG127" i="88"/>
  <c r="BD127" i="88"/>
  <c r="BA127" i="88"/>
  <c r="AX127" i="88"/>
  <c r="AS127" i="88"/>
  <c r="AP127" i="88"/>
  <c r="AJ127" i="88"/>
  <c r="AI127" i="88"/>
  <c r="AH127" i="88"/>
  <c r="AE127" i="88"/>
  <c r="AC127" i="88"/>
  <c r="Y127" i="88"/>
  <c r="V127" i="88"/>
  <c r="U127" i="88"/>
  <c r="S127" i="88" s="1"/>
  <c r="R127" i="88"/>
  <c r="O127" i="88"/>
  <c r="D127" i="88"/>
  <c r="KQ126" i="88"/>
  <c r="JT126" i="88"/>
  <c r="JS126" i="88"/>
  <c r="JC126" i="88"/>
  <c r="JY126" i="88" s="1"/>
  <c r="IP126" i="88"/>
  <c r="JX126" i="88" s="1"/>
  <c r="IK126" i="88"/>
  <c r="IG126" i="88"/>
  <c r="IC126" i="88"/>
  <c r="HY126" i="88"/>
  <c r="HU126" i="88"/>
  <c r="HQ126" i="88"/>
  <c r="HM126" i="88"/>
  <c r="HI126" i="88"/>
  <c r="HE126" i="88"/>
  <c r="HA126" i="88"/>
  <c r="GW126" i="88"/>
  <c r="GS126" i="88"/>
  <c r="GO126" i="88"/>
  <c r="GK126" i="88"/>
  <c r="GG126" i="88"/>
  <c r="GC126" i="88"/>
  <c r="FY126" i="88"/>
  <c r="FU126" i="88"/>
  <c r="FQ126" i="88"/>
  <c r="FM126" i="88"/>
  <c r="FI126" i="88"/>
  <c r="FE126" i="88"/>
  <c r="FA126" i="88"/>
  <c r="EW126" i="88"/>
  <c r="EP126" i="88"/>
  <c r="EO126" i="88"/>
  <c r="EN126" i="88"/>
  <c r="EM126" i="88"/>
  <c r="EI126" i="88"/>
  <c r="EK126" i="88" s="1"/>
  <c r="EH126" i="88"/>
  <c r="EG126" i="88"/>
  <c r="EF126" i="88"/>
  <c r="EC126" i="88"/>
  <c r="DZ126" i="88"/>
  <c r="DU126" i="88"/>
  <c r="DR126" i="88"/>
  <c r="DM126" i="88"/>
  <c r="DJ126" i="88"/>
  <c r="DE126" i="88"/>
  <c r="DB126" i="88"/>
  <c r="CW126" i="88"/>
  <c r="CT126" i="88"/>
  <c r="CO126" i="88"/>
  <c r="CL126" i="88"/>
  <c r="CG126" i="88"/>
  <c r="CD126" i="88"/>
  <c r="BY126" i="88"/>
  <c r="BV126" i="88"/>
  <c r="BQ126" i="88"/>
  <c r="BN126" i="88"/>
  <c r="BI126" i="88"/>
  <c r="BF126" i="88"/>
  <c r="BA126" i="88"/>
  <c r="AX126" i="88"/>
  <c r="AS126" i="88"/>
  <c r="AP126" i="88"/>
  <c r="AJ126" i="88"/>
  <c r="AI126" i="88"/>
  <c r="AH126" i="88"/>
  <c r="AE126" i="88"/>
  <c r="AD126" i="88"/>
  <c r="AC126" i="88"/>
  <c r="Y126" i="88"/>
  <c r="W126" i="88" s="1"/>
  <c r="U126" i="88"/>
  <c r="S126" i="88" s="1"/>
  <c r="R126" i="88"/>
  <c r="O126" i="88"/>
  <c r="KQ125" i="88"/>
  <c r="KL125" i="88"/>
  <c r="JT125" i="88"/>
  <c r="JS125" i="88"/>
  <c r="JC125" i="88"/>
  <c r="JY125" i="88" s="1"/>
  <c r="IP125" i="88"/>
  <c r="JX125" i="88" s="1"/>
  <c r="IK125" i="88"/>
  <c r="IG125" i="88"/>
  <c r="IC125" i="88"/>
  <c r="HY125" i="88"/>
  <c r="HU125" i="88"/>
  <c r="HQ125" i="88"/>
  <c r="HM125" i="88"/>
  <c r="HI125" i="88"/>
  <c r="HE125" i="88"/>
  <c r="HA125" i="88"/>
  <c r="GW125" i="88"/>
  <c r="GS125" i="88"/>
  <c r="GO125" i="88"/>
  <c r="GK125" i="88"/>
  <c r="GG125" i="88"/>
  <c r="GC125" i="88"/>
  <c r="FY125" i="88"/>
  <c r="FU125" i="88"/>
  <c r="FQ125" i="88"/>
  <c r="FM125" i="88"/>
  <c r="FI125" i="88"/>
  <c r="FE125" i="88"/>
  <c r="FA125" i="88"/>
  <c r="EW125" i="88"/>
  <c r="EP125" i="88"/>
  <c r="EO125" i="88"/>
  <c r="EN125" i="88"/>
  <c r="EM125" i="88"/>
  <c r="EI125" i="88"/>
  <c r="EH125" i="88"/>
  <c r="EG125" i="88"/>
  <c r="EJ125" i="88" s="1"/>
  <c r="EF125" i="88"/>
  <c r="EC125" i="88"/>
  <c r="DZ125" i="88"/>
  <c r="DU125" i="88"/>
  <c r="DR125" i="88"/>
  <c r="DM125" i="88"/>
  <c r="DJ125" i="88"/>
  <c r="DE125" i="88"/>
  <c r="DB125" i="88"/>
  <c r="CW125" i="88"/>
  <c r="CT125" i="88"/>
  <c r="CO125" i="88"/>
  <c r="CL125" i="88"/>
  <c r="CG125" i="88"/>
  <c r="CD125" i="88"/>
  <c r="BY125" i="88"/>
  <c r="BV125" i="88"/>
  <c r="BQ125" i="88"/>
  <c r="BN125" i="88"/>
  <c r="BI125" i="88"/>
  <c r="BF125" i="88"/>
  <c r="BA125" i="88"/>
  <c r="AX125" i="88"/>
  <c r="AS125" i="88"/>
  <c r="AP125" i="88"/>
  <c r="AJ125" i="88"/>
  <c r="AI125" i="88"/>
  <c r="AH125" i="88"/>
  <c r="AE125" i="88"/>
  <c r="AD125" i="88"/>
  <c r="AC125" i="88"/>
  <c r="Y125" i="88"/>
  <c r="W125" i="88" s="1"/>
  <c r="U125" i="88"/>
  <c r="S125" i="88" s="1"/>
  <c r="R125" i="88"/>
  <c r="O125" i="88"/>
  <c r="KQ124" i="88"/>
  <c r="KI124" i="88"/>
  <c r="KH124" i="88"/>
  <c r="JR124" i="88"/>
  <c r="JQ124" i="88"/>
  <c r="JC124" i="88"/>
  <c r="IP124" i="88"/>
  <c r="IN124" i="88"/>
  <c r="IM124" i="88"/>
  <c r="IK124" i="88"/>
  <c r="II124" i="88"/>
  <c r="IG124" i="88"/>
  <c r="IE124" i="88"/>
  <c r="IC124" i="88"/>
  <c r="IB124" i="88"/>
  <c r="IA124" i="88"/>
  <c r="HY124" i="88"/>
  <c r="HX124" i="88"/>
  <c r="HW124" i="88"/>
  <c r="HT124" i="88"/>
  <c r="HU124" i="88" s="1"/>
  <c r="HS124" i="88"/>
  <c r="HP124" i="88"/>
  <c r="JX124" i="88" s="1"/>
  <c r="HO124" i="88"/>
  <c r="HM124" i="88"/>
  <c r="HL124" i="88"/>
  <c r="HK124" i="88"/>
  <c r="HI124" i="88"/>
  <c r="HH124" i="88"/>
  <c r="HG124" i="88"/>
  <c r="HD124" i="88"/>
  <c r="HE124" i="88" s="1"/>
  <c r="HC124" i="88"/>
  <c r="GZ124" i="88"/>
  <c r="HA124" i="88" s="1"/>
  <c r="GY124" i="88"/>
  <c r="GW124" i="88"/>
  <c r="GV124" i="88"/>
  <c r="GU124" i="88"/>
  <c r="GS124" i="88"/>
  <c r="GR124" i="88"/>
  <c r="GQ124" i="88"/>
  <c r="GN124" i="88"/>
  <c r="GO124" i="88" s="1"/>
  <c r="GM124" i="88"/>
  <c r="GJ124" i="88"/>
  <c r="GK124" i="88" s="1"/>
  <c r="GI124" i="88"/>
  <c r="GG124" i="88"/>
  <c r="GF124" i="88"/>
  <c r="GE124" i="88"/>
  <c r="GC124" i="88"/>
  <c r="GB124" i="88"/>
  <c r="GA124" i="88"/>
  <c r="FX124" i="88"/>
  <c r="FY124" i="88" s="1"/>
  <c r="FW124" i="88"/>
  <c r="FT124" i="88"/>
  <c r="FU124" i="88" s="1"/>
  <c r="FS124" i="88"/>
  <c r="FQ124" i="88"/>
  <c r="FP124" i="88"/>
  <c r="FO124" i="88"/>
  <c r="FM124" i="88"/>
  <c r="FL124" i="88"/>
  <c r="FK124" i="88"/>
  <c r="FH124" i="88"/>
  <c r="FI124" i="88" s="1"/>
  <c r="FG124" i="88"/>
  <c r="FD124" i="88"/>
  <c r="FE124" i="88" s="1"/>
  <c r="FC124" i="88"/>
  <c r="FA124" i="88"/>
  <c r="EZ124" i="88"/>
  <c r="EY124" i="88"/>
  <c r="EO124" i="88" s="1"/>
  <c r="EW124" i="88"/>
  <c r="EV124" i="88"/>
  <c r="EU124" i="88"/>
  <c r="EN124" i="88"/>
  <c r="EM124" i="88"/>
  <c r="EI124" i="88"/>
  <c r="EH124" i="88"/>
  <c r="EG124" i="88"/>
  <c r="EF124" i="88"/>
  <c r="EC124" i="88"/>
  <c r="DZ124" i="88"/>
  <c r="DU124" i="88"/>
  <c r="DR124" i="88"/>
  <c r="DM124" i="88"/>
  <c r="DJ124" i="88"/>
  <c r="DE124" i="88"/>
  <c r="DB124" i="88"/>
  <c r="CW124" i="88"/>
  <c r="CT124" i="88"/>
  <c r="CO124" i="88"/>
  <c r="CL124" i="88"/>
  <c r="CG124" i="88"/>
  <c r="CD124" i="88"/>
  <c r="BY124" i="88"/>
  <c r="BU124" i="88"/>
  <c r="BV124" i="88" s="1"/>
  <c r="BQ124" i="88"/>
  <c r="BN124" i="88"/>
  <c r="BG124" i="88"/>
  <c r="AH124" i="88" s="1"/>
  <c r="BF124" i="88"/>
  <c r="BE124" i="88"/>
  <c r="BD124" i="88"/>
  <c r="AZ124" i="88"/>
  <c r="BA124" i="88" s="1"/>
  <c r="AY124" i="88"/>
  <c r="AV124" i="88"/>
  <c r="AC124" i="88" s="1"/>
  <c r="AS124" i="88"/>
  <c r="AP124" i="88"/>
  <c r="AI124" i="88"/>
  <c r="AE124" i="88"/>
  <c r="AD124" i="88"/>
  <c r="Y124" i="88"/>
  <c r="W124" i="88" s="1"/>
  <c r="V124" i="88"/>
  <c r="U124" i="88"/>
  <c r="S124" i="88" s="1"/>
  <c r="R124" i="88"/>
  <c r="O124" i="88"/>
  <c r="D124" i="88"/>
  <c r="KP123" i="88"/>
  <c r="KQ123" i="88" s="1"/>
  <c r="JR123" i="88"/>
  <c r="JQ123" i="88"/>
  <c r="JC123" i="88"/>
  <c r="IP123" i="88"/>
  <c r="IN123" i="88"/>
  <c r="IM123" i="88"/>
  <c r="IK123" i="88"/>
  <c r="II123" i="88"/>
  <c r="IG123" i="88"/>
  <c r="IE123" i="88"/>
  <c r="IC123" i="88"/>
  <c r="IA123" i="88"/>
  <c r="HY123" i="88"/>
  <c r="HW123" i="88"/>
  <c r="HT123" i="88"/>
  <c r="JY123" i="88" s="1"/>
  <c r="HS123" i="88"/>
  <c r="HP123" i="88"/>
  <c r="HO123" i="88"/>
  <c r="HM123" i="88"/>
  <c r="HL123" i="88"/>
  <c r="HK123" i="88"/>
  <c r="HI123" i="88"/>
  <c r="HH123" i="88"/>
  <c r="HG123" i="88"/>
  <c r="HD123" i="88"/>
  <c r="HE123" i="88" s="1"/>
  <c r="HC123" i="88"/>
  <c r="GZ123" i="88"/>
  <c r="HA123" i="88" s="1"/>
  <c r="GY123" i="88"/>
  <c r="GW123" i="88"/>
  <c r="GV123" i="88"/>
  <c r="GU123" i="88"/>
  <c r="GS123" i="88"/>
  <c r="GR123" i="88"/>
  <c r="GQ123" i="88"/>
  <c r="GN123" i="88"/>
  <c r="GO123" i="88" s="1"/>
  <c r="GM123" i="88"/>
  <c r="GJ123" i="88"/>
  <c r="GK123" i="88" s="1"/>
  <c r="GI123" i="88"/>
  <c r="GG123" i="88"/>
  <c r="GF123" i="88"/>
  <c r="GE123" i="88"/>
  <c r="GC123" i="88"/>
  <c r="GB123" i="88"/>
  <c r="GA123" i="88"/>
  <c r="FX123" i="88"/>
  <c r="FY123" i="88" s="1"/>
  <c r="FW123" i="88"/>
  <c r="FT123" i="88"/>
  <c r="FU123" i="88" s="1"/>
  <c r="FS123" i="88"/>
  <c r="FQ123" i="88"/>
  <c r="FP123" i="88"/>
  <c r="FO123" i="88"/>
  <c r="FM123" i="88"/>
  <c r="FL123" i="88"/>
  <c r="FK123" i="88"/>
  <c r="FH123" i="88"/>
  <c r="FI123" i="88" s="1"/>
  <c r="FG123" i="88"/>
  <c r="FD123" i="88"/>
  <c r="FE123" i="88" s="1"/>
  <c r="FC123" i="88"/>
  <c r="JS123" i="88" s="1"/>
  <c r="FA123" i="88"/>
  <c r="EZ123" i="88"/>
  <c r="EY123" i="88"/>
  <c r="JT123" i="88" s="1"/>
  <c r="EW123" i="88"/>
  <c r="EV123" i="88"/>
  <c r="EU123" i="88"/>
  <c r="EN123" i="88"/>
  <c r="EM123" i="88"/>
  <c r="EI123" i="88"/>
  <c r="EH123" i="88"/>
  <c r="EG123" i="88"/>
  <c r="EF123" i="88"/>
  <c r="EC123" i="88"/>
  <c r="DZ123" i="88"/>
  <c r="DU123" i="88"/>
  <c r="DR123" i="88"/>
  <c r="DM123" i="88"/>
  <c r="DJ123" i="88"/>
  <c r="DE123" i="88"/>
  <c r="DB123" i="88"/>
  <c r="CW123" i="88"/>
  <c r="CT123" i="88"/>
  <c r="CO123" i="88"/>
  <c r="CL123" i="88"/>
  <c r="CG123" i="88"/>
  <c r="CD123" i="88"/>
  <c r="BY123" i="88"/>
  <c r="BV123" i="88"/>
  <c r="BQ123" i="88"/>
  <c r="BN123" i="88"/>
  <c r="BI123" i="88"/>
  <c r="BF123" i="88"/>
  <c r="BA123" i="88"/>
  <c r="AX123" i="88"/>
  <c r="AS123" i="88"/>
  <c r="AP123" i="88"/>
  <c r="AJ123" i="88"/>
  <c r="AI123" i="88"/>
  <c r="AH123" i="88"/>
  <c r="AE123" i="88"/>
  <c r="AF123" i="88" s="1"/>
  <c r="AD123" i="88"/>
  <c r="AC123" i="88"/>
  <c r="Y123" i="88"/>
  <c r="W123" i="88" s="1"/>
  <c r="V123" i="88"/>
  <c r="U123" i="88"/>
  <c r="S123" i="88" s="1"/>
  <c r="R123" i="88"/>
  <c r="O123" i="88"/>
  <c r="N123" i="88"/>
  <c r="KQ122" i="88"/>
  <c r="JT122" i="88"/>
  <c r="JS122" i="88"/>
  <c r="JC122" i="88"/>
  <c r="JY122" i="88" s="1"/>
  <c r="IP122" i="88"/>
  <c r="JX122" i="88" s="1"/>
  <c r="IK122" i="88"/>
  <c r="IG122" i="88"/>
  <c r="IC122" i="88"/>
  <c r="HY122" i="88"/>
  <c r="HU122" i="88"/>
  <c r="HQ122" i="88"/>
  <c r="HM122" i="88"/>
  <c r="HI122" i="88"/>
  <c r="HE122" i="88"/>
  <c r="HA122" i="88"/>
  <c r="GW122" i="88"/>
  <c r="GS122" i="88"/>
  <c r="GO122" i="88"/>
  <c r="GK122" i="88"/>
  <c r="GG122" i="88"/>
  <c r="GC122" i="88"/>
  <c r="FY122" i="88"/>
  <c r="FU122" i="88"/>
  <c r="FQ122" i="88"/>
  <c r="FM122" i="88"/>
  <c r="FI122" i="88"/>
  <c r="FE122" i="88"/>
  <c r="FA122" i="88"/>
  <c r="EW122" i="88"/>
  <c r="EP122" i="88"/>
  <c r="EO122" i="88"/>
  <c r="EN122" i="88"/>
  <c r="EM122" i="88"/>
  <c r="EI122" i="88"/>
  <c r="EH122" i="88"/>
  <c r="EG122" i="88"/>
  <c r="EF122" i="88"/>
  <c r="EC122" i="88"/>
  <c r="DZ122" i="88"/>
  <c r="DU122" i="88"/>
  <c r="DR122" i="88"/>
  <c r="DM122" i="88"/>
  <c r="DJ122" i="88"/>
  <c r="DE122" i="88"/>
  <c r="DB122" i="88"/>
  <c r="CW122" i="88"/>
  <c r="CT122" i="88"/>
  <c r="CO122" i="88"/>
  <c r="CL122" i="88"/>
  <c r="CG122" i="88"/>
  <c r="CD122" i="88"/>
  <c r="BY122" i="88"/>
  <c r="BV122" i="88"/>
  <c r="BQ122" i="88"/>
  <c r="BN122" i="88"/>
  <c r="BI122" i="88"/>
  <c r="BF122" i="88"/>
  <c r="BA122" i="88"/>
  <c r="AX122" i="88"/>
  <c r="AS122" i="88"/>
  <c r="AP122" i="88"/>
  <c r="AJ122" i="88"/>
  <c r="AI122" i="88"/>
  <c r="AH122" i="88"/>
  <c r="AE122" i="88"/>
  <c r="AD122" i="88"/>
  <c r="AC122" i="88"/>
  <c r="Y122" i="88"/>
  <c r="W122" i="88" s="1"/>
  <c r="U122" i="88"/>
  <c r="S122" i="88" s="1"/>
  <c r="R122" i="88"/>
  <c r="O122" i="88"/>
  <c r="KQ121" i="88"/>
  <c r="JT121" i="88"/>
  <c r="JS121" i="88"/>
  <c r="JC121" i="88"/>
  <c r="JY121" i="88" s="1"/>
  <c r="IP121" i="88"/>
  <c r="JX121" i="88" s="1"/>
  <c r="IK121" i="88"/>
  <c r="IG121" i="88"/>
  <c r="IC121" i="88"/>
  <c r="HY121" i="88"/>
  <c r="HU121" i="88"/>
  <c r="HQ121" i="88"/>
  <c r="HM121" i="88"/>
  <c r="HI121" i="88"/>
  <c r="HE121" i="88"/>
  <c r="HA121" i="88"/>
  <c r="GW121" i="88"/>
  <c r="GS121" i="88"/>
  <c r="GO121" i="88"/>
  <c r="GK121" i="88"/>
  <c r="GG121" i="88"/>
  <c r="GC121" i="88"/>
  <c r="FY121" i="88"/>
  <c r="FU121" i="88"/>
  <c r="FQ121" i="88"/>
  <c r="FM121" i="88"/>
  <c r="FI121" i="88"/>
  <c r="FE121" i="88"/>
  <c r="FA121" i="88"/>
  <c r="EW121" i="88"/>
  <c r="EP121" i="88"/>
  <c r="EO121" i="88"/>
  <c r="EN121" i="88"/>
  <c r="EM121" i="88"/>
  <c r="EI121" i="88"/>
  <c r="EH121" i="88"/>
  <c r="EG121" i="88"/>
  <c r="EF121" i="88"/>
  <c r="EC121" i="88"/>
  <c r="DZ121" i="88"/>
  <c r="DU121" i="88"/>
  <c r="DR121" i="88"/>
  <c r="DM121" i="88"/>
  <c r="DJ121" i="88"/>
  <c r="DE121" i="88"/>
  <c r="DB121" i="88"/>
  <c r="CW121" i="88"/>
  <c r="CT121" i="88"/>
  <c r="CO121" i="88"/>
  <c r="CL121" i="88"/>
  <c r="CG121" i="88"/>
  <c r="CD121" i="88"/>
  <c r="BY121" i="88"/>
  <c r="BV121" i="88"/>
  <c r="BQ121" i="88"/>
  <c r="BN121" i="88"/>
  <c r="BI121" i="88"/>
  <c r="BF121" i="88"/>
  <c r="BA121" i="88"/>
  <c r="AX121" i="88"/>
  <c r="AS121" i="88"/>
  <c r="AP121" i="88"/>
  <c r="AJ121" i="88"/>
  <c r="AI121" i="88"/>
  <c r="AH121" i="88"/>
  <c r="AE121" i="88"/>
  <c r="AD121" i="88"/>
  <c r="AC121" i="88"/>
  <c r="Y121" i="88"/>
  <c r="W121" i="88" s="1"/>
  <c r="U121" i="88"/>
  <c r="S121" i="88" s="1"/>
  <c r="R121" i="88"/>
  <c r="O121" i="88"/>
  <c r="KQ120" i="88"/>
  <c r="JT120" i="88"/>
  <c r="JS120" i="88"/>
  <c r="JC120" i="88"/>
  <c r="JY120" i="88" s="1"/>
  <c r="IP120" i="88"/>
  <c r="JX120" i="88" s="1"/>
  <c r="IK120" i="88"/>
  <c r="IG120" i="88"/>
  <c r="IC120" i="88"/>
  <c r="HY120" i="88"/>
  <c r="HU120" i="88"/>
  <c r="HQ120" i="88"/>
  <c r="HM120" i="88"/>
  <c r="HI120" i="88"/>
  <c r="KA120" i="88" s="1"/>
  <c r="KD120" i="88" s="1"/>
  <c r="HE120" i="88"/>
  <c r="HA120" i="88"/>
  <c r="GW120" i="88"/>
  <c r="GS120" i="88"/>
  <c r="GO120" i="88"/>
  <c r="GK120" i="88"/>
  <c r="GG120" i="88"/>
  <c r="GC120" i="88"/>
  <c r="FY120" i="88"/>
  <c r="FU120" i="88"/>
  <c r="FQ120" i="88"/>
  <c r="FM120" i="88"/>
  <c r="FI120" i="88"/>
  <c r="FE120" i="88"/>
  <c r="FA120" i="88"/>
  <c r="EW120" i="88"/>
  <c r="EP120" i="88"/>
  <c r="ER120" i="88" s="1"/>
  <c r="EO120" i="88"/>
  <c r="EN120" i="88"/>
  <c r="EM120" i="88"/>
  <c r="EI120" i="88"/>
  <c r="EH120" i="88"/>
  <c r="EG120" i="88"/>
  <c r="EF120" i="88"/>
  <c r="EC120" i="88"/>
  <c r="DZ120" i="88"/>
  <c r="DU120" i="88"/>
  <c r="DR120" i="88"/>
  <c r="DM120" i="88"/>
  <c r="DJ120" i="88"/>
  <c r="DE120" i="88"/>
  <c r="DB120" i="88"/>
  <c r="CW120" i="88"/>
  <c r="CT120" i="88"/>
  <c r="CO120" i="88"/>
  <c r="CL120" i="88"/>
  <c r="CG120" i="88"/>
  <c r="CD120" i="88"/>
  <c r="BY120" i="88"/>
  <c r="BV120" i="88"/>
  <c r="BQ120" i="88"/>
  <c r="BN120" i="88"/>
  <c r="BI120" i="88"/>
  <c r="BF120" i="88"/>
  <c r="BA120" i="88"/>
  <c r="AX120" i="88"/>
  <c r="AS120" i="88"/>
  <c r="AP120" i="88"/>
  <c r="AJ120" i="88"/>
  <c r="AI120" i="88"/>
  <c r="AH120" i="88"/>
  <c r="AE120" i="88"/>
  <c r="AD120" i="88"/>
  <c r="AC120" i="88"/>
  <c r="Y120" i="88"/>
  <c r="W120" i="88" s="1"/>
  <c r="U120" i="88"/>
  <c r="S120" i="88" s="1"/>
  <c r="R120" i="88"/>
  <c r="O120" i="88"/>
  <c r="KQ119" i="88"/>
  <c r="JT119" i="88"/>
  <c r="JS119" i="88"/>
  <c r="JC119" i="88"/>
  <c r="JY119" i="88" s="1"/>
  <c r="IP119" i="88"/>
  <c r="JX119" i="88" s="1"/>
  <c r="IK119" i="88"/>
  <c r="IG119" i="88"/>
  <c r="IC119" i="88"/>
  <c r="HY119" i="88"/>
  <c r="HU119" i="88"/>
  <c r="HQ119" i="88"/>
  <c r="HM119" i="88"/>
  <c r="HI119" i="88"/>
  <c r="HE119" i="88"/>
  <c r="HA119" i="88"/>
  <c r="GW119" i="88"/>
  <c r="GS119" i="88"/>
  <c r="GO119" i="88"/>
  <c r="GK119" i="88"/>
  <c r="GG119" i="88"/>
  <c r="GC119" i="88"/>
  <c r="FY119" i="88"/>
  <c r="FU119" i="88"/>
  <c r="FQ119" i="88"/>
  <c r="FM119" i="88"/>
  <c r="FI119" i="88"/>
  <c r="FE119" i="88"/>
  <c r="FA119" i="88"/>
  <c r="EW119" i="88"/>
  <c r="EP119" i="88"/>
  <c r="EO119" i="88"/>
  <c r="EN119" i="88"/>
  <c r="EM119" i="88"/>
  <c r="EI119" i="88"/>
  <c r="EK119" i="88" s="1"/>
  <c r="EH119" i="88"/>
  <c r="EG119" i="88"/>
  <c r="EF119" i="88"/>
  <c r="EC119" i="88"/>
  <c r="DZ119" i="88"/>
  <c r="DU119" i="88"/>
  <c r="DR119" i="88"/>
  <c r="DM119" i="88"/>
  <c r="DJ119" i="88"/>
  <c r="DE119" i="88"/>
  <c r="DB119" i="88"/>
  <c r="CW119" i="88"/>
  <c r="CT119" i="88"/>
  <c r="CO119" i="88"/>
  <c r="CL119" i="88"/>
  <c r="CG119" i="88"/>
  <c r="CD119" i="88"/>
  <c r="BY119" i="88"/>
  <c r="BV119" i="88"/>
  <c r="BQ119" i="88"/>
  <c r="BN119" i="88"/>
  <c r="BI119" i="88"/>
  <c r="BF119" i="88"/>
  <c r="BA119" i="88"/>
  <c r="AX119" i="88"/>
  <c r="AS119" i="88"/>
  <c r="AP119" i="88"/>
  <c r="AJ119" i="88"/>
  <c r="AI119" i="88"/>
  <c r="AH119" i="88"/>
  <c r="AE119" i="88"/>
  <c r="AD119" i="88"/>
  <c r="AF119" i="88" s="1"/>
  <c r="AC119" i="88"/>
  <c r="Y119" i="88"/>
  <c r="W119" i="88" s="1"/>
  <c r="U119" i="88"/>
  <c r="S119" i="88"/>
  <c r="R119" i="88"/>
  <c r="O119" i="88"/>
  <c r="KQ118" i="88"/>
  <c r="JT118" i="88"/>
  <c r="JS118" i="88"/>
  <c r="JC118" i="88"/>
  <c r="JY118" i="88" s="1"/>
  <c r="IP118" i="88"/>
  <c r="JX118" i="88" s="1"/>
  <c r="IK118" i="88"/>
  <c r="IG118" i="88"/>
  <c r="IC118" i="88"/>
  <c r="HY118" i="88"/>
  <c r="HU118" i="88"/>
  <c r="HQ118" i="88"/>
  <c r="HM118" i="88"/>
  <c r="HI118" i="88"/>
  <c r="HE118" i="88"/>
  <c r="HA118" i="88"/>
  <c r="GW118" i="88"/>
  <c r="GS118" i="88"/>
  <c r="GO118" i="88"/>
  <c r="GK118" i="88"/>
  <c r="GG118" i="88"/>
  <c r="GC118" i="88"/>
  <c r="FY118" i="88"/>
  <c r="FU118" i="88"/>
  <c r="FQ118" i="88"/>
  <c r="FM118" i="88"/>
  <c r="FI118" i="88"/>
  <c r="FE118" i="88"/>
  <c r="FA118" i="88"/>
  <c r="EW118" i="88"/>
  <c r="EP118" i="88"/>
  <c r="ER118" i="88" s="1"/>
  <c r="EO118" i="88"/>
  <c r="EN118" i="88"/>
  <c r="EM118" i="88"/>
  <c r="EI118" i="88"/>
  <c r="EH118" i="88"/>
  <c r="EG118" i="88"/>
  <c r="EF118" i="88"/>
  <c r="EC118" i="88"/>
  <c r="DZ118" i="88"/>
  <c r="DU118" i="88"/>
  <c r="DR118" i="88"/>
  <c r="DM118" i="88"/>
  <c r="DJ118" i="88"/>
  <c r="DE118" i="88"/>
  <c r="DB118" i="88"/>
  <c r="CW118" i="88"/>
  <c r="CT118" i="88"/>
  <c r="CO118" i="88"/>
  <c r="CL118" i="88"/>
  <c r="CG118" i="88"/>
  <c r="CD118" i="88"/>
  <c r="BY118" i="88"/>
  <c r="BV118" i="88"/>
  <c r="BQ118" i="88"/>
  <c r="BN118" i="88"/>
  <c r="BI118" i="88"/>
  <c r="BF118" i="88"/>
  <c r="BA118" i="88"/>
  <c r="AX118" i="88"/>
  <c r="AS118" i="88"/>
  <c r="AP118" i="88"/>
  <c r="AJ118" i="88"/>
  <c r="AI118" i="88"/>
  <c r="AH118" i="88"/>
  <c r="AE118" i="88"/>
  <c r="AD118" i="88"/>
  <c r="AC118" i="88"/>
  <c r="Y118" i="88"/>
  <c r="W118" i="88" s="1"/>
  <c r="U118" i="88"/>
  <c r="S118" i="88" s="1"/>
  <c r="R118" i="88"/>
  <c r="O118" i="88"/>
  <c r="KP117" i="88"/>
  <c r="KF117" i="88"/>
  <c r="JY117" i="88"/>
  <c r="JC117" i="88"/>
  <c r="IP117" i="88"/>
  <c r="IN117" i="88"/>
  <c r="IM117" i="88"/>
  <c r="IK117" i="88"/>
  <c r="IJ117" i="88"/>
  <c r="II117" i="88"/>
  <c r="IG117" i="88"/>
  <c r="IF117" i="88"/>
  <c r="IE117" i="88"/>
  <c r="IC117" i="88"/>
  <c r="IB117" i="88"/>
  <c r="IA117" i="88"/>
  <c r="HX117" i="88"/>
  <c r="HY117" i="88" s="1"/>
  <c r="HW117" i="88"/>
  <c r="HU117" i="88"/>
  <c r="HT117" i="88"/>
  <c r="HS117" i="88"/>
  <c r="HQ117" i="88"/>
  <c r="HP117" i="88"/>
  <c r="HO117" i="88"/>
  <c r="HL117" i="88"/>
  <c r="HM117" i="88" s="1"/>
  <c r="HK117" i="88"/>
  <c r="HH117" i="88"/>
  <c r="HI117" i="88" s="1"/>
  <c r="KA117" i="88" s="1"/>
  <c r="KD117" i="88" s="1"/>
  <c r="HG117" i="88"/>
  <c r="HE117" i="88"/>
  <c r="HD117" i="88"/>
  <c r="HC117" i="88"/>
  <c r="HA117" i="88"/>
  <c r="GZ117" i="88"/>
  <c r="GY117" i="88"/>
  <c r="GW117" i="88"/>
  <c r="GV117" i="88"/>
  <c r="GU117" i="88"/>
  <c r="GR117" i="88"/>
  <c r="GS117" i="88" s="1"/>
  <c r="GQ117" i="88"/>
  <c r="GN117" i="88"/>
  <c r="GO117" i="88" s="1"/>
  <c r="GM117" i="88"/>
  <c r="GK117" i="88"/>
  <c r="GJ117" i="88"/>
  <c r="GI117" i="88"/>
  <c r="GG117" i="88"/>
  <c r="GF117" i="88"/>
  <c r="GE117" i="88"/>
  <c r="GB117" i="88"/>
  <c r="GC117" i="88" s="1"/>
  <c r="GA117" i="88"/>
  <c r="FY117" i="88"/>
  <c r="FX117" i="88"/>
  <c r="FW117" i="88"/>
  <c r="FU117" i="88"/>
  <c r="FT117" i="88"/>
  <c r="FS117" i="88"/>
  <c r="FP117" i="88"/>
  <c r="FQ117" i="88" s="1"/>
  <c r="FO117" i="88"/>
  <c r="FL117" i="88"/>
  <c r="FM117" i="88" s="1"/>
  <c r="FK117" i="88"/>
  <c r="FI117" i="88"/>
  <c r="FH117" i="88"/>
  <c r="FG117" i="88"/>
  <c r="FE117" i="88"/>
  <c r="FD117" i="88"/>
  <c r="FC117" i="88"/>
  <c r="FA117" i="88"/>
  <c r="EZ117" i="88"/>
  <c r="EY117" i="88"/>
  <c r="EV117" i="88"/>
  <c r="EU117" i="88"/>
  <c r="EN117" i="88"/>
  <c r="EM117" i="88"/>
  <c r="EG117" i="88"/>
  <c r="EF117" i="88"/>
  <c r="EC117" i="88"/>
  <c r="EA117" i="88"/>
  <c r="DX117" i="88"/>
  <c r="DZ117" i="88" s="1"/>
  <c r="DU117" i="88"/>
  <c r="DR117" i="88"/>
  <c r="DM117" i="88"/>
  <c r="DJ117" i="88"/>
  <c r="DE117" i="88"/>
  <c r="DC117" i="88"/>
  <c r="CZ117" i="88"/>
  <c r="AD117" i="88" s="1"/>
  <c r="CW117" i="88"/>
  <c r="CT117" i="88"/>
  <c r="CO117" i="88"/>
  <c r="CL117" i="88"/>
  <c r="CG117" i="88"/>
  <c r="CE117" i="88"/>
  <c r="CC117" i="88"/>
  <c r="CB117" i="88"/>
  <c r="BY117" i="88"/>
  <c r="BV117" i="88"/>
  <c r="BQ117" i="88"/>
  <c r="BN117" i="88"/>
  <c r="BG117" i="88"/>
  <c r="BF117" i="88"/>
  <c r="BD117" i="88"/>
  <c r="BA117" i="88"/>
  <c r="AX117" i="88"/>
  <c r="AS117" i="88"/>
  <c r="AP117" i="88"/>
  <c r="AJ117" i="88"/>
  <c r="AI117" i="88"/>
  <c r="Y117" i="88"/>
  <c r="W117" i="88" s="1"/>
  <c r="U117" i="88"/>
  <c r="S117" i="88" s="1"/>
  <c r="R117" i="88"/>
  <c r="O117" i="88"/>
  <c r="KP116" i="88"/>
  <c r="KF116" i="88"/>
  <c r="KQ116" i="88" s="1"/>
  <c r="JC116" i="88"/>
  <c r="IP116" i="88"/>
  <c r="IN116" i="88"/>
  <c r="IM116" i="88"/>
  <c r="IK116" i="88"/>
  <c r="IJ116" i="88"/>
  <c r="II116" i="88"/>
  <c r="IG116" i="88"/>
  <c r="IF116" i="88"/>
  <c r="IE116" i="88"/>
  <c r="IB116" i="88"/>
  <c r="IC116" i="88" s="1"/>
  <c r="IA116" i="88"/>
  <c r="HY116" i="88"/>
  <c r="HX116" i="88"/>
  <c r="HW116" i="88"/>
  <c r="HU116" i="88"/>
  <c r="HT116" i="88"/>
  <c r="HS116" i="88"/>
  <c r="HP116" i="88"/>
  <c r="HO116" i="88"/>
  <c r="HL116" i="88"/>
  <c r="HM116" i="88" s="1"/>
  <c r="HK116" i="88"/>
  <c r="HI116" i="88"/>
  <c r="HH116" i="88"/>
  <c r="HG116" i="88"/>
  <c r="HE116" i="88"/>
  <c r="HD116" i="88"/>
  <c r="HC116" i="88"/>
  <c r="HA116" i="88"/>
  <c r="GZ116" i="88"/>
  <c r="GY116" i="88"/>
  <c r="GV116" i="88"/>
  <c r="GW116" i="88" s="1"/>
  <c r="GU116" i="88"/>
  <c r="GS116" i="88"/>
  <c r="GR116" i="88"/>
  <c r="GQ116" i="88"/>
  <c r="GO116" i="88"/>
  <c r="GN116" i="88"/>
  <c r="GM116" i="88"/>
  <c r="GJ116" i="88"/>
  <c r="GK116" i="88" s="1"/>
  <c r="GI116" i="88"/>
  <c r="GF116" i="88"/>
  <c r="GG116" i="88" s="1"/>
  <c r="GE116" i="88"/>
  <c r="GC116" i="88"/>
  <c r="GB116" i="88"/>
  <c r="GA116" i="88"/>
  <c r="JS116" i="88" s="1"/>
  <c r="FY116" i="88"/>
  <c r="FX116" i="88"/>
  <c r="FW116" i="88"/>
  <c r="FU116" i="88"/>
  <c r="FT116" i="88"/>
  <c r="FS116" i="88"/>
  <c r="FP116" i="88"/>
  <c r="FQ116" i="88" s="1"/>
  <c r="FO116" i="88"/>
  <c r="EO116" i="88" s="1"/>
  <c r="FM116" i="88"/>
  <c r="FL116" i="88"/>
  <c r="FK116" i="88"/>
  <c r="FI116" i="88"/>
  <c r="FH116" i="88"/>
  <c r="FG116" i="88"/>
  <c r="FD116" i="88"/>
  <c r="FE116" i="88" s="1"/>
  <c r="FC116" i="88"/>
  <c r="EZ116" i="88"/>
  <c r="EY116" i="88"/>
  <c r="EW116" i="88"/>
  <c r="EV116" i="88"/>
  <c r="EU116" i="88"/>
  <c r="EN116" i="88"/>
  <c r="EM116" i="88"/>
  <c r="EG116" i="88"/>
  <c r="EF116" i="88"/>
  <c r="EC116" i="88"/>
  <c r="EA116" i="88"/>
  <c r="DX116" i="88"/>
  <c r="DZ116" i="88" s="1"/>
  <c r="DU116" i="88"/>
  <c r="DR116" i="88"/>
  <c r="DM116" i="88"/>
  <c r="DJ116" i="88"/>
  <c r="DE116" i="88"/>
  <c r="DC116" i="88"/>
  <c r="CZ116" i="88"/>
  <c r="DB116" i="88" s="1"/>
  <c r="CW116" i="88"/>
  <c r="CT116" i="88"/>
  <c r="CO116" i="88"/>
  <c r="CL116" i="88"/>
  <c r="CG116" i="88"/>
  <c r="CE116" i="88"/>
  <c r="CB116" i="88"/>
  <c r="CD116" i="88" s="1"/>
  <c r="BY116" i="88"/>
  <c r="BV116" i="88"/>
  <c r="BQ116" i="88"/>
  <c r="BN116" i="88"/>
  <c r="BI116" i="88"/>
  <c r="BG116" i="88"/>
  <c r="BD116" i="88"/>
  <c r="BA116" i="88"/>
  <c r="AX116" i="88"/>
  <c r="AS116" i="88"/>
  <c r="AP116" i="88"/>
  <c r="AJ116" i="88"/>
  <c r="AH116" i="88"/>
  <c r="AE116" i="88"/>
  <c r="AC116" i="88"/>
  <c r="Y116" i="88"/>
  <c r="W116" i="88" s="1"/>
  <c r="U116" i="88"/>
  <c r="S116" i="88" s="1"/>
  <c r="R116" i="88"/>
  <c r="O116" i="88"/>
  <c r="KQ115" i="88"/>
  <c r="KP115" i="88"/>
  <c r="KI115" i="88"/>
  <c r="KF115" i="88"/>
  <c r="JR115" i="88"/>
  <c r="JQ115" i="88"/>
  <c r="JC115" i="88"/>
  <c r="IP115" i="88"/>
  <c r="JX115" i="88" s="1"/>
  <c r="IN115" i="88"/>
  <c r="IM115" i="88"/>
  <c r="IK115" i="88"/>
  <c r="II115" i="88"/>
  <c r="IG115" i="88"/>
  <c r="IE115" i="88"/>
  <c r="IC115" i="88"/>
  <c r="IA115" i="88"/>
  <c r="HY115" i="88"/>
  <c r="HW115" i="88"/>
  <c r="HT115" i="88"/>
  <c r="HS115" i="88"/>
  <c r="HQ115" i="88"/>
  <c r="HP115" i="88"/>
  <c r="HO115" i="88"/>
  <c r="HM115" i="88"/>
  <c r="KB115" i="88" s="1"/>
  <c r="HL115" i="88"/>
  <c r="HK115" i="88"/>
  <c r="HH115" i="88"/>
  <c r="HI115" i="88" s="1"/>
  <c r="KA115" i="88" s="1"/>
  <c r="HG115" i="88"/>
  <c r="HD115" i="88"/>
  <c r="HE115" i="88" s="1"/>
  <c r="HC115" i="88"/>
  <c r="HA115" i="88"/>
  <c r="GZ115" i="88"/>
  <c r="GY115" i="88"/>
  <c r="GV115" i="88"/>
  <c r="GW115" i="88" s="1"/>
  <c r="GU115" i="88"/>
  <c r="GS115" i="88"/>
  <c r="GR115" i="88"/>
  <c r="GQ115" i="88"/>
  <c r="EH115" i="88" s="1"/>
  <c r="GN115" i="88"/>
  <c r="GO115" i="88" s="1"/>
  <c r="GM115" i="88"/>
  <c r="GJ115" i="88"/>
  <c r="GK115" i="88" s="1"/>
  <c r="GI115" i="88"/>
  <c r="GG115" i="88"/>
  <c r="GF115" i="88"/>
  <c r="GE115" i="88"/>
  <c r="GB115" i="88"/>
  <c r="GC115" i="88" s="1"/>
  <c r="GA115" i="88"/>
  <c r="FY115" i="88"/>
  <c r="FX115" i="88"/>
  <c r="FW115" i="88"/>
  <c r="FT115" i="88"/>
  <c r="FU115" i="88" s="1"/>
  <c r="FS115" i="88"/>
  <c r="FQ115" i="88"/>
  <c r="FP115" i="88"/>
  <c r="FO115" i="88"/>
  <c r="FL115" i="88"/>
  <c r="FM115" i="88" s="1"/>
  <c r="FK115" i="88"/>
  <c r="FI115" i="88"/>
  <c r="FH115" i="88"/>
  <c r="FG115" i="88"/>
  <c r="FD115" i="88"/>
  <c r="FE115" i="88" s="1"/>
  <c r="FC115" i="88"/>
  <c r="FA115" i="88"/>
  <c r="EZ115" i="88"/>
  <c r="EY115" i="88"/>
  <c r="EV115" i="88"/>
  <c r="EU115" i="88"/>
  <c r="EN115" i="88"/>
  <c r="EM115" i="88"/>
  <c r="EG115" i="88"/>
  <c r="EF115" i="88"/>
  <c r="EC115" i="88"/>
  <c r="DZ115" i="88"/>
  <c r="DU115" i="88"/>
  <c r="DR115" i="88"/>
  <c r="DM115" i="88"/>
  <c r="DJ115" i="88"/>
  <c r="DE115" i="88"/>
  <c r="DB115" i="88"/>
  <c r="CW115" i="88"/>
  <c r="CT115" i="88"/>
  <c r="CO115" i="88"/>
  <c r="CL115" i="88"/>
  <c r="CG115" i="88"/>
  <c r="CD115" i="88"/>
  <c r="BY115" i="88"/>
  <c r="BV115" i="88"/>
  <c r="BQ115" i="88"/>
  <c r="BN115" i="88"/>
  <c r="BI115" i="88"/>
  <c r="BF115" i="88"/>
  <c r="BA115" i="88"/>
  <c r="AX115" i="88"/>
  <c r="AS115" i="88"/>
  <c r="AP115" i="88"/>
  <c r="AJ115" i="88"/>
  <c r="AI115" i="88"/>
  <c r="AK115" i="88" s="1"/>
  <c r="AH115" i="88"/>
  <c r="AE115" i="88"/>
  <c r="AD115" i="88"/>
  <c r="AC115" i="88"/>
  <c r="Y115" i="88"/>
  <c r="W115" i="88" s="1"/>
  <c r="V115" i="88"/>
  <c r="U115" i="88"/>
  <c r="S115" i="88"/>
  <c r="Q115" i="88"/>
  <c r="R115" i="88" s="1"/>
  <c r="N115" i="88"/>
  <c r="O115" i="88" s="1"/>
  <c r="KQ114" i="88"/>
  <c r="KP114" i="88"/>
  <c r="KI114" i="88"/>
  <c r="KF114" i="88"/>
  <c r="JR114" i="88"/>
  <c r="JQ114" i="88"/>
  <c r="JC114" i="88"/>
  <c r="IP114" i="88"/>
  <c r="JX114" i="88" s="1"/>
  <c r="IN114" i="88"/>
  <c r="IM114" i="88"/>
  <c r="IK114" i="88"/>
  <c r="II114" i="88"/>
  <c r="IG114" i="88"/>
  <c r="IE114" i="88"/>
  <c r="IC114" i="88"/>
  <c r="IA114" i="88"/>
  <c r="HY114" i="88"/>
  <c r="HW114" i="88"/>
  <c r="HT114" i="88"/>
  <c r="HS114" i="88"/>
  <c r="HQ114" i="88"/>
  <c r="HP114" i="88"/>
  <c r="HO114" i="88"/>
  <c r="HL114" i="88"/>
  <c r="HM114" i="88" s="1"/>
  <c r="KB114" i="88" s="1"/>
  <c r="HK114" i="88"/>
  <c r="HI114" i="88"/>
  <c r="KA114" i="88" s="1"/>
  <c r="HH114" i="88"/>
  <c r="HG114" i="88"/>
  <c r="HD114" i="88"/>
  <c r="HE114" i="88" s="1"/>
  <c r="HC114" i="88"/>
  <c r="HA114" i="88"/>
  <c r="GZ114" i="88"/>
  <c r="GY114" i="88"/>
  <c r="GV114" i="88"/>
  <c r="GW114" i="88" s="1"/>
  <c r="GU114" i="88"/>
  <c r="GS114" i="88"/>
  <c r="GR114" i="88"/>
  <c r="GQ114" i="88"/>
  <c r="GN114" i="88"/>
  <c r="GO114" i="88" s="1"/>
  <c r="GM114" i="88"/>
  <c r="GK114" i="88"/>
  <c r="GJ114" i="88"/>
  <c r="GI114" i="88"/>
  <c r="GF114" i="88"/>
  <c r="GG114" i="88" s="1"/>
  <c r="GE114" i="88"/>
  <c r="GC114" i="88"/>
  <c r="GB114" i="88"/>
  <c r="GA114" i="88"/>
  <c r="FX114" i="88"/>
  <c r="FY114" i="88" s="1"/>
  <c r="FW114" i="88"/>
  <c r="FU114" i="88"/>
  <c r="FT114" i="88"/>
  <c r="FS114" i="88"/>
  <c r="FP114" i="88"/>
  <c r="FQ114" i="88" s="1"/>
  <c r="FO114" i="88"/>
  <c r="FM114" i="88"/>
  <c r="FL114" i="88"/>
  <c r="FK114" i="88"/>
  <c r="FH114" i="88"/>
  <c r="FI114" i="88" s="1"/>
  <c r="FG114" i="88"/>
  <c r="FE114" i="88"/>
  <c r="FD114" i="88"/>
  <c r="FC114" i="88"/>
  <c r="JS114" i="88" s="1"/>
  <c r="EZ114" i="88"/>
  <c r="FA114" i="88" s="1"/>
  <c r="EY114" i="88"/>
  <c r="JT114" i="88" s="1"/>
  <c r="EW114" i="88"/>
  <c r="EV114" i="88"/>
  <c r="EU114" i="88"/>
  <c r="EO114" i="88"/>
  <c r="EN114" i="88"/>
  <c r="EM114" i="88"/>
  <c r="EI114" i="88"/>
  <c r="EK114" i="88" s="1"/>
  <c r="EH114" i="88"/>
  <c r="EG114" i="88"/>
  <c r="EF114" i="88"/>
  <c r="EC114" i="88"/>
  <c r="DZ114" i="88"/>
  <c r="DU114" i="88"/>
  <c r="DR114" i="88"/>
  <c r="DM114" i="88"/>
  <c r="DJ114" i="88"/>
  <c r="DE114" i="88"/>
  <c r="DB114" i="88"/>
  <c r="CW114" i="88"/>
  <c r="CT114" i="88"/>
  <c r="CO114" i="88"/>
  <c r="CL114" i="88"/>
  <c r="CF114" i="88"/>
  <c r="CD114" i="88"/>
  <c r="BY114" i="88"/>
  <c r="BV114" i="88"/>
  <c r="BQ114" i="88"/>
  <c r="BN114" i="88"/>
  <c r="BI114" i="88"/>
  <c r="BF114" i="88"/>
  <c r="BA114" i="88"/>
  <c r="AX114" i="88"/>
  <c r="AS114" i="88"/>
  <c r="AP114" i="88"/>
  <c r="AI114" i="88"/>
  <c r="AH114" i="88"/>
  <c r="AE114" i="88"/>
  <c r="AD114" i="88"/>
  <c r="AC114" i="88"/>
  <c r="Y114" i="88"/>
  <c r="W114" i="88" s="1"/>
  <c r="V114" i="88"/>
  <c r="U114" i="88"/>
  <c r="S114" i="88" s="1"/>
  <c r="Q114" i="88"/>
  <c r="R114" i="88" s="1"/>
  <c r="N114" i="88"/>
  <c r="O114" i="88" s="1"/>
  <c r="KP113" i="88"/>
  <c r="KF113" i="88"/>
  <c r="KQ113" i="88" s="1"/>
  <c r="JC113" i="88"/>
  <c r="IP113" i="88"/>
  <c r="JX113" i="88" s="1"/>
  <c r="IN113" i="88"/>
  <c r="IM113" i="88"/>
  <c r="IJ113" i="88"/>
  <c r="IK113" i="88" s="1"/>
  <c r="II113" i="88"/>
  <c r="IG113" i="88"/>
  <c r="IF113" i="88"/>
  <c r="IE113" i="88"/>
  <c r="IB113" i="88"/>
  <c r="IC113" i="88" s="1"/>
  <c r="IA113" i="88"/>
  <c r="HY113" i="88"/>
  <c r="HX113" i="88"/>
  <c r="HW113" i="88"/>
  <c r="HT113" i="88"/>
  <c r="JY113" i="88" s="1"/>
  <c r="HS113" i="88"/>
  <c r="HQ113" i="88"/>
  <c r="HP113" i="88"/>
  <c r="HO113" i="88"/>
  <c r="HL113" i="88"/>
  <c r="HM113" i="88" s="1"/>
  <c r="HK113" i="88"/>
  <c r="HI113" i="88"/>
  <c r="HH113" i="88"/>
  <c r="HG113" i="88"/>
  <c r="HD113" i="88"/>
  <c r="HE113" i="88" s="1"/>
  <c r="HC113" i="88"/>
  <c r="HA113" i="88"/>
  <c r="GZ113" i="88"/>
  <c r="GY113" i="88"/>
  <c r="GV113" i="88"/>
  <c r="GW113" i="88" s="1"/>
  <c r="GU113" i="88"/>
  <c r="GS113" i="88"/>
  <c r="GR113" i="88"/>
  <c r="GQ113" i="88"/>
  <c r="GN113" i="88"/>
  <c r="GO113" i="88" s="1"/>
  <c r="GM113" i="88"/>
  <c r="GK113" i="88"/>
  <c r="GJ113" i="88"/>
  <c r="GI113" i="88"/>
  <c r="GF113" i="88"/>
  <c r="GG113" i="88" s="1"/>
  <c r="GE113" i="88"/>
  <c r="GC113" i="88"/>
  <c r="GB113" i="88"/>
  <c r="GA113" i="88"/>
  <c r="FX113" i="88"/>
  <c r="FY113" i="88" s="1"/>
  <c r="FW113" i="88"/>
  <c r="FU113" i="88"/>
  <c r="FT113" i="88"/>
  <c r="FS113" i="88"/>
  <c r="FP113" i="88"/>
  <c r="FQ113" i="88" s="1"/>
  <c r="FO113" i="88"/>
  <c r="FM113" i="88"/>
  <c r="FL113" i="88"/>
  <c r="FK113" i="88"/>
  <c r="FH113" i="88"/>
  <c r="FI113" i="88" s="1"/>
  <c r="FG113" i="88"/>
  <c r="FE113" i="88"/>
  <c r="FD113" i="88"/>
  <c r="FC113" i="88"/>
  <c r="EZ113" i="88"/>
  <c r="EY113" i="88"/>
  <c r="EW113" i="88"/>
  <c r="EV113" i="88"/>
  <c r="EI113" i="88" s="1"/>
  <c r="EJ113" i="88" s="1"/>
  <c r="EU113" i="88"/>
  <c r="EH113" i="88" s="1"/>
  <c r="EO113" i="88"/>
  <c r="EN113" i="88"/>
  <c r="EM113" i="88"/>
  <c r="EG113" i="88"/>
  <c r="EF113" i="88"/>
  <c r="EA113" i="88"/>
  <c r="EC113" i="88" s="1"/>
  <c r="DX113" i="88"/>
  <c r="DZ113" i="88" s="1"/>
  <c r="DU113" i="88"/>
  <c r="DR113" i="88"/>
  <c r="DM113" i="88"/>
  <c r="DJ113" i="88"/>
  <c r="DC113" i="88"/>
  <c r="DE113" i="88" s="1"/>
  <c r="CZ113" i="88"/>
  <c r="DB113" i="88" s="1"/>
  <c r="CW113" i="88"/>
  <c r="CT113" i="88"/>
  <c r="CO113" i="88"/>
  <c r="CL113" i="88"/>
  <c r="CE113" i="88"/>
  <c r="CG113" i="88" s="1"/>
  <c r="CB113" i="88"/>
  <c r="CD113" i="88" s="1"/>
  <c r="BY113" i="88"/>
  <c r="BV113" i="88"/>
  <c r="BQ113" i="88"/>
  <c r="BN113" i="88"/>
  <c r="BG113" i="88"/>
  <c r="JT113" i="88" s="1"/>
  <c r="BD113" i="88"/>
  <c r="BA113" i="88"/>
  <c r="AX113" i="88"/>
  <c r="AS113" i="88"/>
  <c r="AP113" i="88"/>
  <c r="AJ113" i="88"/>
  <c r="AH113" i="88"/>
  <c r="AE113" i="88"/>
  <c r="Y113" i="88"/>
  <c r="W113" i="88"/>
  <c r="U113" i="88"/>
  <c r="S113" i="88" s="1"/>
  <c r="R113" i="88"/>
  <c r="O113" i="88"/>
  <c r="KQ112" i="88"/>
  <c r="KP112" i="88"/>
  <c r="KF112" i="88"/>
  <c r="JC112" i="88"/>
  <c r="IP112" i="88"/>
  <c r="JX112" i="88" s="1"/>
  <c r="IN112" i="88"/>
  <c r="IM112" i="88"/>
  <c r="IJ112" i="88"/>
  <c r="IK112" i="88" s="1"/>
  <c r="II112" i="88"/>
  <c r="IG112" i="88"/>
  <c r="IF112" i="88"/>
  <c r="IE112" i="88"/>
  <c r="IB112" i="88"/>
  <c r="IC112" i="88" s="1"/>
  <c r="IA112" i="88"/>
  <c r="HY112" i="88"/>
  <c r="HX112" i="88"/>
  <c r="HW112" i="88"/>
  <c r="HT112" i="88"/>
  <c r="HS112" i="88"/>
  <c r="HQ112" i="88"/>
  <c r="HP112" i="88"/>
  <c r="HO112" i="88"/>
  <c r="HL112" i="88"/>
  <c r="HM112" i="88" s="1"/>
  <c r="HK112" i="88"/>
  <c r="HI112" i="88"/>
  <c r="KA112" i="88" s="1"/>
  <c r="KD112" i="88" s="1"/>
  <c r="HH112" i="88"/>
  <c r="HG112" i="88"/>
  <c r="HD112" i="88"/>
  <c r="HE112" i="88" s="1"/>
  <c r="HC112" i="88"/>
  <c r="HA112" i="88"/>
  <c r="GZ112" i="88"/>
  <c r="GY112" i="88"/>
  <c r="GV112" i="88"/>
  <c r="GW112" i="88" s="1"/>
  <c r="GU112" i="88"/>
  <c r="GS112" i="88"/>
  <c r="GR112" i="88"/>
  <c r="GQ112" i="88"/>
  <c r="GN112" i="88"/>
  <c r="GO112" i="88" s="1"/>
  <c r="GM112" i="88"/>
  <c r="GK112" i="88"/>
  <c r="GJ112" i="88"/>
  <c r="GI112" i="88"/>
  <c r="GF112" i="88"/>
  <c r="GG112" i="88" s="1"/>
  <c r="GE112" i="88"/>
  <c r="GC112" i="88"/>
  <c r="GB112" i="88"/>
  <c r="GA112" i="88"/>
  <c r="FX112" i="88"/>
  <c r="FY112" i="88" s="1"/>
  <c r="FW112" i="88"/>
  <c r="FU112" i="88"/>
  <c r="FT112" i="88"/>
  <c r="FS112" i="88"/>
  <c r="FP112" i="88"/>
  <c r="FQ112" i="88" s="1"/>
  <c r="FO112" i="88"/>
  <c r="FM112" i="88"/>
  <c r="FL112" i="88"/>
  <c r="FK112" i="88"/>
  <c r="FH112" i="88"/>
  <c r="FI112" i="88" s="1"/>
  <c r="FG112" i="88"/>
  <c r="FE112" i="88"/>
  <c r="FD112" i="88"/>
  <c r="FC112" i="88"/>
  <c r="EZ112" i="88"/>
  <c r="FA112" i="88" s="1"/>
  <c r="EY112" i="88"/>
  <c r="EW112" i="88"/>
  <c r="EV112" i="88"/>
  <c r="EU112" i="88"/>
  <c r="EO112" i="88"/>
  <c r="EN112" i="88"/>
  <c r="EM112" i="88"/>
  <c r="EI112" i="88"/>
  <c r="EH112" i="88"/>
  <c r="EG112" i="88"/>
  <c r="EF112" i="88"/>
  <c r="EA112" i="88"/>
  <c r="EC112" i="88" s="1"/>
  <c r="DX112" i="88"/>
  <c r="DZ112" i="88" s="1"/>
  <c r="DU112" i="88"/>
  <c r="DR112" i="88"/>
  <c r="DM112" i="88"/>
  <c r="DJ112" i="88"/>
  <c r="DC112" i="88"/>
  <c r="DE112" i="88" s="1"/>
  <c r="CZ112" i="88"/>
  <c r="DB112" i="88" s="1"/>
  <c r="CW112" i="88"/>
  <c r="CT112" i="88"/>
  <c r="CO112" i="88"/>
  <c r="CL112" i="88"/>
  <c r="CE112" i="88"/>
  <c r="CG112" i="88" s="1"/>
  <c r="CB112" i="88"/>
  <c r="CD112" i="88" s="1"/>
  <c r="BY112" i="88"/>
  <c r="BV112" i="88"/>
  <c r="BQ112" i="88"/>
  <c r="BN112" i="88"/>
  <c r="BG112" i="88"/>
  <c r="BD112" i="88"/>
  <c r="BF112" i="88" s="1"/>
  <c r="BA112" i="88"/>
  <c r="AX112" i="88"/>
  <c r="AS112" i="88"/>
  <c r="AP112" i="88"/>
  <c r="AJ112" i="88"/>
  <c r="AE112" i="88"/>
  <c r="AC112" i="88"/>
  <c r="Y112" i="88"/>
  <c r="W112" i="88"/>
  <c r="U112" i="88"/>
  <c r="S112" i="88" s="1"/>
  <c r="R112" i="88"/>
  <c r="O112" i="88"/>
  <c r="KP111" i="88"/>
  <c r="KF111" i="88"/>
  <c r="KQ111" i="88" s="1"/>
  <c r="JC111" i="88"/>
  <c r="IP111" i="88"/>
  <c r="JX111" i="88" s="1"/>
  <c r="IN111" i="88"/>
  <c r="IM111" i="88"/>
  <c r="IJ111" i="88"/>
  <c r="IK111" i="88" s="1"/>
  <c r="II111" i="88"/>
  <c r="IG111" i="88"/>
  <c r="IF111" i="88"/>
  <c r="IE111" i="88"/>
  <c r="IB111" i="88"/>
  <c r="IC111" i="88" s="1"/>
  <c r="IA111" i="88"/>
  <c r="HY111" i="88"/>
  <c r="HX111" i="88"/>
  <c r="HW111" i="88"/>
  <c r="HT111" i="88"/>
  <c r="HS111" i="88"/>
  <c r="HQ111" i="88"/>
  <c r="HP111" i="88"/>
  <c r="HO111" i="88"/>
  <c r="HL111" i="88"/>
  <c r="HM111" i="88" s="1"/>
  <c r="HK111" i="88"/>
  <c r="HI111" i="88"/>
  <c r="KA111" i="88" s="1"/>
  <c r="KD111" i="88" s="1"/>
  <c r="HH111" i="88"/>
  <c r="HG111" i="88"/>
  <c r="HD111" i="88"/>
  <c r="HE111" i="88" s="1"/>
  <c r="HC111" i="88"/>
  <c r="HA111" i="88"/>
  <c r="GZ111" i="88"/>
  <c r="GY111" i="88"/>
  <c r="GV111" i="88"/>
  <c r="GW111" i="88" s="1"/>
  <c r="GU111" i="88"/>
  <c r="GS111" i="88"/>
  <c r="GR111" i="88"/>
  <c r="GQ111" i="88"/>
  <c r="GN111" i="88"/>
  <c r="GO111" i="88" s="1"/>
  <c r="GM111" i="88"/>
  <c r="GK111" i="88"/>
  <c r="GJ111" i="88"/>
  <c r="GI111" i="88"/>
  <c r="GF111" i="88"/>
  <c r="GG111" i="88" s="1"/>
  <c r="GE111" i="88"/>
  <c r="GC111" i="88"/>
  <c r="GB111" i="88"/>
  <c r="GA111" i="88"/>
  <c r="FX111" i="88"/>
  <c r="FY111" i="88" s="1"/>
  <c r="FW111" i="88"/>
  <c r="FU111" i="88"/>
  <c r="FT111" i="88"/>
  <c r="FS111" i="88"/>
  <c r="EH111" i="88" s="1"/>
  <c r="FP111" i="88"/>
  <c r="FQ111" i="88" s="1"/>
  <c r="FO111" i="88"/>
  <c r="FM111" i="88"/>
  <c r="FL111" i="88"/>
  <c r="FK111" i="88"/>
  <c r="FH111" i="88"/>
  <c r="FI111" i="88" s="1"/>
  <c r="FG111" i="88"/>
  <c r="FE111" i="88"/>
  <c r="FD111" i="88"/>
  <c r="FC111" i="88"/>
  <c r="EZ111" i="88"/>
  <c r="EY111" i="88"/>
  <c r="EW111" i="88"/>
  <c r="EV111" i="88"/>
  <c r="EU111" i="88"/>
  <c r="EO111" i="88"/>
  <c r="EN111" i="88"/>
  <c r="EM111" i="88"/>
  <c r="EI111" i="88"/>
  <c r="EG111" i="88"/>
  <c r="EF111" i="88"/>
  <c r="EA111" i="88"/>
  <c r="EC111" i="88" s="1"/>
  <c r="DX111" i="88"/>
  <c r="DZ111" i="88" s="1"/>
  <c r="DU111" i="88"/>
  <c r="DR111" i="88"/>
  <c r="DM111" i="88"/>
  <c r="DJ111" i="88"/>
  <c r="DC111" i="88"/>
  <c r="DE111" i="88" s="1"/>
  <c r="CZ111" i="88"/>
  <c r="DB111" i="88" s="1"/>
  <c r="CW111" i="88"/>
  <c r="CT111" i="88"/>
  <c r="CO111" i="88"/>
  <c r="CL111" i="88"/>
  <c r="CE111" i="88"/>
  <c r="CG111" i="88" s="1"/>
  <c r="CB111" i="88"/>
  <c r="CD111" i="88" s="1"/>
  <c r="BY111" i="88"/>
  <c r="BV111" i="88"/>
  <c r="BQ111" i="88"/>
  <c r="BN111" i="88"/>
  <c r="BI111" i="88"/>
  <c r="BG111" i="88"/>
  <c r="AI111" i="88" s="1"/>
  <c r="BE111" i="88"/>
  <c r="BD111" i="88"/>
  <c r="BF111" i="88" s="1"/>
  <c r="BA111" i="88"/>
  <c r="AX111" i="88"/>
  <c r="AS111" i="88"/>
  <c r="AP111" i="88"/>
  <c r="AJ111" i="88"/>
  <c r="AH111" i="88"/>
  <c r="AE111" i="88"/>
  <c r="AC111" i="88"/>
  <c r="Y111" i="88"/>
  <c r="W111" i="88" s="1"/>
  <c r="U111" i="88"/>
  <c r="S111" i="88"/>
  <c r="R111" i="88"/>
  <c r="O111" i="88"/>
  <c r="KQ110" i="88"/>
  <c r="KI110" i="88"/>
  <c r="JR110" i="88"/>
  <c r="JQ110" i="88"/>
  <c r="JC110" i="88"/>
  <c r="JY110" i="88" s="1"/>
  <c r="IP110" i="88"/>
  <c r="IN110" i="88"/>
  <c r="IM110" i="88"/>
  <c r="IK110" i="88"/>
  <c r="II110" i="88"/>
  <c r="IG110" i="88"/>
  <c r="IE110" i="88"/>
  <c r="IC110" i="88"/>
  <c r="IA110" i="88"/>
  <c r="HY110" i="88"/>
  <c r="HW110" i="88"/>
  <c r="HU110" i="88"/>
  <c r="HT110" i="88"/>
  <c r="HS110" i="88"/>
  <c r="HP110" i="88"/>
  <c r="JX110" i="88" s="1"/>
  <c r="HO110" i="88"/>
  <c r="HM110" i="88"/>
  <c r="HL110" i="88"/>
  <c r="HK110" i="88"/>
  <c r="HH110" i="88"/>
  <c r="HI110" i="88" s="1"/>
  <c r="HG110" i="88"/>
  <c r="HE110" i="88"/>
  <c r="HD110" i="88"/>
  <c r="HC110" i="88"/>
  <c r="GZ110" i="88"/>
  <c r="HA110" i="88" s="1"/>
  <c r="GY110" i="88"/>
  <c r="GW110" i="88"/>
  <c r="GV110" i="88"/>
  <c r="GU110" i="88"/>
  <c r="GR110" i="88"/>
  <c r="GS110" i="88" s="1"/>
  <c r="GQ110" i="88"/>
  <c r="GO110" i="88"/>
  <c r="GN110" i="88"/>
  <c r="GM110" i="88"/>
  <c r="GJ110" i="88"/>
  <c r="GK110" i="88" s="1"/>
  <c r="GI110" i="88"/>
  <c r="GG110" i="88"/>
  <c r="GF110" i="88"/>
  <c r="GE110" i="88"/>
  <c r="GB110" i="88"/>
  <c r="GC110" i="88" s="1"/>
  <c r="GA110" i="88"/>
  <c r="FY110" i="88"/>
  <c r="FX110" i="88"/>
  <c r="FW110" i="88"/>
  <c r="FT110" i="88"/>
  <c r="FU110" i="88" s="1"/>
  <c r="FS110" i="88"/>
  <c r="FQ110" i="88"/>
  <c r="FP110" i="88"/>
  <c r="FO110" i="88"/>
  <c r="FL110" i="88"/>
  <c r="FM110" i="88" s="1"/>
  <c r="FK110" i="88"/>
  <c r="FI110" i="88"/>
  <c r="FH110" i="88"/>
  <c r="FG110" i="88"/>
  <c r="FD110" i="88"/>
  <c r="FE110" i="88" s="1"/>
  <c r="FC110" i="88"/>
  <c r="FA110" i="88"/>
  <c r="EZ110" i="88"/>
  <c r="EY110" i="88"/>
  <c r="EO110" i="88" s="1"/>
  <c r="EV110" i="88"/>
  <c r="EW110" i="88" s="1"/>
  <c r="EU110" i="88"/>
  <c r="EP110" i="88"/>
  <c r="EN110" i="88"/>
  <c r="EM110" i="88"/>
  <c r="EI110" i="88"/>
  <c r="EH110" i="88"/>
  <c r="EG110" i="88"/>
  <c r="EF110" i="88"/>
  <c r="EC110" i="88"/>
  <c r="EA110" i="88"/>
  <c r="DZ110" i="88"/>
  <c r="DX110" i="88"/>
  <c r="DU110" i="88"/>
  <c r="DR110" i="88"/>
  <c r="DM110" i="88"/>
  <c r="DK110" i="88"/>
  <c r="DJ110" i="88"/>
  <c r="DH110" i="88"/>
  <c r="DE110" i="88"/>
  <c r="DC110" i="88"/>
  <c r="DB110" i="88"/>
  <c r="CZ110" i="88"/>
  <c r="JS110" i="88" s="1"/>
  <c r="CW110" i="88"/>
  <c r="CT110" i="88"/>
  <c r="CO110" i="88"/>
  <c r="CL110" i="88"/>
  <c r="CG110" i="88"/>
  <c r="CC110" i="88"/>
  <c r="CD110" i="88" s="1"/>
  <c r="BY110" i="88"/>
  <c r="BV110" i="88"/>
  <c r="BQ110" i="88"/>
  <c r="BN110" i="88"/>
  <c r="BM110" i="88"/>
  <c r="BI110" i="88"/>
  <c r="BE110" i="88"/>
  <c r="BF110" i="88" s="1"/>
  <c r="BA110" i="88"/>
  <c r="AX110" i="88"/>
  <c r="AS110" i="88"/>
  <c r="AP110" i="88"/>
  <c r="AO110" i="88"/>
  <c r="AJ110" i="88"/>
  <c r="AI110" i="88"/>
  <c r="AK110" i="88" s="1"/>
  <c r="AH110" i="88"/>
  <c r="AD110" i="88"/>
  <c r="AC110" i="88"/>
  <c r="Y110" i="88"/>
  <c r="W110" i="88" s="1"/>
  <c r="V110" i="88"/>
  <c r="U110" i="88"/>
  <c r="S110" i="88" s="1"/>
  <c r="R110" i="88"/>
  <c r="O110" i="88"/>
  <c r="KQ109" i="88"/>
  <c r="JR109" i="88"/>
  <c r="JQ109" i="88"/>
  <c r="JC109" i="88"/>
  <c r="IP109" i="88"/>
  <c r="IN109" i="88"/>
  <c r="IM109" i="88"/>
  <c r="IJ109" i="88"/>
  <c r="IK109" i="88" s="1"/>
  <c r="II109" i="88"/>
  <c r="IG109" i="88"/>
  <c r="IF109" i="88"/>
  <c r="IE109" i="88"/>
  <c r="IB109" i="88"/>
  <c r="IC109" i="88" s="1"/>
  <c r="IA109" i="88"/>
  <c r="HY109" i="88"/>
  <c r="HX109" i="88"/>
  <c r="HW109" i="88"/>
  <c r="HT109" i="88"/>
  <c r="HS109" i="88"/>
  <c r="HQ109" i="88"/>
  <c r="HP109" i="88"/>
  <c r="JX109" i="88" s="1"/>
  <c r="HO109" i="88"/>
  <c r="HL109" i="88"/>
  <c r="HM109" i="88" s="1"/>
  <c r="HK109" i="88"/>
  <c r="HI109" i="88"/>
  <c r="HH109" i="88"/>
  <c r="HG109" i="88"/>
  <c r="HD109" i="88"/>
  <c r="HE109" i="88" s="1"/>
  <c r="HC109" i="88"/>
  <c r="HA109" i="88"/>
  <c r="GZ109" i="88"/>
  <c r="GY109" i="88"/>
  <c r="GV109" i="88"/>
  <c r="GW109" i="88" s="1"/>
  <c r="GU109" i="88"/>
  <c r="GS109" i="88"/>
  <c r="GR109" i="88"/>
  <c r="GQ109" i="88"/>
  <c r="GN109" i="88"/>
  <c r="GO109" i="88" s="1"/>
  <c r="GM109" i="88"/>
  <c r="GK109" i="88"/>
  <c r="GJ109" i="88"/>
  <c r="GI109" i="88"/>
  <c r="GF109" i="88"/>
  <c r="GG109" i="88" s="1"/>
  <c r="GE109" i="88"/>
  <c r="GC109" i="88"/>
  <c r="GB109" i="88"/>
  <c r="GA109" i="88"/>
  <c r="FX109" i="88"/>
  <c r="FY109" i="88" s="1"/>
  <c r="FW109" i="88"/>
  <c r="FU109" i="88"/>
  <c r="FT109" i="88"/>
  <c r="FS109" i="88"/>
  <c r="FP109" i="88"/>
  <c r="FQ109" i="88" s="1"/>
  <c r="FO109" i="88"/>
  <c r="FM109" i="88"/>
  <c r="FL109" i="88"/>
  <c r="FK109" i="88"/>
  <c r="FH109" i="88"/>
  <c r="FI109" i="88" s="1"/>
  <c r="FG109" i="88"/>
  <c r="FE109" i="88"/>
  <c r="FD109" i="88"/>
  <c r="FC109" i="88"/>
  <c r="EZ109" i="88"/>
  <c r="EY109" i="88"/>
  <c r="EW109" i="88"/>
  <c r="EV109" i="88"/>
  <c r="EU109" i="88"/>
  <c r="EH109" i="88" s="1"/>
  <c r="EO109" i="88"/>
  <c r="EN109" i="88"/>
  <c r="EM109" i="88"/>
  <c r="EI109" i="88"/>
  <c r="EG109" i="88"/>
  <c r="EF109" i="88"/>
  <c r="EA109" i="88"/>
  <c r="EC109" i="88" s="1"/>
  <c r="DX109" i="88"/>
  <c r="DZ109" i="88" s="1"/>
  <c r="DU109" i="88"/>
  <c r="DR109" i="88"/>
  <c r="DM109" i="88"/>
  <c r="DJ109" i="88"/>
  <c r="DC109" i="88"/>
  <c r="DE109" i="88" s="1"/>
  <c r="CZ109" i="88"/>
  <c r="DB109" i="88" s="1"/>
  <c r="CW109" i="88"/>
  <c r="CT109" i="88"/>
  <c r="CO109" i="88"/>
  <c r="CL109" i="88"/>
  <c r="CE109" i="88"/>
  <c r="CG109" i="88" s="1"/>
  <c r="CB109" i="88"/>
  <c r="BY109" i="88"/>
  <c r="BV109" i="88"/>
  <c r="BQ109" i="88"/>
  <c r="BN109" i="88"/>
  <c r="BH109" i="88"/>
  <c r="BI109" i="88" s="1"/>
  <c r="BG109" i="88"/>
  <c r="JT109" i="88" s="1"/>
  <c r="BF109" i="88"/>
  <c r="BD109" i="88"/>
  <c r="BA109" i="88"/>
  <c r="AX109" i="88"/>
  <c r="AS109" i="88"/>
  <c r="AP109" i="88"/>
  <c r="AI109" i="88"/>
  <c r="AH109" i="88"/>
  <c r="AE109" i="88"/>
  <c r="AD109" i="88"/>
  <c r="Y109" i="88"/>
  <c r="W109" i="88" s="1"/>
  <c r="V109" i="88"/>
  <c r="U109" i="88"/>
  <c r="S109" i="88" s="1"/>
  <c r="Q109" i="88"/>
  <c r="R109" i="88" s="1"/>
  <c r="O109" i="88"/>
  <c r="D109" i="88"/>
  <c r="KQ108" i="88"/>
  <c r="JR108" i="88"/>
  <c r="JQ108" i="88"/>
  <c r="JC108" i="88"/>
  <c r="IP108" i="88"/>
  <c r="JX108" i="88" s="1"/>
  <c r="IN108" i="88"/>
  <c r="IM108" i="88"/>
  <c r="IJ108" i="88"/>
  <c r="IK108" i="88" s="1"/>
  <c r="II108" i="88"/>
  <c r="IG108" i="88"/>
  <c r="IF108" i="88"/>
  <c r="IE108" i="88"/>
  <c r="IC108" i="88"/>
  <c r="IB108" i="88"/>
  <c r="IA108" i="88"/>
  <c r="HY108" i="88"/>
  <c r="HX108" i="88"/>
  <c r="HW108" i="88"/>
  <c r="HT108" i="88"/>
  <c r="HS108" i="88"/>
  <c r="HQ108" i="88"/>
  <c r="HP108" i="88"/>
  <c r="HO108" i="88"/>
  <c r="HM108" i="88"/>
  <c r="HL108" i="88"/>
  <c r="HK108" i="88"/>
  <c r="HI108" i="88"/>
  <c r="HH108" i="88"/>
  <c r="HG108" i="88"/>
  <c r="HD108" i="88"/>
  <c r="HE108" i="88" s="1"/>
  <c r="HC108" i="88"/>
  <c r="HA108" i="88"/>
  <c r="GZ108" i="88"/>
  <c r="GY108" i="88"/>
  <c r="GW108" i="88"/>
  <c r="GV108" i="88"/>
  <c r="GU108" i="88"/>
  <c r="GS108" i="88"/>
  <c r="GR108" i="88"/>
  <c r="GQ108" i="88"/>
  <c r="GN108" i="88"/>
  <c r="GO108" i="88" s="1"/>
  <c r="GM108" i="88"/>
  <c r="GK108" i="88"/>
  <c r="GJ108" i="88"/>
  <c r="GI108" i="88"/>
  <c r="GG108" i="88"/>
  <c r="GF108" i="88"/>
  <c r="GE108" i="88"/>
  <c r="GC108" i="88"/>
  <c r="GB108" i="88"/>
  <c r="GA108" i="88"/>
  <c r="FX108" i="88"/>
  <c r="FY108" i="88" s="1"/>
  <c r="FW108" i="88"/>
  <c r="FU108" i="88"/>
  <c r="FT108" i="88"/>
  <c r="FS108" i="88"/>
  <c r="FQ108" i="88"/>
  <c r="FP108" i="88"/>
  <c r="FO108" i="88"/>
  <c r="FM108" i="88"/>
  <c r="FL108" i="88"/>
  <c r="FK108" i="88"/>
  <c r="FH108" i="88"/>
  <c r="FG108" i="88"/>
  <c r="EO108" i="88" s="1"/>
  <c r="FE108" i="88"/>
  <c r="FD108" i="88"/>
  <c r="FC108" i="88"/>
  <c r="JS108" i="88" s="1"/>
  <c r="FA108" i="88"/>
  <c r="EZ108" i="88"/>
  <c r="EY108" i="88"/>
  <c r="EW108" i="88"/>
  <c r="EV108" i="88"/>
  <c r="EI108" i="88" s="1"/>
  <c r="EU108" i="88"/>
  <c r="EN108" i="88"/>
  <c r="EM108" i="88"/>
  <c r="EG108" i="88"/>
  <c r="EF108" i="88"/>
  <c r="EA108" i="88"/>
  <c r="EC108" i="88" s="1"/>
  <c r="DZ108" i="88"/>
  <c r="DX108" i="88"/>
  <c r="DU108" i="88"/>
  <c r="DR108" i="88"/>
  <c r="DM108" i="88"/>
  <c r="DJ108" i="88"/>
  <c r="DC108" i="88"/>
  <c r="DE108" i="88" s="1"/>
  <c r="DB108" i="88"/>
  <c r="CZ108" i="88"/>
  <c r="CW108" i="88"/>
  <c r="CT108" i="88"/>
  <c r="CO108" i="88"/>
  <c r="CL108" i="88"/>
  <c r="CE108" i="88"/>
  <c r="CG108" i="88" s="1"/>
  <c r="CD108" i="88"/>
  <c r="CB108" i="88"/>
  <c r="BY108" i="88"/>
  <c r="BV108" i="88"/>
  <c r="BQ108" i="88"/>
  <c r="BN108" i="88"/>
  <c r="BG108" i="88"/>
  <c r="BF108" i="88"/>
  <c r="BE108" i="88"/>
  <c r="BD108" i="88"/>
  <c r="BA108" i="88"/>
  <c r="AX108" i="88"/>
  <c r="AS108" i="88"/>
  <c r="AP108" i="88"/>
  <c r="AJ108" i="88"/>
  <c r="AE108" i="88"/>
  <c r="AD108" i="88"/>
  <c r="AF108" i="88" s="1"/>
  <c r="AC108" i="88"/>
  <c r="Y108" i="88"/>
  <c r="W108" i="88" s="1"/>
  <c r="V108" i="88"/>
  <c r="U108" i="88"/>
  <c r="S108" i="88" s="1"/>
  <c r="R108" i="88"/>
  <c r="Q108" i="88"/>
  <c r="N108" i="88"/>
  <c r="O108" i="88" s="1"/>
  <c r="D108" i="88"/>
  <c r="KP107" i="88"/>
  <c r="KQ107" i="88" s="1"/>
  <c r="JR107" i="88"/>
  <c r="JQ107" i="88"/>
  <c r="JC107" i="88"/>
  <c r="IP107" i="88"/>
  <c r="JX107" i="88" s="1"/>
  <c r="IN107" i="88"/>
  <c r="IM107" i="88"/>
  <c r="IK107" i="88"/>
  <c r="II107" i="88"/>
  <c r="IG107" i="88"/>
  <c r="IE107" i="88"/>
  <c r="IC107" i="88"/>
  <c r="IA107" i="88"/>
  <c r="HY107" i="88"/>
  <c r="HW107" i="88"/>
  <c r="HT107" i="88"/>
  <c r="HS107" i="88"/>
  <c r="HP107" i="88"/>
  <c r="HQ107" i="88" s="1"/>
  <c r="HO107" i="88"/>
  <c r="HM107" i="88"/>
  <c r="HL107" i="88"/>
  <c r="HK107" i="88"/>
  <c r="HI107" i="88"/>
  <c r="HH107" i="88"/>
  <c r="HG107" i="88"/>
  <c r="HD107" i="88"/>
  <c r="HE107" i="88" s="1"/>
  <c r="HC107" i="88"/>
  <c r="HA107" i="88"/>
  <c r="GZ107" i="88"/>
  <c r="GY107" i="88"/>
  <c r="GW107" i="88"/>
  <c r="GV107" i="88"/>
  <c r="GU107" i="88"/>
  <c r="GS107" i="88"/>
  <c r="GR107" i="88"/>
  <c r="GQ107" i="88"/>
  <c r="GN107" i="88"/>
  <c r="GO107" i="88" s="1"/>
  <c r="GM107" i="88"/>
  <c r="GK107" i="88"/>
  <c r="GJ107" i="88"/>
  <c r="GI107" i="88"/>
  <c r="GG107" i="88"/>
  <c r="GF107" i="88"/>
  <c r="GE107" i="88"/>
  <c r="GC107" i="88"/>
  <c r="GB107" i="88"/>
  <c r="GA107" i="88"/>
  <c r="FX107" i="88"/>
  <c r="FY107" i="88" s="1"/>
  <c r="FW107" i="88"/>
  <c r="FU107" i="88"/>
  <c r="FT107" i="88"/>
  <c r="FS107" i="88"/>
  <c r="FQ107" i="88"/>
  <c r="FP107" i="88"/>
  <c r="FO107" i="88"/>
  <c r="FM107" i="88"/>
  <c r="FL107" i="88"/>
  <c r="FK107" i="88"/>
  <c r="FH107" i="88"/>
  <c r="FG107" i="88"/>
  <c r="FE107" i="88"/>
  <c r="FD107" i="88"/>
  <c r="FC107" i="88"/>
  <c r="JS107" i="88" s="1"/>
  <c r="FA107" i="88"/>
  <c r="EZ107" i="88"/>
  <c r="EY107" i="88"/>
  <c r="EW107" i="88"/>
  <c r="EV107" i="88"/>
  <c r="EI107" i="88" s="1"/>
  <c r="EU107" i="88"/>
  <c r="EO107" i="88"/>
  <c r="EN107" i="88"/>
  <c r="EM107" i="88"/>
  <c r="EH107" i="88"/>
  <c r="EG107" i="88"/>
  <c r="EF107" i="88"/>
  <c r="EC107" i="88"/>
  <c r="DZ107" i="88"/>
  <c r="DU107" i="88"/>
  <c r="DR107" i="88"/>
  <c r="DM107" i="88"/>
  <c r="DJ107" i="88"/>
  <c r="DE107" i="88"/>
  <c r="DB107" i="88"/>
  <c r="CW107" i="88"/>
  <c r="CT107" i="88"/>
  <c r="CO107" i="88"/>
  <c r="CL107" i="88"/>
  <c r="CJ107" i="88"/>
  <c r="CG107" i="88"/>
  <c r="CD107" i="88"/>
  <c r="BY107" i="88"/>
  <c r="BV107" i="88"/>
  <c r="BQ107" i="88"/>
  <c r="BN107" i="88"/>
  <c r="BI107" i="88"/>
  <c r="BF107" i="88"/>
  <c r="BA107" i="88"/>
  <c r="AX107" i="88"/>
  <c r="AS107" i="88"/>
  <c r="AO107" i="88"/>
  <c r="AJ107" i="88"/>
  <c r="AK107" i="88" s="1"/>
  <c r="AI107" i="88"/>
  <c r="AH107" i="88"/>
  <c r="AD107" i="88"/>
  <c r="AC107" i="88"/>
  <c r="Y107" i="88"/>
  <c r="W107" i="88" s="1"/>
  <c r="U107" i="88"/>
  <c r="S107" i="88" s="1"/>
  <c r="R107" i="88"/>
  <c r="O107" i="88"/>
  <c r="D107" i="88"/>
  <c r="KQ106" i="88"/>
  <c r="KP106" i="88"/>
  <c r="JR106" i="88"/>
  <c r="JQ106" i="88"/>
  <c r="JC106" i="88"/>
  <c r="IP106" i="88"/>
  <c r="IN106" i="88"/>
  <c r="IM106" i="88"/>
  <c r="IK106" i="88"/>
  <c r="II106" i="88"/>
  <c r="IG106" i="88"/>
  <c r="IE106" i="88"/>
  <c r="IC106" i="88"/>
  <c r="IA106" i="88"/>
  <c r="HY106" i="88"/>
  <c r="HW106" i="88"/>
  <c r="HU106" i="88"/>
  <c r="HT106" i="88"/>
  <c r="HS106" i="88"/>
  <c r="HQ106" i="88"/>
  <c r="HP106" i="88"/>
  <c r="HO106" i="88"/>
  <c r="HL106" i="88"/>
  <c r="HM106" i="88" s="1"/>
  <c r="HK106" i="88"/>
  <c r="HI106" i="88"/>
  <c r="HH106" i="88"/>
  <c r="HG106" i="88"/>
  <c r="HE106" i="88"/>
  <c r="HD106" i="88"/>
  <c r="HC106" i="88"/>
  <c r="HA106" i="88"/>
  <c r="GZ106" i="88"/>
  <c r="GY106" i="88"/>
  <c r="GV106" i="88"/>
  <c r="GW106" i="88" s="1"/>
  <c r="GU106" i="88"/>
  <c r="GS106" i="88"/>
  <c r="GR106" i="88"/>
  <c r="GQ106" i="88"/>
  <c r="GN106" i="88"/>
  <c r="GO106" i="88" s="1"/>
  <c r="GM106" i="88"/>
  <c r="GK106" i="88"/>
  <c r="GJ106" i="88"/>
  <c r="GI106" i="88"/>
  <c r="GF106" i="88"/>
  <c r="GG106" i="88" s="1"/>
  <c r="GE106" i="88"/>
  <c r="GC106" i="88"/>
  <c r="GB106" i="88"/>
  <c r="GA106" i="88"/>
  <c r="FX106" i="88"/>
  <c r="FY106" i="88" s="1"/>
  <c r="FW106" i="88"/>
  <c r="FU106" i="88"/>
  <c r="FT106" i="88"/>
  <c r="FS106" i="88"/>
  <c r="FP106" i="88"/>
  <c r="FQ106" i="88" s="1"/>
  <c r="FO106" i="88"/>
  <c r="FM106" i="88"/>
  <c r="FL106" i="88"/>
  <c r="FK106" i="88"/>
  <c r="FH106" i="88"/>
  <c r="FI106" i="88" s="1"/>
  <c r="FG106" i="88"/>
  <c r="FE106" i="88"/>
  <c r="FD106" i="88"/>
  <c r="FC106" i="88"/>
  <c r="EZ106" i="88"/>
  <c r="EY106" i="88"/>
  <c r="JT106" i="88" s="1"/>
  <c r="EW106" i="88"/>
  <c r="EV106" i="88"/>
  <c r="EU106" i="88"/>
  <c r="EO106" i="88"/>
  <c r="EN106" i="88"/>
  <c r="EM106" i="88"/>
  <c r="EI106" i="88"/>
  <c r="EG106" i="88"/>
  <c r="EF106" i="88"/>
  <c r="EC106" i="88"/>
  <c r="DZ106" i="88"/>
  <c r="DU106" i="88"/>
  <c r="DR106" i="88"/>
  <c r="DM106" i="88"/>
  <c r="DJ106" i="88"/>
  <c r="DE106" i="88"/>
  <c r="DB106" i="88"/>
  <c r="CW106" i="88"/>
  <c r="CT106" i="88"/>
  <c r="CO106" i="88"/>
  <c r="CL106" i="88"/>
  <c r="CJ106" i="88"/>
  <c r="CG106" i="88"/>
  <c r="CD106" i="88"/>
  <c r="BY106" i="88"/>
  <c r="BV106" i="88"/>
  <c r="BQ106" i="88"/>
  <c r="BN106" i="88"/>
  <c r="BI106" i="88"/>
  <c r="BF106" i="88"/>
  <c r="BA106" i="88"/>
  <c r="AX106" i="88"/>
  <c r="AS106" i="88"/>
  <c r="AP106" i="88"/>
  <c r="AJ106" i="88"/>
  <c r="AI106" i="88"/>
  <c r="AK106" i="88" s="1"/>
  <c r="AH106" i="88"/>
  <c r="AE106" i="88"/>
  <c r="AD106" i="88"/>
  <c r="AC106" i="88"/>
  <c r="Y106" i="88"/>
  <c r="W106" i="88" s="1"/>
  <c r="V106" i="88"/>
  <c r="U106" i="88"/>
  <c r="S106" i="88" s="1"/>
  <c r="R106" i="88"/>
  <c r="O106" i="88"/>
  <c r="KQ105" i="88"/>
  <c r="KP105" i="88"/>
  <c r="JR105" i="88"/>
  <c r="JQ105" i="88"/>
  <c r="JC105" i="88"/>
  <c r="IP105" i="88"/>
  <c r="IN105" i="88"/>
  <c r="IM105" i="88"/>
  <c r="IK105" i="88"/>
  <c r="II105" i="88"/>
  <c r="IG105" i="88"/>
  <c r="IE105" i="88"/>
  <c r="IC105" i="88"/>
  <c r="IA105" i="88"/>
  <c r="HY105" i="88"/>
  <c r="HW105" i="88"/>
  <c r="HU105" i="88"/>
  <c r="HT105" i="88"/>
  <c r="HS105" i="88"/>
  <c r="HQ105" i="88"/>
  <c r="HP105" i="88"/>
  <c r="HO105" i="88"/>
  <c r="HM105" i="88"/>
  <c r="HL105" i="88"/>
  <c r="HK105" i="88"/>
  <c r="HH105" i="88"/>
  <c r="HI105" i="88" s="1"/>
  <c r="HG105" i="88"/>
  <c r="HE105" i="88"/>
  <c r="HD105" i="88"/>
  <c r="HC105" i="88"/>
  <c r="HA105" i="88"/>
  <c r="GZ105" i="88"/>
  <c r="GY105" i="88"/>
  <c r="GW105" i="88"/>
  <c r="GV105" i="88"/>
  <c r="GU105" i="88"/>
  <c r="GR105" i="88"/>
  <c r="GS105" i="88" s="1"/>
  <c r="GQ105" i="88"/>
  <c r="GN105" i="88"/>
  <c r="GO105" i="88" s="1"/>
  <c r="GM105" i="88"/>
  <c r="GK105" i="88"/>
  <c r="GJ105" i="88"/>
  <c r="GI105" i="88"/>
  <c r="GG105" i="88"/>
  <c r="GF105" i="88"/>
  <c r="GE105" i="88"/>
  <c r="GB105" i="88"/>
  <c r="GC105" i="88" s="1"/>
  <c r="GA105" i="88"/>
  <c r="FX105" i="88"/>
  <c r="FY105" i="88" s="1"/>
  <c r="FW105" i="88"/>
  <c r="FU105" i="88"/>
  <c r="FT105" i="88"/>
  <c r="FS105" i="88"/>
  <c r="FQ105" i="88"/>
  <c r="FP105" i="88"/>
  <c r="FO105" i="88"/>
  <c r="FL105" i="88"/>
  <c r="FM105" i="88" s="1"/>
  <c r="FK105" i="88"/>
  <c r="FH105" i="88"/>
  <c r="FI105" i="88" s="1"/>
  <c r="FG105" i="88"/>
  <c r="FE105" i="88"/>
  <c r="FD105" i="88"/>
  <c r="FC105" i="88"/>
  <c r="FA105" i="88"/>
  <c r="EZ105" i="88"/>
  <c r="EY105" i="88"/>
  <c r="EV105" i="88"/>
  <c r="EU105" i="88"/>
  <c r="EH105" i="88" s="1"/>
  <c r="EP105" i="88"/>
  <c r="EN105" i="88"/>
  <c r="EM105" i="88"/>
  <c r="EG105" i="88"/>
  <c r="EF105" i="88"/>
  <c r="EC105" i="88"/>
  <c r="DZ105" i="88"/>
  <c r="DU105" i="88"/>
  <c r="DR105" i="88"/>
  <c r="DM105" i="88"/>
  <c r="DJ105" i="88"/>
  <c r="DE105" i="88"/>
  <c r="DB105" i="88"/>
  <c r="CW105" i="88"/>
  <c r="CT105" i="88"/>
  <c r="CO105" i="88"/>
  <c r="CL105" i="88"/>
  <c r="CJ105" i="88"/>
  <c r="CG105" i="88"/>
  <c r="CD105" i="88"/>
  <c r="BY105" i="88"/>
  <c r="BV105" i="88"/>
  <c r="BQ105" i="88"/>
  <c r="BN105" i="88"/>
  <c r="BI105" i="88"/>
  <c r="BF105" i="88"/>
  <c r="BA105" i="88"/>
  <c r="AX105" i="88"/>
  <c r="AS105" i="88"/>
  <c r="AP105" i="88"/>
  <c r="AJ105" i="88"/>
  <c r="AK105" i="88" s="1"/>
  <c r="AI105" i="88"/>
  <c r="AH105" i="88"/>
  <c r="AE105" i="88"/>
  <c r="AD105" i="88"/>
  <c r="AC105" i="88"/>
  <c r="Y105" i="88"/>
  <c r="W105" i="88"/>
  <c r="V105" i="88"/>
  <c r="U105" i="88"/>
  <c r="S105" i="88" s="1"/>
  <c r="R105" i="88"/>
  <c r="O105" i="88"/>
  <c r="KP104" i="88"/>
  <c r="KL104" i="88"/>
  <c r="KQ104" i="88" s="1"/>
  <c r="JT104" i="88"/>
  <c r="JR104" i="88"/>
  <c r="JQ104" i="88"/>
  <c r="JC104" i="88"/>
  <c r="JY104" i="88" s="1"/>
  <c r="IP104" i="88"/>
  <c r="JX104" i="88" s="1"/>
  <c r="IK104" i="88"/>
  <c r="IG104" i="88"/>
  <c r="IC104" i="88"/>
  <c r="HY104" i="88"/>
  <c r="HU104" i="88"/>
  <c r="HQ104" i="88"/>
  <c r="HM104" i="88"/>
  <c r="HI104" i="88"/>
  <c r="HE104" i="88"/>
  <c r="HA104" i="88"/>
  <c r="GW104" i="88"/>
  <c r="GS104" i="88"/>
  <c r="GO104" i="88"/>
  <c r="GK104" i="88"/>
  <c r="GG104" i="88"/>
  <c r="GC104" i="88"/>
  <c r="FY104" i="88"/>
  <c r="FU104" i="88"/>
  <c r="FQ104" i="88"/>
  <c r="FM104" i="88"/>
  <c r="FI104" i="88"/>
  <c r="FH104" i="88"/>
  <c r="FG104" i="88"/>
  <c r="EO104" i="88" s="1"/>
  <c r="FE104" i="88"/>
  <c r="FD104" i="88"/>
  <c r="FC104" i="88"/>
  <c r="FA104" i="88"/>
  <c r="EZ104" i="88"/>
  <c r="EY104" i="88"/>
  <c r="EV104" i="88"/>
  <c r="EU104" i="88"/>
  <c r="JS104" i="88" s="1"/>
  <c r="EP104" i="88"/>
  <c r="EN104" i="88"/>
  <c r="EM104" i="88"/>
  <c r="EG104" i="88"/>
  <c r="EF104" i="88"/>
  <c r="EC104" i="88"/>
  <c r="DZ104" i="88"/>
  <c r="DU104" i="88"/>
  <c r="DR104" i="88"/>
  <c r="DM104" i="88"/>
  <c r="DJ104" i="88"/>
  <c r="DE104" i="88"/>
  <c r="DB104" i="88"/>
  <c r="CW104" i="88"/>
  <c r="CT104" i="88"/>
  <c r="CO104" i="88"/>
  <c r="CL104" i="88"/>
  <c r="CG104" i="88"/>
  <c r="CD104" i="88"/>
  <c r="BY104" i="88"/>
  <c r="BV104" i="88"/>
  <c r="BQ104" i="88"/>
  <c r="BN104" i="88"/>
  <c r="BI104" i="88"/>
  <c r="BF104" i="88"/>
  <c r="BA104" i="88"/>
  <c r="AZ104" i="88"/>
  <c r="AX104" i="88"/>
  <c r="AW104" i="88"/>
  <c r="AS104" i="88"/>
  <c r="AP104" i="88"/>
  <c r="AJ104" i="88"/>
  <c r="AK104" i="88" s="1"/>
  <c r="AI104" i="88"/>
  <c r="AH104" i="88"/>
  <c r="AE104" i="88"/>
  <c r="AD104" i="88"/>
  <c r="AC104" i="88"/>
  <c r="Y104" i="88"/>
  <c r="W104" i="88" s="1"/>
  <c r="U104" i="88"/>
  <c r="S104" i="88" s="1"/>
  <c r="R104" i="88"/>
  <c r="O104" i="88"/>
  <c r="KN103" i="88"/>
  <c r="KM103" i="88"/>
  <c r="KL103" i="88"/>
  <c r="JR103" i="88"/>
  <c r="JQ103" i="88"/>
  <c r="JC103" i="88"/>
  <c r="IP103" i="88"/>
  <c r="IN103" i="88"/>
  <c r="IM103" i="88"/>
  <c r="IK103" i="88"/>
  <c r="IJ103" i="88"/>
  <c r="II103" i="88"/>
  <c r="IG103" i="88"/>
  <c r="IF103" i="88"/>
  <c r="IE103" i="88"/>
  <c r="IB103" i="88"/>
  <c r="IA103" i="88"/>
  <c r="HY103" i="88"/>
  <c r="HX103" i="88"/>
  <c r="HW103" i="88"/>
  <c r="HU103" i="88"/>
  <c r="HT103" i="88"/>
  <c r="HS103" i="88"/>
  <c r="HQ103" i="88"/>
  <c r="HP103" i="88"/>
  <c r="HO103" i="88"/>
  <c r="HL103" i="88"/>
  <c r="HM103" i="88" s="1"/>
  <c r="KA103" i="88" s="1"/>
  <c r="KD103" i="88" s="1"/>
  <c r="HK103" i="88"/>
  <c r="HI103" i="88"/>
  <c r="HH103" i="88"/>
  <c r="HG103" i="88"/>
  <c r="HE103" i="88"/>
  <c r="HD103" i="88"/>
  <c r="HC103" i="88"/>
  <c r="HA103" i="88"/>
  <c r="GZ103" i="88"/>
  <c r="GY103" i="88"/>
  <c r="GV103" i="88"/>
  <c r="GW103" i="88" s="1"/>
  <c r="GU103" i="88"/>
  <c r="GS103" i="88"/>
  <c r="GR103" i="88"/>
  <c r="GQ103" i="88"/>
  <c r="GO103" i="88"/>
  <c r="GN103" i="88"/>
  <c r="GM103" i="88"/>
  <c r="GK103" i="88"/>
  <c r="GJ103" i="88"/>
  <c r="GI103" i="88"/>
  <c r="GF103" i="88"/>
  <c r="GG103" i="88" s="1"/>
  <c r="GE103" i="88"/>
  <c r="GC103" i="88"/>
  <c r="GB103" i="88"/>
  <c r="GA103" i="88"/>
  <c r="EH103" i="88" s="1"/>
  <c r="FY103" i="88"/>
  <c r="FX103" i="88"/>
  <c r="FW103" i="88"/>
  <c r="FU103" i="88"/>
  <c r="FQ103" i="88"/>
  <c r="FM103" i="88"/>
  <c r="FH103" i="88"/>
  <c r="FG103" i="88"/>
  <c r="EO103" i="88" s="1"/>
  <c r="FE103" i="88"/>
  <c r="FD103" i="88"/>
  <c r="FC103" i="88"/>
  <c r="FA103" i="88"/>
  <c r="EZ103" i="88"/>
  <c r="EY103" i="88"/>
  <c r="EW103" i="88"/>
  <c r="EV103" i="88"/>
  <c r="EI103" i="88" s="1"/>
  <c r="EU103" i="88"/>
  <c r="EN103" i="88"/>
  <c r="EM103" i="88"/>
  <c r="EG103" i="88"/>
  <c r="EF103" i="88"/>
  <c r="EA103" i="88"/>
  <c r="EC103" i="88" s="1"/>
  <c r="DZ103" i="88"/>
  <c r="DX103" i="88"/>
  <c r="DU103" i="88"/>
  <c r="DR103" i="88"/>
  <c r="DM103" i="88"/>
  <c r="DJ103" i="88"/>
  <c r="DC103" i="88"/>
  <c r="DE103" i="88" s="1"/>
  <c r="DB103" i="88"/>
  <c r="CZ103" i="88"/>
  <c r="CW103" i="88"/>
  <c r="CT103" i="88"/>
  <c r="CO103" i="88"/>
  <c r="CL103" i="88"/>
  <c r="CE103" i="88"/>
  <c r="CD103" i="88"/>
  <c r="CB103" i="88"/>
  <c r="BY103" i="88"/>
  <c r="BV103" i="88"/>
  <c r="BQ103" i="88"/>
  <c r="BN103" i="88"/>
  <c r="BI103" i="88"/>
  <c r="BF103" i="88"/>
  <c r="BA103" i="88"/>
  <c r="AZ103" i="88"/>
  <c r="AW103" i="88"/>
  <c r="AX103" i="88" s="1"/>
  <c r="AS103" i="88"/>
  <c r="AP103" i="88"/>
  <c r="AJ103" i="88"/>
  <c r="AE103" i="88"/>
  <c r="AD103" i="88"/>
  <c r="AC103" i="88"/>
  <c r="Y103" i="88"/>
  <c r="W103" i="88" s="1"/>
  <c r="V103" i="88"/>
  <c r="U103" i="88"/>
  <c r="S103" i="88" s="1"/>
  <c r="R103" i="88"/>
  <c r="O103" i="88"/>
  <c r="KN102" i="88"/>
  <c r="KM102" i="88"/>
  <c r="KL102" i="88"/>
  <c r="KQ102" i="88" s="1"/>
  <c r="JR102" i="88"/>
  <c r="JQ102" i="88"/>
  <c r="JC102" i="88"/>
  <c r="IP102" i="88"/>
  <c r="IN102" i="88"/>
  <c r="IM102" i="88"/>
  <c r="IK102" i="88"/>
  <c r="II102" i="88"/>
  <c r="IG102" i="88"/>
  <c r="IE102" i="88"/>
  <c r="IC102" i="88"/>
  <c r="IB102" i="88"/>
  <c r="IA102" i="88"/>
  <c r="HY102" i="88"/>
  <c r="HX102" i="88"/>
  <c r="HW102" i="88"/>
  <c r="HT102" i="88"/>
  <c r="HS102" i="88"/>
  <c r="HQ102" i="88"/>
  <c r="HP102" i="88"/>
  <c r="HO102" i="88"/>
  <c r="HM102" i="88"/>
  <c r="HL102" i="88"/>
  <c r="HK102" i="88"/>
  <c r="HI102" i="88"/>
  <c r="KA102" i="88" s="1"/>
  <c r="KD102" i="88" s="1"/>
  <c r="HH102" i="88"/>
  <c r="HG102" i="88"/>
  <c r="HD102" i="88"/>
  <c r="HE102" i="88" s="1"/>
  <c r="HC102" i="88"/>
  <c r="HA102" i="88"/>
  <c r="GZ102" i="88"/>
  <c r="GY102" i="88"/>
  <c r="GW102" i="88"/>
  <c r="GV102" i="88"/>
  <c r="GU102" i="88"/>
  <c r="GS102" i="88"/>
  <c r="GR102" i="88"/>
  <c r="GQ102" i="88"/>
  <c r="GN102" i="88"/>
  <c r="GO102" i="88" s="1"/>
  <c r="GM102" i="88"/>
  <c r="GK102" i="88"/>
  <c r="GJ102" i="88"/>
  <c r="GI102" i="88"/>
  <c r="GG102" i="88"/>
  <c r="GF102" i="88"/>
  <c r="GE102" i="88"/>
  <c r="GC102" i="88"/>
  <c r="GB102" i="88"/>
  <c r="GA102" i="88"/>
  <c r="FX102" i="88"/>
  <c r="FY102" i="88" s="1"/>
  <c r="FW102" i="88"/>
  <c r="FU102" i="88"/>
  <c r="FP102" i="88"/>
  <c r="FQ102" i="88" s="1"/>
  <c r="FO102" i="88"/>
  <c r="FM102" i="88"/>
  <c r="FL102" i="88"/>
  <c r="FK102" i="88"/>
  <c r="FI102" i="88"/>
  <c r="FH102" i="88"/>
  <c r="FG102" i="88"/>
  <c r="FE102" i="88"/>
  <c r="FD102" i="88"/>
  <c r="FC102" i="88"/>
  <c r="EZ102" i="88"/>
  <c r="EY102" i="88"/>
  <c r="EW102" i="88"/>
  <c r="EV102" i="88"/>
  <c r="EU102" i="88"/>
  <c r="EH102" i="88" s="1"/>
  <c r="EO102" i="88"/>
  <c r="EN102" i="88"/>
  <c r="EM102" i="88"/>
  <c r="EI102" i="88"/>
  <c r="EG102" i="88"/>
  <c r="EF102" i="88"/>
  <c r="EC102" i="88"/>
  <c r="DZ102" i="88"/>
  <c r="DS102" i="88"/>
  <c r="DU102" i="88" s="1"/>
  <c r="DR102" i="88"/>
  <c r="DP102" i="88"/>
  <c r="DM102" i="88"/>
  <c r="DJ102" i="88"/>
  <c r="DE102" i="88"/>
  <c r="DB102" i="88"/>
  <c r="CU102" i="88"/>
  <c r="CW102" i="88" s="1"/>
  <c r="CT102" i="88"/>
  <c r="CR102" i="88"/>
  <c r="CO102" i="88"/>
  <c r="CL102" i="88"/>
  <c r="CG102" i="88"/>
  <c r="CD102" i="88"/>
  <c r="BW102" i="88"/>
  <c r="BV102" i="88"/>
  <c r="BT102" i="88"/>
  <c r="AC102" i="88" s="1"/>
  <c r="BQ102" i="88"/>
  <c r="BN102" i="88"/>
  <c r="BM102" i="88"/>
  <c r="BN138" i="88" s="1"/>
  <c r="BI102" i="88"/>
  <c r="BE102" i="88"/>
  <c r="BA102" i="88"/>
  <c r="AZ102" i="88"/>
  <c r="AY102" i="88"/>
  <c r="JT102" i="88" s="1"/>
  <c r="AX102" i="88"/>
  <c r="AW102" i="88"/>
  <c r="AS102" i="88"/>
  <c r="AP102" i="88"/>
  <c r="AJ102" i="88"/>
  <c r="AD102" i="88"/>
  <c r="Y102" i="88"/>
  <c r="W102" i="88" s="1"/>
  <c r="U102" i="88"/>
  <c r="S102" i="88" s="1"/>
  <c r="R102" i="88"/>
  <c r="O102" i="88"/>
  <c r="KH101" i="88"/>
  <c r="KQ101" i="88" s="1"/>
  <c r="JR101" i="88"/>
  <c r="JQ101" i="88"/>
  <c r="JC101" i="88"/>
  <c r="IP101" i="88"/>
  <c r="JX101" i="88" s="1"/>
  <c r="IN101" i="88"/>
  <c r="IM101" i="88"/>
  <c r="IK101" i="88"/>
  <c r="II101" i="88"/>
  <c r="IG101" i="88"/>
  <c r="IE101" i="88"/>
  <c r="IB101" i="88"/>
  <c r="IC101" i="88" s="1"/>
  <c r="IA101" i="88"/>
  <c r="HY101" i="88"/>
  <c r="HX101" i="88"/>
  <c r="HW101" i="88"/>
  <c r="HU101" i="88"/>
  <c r="HT101" i="88"/>
  <c r="JY101" i="88" s="1"/>
  <c r="HS101" i="88"/>
  <c r="HQ101" i="88"/>
  <c r="HP101" i="88"/>
  <c r="HO101" i="88"/>
  <c r="HL101" i="88"/>
  <c r="HM101" i="88" s="1"/>
  <c r="HK101" i="88"/>
  <c r="HI101" i="88"/>
  <c r="HH101" i="88"/>
  <c r="HG101" i="88"/>
  <c r="HE101" i="88"/>
  <c r="HD101" i="88"/>
  <c r="HC101" i="88"/>
  <c r="HA101" i="88"/>
  <c r="GZ101" i="88"/>
  <c r="GY101" i="88"/>
  <c r="GV101" i="88"/>
  <c r="GW101" i="88" s="1"/>
  <c r="GU101" i="88"/>
  <c r="GS101" i="88"/>
  <c r="GR101" i="88"/>
  <c r="GQ101" i="88"/>
  <c r="GO101" i="88"/>
  <c r="GN101" i="88"/>
  <c r="GM101" i="88"/>
  <c r="GK101" i="88"/>
  <c r="GJ101" i="88"/>
  <c r="GI101" i="88"/>
  <c r="GF101" i="88"/>
  <c r="GG101" i="88" s="1"/>
  <c r="GE101" i="88"/>
  <c r="GC101" i="88"/>
  <c r="GB101" i="88"/>
  <c r="GA101" i="88"/>
  <c r="FY101" i="88"/>
  <c r="FX101" i="88"/>
  <c r="FW101" i="88"/>
  <c r="FU101" i="88"/>
  <c r="FT101" i="88"/>
  <c r="FS101" i="88"/>
  <c r="FP101" i="88"/>
  <c r="FQ101" i="88" s="1"/>
  <c r="FO101" i="88"/>
  <c r="FM101" i="88"/>
  <c r="FL101" i="88"/>
  <c r="FK101" i="88"/>
  <c r="FI101" i="88"/>
  <c r="FH101" i="88"/>
  <c r="FG101" i="88"/>
  <c r="FE101" i="88"/>
  <c r="FD101" i="88"/>
  <c r="FC101" i="88"/>
  <c r="EZ101" i="88"/>
  <c r="EY101" i="88"/>
  <c r="EW101" i="88"/>
  <c r="EV101" i="88"/>
  <c r="EU101" i="88"/>
  <c r="EO101" i="88"/>
  <c r="EN101" i="88"/>
  <c r="EM101" i="88"/>
  <c r="EI101" i="88"/>
  <c r="EG101" i="88"/>
  <c r="EF101" i="88"/>
  <c r="EC101" i="88"/>
  <c r="DZ101" i="88"/>
  <c r="DU101" i="88"/>
  <c r="DR101" i="88"/>
  <c r="DM101" i="88"/>
  <c r="DK101" i="88"/>
  <c r="DH101" i="88"/>
  <c r="DJ101" i="88" s="1"/>
  <c r="DE101" i="88"/>
  <c r="DB101" i="88"/>
  <c r="CU101" i="88"/>
  <c r="CW101" i="88" s="1"/>
  <c r="CT101" i="88"/>
  <c r="CR101" i="88"/>
  <c r="CO101" i="88"/>
  <c r="CL101" i="88"/>
  <c r="CG101" i="88"/>
  <c r="CD101" i="88"/>
  <c r="BY101" i="88"/>
  <c r="BV101" i="88"/>
  <c r="BQ101" i="88"/>
  <c r="BO101" i="88"/>
  <c r="BL101" i="88"/>
  <c r="BN101" i="88" s="1"/>
  <c r="BI101" i="88"/>
  <c r="BF101" i="88"/>
  <c r="BA101" i="88"/>
  <c r="AX101" i="88"/>
  <c r="AS101" i="88"/>
  <c r="AQ101" i="88"/>
  <c r="AN101" i="88"/>
  <c r="AJ101" i="88"/>
  <c r="AH101" i="88"/>
  <c r="AE101" i="88"/>
  <c r="AC101" i="88"/>
  <c r="Y101" i="88"/>
  <c r="W101" i="88" s="1"/>
  <c r="V101" i="88"/>
  <c r="U101" i="88"/>
  <c r="S101" i="88" s="1"/>
  <c r="R101" i="88"/>
  <c r="O101" i="88"/>
  <c r="KP100" i="88"/>
  <c r="KI100" i="88"/>
  <c r="KH100" i="88"/>
  <c r="KQ100" i="88" s="1"/>
  <c r="JR100" i="88"/>
  <c r="JQ100" i="88"/>
  <c r="JD100" i="88"/>
  <c r="JC100" i="88"/>
  <c r="IP100" i="88"/>
  <c r="IN100" i="88"/>
  <c r="IM100" i="88"/>
  <c r="IK100" i="88"/>
  <c r="IJ100" i="88"/>
  <c r="II100" i="88"/>
  <c r="IF100" i="88"/>
  <c r="IG100" i="88" s="1"/>
  <c r="IE100" i="88"/>
  <c r="IC100" i="88"/>
  <c r="IB100" i="88"/>
  <c r="IA100" i="88"/>
  <c r="HY100" i="88"/>
  <c r="HX100" i="88"/>
  <c r="HW100" i="88"/>
  <c r="HU100" i="88"/>
  <c r="HT100" i="88"/>
  <c r="JY100" i="88" s="1"/>
  <c r="HS100" i="88"/>
  <c r="HP100" i="88"/>
  <c r="HQ100" i="88" s="1"/>
  <c r="HO100" i="88"/>
  <c r="HM100" i="88"/>
  <c r="HL100" i="88"/>
  <c r="HK100" i="88"/>
  <c r="HI100" i="88"/>
  <c r="HH100" i="88"/>
  <c r="HG100" i="88"/>
  <c r="HE100" i="88"/>
  <c r="HD100" i="88"/>
  <c r="HC100" i="88"/>
  <c r="GZ100" i="88"/>
  <c r="HA100" i="88" s="1"/>
  <c r="GY100" i="88"/>
  <c r="GW100" i="88"/>
  <c r="GV100" i="88"/>
  <c r="GU100" i="88"/>
  <c r="GS100" i="88"/>
  <c r="GR100" i="88"/>
  <c r="GQ100" i="88"/>
  <c r="GO100" i="88"/>
  <c r="GN100" i="88"/>
  <c r="GM100" i="88"/>
  <c r="GJ100" i="88"/>
  <c r="GK100" i="88" s="1"/>
  <c r="GI100" i="88"/>
  <c r="GG100" i="88"/>
  <c r="GF100" i="88"/>
  <c r="GE100" i="88"/>
  <c r="GC100" i="88"/>
  <c r="GB100" i="88"/>
  <c r="GA100" i="88"/>
  <c r="FY100" i="88"/>
  <c r="FX100" i="88"/>
  <c r="FW100" i="88"/>
  <c r="FT100" i="88"/>
  <c r="FU100" i="88" s="1"/>
  <c r="FS100" i="88"/>
  <c r="FQ100" i="88"/>
  <c r="FP100" i="88"/>
  <c r="FO100" i="88"/>
  <c r="FM100" i="88"/>
  <c r="FL100" i="88"/>
  <c r="FK100" i="88"/>
  <c r="FI100" i="88"/>
  <c r="FH100" i="88"/>
  <c r="FG100" i="88"/>
  <c r="FD100" i="88"/>
  <c r="FE100" i="88" s="1"/>
  <c r="FC100" i="88"/>
  <c r="FA100" i="88"/>
  <c r="EZ100" i="88"/>
  <c r="EY100" i="88"/>
  <c r="EW100" i="88"/>
  <c r="EV100" i="88"/>
  <c r="EU100" i="88"/>
  <c r="EP100" i="88"/>
  <c r="EN100" i="88"/>
  <c r="EM100" i="88"/>
  <c r="EI100" i="88"/>
  <c r="EH100" i="88"/>
  <c r="EG100" i="88"/>
  <c r="EF100" i="88"/>
  <c r="EC100" i="88"/>
  <c r="EA100" i="88"/>
  <c r="DZ100" i="88"/>
  <c r="DX100" i="88"/>
  <c r="DU100" i="88"/>
  <c r="DR100" i="88"/>
  <c r="DM100" i="88"/>
  <c r="DJ100" i="88"/>
  <c r="DE100" i="88"/>
  <c r="DC100" i="88"/>
  <c r="DB100" i="88"/>
  <c r="CZ100" i="88"/>
  <c r="CW100" i="88"/>
  <c r="CT100" i="88"/>
  <c r="CO100" i="88"/>
  <c r="CL100" i="88"/>
  <c r="CG100" i="88"/>
  <c r="CE100" i="88"/>
  <c r="CD100" i="88"/>
  <c r="CB100" i="88"/>
  <c r="BY100" i="88"/>
  <c r="BV100" i="88"/>
  <c r="BQ100" i="88"/>
  <c r="BN100" i="88"/>
  <c r="BI100" i="88"/>
  <c r="BG100" i="88"/>
  <c r="BF100" i="88"/>
  <c r="BE100" i="88"/>
  <c r="BD100" i="88"/>
  <c r="AZ100" i="88"/>
  <c r="BA100" i="88" s="1"/>
  <c r="AY100" i="88"/>
  <c r="AW100" i="88"/>
  <c r="AV100" i="88"/>
  <c r="AX100" i="88" s="1"/>
  <c r="AQ100" i="88"/>
  <c r="AS100" i="88" s="1"/>
  <c r="AP100" i="88"/>
  <c r="AN100" i="88"/>
  <c r="JS100" i="88" s="1"/>
  <c r="AJ100" i="88"/>
  <c r="AI100" i="88"/>
  <c r="AH100" i="88"/>
  <c r="AE100" i="88"/>
  <c r="AD100" i="88"/>
  <c r="Y100" i="88"/>
  <c r="W100" i="88" s="1"/>
  <c r="V100" i="88"/>
  <c r="U100" i="88"/>
  <c r="S100" i="88" s="1"/>
  <c r="R100" i="88"/>
  <c r="O100" i="88"/>
  <c r="KQ99" i="88"/>
  <c r="JR99" i="88"/>
  <c r="JT99" i="88" s="1"/>
  <c r="JQ99" i="88"/>
  <c r="JC99" i="88"/>
  <c r="IP99" i="88"/>
  <c r="IN99" i="88"/>
  <c r="IM99" i="88"/>
  <c r="IK99" i="88"/>
  <c r="II99" i="88"/>
  <c r="IG99" i="88"/>
  <c r="IE99" i="88"/>
  <c r="IC99" i="88"/>
  <c r="IA99" i="88"/>
  <c r="HY99" i="88"/>
  <c r="HW99" i="88"/>
  <c r="HT99" i="88"/>
  <c r="HU99" i="88" s="1"/>
  <c r="HS99" i="88"/>
  <c r="HQ99" i="88"/>
  <c r="HP99" i="88"/>
  <c r="HO99" i="88"/>
  <c r="HL99" i="88"/>
  <c r="HM99" i="88" s="1"/>
  <c r="HK99" i="88"/>
  <c r="HI99" i="88"/>
  <c r="HH99" i="88"/>
  <c r="HG99" i="88"/>
  <c r="HD99" i="88"/>
  <c r="HE99" i="88" s="1"/>
  <c r="HC99" i="88"/>
  <c r="HA99" i="88"/>
  <c r="GZ99" i="88"/>
  <c r="GY99" i="88"/>
  <c r="GV99" i="88"/>
  <c r="GW99" i="88" s="1"/>
  <c r="GU99" i="88"/>
  <c r="GS99" i="88"/>
  <c r="GR99" i="88"/>
  <c r="GQ99" i="88"/>
  <c r="GN99" i="88"/>
  <c r="GO99" i="88" s="1"/>
  <c r="GM99" i="88"/>
  <c r="GK99" i="88"/>
  <c r="GJ99" i="88"/>
  <c r="GI99" i="88"/>
  <c r="GF99" i="88"/>
  <c r="GG99" i="88" s="1"/>
  <c r="GE99" i="88"/>
  <c r="GC99" i="88"/>
  <c r="GB99" i="88"/>
  <c r="GA99" i="88"/>
  <c r="FX99" i="88"/>
  <c r="FY99" i="88" s="1"/>
  <c r="FW99" i="88"/>
  <c r="FU99" i="88"/>
  <c r="FT99" i="88"/>
  <c r="FS99" i="88"/>
  <c r="FP99" i="88"/>
  <c r="FQ99" i="88" s="1"/>
  <c r="FO99" i="88"/>
  <c r="FM99" i="88"/>
  <c r="FL99" i="88"/>
  <c r="FK99" i="88"/>
  <c r="FH99" i="88"/>
  <c r="FI99" i="88" s="1"/>
  <c r="FG99" i="88"/>
  <c r="FE99" i="88"/>
  <c r="FD99" i="88"/>
  <c r="FC99" i="88"/>
  <c r="EZ99" i="88"/>
  <c r="FA99" i="88" s="1"/>
  <c r="EY99" i="88"/>
  <c r="EW99" i="88"/>
  <c r="EV99" i="88"/>
  <c r="EI99" i="88" s="1"/>
  <c r="EU99" i="88"/>
  <c r="EO99" i="88"/>
  <c r="EN99" i="88"/>
  <c r="EM99" i="88"/>
  <c r="EH99" i="88"/>
  <c r="EG99" i="88"/>
  <c r="EF99" i="88"/>
  <c r="EC99" i="88"/>
  <c r="DZ99" i="88"/>
  <c r="DU99" i="88"/>
  <c r="DR99" i="88"/>
  <c r="DM99" i="88"/>
  <c r="DJ99" i="88"/>
  <c r="DE99" i="88"/>
  <c r="DB99" i="88"/>
  <c r="CZ99" i="88"/>
  <c r="CW99" i="88"/>
  <c r="CR99" i="88"/>
  <c r="JS99" i="88" s="1"/>
  <c r="CO99" i="88"/>
  <c r="CL99" i="88"/>
  <c r="CK99" i="88"/>
  <c r="AE99" i="88" s="1"/>
  <c r="CG99" i="88"/>
  <c r="CD99" i="88"/>
  <c r="BY99" i="88"/>
  <c r="BV99" i="88"/>
  <c r="BQ99" i="88"/>
  <c r="BN99" i="88"/>
  <c r="BI99" i="88"/>
  <c r="BF99" i="88"/>
  <c r="BA99" i="88"/>
  <c r="AX99" i="88"/>
  <c r="AS99" i="88"/>
  <c r="AP99" i="88"/>
  <c r="AJ99" i="88"/>
  <c r="AI99" i="88"/>
  <c r="AH99" i="88"/>
  <c r="AD99" i="88"/>
  <c r="Y99" i="88"/>
  <c r="W99" i="88" s="1"/>
  <c r="V99" i="88"/>
  <c r="U99" i="88"/>
  <c r="S99" i="88" s="1"/>
  <c r="R99" i="88"/>
  <c r="O99" i="88"/>
  <c r="KQ98" i="88"/>
  <c r="JR98" i="88"/>
  <c r="JQ98" i="88"/>
  <c r="JS98" i="88" s="1"/>
  <c r="JC98" i="88"/>
  <c r="IP98" i="88"/>
  <c r="JX98" i="88" s="1"/>
  <c r="IN98" i="88"/>
  <c r="IM98" i="88"/>
  <c r="IK98" i="88"/>
  <c r="II98" i="88"/>
  <c r="IG98" i="88"/>
  <c r="IE98" i="88"/>
  <c r="IC98" i="88"/>
  <c r="IA98" i="88"/>
  <c r="HY98" i="88"/>
  <c r="HW98" i="88"/>
  <c r="HT98" i="88"/>
  <c r="JY98" i="88" s="1"/>
  <c r="HS98" i="88"/>
  <c r="HQ98" i="88"/>
  <c r="HP98" i="88"/>
  <c r="HO98" i="88"/>
  <c r="HL98" i="88"/>
  <c r="HM98" i="88" s="1"/>
  <c r="HK98" i="88"/>
  <c r="HI98" i="88"/>
  <c r="HH98" i="88"/>
  <c r="HG98" i="88"/>
  <c r="HD98" i="88"/>
  <c r="HE98" i="88" s="1"/>
  <c r="HC98" i="88"/>
  <c r="HA98" i="88"/>
  <c r="GZ98" i="88"/>
  <c r="GY98" i="88"/>
  <c r="GV98" i="88"/>
  <c r="GW98" i="88" s="1"/>
  <c r="GU98" i="88"/>
  <c r="GS98" i="88"/>
  <c r="GR98" i="88"/>
  <c r="GQ98" i="88"/>
  <c r="GN98" i="88"/>
  <c r="GO98" i="88" s="1"/>
  <c r="GM98" i="88"/>
  <c r="GK98" i="88"/>
  <c r="GJ98" i="88"/>
  <c r="GI98" i="88"/>
  <c r="GF98" i="88"/>
  <c r="GG98" i="88" s="1"/>
  <c r="GE98" i="88"/>
  <c r="GC98" i="88"/>
  <c r="GB98" i="88"/>
  <c r="GA98" i="88"/>
  <c r="FX98" i="88"/>
  <c r="FY98" i="88" s="1"/>
  <c r="FW98" i="88"/>
  <c r="FU98" i="88"/>
  <c r="FT98" i="88"/>
  <c r="FS98" i="88"/>
  <c r="FP98" i="88"/>
  <c r="FQ98" i="88" s="1"/>
  <c r="FO98" i="88"/>
  <c r="FM98" i="88"/>
  <c r="FL98" i="88"/>
  <c r="FK98" i="88"/>
  <c r="FH98" i="88"/>
  <c r="FI98" i="88" s="1"/>
  <c r="FG98" i="88"/>
  <c r="FE98" i="88"/>
  <c r="FD98" i="88"/>
  <c r="FC98" i="88"/>
  <c r="EZ98" i="88"/>
  <c r="FA98" i="88" s="1"/>
  <c r="EY98" i="88"/>
  <c r="JT98" i="88" s="1"/>
  <c r="EW98" i="88"/>
  <c r="EV98" i="88"/>
  <c r="EU98" i="88"/>
  <c r="EH98" i="88" s="1"/>
  <c r="EO98" i="88"/>
  <c r="EN98" i="88"/>
  <c r="EM98" i="88"/>
  <c r="EI98" i="88"/>
  <c r="EG98" i="88"/>
  <c r="EF98" i="88"/>
  <c r="EC98" i="88"/>
  <c r="DZ98" i="88"/>
  <c r="DU98" i="88"/>
  <c r="DR98" i="88"/>
  <c r="DM98" i="88"/>
  <c r="DJ98" i="88"/>
  <c r="DE98" i="88"/>
  <c r="DB98" i="88"/>
  <c r="CZ98" i="88"/>
  <c r="CW98" i="88"/>
  <c r="CR98" i="88"/>
  <c r="CT98" i="88" s="1"/>
  <c r="CO98" i="88"/>
  <c r="CL98" i="88"/>
  <c r="CG98" i="88"/>
  <c r="CD98" i="88"/>
  <c r="BY98" i="88"/>
  <c r="BV98" i="88"/>
  <c r="BP98" i="88"/>
  <c r="AJ98" i="88" s="1"/>
  <c r="BN98" i="88"/>
  <c r="BI98" i="88"/>
  <c r="BH98" i="88"/>
  <c r="BF98" i="88"/>
  <c r="BA98" i="88"/>
  <c r="AX98" i="88"/>
  <c r="AS98" i="88"/>
  <c r="AP98" i="88"/>
  <c r="AI98" i="88"/>
  <c r="AH98" i="88"/>
  <c r="AE98" i="88"/>
  <c r="AC98" i="88"/>
  <c r="Y98" i="88"/>
  <c r="W98" i="88" s="1"/>
  <c r="V98" i="88"/>
  <c r="U98" i="88"/>
  <c r="S98" i="88" s="1"/>
  <c r="R98" i="88"/>
  <c r="Q98" i="88"/>
  <c r="O98" i="88"/>
  <c r="KQ97" i="88"/>
  <c r="KF97" i="88"/>
  <c r="JC97" i="88"/>
  <c r="JY97" i="88" s="1"/>
  <c r="IP97" i="88"/>
  <c r="IN97" i="88"/>
  <c r="IM97" i="88"/>
  <c r="IK97" i="88"/>
  <c r="II97" i="88"/>
  <c r="IG97" i="88"/>
  <c r="IE97" i="88"/>
  <c r="IC97" i="88"/>
  <c r="IA97" i="88"/>
  <c r="HY97" i="88"/>
  <c r="HW97" i="88"/>
  <c r="HU97" i="88"/>
  <c r="HT97" i="88"/>
  <c r="HS97" i="88"/>
  <c r="HP97" i="88"/>
  <c r="HO97" i="88"/>
  <c r="HM97" i="88"/>
  <c r="HL97" i="88"/>
  <c r="HK97" i="88"/>
  <c r="HH97" i="88"/>
  <c r="HI97" i="88" s="1"/>
  <c r="HG97" i="88"/>
  <c r="HE97" i="88"/>
  <c r="HD97" i="88"/>
  <c r="HC97" i="88"/>
  <c r="JT97" i="88" s="1"/>
  <c r="GZ97" i="88"/>
  <c r="HA97" i="88" s="1"/>
  <c r="GY97" i="88"/>
  <c r="GW97" i="88"/>
  <c r="GS97" i="88"/>
  <c r="GO97" i="88"/>
  <c r="GK97" i="88"/>
  <c r="GG97" i="88"/>
  <c r="GC97" i="88"/>
  <c r="FY97" i="88"/>
  <c r="FU97" i="88"/>
  <c r="FQ97" i="88"/>
  <c r="FM97" i="88"/>
  <c r="FI97" i="88"/>
  <c r="FE97" i="88"/>
  <c r="FA97" i="88"/>
  <c r="EW97" i="88"/>
  <c r="EP97" i="88"/>
  <c r="EN97" i="88"/>
  <c r="EM97" i="88"/>
  <c r="EI97" i="88"/>
  <c r="EH97" i="88"/>
  <c r="EG97" i="88"/>
  <c r="EF97" i="88"/>
  <c r="EC97" i="88"/>
  <c r="DZ97" i="88"/>
  <c r="DU97" i="88"/>
  <c r="DR97" i="88"/>
  <c r="DM97" i="88"/>
  <c r="DK97" i="88"/>
  <c r="DJ97" i="88"/>
  <c r="DH97" i="88"/>
  <c r="DE97" i="88"/>
  <c r="DB97" i="88"/>
  <c r="CW97" i="88"/>
  <c r="CT97" i="88"/>
  <c r="CO97" i="88"/>
  <c r="CM97" i="88"/>
  <c r="AH97" i="88" s="1"/>
  <c r="CL97" i="88"/>
  <c r="CJ97" i="88"/>
  <c r="JS97" i="88" s="1"/>
  <c r="CG97" i="88"/>
  <c r="CD97" i="88"/>
  <c r="BY97" i="88"/>
  <c r="BV97" i="88"/>
  <c r="BQ97" i="88"/>
  <c r="BN97" i="88"/>
  <c r="BI97" i="88"/>
  <c r="BF97" i="88"/>
  <c r="BA97" i="88"/>
  <c r="AX97" i="88"/>
  <c r="AS97" i="88"/>
  <c r="AP97" i="88"/>
  <c r="AJ97" i="88"/>
  <c r="AI97" i="88"/>
  <c r="AE97" i="88"/>
  <c r="AD97" i="88"/>
  <c r="AC97" i="88"/>
  <c r="Y97" i="88"/>
  <c r="W97" i="88" s="1"/>
  <c r="V97" i="88"/>
  <c r="U97" i="88"/>
  <c r="S97" i="88" s="1"/>
  <c r="R97" i="88"/>
  <c r="O97" i="88"/>
  <c r="KQ96" i="88"/>
  <c r="KL96" i="88"/>
  <c r="KA96" i="88"/>
  <c r="KD96" i="88" s="1"/>
  <c r="JT96" i="88"/>
  <c r="JS96" i="88"/>
  <c r="JC96" i="88"/>
  <c r="JY96" i="88" s="1"/>
  <c r="IP96" i="88"/>
  <c r="JX96" i="88" s="1"/>
  <c r="IH96" i="88"/>
  <c r="ID96" i="88"/>
  <c r="HZ96" i="88"/>
  <c r="HV96" i="88"/>
  <c r="HR96" i="88"/>
  <c r="HN96" i="88"/>
  <c r="HJ96" i="88"/>
  <c r="HF96" i="88"/>
  <c r="HE96" i="88"/>
  <c r="HB96" i="88"/>
  <c r="HA96" i="88"/>
  <c r="GX96" i="88"/>
  <c r="GW96" i="88"/>
  <c r="GT96" i="88"/>
  <c r="GS96" i="88"/>
  <c r="GP96" i="88"/>
  <c r="GO96" i="88"/>
  <c r="GL96" i="88"/>
  <c r="EN96" i="88" s="1"/>
  <c r="GK96" i="88"/>
  <c r="EP96" i="88"/>
  <c r="EO96" i="88"/>
  <c r="EM96" i="88"/>
  <c r="EI96" i="88"/>
  <c r="EH96" i="88"/>
  <c r="EG96" i="88"/>
  <c r="EF96" i="88"/>
  <c r="EC96" i="88"/>
  <c r="DZ96" i="88"/>
  <c r="DU96" i="88"/>
  <c r="DR96" i="88"/>
  <c r="DM96" i="88"/>
  <c r="DJ96" i="88"/>
  <c r="DE96" i="88"/>
  <c r="DB96" i="88"/>
  <c r="CW96" i="88"/>
  <c r="CT96" i="88"/>
  <c r="CO96" i="88"/>
  <c r="CL96" i="88"/>
  <c r="CG96" i="88"/>
  <c r="CD96" i="88"/>
  <c r="AJ96" i="88"/>
  <c r="AI96" i="88"/>
  <c r="AH96" i="88"/>
  <c r="AE96" i="88"/>
  <c r="AD96" i="88"/>
  <c r="AC96" i="88"/>
  <c r="U96" i="88"/>
  <c r="S96" i="88" s="1"/>
  <c r="R96" i="88"/>
  <c r="O96" i="88"/>
  <c r="D96" i="88"/>
  <c r="W96" i="88" s="1"/>
  <c r="KP95" i="88"/>
  <c r="KN95" i="88"/>
  <c r="KI95" i="88"/>
  <c r="KF95" i="88"/>
  <c r="KQ95" i="88" s="1"/>
  <c r="JC95" i="88"/>
  <c r="JY95" i="88" s="1"/>
  <c r="IP95" i="88"/>
  <c r="JX95" i="88" s="1"/>
  <c r="IN95" i="88"/>
  <c r="IM95" i="88"/>
  <c r="IK95" i="88"/>
  <c r="IJ95" i="88"/>
  <c r="II95" i="88"/>
  <c r="IH95" i="88"/>
  <c r="IG95" i="88"/>
  <c r="IF95" i="88"/>
  <c r="IE95" i="88"/>
  <c r="ID95" i="88"/>
  <c r="IC95" i="88"/>
  <c r="IB95" i="88"/>
  <c r="IA95" i="88"/>
  <c r="HZ95" i="88"/>
  <c r="HY95" i="88"/>
  <c r="HX95" i="88"/>
  <c r="HW95" i="88"/>
  <c r="HV95" i="88"/>
  <c r="HU95" i="88"/>
  <c r="HT95" i="88"/>
  <c r="HS95" i="88"/>
  <c r="HR95" i="88"/>
  <c r="HQ95" i="88"/>
  <c r="HP95" i="88"/>
  <c r="HO95" i="88"/>
  <c r="HN95" i="88"/>
  <c r="HM95" i="88"/>
  <c r="KB95" i="88" s="1"/>
  <c r="HL95" i="88"/>
  <c r="HK95" i="88"/>
  <c r="HJ95" i="88"/>
  <c r="HI95" i="88"/>
  <c r="KA95" i="88" s="1"/>
  <c r="KD95" i="88" s="1"/>
  <c r="HH95" i="88"/>
  <c r="HG95" i="88"/>
  <c r="HF95" i="88"/>
  <c r="HE95" i="88"/>
  <c r="HD95" i="88"/>
  <c r="HC95" i="88"/>
  <c r="HB95" i="88"/>
  <c r="HA95" i="88"/>
  <c r="GZ95" i="88"/>
  <c r="GY95" i="88"/>
  <c r="GX95" i="88"/>
  <c r="GW95" i="88"/>
  <c r="GV95" i="88"/>
  <c r="GU95" i="88"/>
  <c r="GT95" i="88"/>
  <c r="GS95" i="88"/>
  <c r="GR95" i="88"/>
  <c r="GQ95" i="88"/>
  <c r="GP95" i="88"/>
  <c r="EG95" i="88" s="1"/>
  <c r="GO95" i="88"/>
  <c r="GN95" i="88"/>
  <c r="GM95" i="88"/>
  <c r="JT95" i="88" s="1"/>
  <c r="GL95" i="88"/>
  <c r="GK95" i="88"/>
  <c r="GJ95" i="88"/>
  <c r="GI95" i="88"/>
  <c r="EH95" i="88" s="1"/>
  <c r="EP95" i="88"/>
  <c r="EQ95" i="88" s="1"/>
  <c r="EO95" i="88"/>
  <c r="EN95" i="88"/>
  <c r="EM95" i="88"/>
  <c r="EI95" i="88"/>
  <c r="EF95" i="88"/>
  <c r="EC95" i="88"/>
  <c r="DZ95" i="88"/>
  <c r="DS95" i="88"/>
  <c r="DR95" i="88"/>
  <c r="DP95" i="88"/>
  <c r="DM95" i="88"/>
  <c r="DJ95" i="88"/>
  <c r="DE95" i="88"/>
  <c r="DC95" i="88"/>
  <c r="AI95" i="88" s="1"/>
  <c r="DB95" i="88"/>
  <c r="CZ95" i="88"/>
  <c r="CW95" i="88"/>
  <c r="CT95" i="88"/>
  <c r="CO95" i="88"/>
  <c r="CM95" i="88"/>
  <c r="CL95" i="88"/>
  <c r="CJ95" i="88"/>
  <c r="AD95" i="88" s="1"/>
  <c r="CG95" i="88"/>
  <c r="CE95" i="88"/>
  <c r="CD95" i="88"/>
  <c r="AJ95" i="88"/>
  <c r="AH95" i="88"/>
  <c r="AE95" i="88"/>
  <c r="AC95" i="88"/>
  <c r="Y95" i="88"/>
  <c r="W95" i="88" s="1"/>
  <c r="V95" i="88"/>
  <c r="U95" i="88"/>
  <c r="S95" i="88" s="1"/>
  <c r="R95" i="88"/>
  <c r="Q95" i="88"/>
  <c r="O95" i="88"/>
  <c r="KP94" i="88"/>
  <c r="KN94" i="88"/>
  <c r="KM94" i="88"/>
  <c r="KL94" i="88"/>
  <c r="KQ94" i="88" s="1"/>
  <c r="JC94" i="88"/>
  <c r="JY94" i="88" s="1"/>
  <c r="IP94" i="88"/>
  <c r="IN94" i="88"/>
  <c r="IM94" i="88"/>
  <c r="IK94" i="88"/>
  <c r="IJ94" i="88"/>
  <c r="II94" i="88"/>
  <c r="IH94" i="88"/>
  <c r="IG94" i="88"/>
  <c r="IF94" i="88"/>
  <c r="IE94" i="88"/>
  <c r="ID94" i="88"/>
  <c r="IC94" i="88"/>
  <c r="IB94" i="88"/>
  <c r="IA94" i="88"/>
  <c r="HZ94" i="88"/>
  <c r="HY94" i="88"/>
  <c r="HX94" i="88"/>
  <c r="HW94" i="88"/>
  <c r="HV94" i="88"/>
  <c r="HU94" i="88"/>
  <c r="HT94" i="88"/>
  <c r="HS94" i="88"/>
  <c r="HR94" i="88"/>
  <c r="HQ94" i="88"/>
  <c r="HP94" i="88"/>
  <c r="JX94" i="88" s="1"/>
  <c r="HO94" i="88"/>
  <c r="HN94" i="88"/>
  <c r="HM94" i="88"/>
  <c r="KB94" i="88" s="1"/>
  <c r="HL94" i="88"/>
  <c r="HK94" i="88"/>
  <c r="HJ94" i="88"/>
  <c r="HI94" i="88"/>
  <c r="KA94" i="88" s="1"/>
  <c r="KD94" i="88" s="1"/>
  <c r="HH94" i="88"/>
  <c r="HG94" i="88"/>
  <c r="HF94" i="88"/>
  <c r="HE94" i="88"/>
  <c r="HD94" i="88"/>
  <c r="HC94" i="88"/>
  <c r="HB94" i="88"/>
  <c r="HA94" i="88"/>
  <c r="GZ94" i="88"/>
  <c r="GY94" i="88"/>
  <c r="GX94" i="88"/>
  <c r="GW94" i="88"/>
  <c r="GV94" i="88"/>
  <c r="GU94" i="88"/>
  <c r="EO94" i="88" s="1"/>
  <c r="GT94" i="88"/>
  <c r="GS94" i="88"/>
  <c r="GR94" i="88"/>
  <c r="GQ94" i="88"/>
  <c r="EH94" i="88" s="1"/>
  <c r="GP94" i="88"/>
  <c r="GO94" i="88"/>
  <c r="GL94" i="88"/>
  <c r="GK94" i="88"/>
  <c r="GD94" i="88"/>
  <c r="EN94" i="88" s="1"/>
  <c r="GC94" i="88"/>
  <c r="FY94" i="88"/>
  <c r="FU94" i="88"/>
  <c r="FQ94" i="88"/>
  <c r="FM94" i="88"/>
  <c r="EP94" i="88"/>
  <c r="EI94" i="88"/>
  <c r="EJ94" i="88" s="1"/>
  <c r="EG94" i="88"/>
  <c r="EF94" i="88"/>
  <c r="EC94" i="88"/>
  <c r="EA94" i="88"/>
  <c r="DZ94" i="88"/>
  <c r="DX94" i="88"/>
  <c r="DU94" i="88"/>
  <c r="DR94" i="88"/>
  <c r="DM94" i="88"/>
  <c r="DK94" i="88"/>
  <c r="DJ94" i="88"/>
  <c r="DH94" i="88"/>
  <c r="DE94" i="88"/>
  <c r="DB94" i="88"/>
  <c r="CW94" i="88"/>
  <c r="CU94" i="88"/>
  <c r="CT94" i="88"/>
  <c r="CR94" i="88"/>
  <c r="JS94" i="88" s="1"/>
  <c r="CN94" i="88"/>
  <c r="CM94" i="88"/>
  <c r="JT94" i="88" s="1"/>
  <c r="CK94" i="88"/>
  <c r="CL94" i="88" s="1"/>
  <c r="CG94" i="88"/>
  <c r="CD94" i="88"/>
  <c r="BY94" i="88"/>
  <c r="BV94" i="88"/>
  <c r="BQ94" i="88"/>
  <c r="BN94" i="88"/>
  <c r="BI94" i="88"/>
  <c r="BF94" i="88"/>
  <c r="AJ94" i="88"/>
  <c r="AE94" i="88"/>
  <c r="AD94" i="88"/>
  <c r="AC94" i="88"/>
  <c r="Y94" i="88"/>
  <c r="W94" i="88" s="1"/>
  <c r="V94" i="88"/>
  <c r="U94" i="88"/>
  <c r="S94" i="88" s="1"/>
  <c r="R94" i="88"/>
  <c r="O94" i="88"/>
  <c r="D94" i="88"/>
  <c r="KQ93" i="88"/>
  <c r="KP93" i="88"/>
  <c r="KI93" i="88"/>
  <c r="KF93" i="88"/>
  <c r="JC93" i="88"/>
  <c r="IP93" i="88"/>
  <c r="JX93" i="88" s="1"/>
  <c r="IN93" i="88"/>
  <c r="IM93" i="88"/>
  <c r="IJ93" i="88"/>
  <c r="IK93" i="88" s="1"/>
  <c r="II93" i="88"/>
  <c r="IH93" i="88"/>
  <c r="IF93" i="88"/>
  <c r="IG93" i="88" s="1"/>
  <c r="IE93" i="88"/>
  <c r="ID93" i="88"/>
  <c r="IB93" i="88"/>
  <c r="IC93" i="88" s="1"/>
  <c r="IA93" i="88"/>
  <c r="HZ93" i="88"/>
  <c r="HX93" i="88"/>
  <c r="HY93" i="88" s="1"/>
  <c r="HW93" i="88"/>
  <c r="HV93" i="88"/>
  <c r="HT93" i="88"/>
  <c r="JY93" i="88" s="1"/>
  <c r="HS93" i="88"/>
  <c r="HR93" i="88"/>
  <c r="HP93" i="88"/>
  <c r="HQ93" i="88" s="1"/>
  <c r="HO93" i="88"/>
  <c r="HN93" i="88"/>
  <c r="HL93" i="88"/>
  <c r="HM93" i="88" s="1"/>
  <c r="KB93" i="88" s="1"/>
  <c r="HK93" i="88"/>
  <c r="HJ93" i="88"/>
  <c r="HH93" i="88"/>
  <c r="HI93" i="88" s="1"/>
  <c r="KA93" i="88" s="1"/>
  <c r="HG93" i="88"/>
  <c r="HF93" i="88"/>
  <c r="HD93" i="88"/>
  <c r="HE93" i="88" s="1"/>
  <c r="HC93" i="88"/>
  <c r="HB93" i="88"/>
  <c r="GZ93" i="88"/>
  <c r="HA93" i="88" s="1"/>
  <c r="GY93" i="88"/>
  <c r="GX93" i="88"/>
  <c r="GX133" i="88" s="1"/>
  <c r="GV93" i="88"/>
  <c r="GW93" i="88" s="1"/>
  <c r="GU93" i="88"/>
  <c r="GT93" i="88"/>
  <c r="GR93" i="88"/>
  <c r="GS93" i="88" s="1"/>
  <c r="GQ93" i="88"/>
  <c r="GP93" i="88"/>
  <c r="GP133" i="88" s="1"/>
  <c r="GN93" i="88"/>
  <c r="GO93" i="88" s="1"/>
  <c r="GM93" i="88"/>
  <c r="GL93" i="88"/>
  <c r="EN93" i="88" s="1"/>
  <c r="GJ93" i="88"/>
  <c r="EI93" i="88" s="1"/>
  <c r="GI93" i="88"/>
  <c r="GG93" i="88"/>
  <c r="GF93" i="88"/>
  <c r="GE93" i="88"/>
  <c r="GD93" i="88"/>
  <c r="GC93" i="88"/>
  <c r="GB93" i="88"/>
  <c r="GA93" i="88"/>
  <c r="FX93" i="88"/>
  <c r="FY93" i="88" s="1"/>
  <c r="FW93" i="88"/>
  <c r="FU93" i="88"/>
  <c r="FT93" i="88"/>
  <c r="FS93" i="88"/>
  <c r="FP93" i="88"/>
  <c r="FQ93" i="88" s="1"/>
  <c r="FO93" i="88"/>
  <c r="FM93" i="88"/>
  <c r="FL93" i="88"/>
  <c r="FK93" i="88"/>
  <c r="FI93" i="88"/>
  <c r="FE93" i="88"/>
  <c r="FA93" i="88"/>
  <c r="EW93" i="88"/>
  <c r="EO93" i="88"/>
  <c r="EM93" i="88"/>
  <c r="EH93" i="88"/>
  <c r="EC93" i="88"/>
  <c r="DZ93" i="88"/>
  <c r="DS93" i="88"/>
  <c r="DU93" i="88" s="1"/>
  <c r="DP93" i="88"/>
  <c r="DR93" i="88" s="1"/>
  <c r="DM93" i="88"/>
  <c r="DJ93" i="88"/>
  <c r="DE93" i="88"/>
  <c r="DB93" i="88"/>
  <c r="CU93" i="88"/>
  <c r="CW93" i="88" s="1"/>
  <c r="CR93" i="88"/>
  <c r="CT93" i="88" s="1"/>
  <c r="CO93" i="88"/>
  <c r="CL93" i="88"/>
  <c r="CG93" i="88"/>
  <c r="CD93" i="88"/>
  <c r="BW93" i="88"/>
  <c r="JT93" i="88" s="1"/>
  <c r="BT93" i="88"/>
  <c r="BV93" i="88" s="1"/>
  <c r="BQ93" i="88"/>
  <c r="BN93" i="88"/>
  <c r="BI93" i="88"/>
  <c r="BF93" i="88"/>
  <c r="BE93" i="88"/>
  <c r="BA93" i="88"/>
  <c r="AX93" i="88"/>
  <c r="AS93" i="88"/>
  <c r="AP93" i="88"/>
  <c r="AJ93" i="88"/>
  <c r="AI93" i="88"/>
  <c r="AE93" i="88"/>
  <c r="AD93" i="88"/>
  <c r="AF93" i="88" s="1"/>
  <c r="Y93" i="88"/>
  <c r="W93" i="88" s="1"/>
  <c r="V93" i="88"/>
  <c r="U93" i="88"/>
  <c r="S93" i="88"/>
  <c r="R93" i="88"/>
  <c r="O93" i="88"/>
  <c r="KQ92" i="88"/>
  <c r="KD92" i="88"/>
  <c r="JT92" i="88"/>
  <c r="JS92" i="88"/>
  <c r="JC92" i="88"/>
  <c r="JY92" i="88" s="1"/>
  <c r="IP92" i="88"/>
  <c r="JX92" i="88" s="1"/>
  <c r="IK92" i="88"/>
  <c r="IG92" i="88"/>
  <c r="IC92" i="88"/>
  <c r="HY92" i="88"/>
  <c r="HU92" i="88"/>
  <c r="HQ92" i="88"/>
  <c r="HM92" i="88"/>
  <c r="HI92" i="88"/>
  <c r="HE92" i="88"/>
  <c r="HA92" i="88"/>
  <c r="GW92" i="88"/>
  <c r="GS92" i="88"/>
  <c r="GO92" i="88"/>
  <c r="GK92" i="88"/>
  <c r="GG92" i="88"/>
  <c r="GC92" i="88"/>
  <c r="FY92" i="88"/>
  <c r="FU92" i="88"/>
  <c r="FQ92" i="88"/>
  <c r="FM92" i="88"/>
  <c r="FI92" i="88"/>
  <c r="FE92" i="88"/>
  <c r="FA92" i="88"/>
  <c r="EW92" i="88"/>
  <c r="EP92" i="88"/>
  <c r="EO92" i="88"/>
  <c r="EN92" i="88"/>
  <c r="EM92" i="88"/>
  <c r="EI92" i="88"/>
  <c r="EH92" i="88"/>
  <c r="EG92" i="88"/>
  <c r="EF92" i="88"/>
  <c r="EC92" i="88"/>
  <c r="DZ92" i="88"/>
  <c r="DU92" i="88"/>
  <c r="DR92" i="88"/>
  <c r="DM92" i="88"/>
  <c r="DJ92" i="88"/>
  <c r="DE92" i="88"/>
  <c r="DB92" i="88"/>
  <c r="CW92" i="88"/>
  <c r="CT92" i="88"/>
  <c r="CO92" i="88"/>
  <c r="CL92" i="88"/>
  <c r="CG92" i="88"/>
  <c r="CD92" i="88"/>
  <c r="BY92" i="88"/>
  <c r="BV92" i="88"/>
  <c r="BQ92" i="88"/>
  <c r="BN92" i="88"/>
  <c r="BI92" i="88"/>
  <c r="BF92" i="88"/>
  <c r="BA92" i="88"/>
  <c r="AX92" i="88"/>
  <c r="AS92" i="88"/>
  <c r="AP92" i="88"/>
  <c r="AJ92" i="88"/>
  <c r="AI92" i="88"/>
  <c r="AH92" i="88"/>
  <c r="AE92" i="88"/>
  <c r="AD92" i="88"/>
  <c r="AC92" i="88"/>
  <c r="Y92" i="88"/>
  <c r="W92" i="88" s="1"/>
  <c r="U92" i="88"/>
  <c r="S92" i="88" s="1"/>
  <c r="R92" i="88"/>
  <c r="O92" i="88"/>
  <c r="KQ91" i="88"/>
  <c r="KD91" i="88"/>
  <c r="JT91" i="88"/>
  <c r="JS91" i="88"/>
  <c r="JC91" i="88"/>
  <c r="JY91" i="88" s="1"/>
  <c r="IP91" i="88"/>
  <c r="JX91" i="88" s="1"/>
  <c r="IK91" i="88"/>
  <c r="IG91" i="88"/>
  <c r="IC91" i="88"/>
  <c r="HY91" i="88"/>
  <c r="HU91" i="88"/>
  <c r="HQ91" i="88"/>
  <c r="HM91" i="88"/>
  <c r="HI91" i="88"/>
  <c r="HE91" i="88"/>
  <c r="HA91" i="88"/>
  <c r="GW91" i="88"/>
  <c r="GS91" i="88"/>
  <c r="GO91" i="88"/>
  <c r="GK91" i="88"/>
  <c r="GG91" i="88"/>
  <c r="GC91" i="88"/>
  <c r="FY91" i="88"/>
  <c r="FU91" i="88"/>
  <c r="FQ91" i="88"/>
  <c r="FM91" i="88"/>
  <c r="FI91" i="88"/>
  <c r="FE91" i="88"/>
  <c r="FA91" i="88"/>
  <c r="EW91" i="88"/>
  <c r="EP91" i="88"/>
  <c r="EO91" i="88"/>
  <c r="EN91" i="88"/>
  <c r="EM91" i="88"/>
  <c r="EI91" i="88"/>
  <c r="EH91" i="88"/>
  <c r="EG91" i="88"/>
  <c r="EF91" i="88"/>
  <c r="EC91" i="88"/>
  <c r="DZ91" i="88"/>
  <c r="DU91" i="88"/>
  <c r="DR91" i="88"/>
  <c r="DM91" i="88"/>
  <c r="DJ91" i="88"/>
  <c r="DE91" i="88"/>
  <c r="DB91" i="88"/>
  <c r="CW91" i="88"/>
  <c r="CT91" i="88"/>
  <c r="CO91" i="88"/>
  <c r="CL91" i="88"/>
  <c r="CG91" i="88"/>
  <c r="CD91" i="88"/>
  <c r="BY91" i="88"/>
  <c r="BV91" i="88"/>
  <c r="BQ91" i="88"/>
  <c r="BN91" i="88"/>
  <c r="BI91" i="88"/>
  <c r="BF91" i="88"/>
  <c r="BA91" i="88"/>
  <c r="AX91" i="88"/>
  <c r="AS91" i="88"/>
  <c r="AP91" i="88"/>
  <c r="AJ91" i="88"/>
  <c r="JV91" i="88" s="1"/>
  <c r="AI91" i="88"/>
  <c r="AH91" i="88"/>
  <c r="AE91" i="88"/>
  <c r="AD91" i="88"/>
  <c r="AC91" i="88"/>
  <c r="Y91" i="88"/>
  <c r="W91" i="88" s="1"/>
  <c r="U91" i="88"/>
  <c r="S91" i="88" s="1"/>
  <c r="R91" i="88"/>
  <c r="O91" i="88"/>
  <c r="KQ90" i="88"/>
  <c r="KI90" i="88"/>
  <c r="JC90" i="88"/>
  <c r="JY90" i="88" s="1"/>
  <c r="IP90" i="88"/>
  <c r="IN90" i="88"/>
  <c r="IM90" i="88"/>
  <c r="IK90" i="88"/>
  <c r="II90" i="88"/>
  <c r="IG90" i="88"/>
  <c r="IE90" i="88"/>
  <c r="IC90" i="88"/>
  <c r="IA90" i="88"/>
  <c r="HY90" i="88"/>
  <c r="HW90" i="88"/>
  <c r="HU90" i="88"/>
  <c r="HT90" i="88"/>
  <c r="HS90" i="88"/>
  <c r="HP90" i="88"/>
  <c r="HO90" i="88"/>
  <c r="HM90" i="88"/>
  <c r="HL90" i="88"/>
  <c r="HK90" i="88"/>
  <c r="HH90" i="88"/>
  <c r="HI90" i="88" s="1"/>
  <c r="HG90" i="88"/>
  <c r="HE90" i="88"/>
  <c r="HD90" i="88"/>
  <c r="HC90" i="88"/>
  <c r="GZ90" i="88"/>
  <c r="HA90" i="88" s="1"/>
  <c r="GY90" i="88"/>
  <c r="GW90" i="88"/>
  <c r="GV90" i="88"/>
  <c r="GU90" i="88"/>
  <c r="GR90" i="88"/>
  <c r="GS90" i="88" s="1"/>
  <c r="GQ90" i="88"/>
  <c r="GO90" i="88"/>
  <c r="GN90" i="88"/>
  <c r="GM90" i="88"/>
  <c r="GJ90" i="88"/>
  <c r="GK90" i="88" s="1"/>
  <c r="GI90" i="88"/>
  <c r="GG90" i="88"/>
  <c r="GF90" i="88"/>
  <c r="GE90" i="88"/>
  <c r="GB90" i="88"/>
  <c r="GC90" i="88" s="1"/>
  <c r="GA90" i="88"/>
  <c r="FY90" i="88"/>
  <c r="FX90" i="88"/>
  <c r="FW90" i="88"/>
  <c r="FT90" i="88"/>
  <c r="FU90" i="88" s="1"/>
  <c r="FS90" i="88"/>
  <c r="FQ90" i="88"/>
  <c r="FP90" i="88"/>
  <c r="FO90" i="88"/>
  <c r="FL90" i="88"/>
  <c r="FM90" i="88" s="1"/>
  <c r="FK90" i="88"/>
  <c r="FI90" i="88"/>
  <c r="FH90" i="88"/>
  <c r="FG90" i="88"/>
  <c r="JT90" i="88" s="1"/>
  <c r="FD90" i="88"/>
  <c r="FE90" i="88" s="1"/>
  <c r="FC90" i="88"/>
  <c r="FA90" i="88"/>
  <c r="EZ90" i="88"/>
  <c r="EY90" i="88"/>
  <c r="EO90" i="88" s="1"/>
  <c r="EV90" i="88"/>
  <c r="EI90" i="88" s="1"/>
  <c r="EU90" i="88"/>
  <c r="JS90" i="88" s="1"/>
  <c r="EP90" i="88"/>
  <c r="EN90" i="88"/>
  <c r="EM90" i="88"/>
  <c r="EH90" i="88"/>
  <c r="EG90" i="88"/>
  <c r="EF90" i="88"/>
  <c r="EC90" i="88"/>
  <c r="DZ90" i="88"/>
  <c r="DU90" i="88"/>
  <c r="DR90" i="88"/>
  <c r="DM90" i="88"/>
  <c r="DJ90" i="88"/>
  <c r="DE90" i="88"/>
  <c r="DB90" i="88"/>
  <c r="CW90" i="88"/>
  <c r="CT90" i="88"/>
  <c r="CO90" i="88"/>
  <c r="CL90" i="88"/>
  <c r="CG90" i="88"/>
  <c r="CD90" i="88"/>
  <c r="BY90" i="88"/>
  <c r="BV90" i="88"/>
  <c r="BQ90" i="88"/>
  <c r="BM90" i="88"/>
  <c r="BN90" i="88" s="1"/>
  <c r="BI90" i="88"/>
  <c r="BF90" i="88"/>
  <c r="BE90" i="88"/>
  <c r="BA90" i="88"/>
  <c r="AW90" i="88"/>
  <c r="AE90" i="88" s="1"/>
  <c r="AS90" i="88"/>
  <c r="AP90" i="88"/>
  <c r="AO90" i="88"/>
  <c r="AJ90" i="88"/>
  <c r="AI90" i="88"/>
  <c r="AH90" i="88"/>
  <c r="AD90" i="88"/>
  <c r="AC90" i="88"/>
  <c r="Y90" i="88"/>
  <c r="W90" i="88" s="1"/>
  <c r="V90" i="88"/>
  <c r="U90" i="88"/>
  <c r="S90" i="88"/>
  <c r="R90" i="88"/>
  <c r="O90" i="88"/>
  <c r="KP89" i="88"/>
  <c r="KL89" i="88"/>
  <c r="KQ89" i="88" s="1"/>
  <c r="KF89" i="88"/>
  <c r="JR89" i="88"/>
  <c r="JQ89" i="88"/>
  <c r="JC89" i="88"/>
  <c r="JY89" i="88" s="1"/>
  <c r="IP89" i="88"/>
  <c r="JX89" i="88" s="1"/>
  <c r="IK89" i="88"/>
  <c r="IG89" i="88"/>
  <c r="IC89" i="88"/>
  <c r="HY89" i="88"/>
  <c r="HU89" i="88"/>
  <c r="HQ89" i="88"/>
  <c r="HM89" i="88"/>
  <c r="HI89" i="88"/>
  <c r="HE89" i="88"/>
  <c r="HD89" i="88"/>
  <c r="HC89" i="88"/>
  <c r="GZ89" i="88"/>
  <c r="HA89" i="88" s="1"/>
  <c r="GY89" i="88"/>
  <c r="GW89" i="88"/>
  <c r="GS89" i="88"/>
  <c r="GO89" i="88"/>
  <c r="GK89" i="88"/>
  <c r="GG89" i="88"/>
  <c r="GC89" i="88"/>
  <c r="FY89" i="88"/>
  <c r="FU89" i="88"/>
  <c r="FQ89" i="88"/>
  <c r="FP89" i="88"/>
  <c r="FO89" i="88"/>
  <c r="FL89" i="88"/>
  <c r="FM89" i="88" s="1"/>
  <c r="FK89" i="88"/>
  <c r="FH89" i="88"/>
  <c r="FI89" i="88" s="1"/>
  <c r="FG89" i="88"/>
  <c r="JT89" i="88" s="1"/>
  <c r="FD89" i="88"/>
  <c r="FE89" i="88" s="1"/>
  <c r="FC89" i="88"/>
  <c r="FA89" i="88"/>
  <c r="EZ89" i="88"/>
  <c r="EY89" i="88"/>
  <c r="EO89" i="88" s="1"/>
  <c r="EV89" i="88"/>
  <c r="EI89" i="88" s="1"/>
  <c r="EU89" i="88"/>
  <c r="EP89" i="88"/>
  <c r="ER89" i="88" s="1"/>
  <c r="EN89" i="88"/>
  <c r="EM89" i="88"/>
  <c r="EH89" i="88"/>
  <c r="EG89" i="88"/>
  <c r="EF89" i="88"/>
  <c r="EC89" i="88"/>
  <c r="DZ89" i="88"/>
  <c r="DU89" i="88"/>
  <c r="DR89" i="88"/>
  <c r="DM89" i="88"/>
  <c r="DJ89" i="88"/>
  <c r="DE89" i="88"/>
  <c r="DB89" i="88"/>
  <c r="CW89" i="88"/>
  <c r="CT89" i="88"/>
  <c r="CO89" i="88"/>
  <c r="CL89" i="88"/>
  <c r="CG89" i="88"/>
  <c r="CD89" i="88"/>
  <c r="BY89" i="88"/>
  <c r="BV89" i="88"/>
  <c r="BQ89" i="88"/>
  <c r="BN89" i="88"/>
  <c r="BI89" i="88"/>
  <c r="BF89" i="88"/>
  <c r="BA89" i="88"/>
  <c r="AX89" i="88"/>
  <c r="AS89" i="88"/>
  <c r="AP89" i="88"/>
  <c r="AJ89" i="88"/>
  <c r="AI89" i="88"/>
  <c r="AH89" i="88"/>
  <c r="AE89" i="88"/>
  <c r="AD89" i="88"/>
  <c r="AC89" i="88"/>
  <c r="Y89" i="88"/>
  <c r="U89" i="88"/>
  <c r="S89" i="88" s="1"/>
  <c r="R89" i="88"/>
  <c r="O89" i="88"/>
  <c r="D89" i="88"/>
  <c r="W89" i="88" s="1"/>
  <c r="KI88" i="88"/>
  <c r="KH88" i="88"/>
  <c r="KQ88" i="88" s="1"/>
  <c r="JR88" i="88"/>
  <c r="JQ88" i="88"/>
  <c r="JC88" i="88"/>
  <c r="IP88" i="88"/>
  <c r="JX88" i="88" s="1"/>
  <c r="IN88" i="88"/>
  <c r="IM88" i="88"/>
  <c r="IJ88" i="88"/>
  <c r="IK88" i="88" s="1"/>
  <c r="II88" i="88"/>
  <c r="IF88" i="88"/>
  <c r="IG88" i="88" s="1"/>
  <c r="IE88" i="88"/>
  <c r="IB88" i="88"/>
  <c r="IC88" i="88" s="1"/>
  <c r="IA88" i="88"/>
  <c r="HY88" i="88"/>
  <c r="HX88" i="88"/>
  <c r="HW88" i="88"/>
  <c r="HT88" i="88"/>
  <c r="JY88" i="88" s="1"/>
  <c r="HS88" i="88"/>
  <c r="HP88" i="88"/>
  <c r="HQ88" i="88" s="1"/>
  <c r="HO88" i="88"/>
  <c r="HL88" i="88"/>
  <c r="HM88" i="88" s="1"/>
  <c r="HK88" i="88"/>
  <c r="HI88" i="88"/>
  <c r="HH88" i="88"/>
  <c r="HG88" i="88"/>
  <c r="HD88" i="88"/>
  <c r="HE88" i="88" s="1"/>
  <c r="HC88" i="88"/>
  <c r="GZ88" i="88"/>
  <c r="HA88" i="88" s="1"/>
  <c r="GY88" i="88"/>
  <c r="GV88" i="88"/>
  <c r="GW88" i="88" s="1"/>
  <c r="GU88" i="88"/>
  <c r="GS88" i="88"/>
  <c r="GR88" i="88"/>
  <c r="GQ88" i="88"/>
  <c r="GN88" i="88"/>
  <c r="GO88" i="88" s="1"/>
  <c r="GM88" i="88"/>
  <c r="GJ88" i="88"/>
  <c r="GK88" i="88" s="1"/>
  <c r="GI88" i="88"/>
  <c r="GF88" i="88"/>
  <c r="GG88" i="88" s="1"/>
  <c r="GE88" i="88"/>
  <c r="GC88" i="88"/>
  <c r="GB88" i="88"/>
  <c r="GA88" i="88"/>
  <c r="FX88" i="88"/>
  <c r="FY88" i="88" s="1"/>
  <c r="FW88" i="88"/>
  <c r="FT88" i="88"/>
  <c r="FU88" i="88" s="1"/>
  <c r="FS88" i="88"/>
  <c r="FP88" i="88"/>
  <c r="FQ88" i="88" s="1"/>
  <c r="FO88" i="88"/>
  <c r="FM88" i="88"/>
  <c r="FL88" i="88"/>
  <c r="FK88" i="88"/>
  <c r="FH88" i="88"/>
  <c r="FI88" i="88" s="1"/>
  <c r="FG88" i="88"/>
  <c r="FD88" i="88"/>
  <c r="FE88" i="88" s="1"/>
  <c r="FC88" i="88"/>
  <c r="EZ88" i="88"/>
  <c r="FA88" i="88" s="1"/>
  <c r="EY88" i="88"/>
  <c r="EO88" i="88" s="1"/>
  <c r="EW88" i="88"/>
  <c r="EV88" i="88"/>
  <c r="EU88" i="88"/>
  <c r="EN88" i="88"/>
  <c r="EM88" i="88"/>
  <c r="EI88" i="88"/>
  <c r="EH88" i="88"/>
  <c r="EG88" i="88"/>
  <c r="EF88" i="88"/>
  <c r="EC88" i="88"/>
  <c r="DZ88" i="88"/>
  <c r="DS88" i="88"/>
  <c r="DU88" i="88" s="1"/>
  <c r="DP88" i="88"/>
  <c r="DR88" i="88" s="1"/>
  <c r="DM88" i="88"/>
  <c r="DJ88" i="88"/>
  <c r="DE88" i="88"/>
  <c r="DB88" i="88"/>
  <c r="CV88" i="88"/>
  <c r="CW88" i="88" s="1"/>
  <c r="CU88" i="88"/>
  <c r="AI88" i="88" s="1"/>
  <c r="CT88" i="88"/>
  <c r="CR88" i="88"/>
  <c r="CO88" i="88"/>
  <c r="CL88" i="88"/>
  <c r="CG88" i="88"/>
  <c r="CE88" i="88"/>
  <c r="CB88" i="88"/>
  <c r="CD88" i="88" s="1"/>
  <c r="BY88" i="88"/>
  <c r="BV88" i="88"/>
  <c r="BQ88" i="88"/>
  <c r="BN88" i="88"/>
  <c r="BI88" i="88"/>
  <c r="BG88" i="88"/>
  <c r="JT88" i="88" s="1"/>
  <c r="BD88" i="88"/>
  <c r="BF88" i="88" s="1"/>
  <c r="BA88" i="88"/>
  <c r="AX88" i="88"/>
  <c r="AS88" i="88"/>
  <c r="AP88" i="88"/>
  <c r="AJ88" i="88"/>
  <c r="AH88" i="88"/>
  <c r="AE88" i="88"/>
  <c r="Y88" i="88"/>
  <c r="W88" i="88" s="1"/>
  <c r="V88" i="88"/>
  <c r="U88" i="88"/>
  <c r="S88" i="88"/>
  <c r="R88" i="88"/>
  <c r="O88" i="88"/>
  <c r="D88" i="88"/>
  <c r="KI87" i="88"/>
  <c r="KH87" i="88"/>
  <c r="KQ87" i="88" s="1"/>
  <c r="JR87" i="88"/>
  <c r="JT87" i="88" s="1"/>
  <c r="JQ87" i="88"/>
  <c r="JC87" i="88"/>
  <c r="IP87" i="88"/>
  <c r="IN87" i="88"/>
  <c r="IM87" i="88"/>
  <c r="IJ87" i="88"/>
  <c r="IK87" i="88" s="1"/>
  <c r="II87" i="88"/>
  <c r="IG87" i="88"/>
  <c r="IF87" i="88"/>
  <c r="IE87" i="88"/>
  <c r="IC87" i="88"/>
  <c r="IB87" i="88"/>
  <c r="IA87" i="88"/>
  <c r="HX87" i="88"/>
  <c r="HW87" i="88"/>
  <c r="HT87" i="88"/>
  <c r="HS87" i="88"/>
  <c r="HQ87" i="88"/>
  <c r="HP87" i="88"/>
  <c r="HO87" i="88"/>
  <c r="HM87" i="88"/>
  <c r="HL87" i="88"/>
  <c r="HK87" i="88"/>
  <c r="HH87" i="88"/>
  <c r="HI87" i="88" s="1"/>
  <c r="HG87" i="88"/>
  <c r="HD87" i="88"/>
  <c r="HE87" i="88" s="1"/>
  <c r="HC87" i="88"/>
  <c r="HA87" i="88"/>
  <c r="GZ87" i="88"/>
  <c r="GY87" i="88"/>
  <c r="GW87" i="88"/>
  <c r="GV87" i="88"/>
  <c r="GU87" i="88"/>
  <c r="GR87" i="88"/>
  <c r="GS87" i="88" s="1"/>
  <c r="GQ87" i="88"/>
  <c r="GN87" i="88"/>
  <c r="GO87" i="88" s="1"/>
  <c r="GM87" i="88"/>
  <c r="GK87" i="88"/>
  <c r="GJ87" i="88"/>
  <c r="GI87" i="88"/>
  <c r="GG87" i="88"/>
  <c r="GF87" i="88"/>
  <c r="GE87" i="88"/>
  <c r="GB87" i="88"/>
  <c r="GC87" i="88" s="1"/>
  <c r="GA87" i="88"/>
  <c r="FX87" i="88"/>
  <c r="FY87" i="88" s="1"/>
  <c r="FW87" i="88"/>
  <c r="FU87" i="88"/>
  <c r="FT87" i="88"/>
  <c r="FS87" i="88"/>
  <c r="FQ87" i="88"/>
  <c r="FP87" i="88"/>
  <c r="FO87" i="88"/>
  <c r="FL87" i="88"/>
  <c r="FM87" i="88" s="1"/>
  <c r="FK87" i="88"/>
  <c r="FH87" i="88"/>
  <c r="FI87" i="88" s="1"/>
  <c r="FG87" i="88"/>
  <c r="EO87" i="88" s="1"/>
  <c r="FD87" i="88"/>
  <c r="FE87" i="88" s="1"/>
  <c r="FC87" i="88"/>
  <c r="FA87" i="88"/>
  <c r="EZ87" i="88"/>
  <c r="EY87" i="88"/>
  <c r="EV87" i="88"/>
  <c r="EI87" i="88" s="1"/>
  <c r="EU87" i="88"/>
  <c r="EP87" i="88"/>
  <c r="ER87" i="88" s="1"/>
  <c r="EN87" i="88"/>
  <c r="EM87" i="88"/>
  <c r="EH87" i="88"/>
  <c r="EG87" i="88"/>
  <c r="EF87" i="88"/>
  <c r="EC87" i="88"/>
  <c r="DZ87" i="88"/>
  <c r="DU87" i="88"/>
  <c r="DS87" i="88"/>
  <c r="DP87" i="88"/>
  <c r="DR87" i="88" s="1"/>
  <c r="DM87" i="88"/>
  <c r="DJ87" i="88"/>
  <c r="DE87" i="88"/>
  <c r="DB87" i="88"/>
  <c r="CW87" i="88"/>
  <c r="CU87" i="88"/>
  <c r="CR87" i="88"/>
  <c r="CT87" i="88" s="1"/>
  <c r="CO87" i="88"/>
  <c r="CL87" i="88"/>
  <c r="CE87" i="88"/>
  <c r="CG87" i="88" s="1"/>
  <c r="CD87" i="88"/>
  <c r="CB87" i="88"/>
  <c r="BY87" i="88"/>
  <c r="BV87" i="88"/>
  <c r="BQ87" i="88"/>
  <c r="BN87" i="88"/>
  <c r="BG87" i="88"/>
  <c r="BI87" i="88" s="1"/>
  <c r="BF87" i="88"/>
  <c r="BE87" i="88"/>
  <c r="BD87" i="88"/>
  <c r="JS87" i="88" s="1"/>
  <c r="BA87" i="88"/>
  <c r="AX87" i="88"/>
  <c r="AS87" i="88"/>
  <c r="AP87" i="88"/>
  <c r="AJ87" i="88"/>
  <c r="AE87" i="88"/>
  <c r="AC87" i="88"/>
  <c r="Y87" i="88"/>
  <c r="W87" i="88" s="1"/>
  <c r="V87" i="88"/>
  <c r="U87" i="88"/>
  <c r="S87" i="88" s="1"/>
  <c r="R87" i="88"/>
  <c r="Q87" i="88"/>
  <c r="N87" i="88"/>
  <c r="O87" i="88" s="1"/>
  <c r="KP86" i="88"/>
  <c r="KN86" i="88"/>
  <c r="KM86" i="88"/>
  <c r="KH86" i="88"/>
  <c r="KQ86" i="88" s="1"/>
  <c r="JR86" i="88"/>
  <c r="JQ86" i="88"/>
  <c r="JD86" i="88"/>
  <c r="JC86" i="88" s="1"/>
  <c r="JY86" i="88" s="1"/>
  <c r="IQ86" i="88"/>
  <c r="IP86" i="88"/>
  <c r="IN86" i="88"/>
  <c r="IM86" i="88"/>
  <c r="IJ86" i="88"/>
  <c r="IK86" i="88" s="1"/>
  <c r="II86" i="88"/>
  <c r="IF86" i="88"/>
  <c r="IG86" i="88" s="1"/>
  <c r="IE86" i="88"/>
  <c r="IC86" i="88"/>
  <c r="IB86" i="88"/>
  <c r="IA86" i="88"/>
  <c r="HX86" i="88"/>
  <c r="HY86" i="88" s="1"/>
  <c r="HW86" i="88"/>
  <c r="HT86" i="88"/>
  <c r="HU86" i="88" s="1"/>
  <c r="HS86" i="88"/>
  <c r="HP86" i="88"/>
  <c r="HO86" i="88"/>
  <c r="HM86" i="88"/>
  <c r="HL86" i="88"/>
  <c r="HK86" i="88"/>
  <c r="HH86" i="88"/>
  <c r="HI86" i="88" s="1"/>
  <c r="HG86" i="88"/>
  <c r="HD86" i="88"/>
  <c r="HE86" i="88" s="1"/>
  <c r="HC86" i="88"/>
  <c r="GZ86" i="88"/>
  <c r="HA86" i="88" s="1"/>
  <c r="GY86" i="88"/>
  <c r="GW86" i="88"/>
  <c r="GV86" i="88"/>
  <c r="GU86" i="88"/>
  <c r="GR86" i="88"/>
  <c r="GS86" i="88" s="1"/>
  <c r="GQ86" i="88"/>
  <c r="GN86" i="88"/>
  <c r="GO86" i="88" s="1"/>
  <c r="GM86" i="88"/>
  <c r="GK86" i="88"/>
  <c r="GJ86" i="88"/>
  <c r="GI86" i="88"/>
  <c r="GG86" i="88"/>
  <c r="GF86" i="88"/>
  <c r="GE86" i="88"/>
  <c r="GB86" i="88"/>
  <c r="GC86" i="88" s="1"/>
  <c r="GA86" i="88"/>
  <c r="FX86" i="88"/>
  <c r="FY86" i="88" s="1"/>
  <c r="FW86" i="88"/>
  <c r="FT86" i="88"/>
  <c r="FU86" i="88" s="1"/>
  <c r="FS86" i="88"/>
  <c r="FQ86" i="88"/>
  <c r="FP86" i="88"/>
  <c r="FO86" i="88"/>
  <c r="FL86" i="88"/>
  <c r="FM86" i="88" s="1"/>
  <c r="FK86" i="88"/>
  <c r="FH86" i="88"/>
  <c r="FI86" i="88" s="1"/>
  <c r="FG86" i="88"/>
  <c r="EO86" i="88" s="1"/>
  <c r="FD86" i="88"/>
  <c r="FE86" i="88" s="1"/>
  <c r="FC86" i="88"/>
  <c r="FA86" i="88"/>
  <c r="EZ86" i="88"/>
  <c r="EY86" i="88"/>
  <c r="EV86" i="88"/>
  <c r="EI86" i="88" s="1"/>
  <c r="EU86" i="88"/>
  <c r="EP86" i="88"/>
  <c r="ER86" i="88" s="1"/>
  <c r="EN86" i="88"/>
  <c r="EM86" i="88"/>
  <c r="EH86" i="88"/>
  <c r="EG86" i="88"/>
  <c r="EF86" i="88"/>
  <c r="EA86" i="88"/>
  <c r="EC86" i="88" s="1"/>
  <c r="DZ86" i="88"/>
  <c r="DX86" i="88"/>
  <c r="DU86" i="88"/>
  <c r="DR86" i="88"/>
  <c r="DM86" i="88"/>
  <c r="DJ86" i="88"/>
  <c r="DC86" i="88"/>
  <c r="DE86" i="88" s="1"/>
  <c r="DB86" i="88"/>
  <c r="DA86" i="88"/>
  <c r="CZ86" i="88"/>
  <c r="CW86" i="88"/>
  <c r="CT86" i="88"/>
  <c r="CO86" i="88"/>
  <c r="CL86" i="88"/>
  <c r="CE86" i="88"/>
  <c r="CG86" i="88" s="1"/>
  <c r="CD86" i="88"/>
  <c r="CB86" i="88"/>
  <c r="BY86" i="88"/>
  <c r="BV86" i="88"/>
  <c r="BQ86" i="88"/>
  <c r="BN86" i="88"/>
  <c r="BG86" i="88"/>
  <c r="BI86" i="88" s="1"/>
  <c r="BD86" i="88"/>
  <c r="BF86" i="88" s="1"/>
  <c r="AZ86" i="88"/>
  <c r="AJ86" i="88" s="1"/>
  <c r="AY86" i="88"/>
  <c r="AW86" i="88"/>
  <c r="AV86" i="88"/>
  <c r="AX86" i="88" s="1"/>
  <c r="AQ86" i="88"/>
  <c r="AI86" i="88" s="1"/>
  <c r="AN86" i="88"/>
  <c r="AP86" i="88" s="1"/>
  <c r="AH86" i="88"/>
  <c r="AE86" i="88"/>
  <c r="AC86" i="88"/>
  <c r="Y86" i="88"/>
  <c r="W86" i="88" s="1"/>
  <c r="V86" i="88"/>
  <c r="U86" i="88"/>
  <c r="S86" i="88" s="1"/>
  <c r="R86" i="88"/>
  <c r="O86" i="88"/>
  <c r="KH85" i="88"/>
  <c r="KQ85" i="88" s="1"/>
  <c r="JR85" i="88"/>
  <c r="JQ85" i="88"/>
  <c r="JC85" i="88"/>
  <c r="IP85" i="88"/>
  <c r="JX85" i="88" s="1"/>
  <c r="IN85" i="88"/>
  <c r="IM85" i="88"/>
  <c r="IK85" i="88"/>
  <c r="II85" i="88"/>
  <c r="IG85" i="88"/>
  <c r="IE85" i="88"/>
  <c r="IC85" i="88"/>
  <c r="IA85" i="88"/>
  <c r="HY85" i="88"/>
  <c r="HW85" i="88"/>
  <c r="HT85" i="88"/>
  <c r="JY85" i="88" s="1"/>
  <c r="HS85" i="88"/>
  <c r="HQ85" i="88"/>
  <c r="HP85" i="88"/>
  <c r="HO85" i="88"/>
  <c r="HL85" i="88"/>
  <c r="HM85" i="88" s="1"/>
  <c r="HK85" i="88"/>
  <c r="HI85" i="88"/>
  <c r="HH85" i="88"/>
  <c r="HG85" i="88"/>
  <c r="HD85" i="88"/>
  <c r="HE85" i="88" s="1"/>
  <c r="HC85" i="88"/>
  <c r="HA85" i="88"/>
  <c r="GZ85" i="88"/>
  <c r="GY85" i="88"/>
  <c r="GV85" i="88"/>
  <c r="GW85" i="88" s="1"/>
  <c r="GU85" i="88"/>
  <c r="GS85" i="88"/>
  <c r="GR85" i="88"/>
  <c r="GQ85" i="88"/>
  <c r="GN85" i="88"/>
  <c r="GO85" i="88" s="1"/>
  <c r="GM85" i="88"/>
  <c r="GK85" i="88"/>
  <c r="GJ85" i="88"/>
  <c r="GI85" i="88"/>
  <c r="GF85" i="88"/>
  <c r="GG85" i="88" s="1"/>
  <c r="GE85" i="88"/>
  <c r="GC85" i="88"/>
  <c r="GB85" i="88"/>
  <c r="GA85" i="88"/>
  <c r="FX85" i="88"/>
  <c r="FY85" i="88" s="1"/>
  <c r="FW85" i="88"/>
  <c r="FU85" i="88"/>
  <c r="FT85" i="88"/>
  <c r="FS85" i="88"/>
  <c r="FP85" i="88"/>
  <c r="FQ85" i="88" s="1"/>
  <c r="FO85" i="88"/>
  <c r="FM85" i="88"/>
  <c r="FL85" i="88"/>
  <c r="FK85" i="88"/>
  <c r="FH85" i="88"/>
  <c r="FI85" i="88" s="1"/>
  <c r="FG85" i="88"/>
  <c r="FE85" i="88"/>
  <c r="FD85" i="88"/>
  <c r="FC85" i="88"/>
  <c r="EZ85" i="88"/>
  <c r="EY85" i="88"/>
  <c r="EW85" i="88"/>
  <c r="EV85" i="88"/>
  <c r="EU85" i="88"/>
  <c r="EO85" i="88"/>
  <c r="EN85" i="88"/>
  <c r="EM85" i="88"/>
  <c r="EI85" i="88"/>
  <c r="EJ85" i="88" s="1"/>
  <c r="EH85" i="88"/>
  <c r="EG85" i="88"/>
  <c r="EF85" i="88"/>
  <c r="EC85" i="88"/>
  <c r="DZ85" i="88"/>
  <c r="DU85" i="88"/>
  <c r="DR85" i="88"/>
  <c r="DM85" i="88"/>
  <c r="DJ85" i="88"/>
  <c r="DE85" i="88"/>
  <c r="DB85" i="88"/>
  <c r="CW85" i="88"/>
  <c r="CT85" i="88"/>
  <c r="CN85" i="88"/>
  <c r="CO85" i="88" s="1"/>
  <c r="CL85" i="88"/>
  <c r="CG85" i="88"/>
  <c r="CC85" i="88"/>
  <c r="CD85" i="88" s="1"/>
  <c r="BY85" i="88"/>
  <c r="BV85" i="88"/>
  <c r="BQ85" i="88"/>
  <c r="BN85" i="88"/>
  <c r="BI85" i="88"/>
  <c r="BF85" i="88"/>
  <c r="BA85" i="88"/>
  <c r="AX85" i="88"/>
  <c r="AS85" i="88"/>
  <c r="AP85" i="88"/>
  <c r="AI85" i="88"/>
  <c r="AH85" i="88"/>
  <c r="AD85" i="88"/>
  <c r="AC85" i="88"/>
  <c r="Y85" i="88"/>
  <c r="W85" i="88" s="1"/>
  <c r="V85" i="88"/>
  <c r="U85" i="88"/>
  <c r="S85" i="88" s="1"/>
  <c r="R85" i="88"/>
  <c r="O85" i="88"/>
  <c r="KI84" i="88"/>
  <c r="KH84" i="88"/>
  <c r="JR84" i="88"/>
  <c r="JT84" i="88" s="1"/>
  <c r="JQ84" i="88"/>
  <c r="JE84" i="88"/>
  <c r="JE133" i="88" s="1"/>
  <c r="JD84" i="88"/>
  <c r="IR84" i="88"/>
  <c r="IR133" i="88" s="1"/>
  <c r="IQ84" i="88"/>
  <c r="IP84" i="88" s="1"/>
  <c r="IN84" i="88"/>
  <c r="IM84" i="88"/>
  <c r="IJ84" i="88"/>
  <c r="IK84" i="88" s="1"/>
  <c r="II84" i="88"/>
  <c r="IG84" i="88"/>
  <c r="IF84" i="88"/>
  <c r="IE84" i="88"/>
  <c r="IB84" i="88"/>
  <c r="IC84" i="88" s="1"/>
  <c r="IA84" i="88"/>
  <c r="HY84" i="88"/>
  <c r="HX84" i="88"/>
  <c r="HW84" i="88"/>
  <c r="HT84" i="88"/>
  <c r="HS84" i="88"/>
  <c r="HQ84" i="88"/>
  <c r="HP84" i="88"/>
  <c r="HO84" i="88"/>
  <c r="HL84" i="88"/>
  <c r="HM84" i="88" s="1"/>
  <c r="HK84" i="88"/>
  <c r="HI84" i="88"/>
  <c r="HH84" i="88"/>
  <c r="HG84" i="88"/>
  <c r="HD84" i="88"/>
  <c r="HE84" i="88" s="1"/>
  <c r="HC84" i="88"/>
  <c r="HA84" i="88"/>
  <c r="GZ84" i="88"/>
  <c r="GY84" i="88"/>
  <c r="GV84" i="88"/>
  <c r="GW84" i="88" s="1"/>
  <c r="GU84" i="88"/>
  <c r="GS84" i="88"/>
  <c r="GR84" i="88"/>
  <c r="GQ84" i="88"/>
  <c r="GN84" i="88"/>
  <c r="GO84" i="88" s="1"/>
  <c r="GM84" i="88"/>
  <c r="GK84" i="88"/>
  <c r="GJ84" i="88"/>
  <c r="GI84" i="88"/>
  <c r="GF84" i="88"/>
  <c r="GG84" i="88" s="1"/>
  <c r="GE84" i="88"/>
  <c r="GC84" i="88"/>
  <c r="GB84" i="88"/>
  <c r="GA84" i="88"/>
  <c r="FX84" i="88"/>
  <c r="FY84" i="88" s="1"/>
  <c r="FW84" i="88"/>
  <c r="FU84" i="88"/>
  <c r="FT84" i="88"/>
  <c r="FS84" i="88"/>
  <c r="FP84" i="88"/>
  <c r="FQ84" i="88" s="1"/>
  <c r="FO84" i="88"/>
  <c r="FM84" i="88"/>
  <c r="FL84" i="88"/>
  <c r="FK84" i="88"/>
  <c r="FH84" i="88"/>
  <c r="FI84" i="88" s="1"/>
  <c r="FG84" i="88"/>
  <c r="FE84" i="88"/>
  <c r="FD84" i="88"/>
  <c r="FC84" i="88"/>
  <c r="EZ84" i="88"/>
  <c r="FA84" i="88" s="1"/>
  <c r="EY84" i="88"/>
  <c r="EW84" i="88"/>
  <c r="EV84" i="88"/>
  <c r="EI84" i="88" s="1"/>
  <c r="EU84" i="88"/>
  <c r="EO84" i="88"/>
  <c r="EN84" i="88"/>
  <c r="EM84" i="88"/>
  <c r="EH84" i="88"/>
  <c r="EG84" i="88"/>
  <c r="EF84" i="88"/>
  <c r="EC84" i="88"/>
  <c r="DZ84" i="88"/>
  <c r="DU84" i="88"/>
  <c r="DR84" i="88"/>
  <c r="DM84" i="88"/>
  <c r="DJ84" i="88"/>
  <c r="DE84" i="88"/>
  <c r="DB84" i="88"/>
  <c r="CW84" i="88"/>
  <c r="CT84" i="88"/>
  <c r="CO84" i="88"/>
  <c r="CL84" i="88"/>
  <c r="CG84" i="88"/>
  <c r="CD84" i="88"/>
  <c r="BY84" i="88"/>
  <c r="BV84" i="88"/>
  <c r="BQ84" i="88"/>
  <c r="BN84" i="88"/>
  <c r="BI84" i="88"/>
  <c r="BF84" i="88"/>
  <c r="BA84" i="88"/>
  <c r="AX84" i="88"/>
  <c r="AS84" i="88"/>
  <c r="AP84" i="88"/>
  <c r="AJ84" i="88"/>
  <c r="AI84" i="88"/>
  <c r="AH84" i="88"/>
  <c r="AE84" i="88"/>
  <c r="AD84" i="88"/>
  <c r="AC84" i="88"/>
  <c r="Y84" i="88"/>
  <c r="W84" i="88" s="1"/>
  <c r="U84" i="88"/>
  <c r="S84" i="88" s="1"/>
  <c r="R84" i="88"/>
  <c r="O84" i="88"/>
  <c r="KQ83" i="88"/>
  <c r="KH83" i="88"/>
  <c r="JR83" i="88"/>
  <c r="JQ83" i="88"/>
  <c r="JD83" i="88"/>
  <c r="JC83" i="88" s="1"/>
  <c r="JY83" i="88" s="1"/>
  <c r="IQ83" i="88"/>
  <c r="IP83" i="88" s="1"/>
  <c r="IN83" i="88"/>
  <c r="IM83" i="88"/>
  <c r="IK83" i="88"/>
  <c r="IJ83" i="88"/>
  <c r="II83" i="88"/>
  <c r="IF83" i="88"/>
  <c r="IG83" i="88" s="1"/>
  <c r="IE83" i="88"/>
  <c r="IC83" i="88"/>
  <c r="IB83" i="88"/>
  <c r="IA83" i="88"/>
  <c r="HX83" i="88"/>
  <c r="HY83" i="88" s="1"/>
  <c r="HW83" i="88"/>
  <c r="HU83" i="88"/>
  <c r="HT83" i="88"/>
  <c r="HS83" i="88"/>
  <c r="HP83" i="88"/>
  <c r="JX83" i="88" s="1"/>
  <c r="HO83" i="88"/>
  <c r="HM83" i="88"/>
  <c r="HL83" i="88"/>
  <c r="HK83" i="88"/>
  <c r="HH83" i="88"/>
  <c r="HI83" i="88" s="1"/>
  <c r="HG83" i="88"/>
  <c r="HE83" i="88"/>
  <c r="HD83" i="88"/>
  <c r="HC83" i="88"/>
  <c r="GZ83" i="88"/>
  <c r="HA83" i="88" s="1"/>
  <c r="GY83" i="88"/>
  <c r="GW83" i="88"/>
  <c r="GV83" i="88"/>
  <c r="GU83" i="88"/>
  <c r="GR83" i="88"/>
  <c r="GS83" i="88" s="1"/>
  <c r="GQ83" i="88"/>
  <c r="GO83" i="88"/>
  <c r="GN83" i="88"/>
  <c r="GM83" i="88"/>
  <c r="GJ83" i="88"/>
  <c r="GK83" i="88" s="1"/>
  <c r="GI83" i="88"/>
  <c r="GG83" i="88"/>
  <c r="GF83" i="88"/>
  <c r="GE83" i="88"/>
  <c r="GB83" i="88"/>
  <c r="GC83" i="88" s="1"/>
  <c r="GA83" i="88"/>
  <c r="FY83" i="88"/>
  <c r="FX83" i="88"/>
  <c r="FW83" i="88"/>
  <c r="FT83" i="88"/>
  <c r="FU83" i="88" s="1"/>
  <c r="FS83" i="88"/>
  <c r="FQ83" i="88"/>
  <c r="FP83" i="88"/>
  <c r="FO83" i="88"/>
  <c r="FL83" i="88"/>
  <c r="FM83" i="88" s="1"/>
  <c r="FK83" i="88"/>
  <c r="FI83" i="88"/>
  <c r="FH83" i="88"/>
  <c r="FG83" i="88"/>
  <c r="FD83" i="88"/>
  <c r="FE83" i="88" s="1"/>
  <c r="FC83" i="88"/>
  <c r="FA83" i="88"/>
  <c r="EZ83" i="88"/>
  <c r="EY83" i="88"/>
  <c r="EO83" i="88" s="1"/>
  <c r="EV83" i="88"/>
  <c r="EW83" i="88" s="1"/>
  <c r="EU83" i="88"/>
  <c r="EP83" i="88"/>
  <c r="EN83" i="88"/>
  <c r="EM83" i="88"/>
  <c r="EI83" i="88"/>
  <c r="EH83" i="88"/>
  <c r="EG83" i="88"/>
  <c r="EF83" i="88"/>
  <c r="EC83" i="88"/>
  <c r="DZ83" i="88"/>
  <c r="DU83" i="88"/>
  <c r="DR83" i="88"/>
  <c r="DM83" i="88"/>
  <c r="DJ83" i="88"/>
  <c r="DE83" i="88"/>
  <c r="DB83" i="88"/>
  <c r="CW83" i="88"/>
  <c r="CT83" i="88"/>
  <c r="CO83" i="88"/>
  <c r="CL83" i="88"/>
  <c r="CG83" i="88"/>
  <c r="CD83" i="88"/>
  <c r="BY83" i="88"/>
  <c r="BV83" i="88"/>
  <c r="BQ83" i="88"/>
  <c r="BN83" i="88"/>
  <c r="BI83" i="88"/>
  <c r="BF83" i="88"/>
  <c r="BA83" i="88"/>
  <c r="AX83" i="88"/>
  <c r="AS83" i="88"/>
  <c r="AQ83" i="88"/>
  <c r="AP83" i="88"/>
  <c r="AN83" i="88"/>
  <c r="AJ83" i="88"/>
  <c r="AI83" i="88"/>
  <c r="AH83" i="88"/>
  <c r="AE83" i="88"/>
  <c r="AD83" i="88"/>
  <c r="AC83" i="88"/>
  <c r="Y83" i="88"/>
  <c r="W83" i="88" s="1"/>
  <c r="V83" i="88"/>
  <c r="U83" i="88"/>
  <c r="S83" i="88" s="1"/>
  <c r="R83" i="88"/>
  <c r="O83" i="88"/>
  <c r="KI82" i="88"/>
  <c r="KH82" i="88"/>
  <c r="KQ82" i="88" s="1"/>
  <c r="JR82" i="88"/>
  <c r="JQ82" i="88"/>
  <c r="JD82" i="88"/>
  <c r="JC82" i="88"/>
  <c r="IQ82" i="88"/>
  <c r="IP82" i="88"/>
  <c r="JX82" i="88" s="1"/>
  <c r="IN82" i="88"/>
  <c r="IM82" i="88"/>
  <c r="IJ82" i="88"/>
  <c r="IK82" i="88" s="1"/>
  <c r="II82" i="88"/>
  <c r="IG82" i="88"/>
  <c r="IF82" i="88"/>
  <c r="IE82" i="88"/>
  <c r="IB82" i="88"/>
  <c r="IC82" i="88" s="1"/>
  <c r="IA82" i="88"/>
  <c r="HY82" i="88"/>
  <c r="HX82" i="88"/>
  <c r="HW82" i="88"/>
  <c r="HT82" i="88"/>
  <c r="HU82" i="88" s="1"/>
  <c r="HS82" i="88"/>
  <c r="HQ82" i="88"/>
  <c r="HP82" i="88"/>
  <c r="HO82" i="88"/>
  <c r="HL82" i="88"/>
  <c r="HM82" i="88" s="1"/>
  <c r="HK82" i="88"/>
  <c r="HI82" i="88"/>
  <c r="HH82" i="88"/>
  <c r="HG82" i="88"/>
  <c r="HD82" i="88"/>
  <c r="HE82" i="88" s="1"/>
  <c r="HC82" i="88"/>
  <c r="HA82" i="88"/>
  <c r="GZ82" i="88"/>
  <c r="GY82" i="88"/>
  <c r="GV82" i="88"/>
  <c r="GW82" i="88" s="1"/>
  <c r="GU82" i="88"/>
  <c r="GS82" i="88"/>
  <c r="GR82" i="88"/>
  <c r="GQ82" i="88"/>
  <c r="GN82" i="88"/>
  <c r="GO82" i="88" s="1"/>
  <c r="GM82" i="88"/>
  <c r="GK82" i="88"/>
  <c r="GJ82" i="88"/>
  <c r="GI82" i="88"/>
  <c r="GF82" i="88"/>
  <c r="GG82" i="88" s="1"/>
  <c r="GE82" i="88"/>
  <c r="GC82" i="88"/>
  <c r="GB82" i="88"/>
  <c r="GA82" i="88"/>
  <c r="FX82" i="88"/>
  <c r="FY82" i="88" s="1"/>
  <c r="FW82" i="88"/>
  <c r="FU82" i="88"/>
  <c r="FT82" i="88"/>
  <c r="FS82" i="88"/>
  <c r="FP82" i="88"/>
  <c r="FQ82" i="88" s="1"/>
  <c r="FO82" i="88"/>
  <c r="FM82" i="88"/>
  <c r="FL82" i="88"/>
  <c r="FK82" i="88"/>
  <c r="FH82" i="88"/>
  <c r="FI82" i="88" s="1"/>
  <c r="FG82" i="88"/>
  <c r="FE82" i="88"/>
  <c r="FD82" i="88"/>
  <c r="FC82" i="88"/>
  <c r="EZ82" i="88"/>
  <c r="FA82" i="88" s="1"/>
  <c r="EY82" i="88"/>
  <c r="EW82" i="88"/>
  <c r="EV82" i="88"/>
  <c r="EU82" i="88"/>
  <c r="EH82" i="88" s="1"/>
  <c r="EO82" i="88"/>
  <c r="EN82" i="88"/>
  <c r="EM82" i="88"/>
  <c r="EI82" i="88"/>
  <c r="EK82" i="88" s="1"/>
  <c r="EG82" i="88"/>
  <c r="EF82" i="88"/>
  <c r="EC82" i="88"/>
  <c r="DZ82" i="88"/>
  <c r="DU82" i="88"/>
  <c r="DR82" i="88"/>
  <c r="DM82" i="88"/>
  <c r="DJ82" i="88"/>
  <c r="DE82" i="88"/>
  <c r="DB82" i="88"/>
  <c r="CW82" i="88"/>
  <c r="CT82" i="88"/>
  <c r="CO82" i="88"/>
  <c r="CL82" i="88"/>
  <c r="CG82" i="88"/>
  <c r="CD82" i="88"/>
  <c r="BY82" i="88"/>
  <c r="BV82" i="88"/>
  <c r="BQ82" i="88"/>
  <c r="BN82" i="88"/>
  <c r="BG82" i="88"/>
  <c r="AI82" i="88" s="1"/>
  <c r="BF82" i="88"/>
  <c r="BA82" i="88"/>
  <c r="AV82" i="88"/>
  <c r="JS82" i="88" s="1"/>
  <c r="AS82" i="88"/>
  <c r="AP82" i="88"/>
  <c r="AJ82" i="88"/>
  <c r="AE82" i="88"/>
  <c r="Y82" i="88"/>
  <c r="W82" i="88" s="1"/>
  <c r="U82" i="88"/>
  <c r="S82" i="88"/>
  <c r="R82" i="88"/>
  <c r="O82" i="88"/>
  <c r="KQ81" i="88"/>
  <c r="KI81" i="88"/>
  <c r="JC81" i="88"/>
  <c r="JY81" i="88" s="1"/>
  <c r="IP81" i="88"/>
  <c r="IK81" i="88"/>
  <c r="IJ81" i="88"/>
  <c r="II81" i="88"/>
  <c r="IF81" i="88"/>
  <c r="IG81" i="88" s="1"/>
  <c r="IE81" i="88"/>
  <c r="IC81" i="88"/>
  <c r="IB81" i="88"/>
  <c r="IA81" i="88"/>
  <c r="HX81" i="88"/>
  <c r="HY81" i="88" s="1"/>
  <c r="HW81" i="88"/>
  <c r="HU81" i="88"/>
  <c r="HT81" i="88"/>
  <c r="HS81" i="88"/>
  <c r="HP81" i="88"/>
  <c r="HQ81" i="88" s="1"/>
  <c r="HO81" i="88"/>
  <c r="HM81" i="88"/>
  <c r="HL81" i="88"/>
  <c r="HK81" i="88"/>
  <c r="HH81" i="88"/>
  <c r="HI81" i="88" s="1"/>
  <c r="KA81" i="88" s="1"/>
  <c r="KD81" i="88" s="1"/>
  <c r="HG81" i="88"/>
  <c r="HE81" i="88"/>
  <c r="HD81" i="88"/>
  <c r="HC81" i="88"/>
  <c r="GZ81" i="88"/>
  <c r="HA81" i="88" s="1"/>
  <c r="GY81" i="88"/>
  <c r="GW81" i="88"/>
  <c r="GV81" i="88"/>
  <c r="GU81" i="88"/>
  <c r="GR81" i="88"/>
  <c r="GS81" i="88" s="1"/>
  <c r="GQ81" i="88"/>
  <c r="GO81" i="88"/>
  <c r="GN81" i="88"/>
  <c r="GM81" i="88"/>
  <c r="GJ81" i="88"/>
  <c r="GK81" i="88" s="1"/>
  <c r="GI81" i="88"/>
  <c r="GG81" i="88"/>
  <c r="GF81" i="88"/>
  <c r="GE81" i="88"/>
  <c r="GB81" i="88"/>
  <c r="GC81" i="88" s="1"/>
  <c r="GA81" i="88"/>
  <c r="FY81" i="88"/>
  <c r="FX81" i="88"/>
  <c r="FW81" i="88"/>
  <c r="FT81" i="88"/>
  <c r="FU81" i="88" s="1"/>
  <c r="FS81" i="88"/>
  <c r="FQ81" i="88"/>
  <c r="FP81" i="88"/>
  <c r="FO81" i="88"/>
  <c r="FL81" i="88"/>
  <c r="FM81" i="88" s="1"/>
  <c r="FK81" i="88"/>
  <c r="FI81" i="88"/>
  <c r="FH81" i="88"/>
  <c r="FG81" i="88"/>
  <c r="FD81" i="88"/>
  <c r="FE81" i="88" s="1"/>
  <c r="FC81" i="88"/>
  <c r="FA81" i="88"/>
  <c r="EZ81" i="88"/>
  <c r="EY81" i="88"/>
  <c r="EO81" i="88" s="1"/>
  <c r="EV81" i="88"/>
  <c r="EI81" i="88" s="1"/>
  <c r="EU81" i="88"/>
  <c r="EH81" i="88" s="1"/>
  <c r="EP81" i="88"/>
  <c r="EN81" i="88"/>
  <c r="EM81" i="88"/>
  <c r="EG81" i="88"/>
  <c r="EF81" i="88"/>
  <c r="EC81" i="88"/>
  <c r="DZ81" i="88"/>
  <c r="DU81" i="88"/>
  <c r="DR81" i="88"/>
  <c r="DM81" i="88"/>
  <c r="DJ81" i="88"/>
  <c r="DE81" i="88"/>
  <c r="DC81" i="88"/>
  <c r="DB81" i="88"/>
  <c r="CZ81" i="88"/>
  <c r="CW81" i="88"/>
  <c r="CT81" i="88"/>
  <c r="CO81" i="88"/>
  <c r="CL81" i="88"/>
  <c r="CG81" i="88"/>
  <c r="CF81" i="88"/>
  <c r="CF133" i="88" s="1"/>
  <c r="CE81" i="88"/>
  <c r="CB81" i="88"/>
  <c r="CD81" i="88" s="1"/>
  <c r="BY81" i="88"/>
  <c r="BV81" i="88"/>
  <c r="BQ81" i="88"/>
  <c r="BN81" i="88"/>
  <c r="BG81" i="88"/>
  <c r="BI81" i="88" s="1"/>
  <c r="BD81" i="88"/>
  <c r="AC81" i="88" s="1"/>
  <c r="BA81" i="88"/>
  <c r="AX81" i="88"/>
  <c r="AQ81" i="88"/>
  <c r="AI81" i="88" s="1"/>
  <c r="AN81" i="88"/>
  <c r="AP81" i="88" s="1"/>
  <c r="AJ81" i="88"/>
  <c r="AE81" i="88"/>
  <c r="Y81" i="88"/>
  <c r="W81" i="88" s="1"/>
  <c r="V81" i="88"/>
  <c r="U81" i="88"/>
  <c r="S81" i="88" s="1"/>
  <c r="R81" i="88"/>
  <c r="Q81" i="88"/>
  <c r="O81" i="88"/>
  <c r="N81" i="88"/>
  <c r="KQ80" i="88"/>
  <c r="JT80" i="88"/>
  <c r="JS80" i="88"/>
  <c r="JC80" i="88"/>
  <c r="JY80" i="88" s="1"/>
  <c r="IP80" i="88"/>
  <c r="JX80" i="88" s="1"/>
  <c r="IK80" i="88"/>
  <c r="IG80" i="88"/>
  <c r="IC80" i="88"/>
  <c r="HY80" i="88"/>
  <c r="HU80" i="88"/>
  <c r="HQ80" i="88"/>
  <c r="HM80" i="88"/>
  <c r="HI80" i="88"/>
  <c r="HE80" i="88"/>
  <c r="HA80" i="88"/>
  <c r="GW80" i="88"/>
  <c r="GS80" i="88"/>
  <c r="GO80" i="88"/>
  <c r="GK80" i="88"/>
  <c r="GG80" i="88"/>
  <c r="GC80" i="88"/>
  <c r="FY80" i="88"/>
  <c r="FU80" i="88"/>
  <c r="FQ80" i="88"/>
  <c r="FM80" i="88"/>
  <c r="FI80" i="88"/>
  <c r="FE80" i="88"/>
  <c r="FA80" i="88"/>
  <c r="EW80" i="88"/>
  <c r="EP80" i="88"/>
  <c r="EO80" i="88"/>
  <c r="EN80" i="88"/>
  <c r="EM80" i="88"/>
  <c r="EI80" i="88"/>
  <c r="EH80" i="88"/>
  <c r="EG80" i="88"/>
  <c r="EF80" i="88"/>
  <c r="EC80" i="88"/>
  <c r="DZ80" i="88"/>
  <c r="DU80" i="88"/>
  <c r="DR80" i="88"/>
  <c r="DM80" i="88"/>
  <c r="DJ80" i="88"/>
  <c r="DE80" i="88"/>
  <c r="DB80" i="88"/>
  <c r="CW80" i="88"/>
  <c r="CT80" i="88"/>
  <c r="CO80" i="88"/>
  <c r="CL80" i="88"/>
  <c r="CG80" i="88"/>
  <c r="CD80" i="88"/>
  <c r="BY80" i="88"/>
  <c r="BV80" i="88"/>
  <c r="BQ80" i="88"/>
  <c r="BN80" i="88"/>
  <c r="BI80" i="88"/>
  <c r="BF80" i="88"/>
  <c r="BA80" i="88"/>
  <c r="AX80" i="88"/>
  <c r="AS80" i="88"/>
  <c r="AP80" i="88"/>
  <c r="AJ80" i="88"/>
  <c r="AI80" i="88"/>
  <c r="AH80" i="88"/>
  <c r="AE80" i="88"/>
  <c r="AD80" i="88"/>
  <c r="AC80" i="88"/>
  <c r="Y80" i="88"/>
  <c r="W80" i="88" s="1"/>
  <c r="U80" i="88"/>
  <c r="S80" i="88" s="1"/>
  <c r="R80" i="88"/>
  <c r="O80" i="88"/>
  <c r="KL79" i="88"/>
  <c r="KI79" i="88"/>
  <c r="KQ79" i="88" s="1"/>
  <c r="JC79" i="88"/>
  <c r="JY79" i="88" s="1"/>
  <c r="IP79" i="88"/>
  <c r="IN79" i="88"/>
  <c r="IM79" i="88"/>
  <c r="IK79" i="88"/>
  <c r="II79" i="88"/>
  <c r="IG79" i="88"/>
  <c r="IE79" i="88"/>
  <c r="IC79" i="88"/>
  <c r="IA79" i="88"/>
  <c r="HY79" i="88"/>
  <c r="HW79" i="88"/>
  <c r="HU79" i="88"/>
  <c r="HT79" i="88"/>
  <c r="HS79" i="88"/>
  <c r="HP79" i="88"/>
  <c r="HO79" i="88"/>
  <c r="HM79" i="88"/>
  <c r="HL79" i="88"/>
  <c r="HK79" i="88"/>
  <c r="HH79" i="88"/>
  <c r="HI79" i="88" s="1"/>
  <c r="HG79" i="88"/>
  <c r="HE79" i="88"/>
  <c r="HD79" i="88"/>
  <c r="HC79" i="88"/>
  <c r="GZ79" i="88"/>
  <c r="HA79" i="88" s="1"/>
  <c r="GY79" i="88"/>
  <c r="GW79" i="88"/>
  <c r="GV79" i="88"/>
  <c r="GU79" i="88"/>
  <c r="GR79" i="88"/>
  <c r="GS79" i="88" s="1"/>
  <c r="GQ79" i="88"/>
  <c r="GO79" i="88"/>
  <c r="GN79" i="88"/>
  <c r="GM79" i="88"/>
  <c r="GJ79" i="88"/>
  <c r="GK79" i="88" s="1"/>
  <c r="GI79" i="88"/>
  <c r="GG79" i="88"/>
  <c r="GF79" i="88"/>
  <c r="GE79" i="88"/>
  <c r="GB79" i="88"/>
  <c r="GC79" i="88" s="1"/>
  <c r="GA79" i="88"/>
  <c r="FY79" i="88"/>
  <c r="FX79" i="88"/>
  <c r="FW79" i="88"/>
  <c r="FT79" i="88"/>
  <c r="FU79" i="88" s="1"/>
  <c r="FS79" i="88"/>
  <c r="FQ79" i="88"/>
  <c r="FP79" i="88"/>
  <c r="FO79" i="88"/>
  <c r="FL79" i="88"/>
  <c r="EI79" i="88" s="1"/>
  <c r="FK79" i="88"/>
  <c r="JS79" i="88" s="1"/>
  <c r="FI79" i="88"/>
  <c r="FH79" i="88"/>
  <c r="FG79" i="88"/>
  <c r="JT79" i="88" s="1"/>
  <c r="FD79" i="88"/>
  <c r="FE79" i="88" s="1"/>
  <c r="FC79" i="88"/>
  <c r="FA79" i="88"/>
  <c r="EW79" i="88"/>
  <c r="EP79" i="88"/>
  <c r="EN79" i="88"/>
  <c r="EM79" i="88"/>
  <c r="EG79" i="88"/>
  <c r="EF79" i="88"/>
  <c r="EC79" i="88"/>
  <c r="DZ79" i="88"/>
  <c r="DU79" i="88"/>
  <c r="DR79" i="88"/>
  <c r="DM79" i="88"/>
  <c r="DJ79" i="88"/>
  <c r="DE79" i="88"/>
  <c r="DB79" i="88"/>
  <c r="CW79" i="88"/>
  <c r="CT79" i="88"/>
  <c r="CO79" i="88"/>
  <c r="CL79" i="88"/>
  <c r="CG79" i="88"/>
  <c r="CD79" i="88"/>
  <c r="BY79" i="88"/>
  <c r="BV79" i="88"/>
  <c r="BQ79" i="88"/>
  <c r="BN79" i="88"/>
  <c r="BI79" i="88"/>
  <c r="BF79" i="88"/>
  <c r="BA79" i="88"/>
  <c r="AX79" i="88"/>
  <c r="AS79" i="88"/>
  <c r="AP79" i="88"/>
  <c r="AJ79" i="88"/>
  <c r="AI79" i="88"/>
  <c r="AH79" i="88"/>
  <c r="AE79" i="88"/>
  <c r="AD79" i="88"/>
  <c r="AC79" i="88"/>
  <c r="Y79" i="88"/>
  <c r="W79" i="88" s="1"/>
  <c r="V79" i="88"/>
  <c r="U79" i="88"/>
  <c r="S79" i="88" s="1"/>
  <c r="R79" i="88"/>
  <c r="O79" i="88"/>
  <c r="KQ78" i="88"/>
  <c r="KI78" i="88"/>
  <c r="JD78" i="88"/>
  <c r="JC78" i="88" s="1"/>
  <c r="JY78" i="88" s="1"/>
  <c r="IQ78" i="88"/>
  <c r="IP78" i="88" s="1"/>
  <c r="IN78" i="88"/>
  <c r="IM78" i="88"/>
  <c r="IK78" i="88"/>
  <c r="IJ78" i="88"/>
  <c r="II78" i="88"/>
  <c r="IF78" i="88"/>
  <c r="IG78" i="88" s="1"/>
  <c r="IE78" i="88"/>
  <c r="IC78" i="88"/>
  <c r="IB78" i="88"/>
  <c r="IA78" i="88"/>
  <c r="HX78" i="88"/>
  <c r="HY78" i="88" s="1"/>
  <c r="HW78" i="88"/>
  <c r="HU78" i="88"/>
  <c r="HT78" i="88"/>
  <c r="HS78" i="88"/>
  <c r="HP78" i="88"/>
  <c r="HQ78" i="88" s="1"/>
  <c r="HO78" i="88"/>
  <c r="HM78" i="88"/>
  <c r="HL78" i="88"/>
  <c r="HK78" i="88"/>
  <c r="HH78" i="88"/>
  <c r="HI78" i="88" s="1"/>
  <c r="HG78" i="88"/>
  <c r="HE78" i="88"/>
  <c r="HD78" i="88"/>
  <c r="HC78" i="88"/>
  <c r="GZ78" i="88"/>
  <c r="HA78" i="88" s="1"/>
  <c r="GY78" i="88"/>
  <c r="GW78" i="88"/>
  <c r="GV78" i="88"/>
  <c r="GU78" i="88"/>
  <c r="GR78" i="88"/>
  <c r="GS78" i="88" s="1"/>
  <c r="GQ78" i="88"/>
  <c r="GO78" i="88"/>
  <c r="GN78" i="88"/>
  <c r="GM78" i="88"/>
  <c r="GJ78" i="88"/>
  <c r="GK78" i="88" s="1"/>
  <c r="GI78" i="88"/>
  <c r="GG78" i="88"/>
  <c r="GF78" i="88"/>
  <c r="GE78" i="88"/>
  <c r="GB78" i="88"/>
  <c r="GC78" i="88" s="1"/>
  <c r="GA78" i="88"/>
  <c r="FY78" i="88"/>
  <c r="FX78" i="88"/>
  <c r="FW78" i="88"/>
  <c r="FT78" i="88"/>
  <c r="FU78" i="88" s="1"/>
  <c r="FS78" i="88"/>
  <c r="FQ78" i="88"/>
  <c r="FP78" i="88"/>
  <c r="FO78" i="88"/>
  <c r="FL78" i="88"/>
  <c r="FM78" i="88" s="1"/>
  <c r="FK78" i="88"/>
  <c r="FI78" i="88"/>
  <c r="FH78" i="88"/>
  <c r="FG78" i="88"/>
  <c r="FD78" i="88"/>
  <c r="FE78" i="88" s="1"/>
  <c r="FC78" i="88"/>
  <c r="FA78" i="88"/>
  <c r="EZ78" i="88"/>
  <c r="EY78" i="88"/>
  <c r="EO78" i="88" s="1"/>
  <c r="EV78" i="88"/>
  <c r="EI78" i="88" s="1"/>
  <c r="EU78" i="88"/>
  <c r="EH78" i="88" s="1"/>
  <c r="EP78" i="88"/>
  <c r="EN78" i="88"/>
  <c r="EM78" i="88"/>
  <c r="EG78" i="88"/>
  <c r="EF78" i="88"/>
  <c r="EC78" i="88"/>
  <c r="DZ78" i="88"/>
  <c r="DU78" i="88"/>
  <c r="DR78" i="88"/>
  <c r="DM78" i="88"/>
  <c r="DJ78" i="88"/>
  <c r="DE78" i="88"/>
  <c r="DC78" i="88"/>
  <c r="DB78" i="88"/>
  <c r="CZ78" i="88"/>
  <c r="CW78" i="88"/>
  <c r="CT78" i="88"/>
  <c r="CO78" i="88"/>
  <c r="CL78" i="88"/>
  <c r="CG78" i="88"/>
  <c r="CE78" i="88"/>
  <c r="CD78" i="88"/>
  <c r="CB78" i="88"/>
  <c r="BY78" i="88"/>
  <c r="BV78" i="88"/>
  <c r="BQ78" i="88"/>
  <c r="BN78" i="88"/>
  <c r="BI78" i="88"/>
  <c r="BG78" i="88"/>
  <c r="BE78" i="88"/>
  <c r="BD78" i="88"/>
  <c r="BF78" i="88" s="1"/>
  <c r="BA78" i="88"/>
  <c r="AX78" i="88"/>
  <c r="AR78" i="88"/>
  <c r="AJ78" i="88" s="1"/>
  <c r="AQ78" i="88"/>
  <c r="JT78" i="88" s="1"/>
  <c r="AO78" i="88"/>
  <c r="AN78" i="88"/>
  <c r="AP78" i="88" s="1"/>
  <c r="AH78" i="88"/>
  <c r="AE78" i="88"/>
  <c r="AC78" i="88"/>
  <c r="Y78" i="88"/>
  <c r="W78" i="88"/>
  <c r="V78" i="88"/>
  <c r="U78" i="88"/>
  <c r="S78" i="88" s="1"/>
  <c r="R78" i="88"/>
  <c r="O78" i="88"/>
  <c r="KQ77" i="88"/>
  <c r="JT77" i="88"/>
  <c r="JS77" i="88"/>
  <c r="JC77" i="88"/>
  <c r="JY77" i="88" s="1"/>
  <c r="IP77" i="88"/>
  <c r="JX77" i="88" s="1"/>
  <c r="IK77" i="88"/>
  <c r="IG77" i="88"/>
  <c r="IC77" i="88"/>
  <c r="HY77" i="88"/>
  <c r="HU77" i="88"/>
  <c r="HQ77" i="88"/>
  <c r="HM77" i="88"/>
  <c r="HI77" i="88"/>
  <c r="HE77" i="88"/>
  <c r="HA77" i="88"/>
  <c r="GW77" i="88"/>
  <c r="GS77" i="88"/>
  <c r="GO77" i="88"/>
  <c r="GK77" i="88"/>
  <c r="GG77" i="88"/>
  <c r="GC77" i="88"/>
  <c r="FY77" i="88"/>
  <c r="FU77" i="88"/>
  <c r="FQ77" i="88"/>
  <c r="FM77" i="88"/>
  <c r="FI77" i="88"/>
  <c r="FE77" i="88"/>
  <c r="FA77" i="88"/>
  <c r="EW77" i="88"/>
  <c r="EP77" i="88"/>
  <c r="EQ77" i="88" s="1"/>
  <c r="EO77" i="88"/>
  <c r="EN77" i="88"/>
  <c r="EM77" i="88"/>
  <c r="EI77" i="88"/>
  <c r="EK77" i="88" s="1"/>
  <c r="EH77" i="88"/>
  <c r="EG77" i="88"/>
  <c r="EF77" i="88"/>
  <c r="EC77" i="88"/>
  <c r="DZ77" i="88"/>
  <c r="DU77" i="88"/>
  <c r="DR77" i="88"/>
  <c r="DM77" i="88"/>
  <c r="DJ77" i="88"/>
  <c r="DE77" i="88"/>
  <c r="DB77" i="88"/>
  <c r="CW77" i="88"/>
  <c r="CT77" i="88"/>
  <c r="CO77" i="88"/>
  <c r="CL77" i="88"/>
  <c r="CG77" i="88"/>
  <c r="CD77" i="88"/>
  <c r="BY77" i="88"/>
  <c r="BV77" i="88"/>
  <c r="BQ77" i="88"/>
  <c r="BN77" i="88"/>
  <c r="BI77" i="88"/>
  <c r="BF77" i="88"/>
  <c r="BA77" i="88"/>
  <c r="AX77" i="88"/>
  <c r="AS77" i="88"/>
  <c r="AP77" i="88"/>
  <c r="AJ77" i="88"/>
  <c r="AK77" i="88" s="1"/>
  <c r="AI77" i="88"/>
  <c r="AH77" i="88"/>
  <c r="AE77" i="88"/>
  <c r="AF77" i="88" s="1"/>
  <c r="AD77" i="88"/>
  <c r="AC77" i="88"/>
  <c r="Y77" i="88"/>
  <c r="W77" i="88" s="1"/>
  <c r="U77" i="88"/>
  <c r="S77" i="88" s="1"/>
  <c r="R77" i="88"/>
  <c r="O77" i="88"/>
  <c r="KQ76" i="88"/>
  <c r="JT76" i="88"/>
  <c r="JS76" i="88"/>
  <c r="JC76" i="88"/>
  <c r="JY76" i="88" s="1"/>
  <c r="IP76" i="88"/>
  <c r="JX76" i="88" s="1"/>
  <c r="IK76" i="88"/>
  <c r="IG76" i="88"/>
  <c r="IC76" i="88"/>
  <c r="HY76" i="88"/>
  <c r="HU76" i="88"/>
  <c r="HQ76" i="88"/>
  <c r="HM76" i="88"/>
  <c r="HI76" i="88"/>
  <c r="HE76" i="88"/>
  <c r="HA76" i="88"/>
  <c r="GW76" i="88"/>
  <c r="GS76" i="88"/>
  <c r="GO76" i="88"/>
  <c r="GK76" i="88"/>
  <c r="GG76" i="88"/>
  <c r="GC76" i="88"/>
  <c r="FY76" i="88"/>
  <c r="FU76" i="88"/>
  <c r="FQ76" i="88"/>
  <c r="FM76" i="88"/>
  <c r="FI76" i="88"/>
  <c r="FE76" i="88"/>
  <c r="FA76" i="88"/>
  <c r="EW76" i="88"/>
  <c r="EP76" i="88"/>
  <c r="EO76" i="88"/>
  <c r="EN76" i="88"/>
  <c r="EM76" i="88"/>
  <c r="EI76" i="88"/>
  <c r="EH76" i="88"/>
  <c r="EG76" i="88"/>
  <c r="EF76" i="88"/>
  <c r="EC76" i="88"/>
  <c r="DZ76" i="88"/>
  <c r="DU76" i="88"/>
  <c r="DR76" i="88"/>
  <c r="DM76" i="88"/>
  <c r="DJ76" i="88"/>
  <c r="DE76" i="88"/>
  <c r="DB76" i="88"/>
  <c r="CW76" i="88"/>
  <c r="CT76" i="88"/>
  <c r="CO76" i="88"/>
  <c r="CL76" i="88"/>
  <c r="CG76" i="88"/>
  <c r="CD76" i="88"/>
  <c r="BY76" i="88"/>
  <c r="BV76" i="88"/>
  <c r="BQ76" i="88"/>
  <c r="BN76" i="88"/>
  <c r="BI76" i="88"/>
  <c r="BF76" i="88"/>
  <c r="BA76" i="88"/>
  <c r="AX76" i="88"/>
  <c r="AS76" i="88"/>
  <c r="AP76" i="88"/>
  <c r="AJ76" i="88"/>
  <c r="AI76" i="88"/>
  <c r="AK76" i="88" s="1"/>
  <c r="AH76" i="88"/>
  <c r="AE76" i="88"/>
  <c r="AD76" i="88"/>
  <c r="AC76" i="88"/>
  <c r="Y76" i="88"/>
  <c r="W76" i="88" s="1"/>
  <c r="U76" i="88"/>
  <c r="S76" i="88" s="1"/>
  <c r="R76" i="88"/>
  <c r="O76" i="88"/>
  <c r="KQ75" i="88"/>
  <c r="JT75" i="88"/>
  <c r="JS75" i="88"/>
  <c r="JC75" i="88"/>
  <c r="JY75" i="88" s="1"/>
  <c r="IP75" i="88"/>
  <c r="JX75" i="88" s="1"/>
  <c r="IK75" i="88"/>
  <c r="IG75" i="88"/>
  <c r="IC75" i="88"/>
  <c r="HY75" i="88"/>
  <c r="HU75" i="88"/>
  <c r="HQ75" i="88"/>
  <c r="HM75" i="88"/>
  <c r="HI75" i="88"/>
  <c r="HE75" i="88"/>
  <c r="HA75" i="88"/>
  <c r="GW75" i="88"/>
  <c r="GS75" i="88"/>
  <c r="GO75" i="88"/>
  <c r="GK75" i="88"/>
  <c r="GG75" i="88"/>
  <c r="GC75" i="88"/>
  <c r="FY75" i="88"/>
  <c r="FU75" i="88"/>
  <c r="FQ75" i="88"/>
  <c r="FM75" i="88"/>
  <c r="FI75" i="88"/>
  <c r="FE75" i="88"/>
  <c r="FA75" i="88"/>
  <c r="EW75" i="88"/>
  <c r="EP75" i="88"/>
  <c r="EO75" i="88"/>
  <c r="EN75" i="88"/>
  <c r="EM75" i="88"/>
  <c r="EI75" i="88"/>
  <c r="EH75" i="88"/>
  <c r="EG75" i="88"/>
  <c r="EF75" i="88"/>
  <c r="EC75" i="88"/>
  <c r="DZ75" i="88"/>
  <c r="DU75" i="88"/>
  <c r="DR75" i="88"/>
  <c r="DM75" i="88"/>
  <c r="DJ75" i="88"/>
  <c r="DE75" i="88"/>
  <c r="DB75" i="88"/>
  <c r="CW75" i="88"/>
  <c r="CT75" i="88"/>
  <c r="CO75" i="88"/>
  <c r="CL75" i="88"/>
  <c r="CG75" i="88"/>
  <c r="CD75" i="88"/>
  <c r="BY75" i="88"/>
  <c r="BV75" i="88"/>
  <c r="BQ75" i="88"/>
  <c r="BN75" i="88"/>
  <c r="BI75" i="88"/>
  <c r="BF75" i="88"/>
  <c r="BA75" i="88"/>
  <c r="AX75" i="88"/>
  <c r="AS75" i="88"/>
  <c r="AP75" i="88"/>
  <c r="AJ75" i="88"/>
  <c r="AK75" i="88" s="1"/>
  <c r="AI75" i="88"/>
  <c r="AH75" i="88"/>
  <c r="AE75" i="88"/>
  <c r="AF75" i="88" s="1"/>
  <c r="AD75" i="88"/>
  <c r="AC75" i="88"/>
  <c r="Y75" i="88"/>
  <c r="W75" i="88" s="1"/>
  <c r="U75" i="88"/>
  <c r="S75" i="88" s="1"/>
  <c r="R75" i="88"/>
  <c r="O75" i="88"/>
  <c r="KQ74" i="88"/>
  <c r="JT74" i="88"/>
  <c r="JS74" i="88"/>
  <c r="JC74" i="88"/>
  <c r="JY74" i="88" s="1"/>
  <c r="IP74" i="88"/>
  <c r="JX74" i="88" s="1"/>
  <c r="IK74" i="88"/>
  <c r="IG74" i="88"/>
  <c r="IC74" i="88"/>
  <c r="HY74" i="88"/>
  <c r="HU74" i="88"/>
  <c r="HQ74" i="88"/>
  <c r="HM74" i="88"/>
  <c r="HI74" i="88"/>
  <c r="HE74" i="88"/>
  <c r="HA74" i="88"/>
  <c r="GW74" i="88"/>
  <c r="GS74" i="88"/>
  <c r="GO74" i="88"/>
  <c r="GK74" i="88"/>
  <c r="GG74" i="88"/>
  <c r="GC74" i="88"/>
  <c r="FY74" i="88"/>
  <c r="FU74" i="88"/>
  <c r="FQ74" i="88"/>
  <c r="FM74" i="88"/>
  <c r="FI74" i="88"/>
  <c r="FE74" i="88"/>
  <c r="FA74" i="88"/>
  <c r="EW74" i="88"/>
  <c r="EP74" i="88"/>
  <c r="EO74" i="88"/>
  <c r="EN74" i="88"/>
  <c r="EM74" i="88"/>
  <c r="EI74" i="88"/>
  <c r="EH74" i="88"/>
  <c r="EG74" i="88"/>
  <c r="EF74" i="88"/>
  <c r="EC74" i="88"/>
  <c r="DZ74" i="88"/>
  <c r="DU74" i="88"/>
  <c r="DR74" i="88"/>
  <c r="DM74" i="88"/>
  <c r="DJ74" i="88"/>
  <c r="DE74" i="88"/>
  <c r="DB74" i="88"/>
  <c r="CW74" i="88"/>
  <c r="CT74" i="88"/>
  <c r="CO74" i="88"/>
  <c r="CL74" i="88"/>
  <c r="CG74" i="88"/>
  <c r="CD74" i="88"/>
  <c r="BY74" i="88"/>
  <c r="BV74" i="88"/>
  <c r="BQ74" i="88"/>
  <c r="BN74" i="88"/>
  <c r="BI74" i="88"/>
  <c r="BF74" i="88"/>
  <c r="BA74" i="88"/>
  <c r="AX74" i="88"/>
  <c r="AS74" i="88"/>
  <c r="AP74" i="88"/>
  <c r="AJ74" i="88"/>
  <c r="AI74" i="88"/>
  <c r="AH74" i="88"/>
  <c r="AE74" i="88"/>
  <c r="AD74" i="88"/>
  <c r="AC74" i="88"/>
  <c r="Y74" i="88"/>
  <c r="W74" i="88" s="1"/>
  <c r="U74" i="88"/>
  <c r="S74" i="88" s="1"/>
  <c r="R74" i="88"/>
  <c r="O74" i="88"/>
  <c r="KI73" i="88"/>
  <c r="KQ73" i="88" s="1"/>
  <c r="KH73" i="88"/>
  <c r="JR73" i="88"/>
  <c r="JQ73" i="88"/>
  <c r="JC73" i="88"/>
  <c r="IP73" i="88"/>
  <c r="IN73" i="88"/>
  <c r="IM73" i="88"/>
  <c r="IK73" i="88"/>
  <c r="II73" i="88"/>
  <c r="IG73" i="88"/>
  <c r="IE73" i="88"/>
  <c r="IC73" i="88"/>
  <c r="IB73" i="88"/>
  <c r="IA73" i="88"/>
  <c r="HY73" i="88"/>
  <c r="HX73" i="88"/>
  <c r="HW73" i="88"/>
  <c r="HU73" i="88"/>
  <c r="HT73" i="88"/>
  <c r="HS73" i="88"/>
  <c r="HP73" i="88"/>
  <c r="JX73" i="88" s="1"/>
  <c r="HO73" i="88"/>
  <c r="HM73" i="88"/>
  <c r="HL73" i="88"/>
  <c r="HK73" i="88"/>
  <c r="HI73" i="88"/>
  <c r="HH73" i="88"/>
  <c r="HG73" i="88"/>
  <c r="HE73" i="88"/>
  <c r="HD73" i="88"/>
  <c r="HC73" i="88"/>
  <c r="GZ73" i="88"/>
  <c r="HA73" i="88" s="1"/>
  <c r="GY73" i="88"/>
  <c r="GW73" i="88"/>
  <c r="GV73" i="88"/>
  <c r="GU73" i="88"/>
  <c r="GS73" i="88"/>
  <c r="GR73" i="88"/>
  <c r="GQ73" i="88"/>
  <c r="GO73" i="88"/>
  <c r="GN73" i="88"/>
  <c r="GM73" i="88"/>
  <c r="GJ73" i="88"/>
  <c r="GK73" i="88" s="1"/>
  <c r="GI73" i="88"/>
  <c r="GG73" i="88"/>
  <c r="GF73" i="88"/>
  <c r="GE73" i="88"/>
  <c r="GB73" i="88"/>
  <c r="GC73" i="88" s="1"/>
  <c r="GA73" i="88"/>
  <c r="FY73" i="88"/>
  <c r="FX73" i="88"/>
  <c r="FW73" i="88"/>
  <c r="FT73" i="88"/>
  <c r="FU73" i="88" s="1"/>
  <c r="FS73" i="88"/>
  <c r="FQ73" i="88"/>
  <c r="FP73" i="88"/>
  <c r="FO73" i="88"/>
  <c r="FL73" i="88"/>
  <c r="FM73" i="88" s="1"/>
  <c r="FK73" i="88"/>
  <c r="FI73" i="88"/>
  <c r="FH73" i="88"/>
  <c r="FG73" i="88"/>
  <c r="FD73" i="88"/>
  <c r="FE73" i="88" s="1"/>
  <c r="FC73" i="88"/>
  <c r="FA73" i="88"/>
  <c r="EZ73" i="88"/>
  <c r="EY73" i="88"/>
  <c r="EO73" i="88" s="1"/>
  <c r="EV73" i="88"/>
  <c r="EW73" i="88" s="1"/>
  <c r="EU73" i="88"/>
  <c r="EP73" i="88"/>
  <c r="EN73" i="88"/>
  <c r="EM73" i="88"/>
  <c r="EI73" i="88"/>
  <c r="EH73" i="88"/>
  <c r="EG73" i="88"/>
  <c r="EF73" i="88"/>
  <c r="EC73" i="88"/>
  <c r="DZ73" i="88"/>
  <c r="DU73" i="88"/>
  <c r="DR73" i="88"/>
  <c r="DM73" i="88"/>
  <c r="DJ73" i="88"/>
  <c r="DE73" i="88"/>
  <c r="DB73" i="88"/>
  <c r="CW73" i="88"/>
  <c r="CT73" i="88"/>
  <c r="CO73" i="88"/>
  <c r="CL73" i="88"/>
  <c r="CG73" i="88"/>
  <c r="CD73" i="88"/>
  <c r="BY73" i="88"/>
  <c r="BV73" i="88"/>
  <c r="BQ73" i="88"/>
  <c r="BN73" i="88"/>
  <c r="BI73" i="88"/>
  <c r="BE73" i="88"/>
  <c r="BA73" i="88"/>
  <c r="AX73" i="88"/>
  <c r="AR73" i="88"/>
  <c r="AQ73" i="88"/>
  <c r="AI73" i="88" s="1"/>
  <c r="AO73" i="88"/>
  <c r="AN73" i="88"/>
  <c r="AH73" i="88"/>
  <c r="AC73" i="88"/>
  <c r="Y73" i="88"/>
  <c r="W73" i="88" s="1"/>
  <c r="V73" i="88"/>
  <c r="U73" i="88"/>
  <c r="S73" i="88" s="1"/>
  <c r="R73" i="88"/>
  <c r="O73" i="88"/>
  <c r="KI72" i="88"/>
  <c r="KQ72" i="88" s="1"/>
  <c r="KH72" i="88"/>
  <c r="JR72" i="88"/>
  <c r="JQ72" i="88"/>
  <c r="JC72" i="88"/>
  <c r="IP72" i="88"/>
  <c r="IN72" i="88"/>
  <c r="IM72" i="88"/>
  <c r="IK72" i="88"/>
  <c r="II72" i="88"/>
  <c r="IG72" i="88"/>
  <c r="IE72" i="88"/>
  <c r="IC72" i="88"/>
  <c r="IB72" i="88"/>
  <c r="IA72" i="88"/>
  <c r="HX72" i="88"/>
  <c r="HY72" i="88" s="1"/>
  <c r="HW72" i="88"/>
  <c r="HU72" i="88"/>
  <c r="HT72" i="88"/>
  <c r="HS72" i="88"/>
  <c r="HP72" i="88"/>
  <c r="HO72" i="88"/>
  <c r="HM72" i="88"/>
  <c r="HL72" i="88"/>
  <c r="HK72" i="88"/>
  <c r="HH72" i="88"/>
  <c r="HI72" i="88" s="1"/>
  <c r="HG72" i="88"/>
  <c r="HE72" i="88"/>
  <c r="HD72" i="88"/>
  <c r="HC72" i="88"/>
  <c r="GZ72" i="88"/>
  <c r="HA72" i="88" s="1"/>
  <c r="GY72" i="88"/>
  <c r="GW72" i="88"/>
  <c r="GV72" i="88"/>
  <c r="GU72" i="88"/>
  <c r="GR72" i="88"/>
  <c r="GS72" i="88" s="1"/>
  <c r="GQ72" i="88"/>
  <c r="GO72" i="88"/>
  <c r="GN72" i="88"/>
  <c r="GM72" i="88"/>
  <c r="GJ72" i="88"/>
  <c r="GK72" i="88" s="1"/>
  <c r="GI72" i="88"/>
  <c r="GG72" i="88"/>
  <c r="GF72" i="88"/>
  <c r="GE72" i="88"/>
  <c r="GB72" i="88"/>
  <c r="GC72" i="88" s="1"/>
  <c r="GA72" i="88"/>
  <c r="FY72" i="88"/>
  <c r="FX72" i="88"/>
  <c r="FW72" i="88"/>
  <c r="FT72" i="88"/>
  <c r="FU72" i="88" s="1"/>
  <c r="FS72" i="88"/>
  <c r="FQ72" i="88"/>
  <c r="FP72" i="88"/>
  <c r="FO72" i="88"/>
  <c r="FL72" i="88"/>
  <c r="FM72" i="88" s="1"/>
  <c r="FK72" i="88"/>
  <c r="FI72" i="88"/>
  <c r="FH72" i="88"/>
  <c r="FG72" i="88"/>
  <c r="FD72" i="88"/>
  <c r="FE72" i="88" s="1"/>
  <c r="FC72" i="88"/>
  <c r="FA72" i="88"/>
  <c r="EZ72" i="88"/>
  <c r="EY72" i="88"/>
  <c r="EV72" i="88"/>
  <c r="EW72" i="88" s="1"/>
  <c r="EU72" i="88"/>
  <c r="EP72" i="88"/>
  <c r="EN72" i="88"/>
  <c r="EM72" i="88"/>
  <c r="EH72" i="88"/>
  <c r="EG72" i="88"/>
  <c r="EF72" i="88"/>
  <c r="EC72" i="88"/>
  <c r="DZ72" i="88"/>
  <c r="DU72" i="88"/>
  <c r="DR72" i="88"/>
  <c r="DM72" i="88"/>
  <c r="DJ72" i="88"/>
  <c r="DE72" i="88"/>
  <c r="DB72" i="88"/>
  <c r="CW72" i="88"/>
  <c r="CT72" i="88"/>
  <c r="CO72" i="88"/>
  <c r="CL72" i="88"/>
  <c r="CG72" i="88"/>
  <c r="CD72" i="88"/>
  <c r="BY72" i="88"/>
  <c r="BV72" i="88"/>
  <c r="BQ72" i="88"/>
  <c r="BN72" i="88"/>
  <c r="BI72" i="88"/>
  <c r="BF72" i="88"/>
  <c r="BA72" i="88"/>
  <c r="AX72" i="88"/>
  <c r="AS72" i="88"/>
  <c r="AP72" i="88"/>
  <c r="AJ72" i="88"/>
  <c r="AI72" i="88"/>
  <c r="AH72" i="88"/>
  <c r="AE72" i="88"/>
  <c r="AD72" i="88"/>
  <c r="AC72" i="88"/>
  <c r="Y72" i="88"/>
  <c r="W72" i="88" s="1"/>
  <c r="V72" i="88"/>
  <c r="U72" i="88"/>
  <c r="S72" i="88" s="1"/>
  <c r="R72" i="88"/>
  <c r="N72" i="88"/>
  <c r="O72" i="88" s="1"/>
  <c r="KP71" i="88"/>
  <c r="KQ71" i="88" s="1"/>
  <c r="JR71" i="88"/>
  <c r="JT71" i="88" s="1"/>
  <c r="JQ71" i="88"/>
  <c r="JC71" i="88"/>
  <c r="JY71" i="88" s="1"/>
  <c r="IP71" i="88"/>
  <c r="JX71" i="88" s="1"/>
  <c r="IN71" i="88"/>
  <c r="IM71" i="88"/>
  <c r="IK71" i="88"/>
  <c r="II71" i="88"/>
  <c r="IG71" i="88"/>
  <c r="IE71" i="88"/>
  <c r="IC71" i="88"/>
  <c r="IA71" i="88"/>
  <c r="HY71" i="88"/>
  <c r="HW71" i="88"/>
  <c r="HU71" i="88"/>
  <c r="HS71" i="88"/>
  <c r="HQ71" i="88"/>
  <c r="HO71" i="88"/>
  <c r="HL71" i="88"/>
  <c r="HM71" i="88" s="1"/>
  <c r="HK71" i="88"/>
  <c r="HI71" i="88"/>
  <c r="KA71" i="88" s="1"/>
  <c r="KD71" i="88" s="1"/>
  <c r="HH71" i="88"/>
  <c r="HG71" i="88"/>
  <c r="HD71" i="88"/>
  <c r="HE71" i="88" s="1"/>
  <c r="HC71" i="88"/>
  <c r="HA71" i="88"/>
  <c r="GZ71" i="88"/>
  <c r="GY71" i="88"/>
  <c r="GV71" i="88"/>
  <c r="GW71" i="88" s="1"/>
  <c r="GU71" i="88"/>
  <c r="GS71" i="88"/>
  <c r="GR71" i="88"/>
  <c r="GQ71" i="88"/>
  <c r="GN71" i="88"/>
  <c r="GO71" i="88" s="1"/>
  <c r="GM71" i="88"/>
  <c r="GJ71" i="88"/>
  <c r="GK71" i="88" s="1"/>
  <c r="GI71" i="88"/>
  <c r="GF71" i="88"/>
  <c r="GG71" i="88" s="1"/>
  <c r="GE71" i="88"/>
  <c r="GC71" i="88"/>
  <c r="GB71" i="88"/>
  <c r="GA71" i="88"/>
  <c r="FX71" i="88"/>
  <c r="FY71" i="88" s="1"/>
  <c r="FW71" i="88"/>
  <c r="FT71" i="88"/>
  <c r="FU71" i="88" s="1"/>
  <c r="FS71" i="88"/>
  <c r="EH71" i="88" s="1"/>
  <c r="FP71" i="88"/>
  <c r="FQ71" i="88" s="1"/>
  <c r="FO71" i="88"/>
  <c r="FM71" i="88"/>
  <c r="FL71" i="88"/>
  <c r="FK71" i="88"/>
  <c r="FH71" i="88"/>
  <c r="FI71" i="88" s="1"/>
  <c r="FG71" i="88"/>
  <c r="FE71" i="88"/>
  <c r="FD71" i="88"/>
  <c r="FC71" i="88"/>
  <c r="EZ71" i="88"/>
  <c r="FA71" i="88" s="1"/>
  <c r="EY71" i="88"/>
  <c r="EW71" i="88"/>
  <c r="EV71" i="88"/>
  <c r="EU71" i="88"/>
  <c r="EO71" i="88"/>
  <c r="EN71" i="88"/>
  <c r="EM71" i="88"/>
  <c r="EI71" i="88"/>
  <c r="EG71" i="88"/>
  <c r="EF71" i="88"/>
  <c r="EA71" i="88"/>
  <c r="EC71" i="88" s="1"/>
  <c r="DX71" i="88"/>
  <c r="DZ71" i="88" s="1"/>
  <c r="DU71" i="88"/>
  <c r="DR71" i="88"/>
  <c r="DK71" i="88"/>
  <c r="DM71" i="88" s="1"/>
  <c r="DH71" i="88"/>
  <c r="DE71" i="88"/>
  <c r="DB71" i="88"/>
  <c r="CW71" i="88"/>
  <c r="CT71" i="88"/>
  <c r="CO71" i="88"/>
  <c r="CL71" i="88"/>
  <c r="CE71" i="88"/>
  <c r="CG71" i="88" s="1"/>
  <c r="CB71" i="88"/>
  <c r="CD71" i="88" s="1"/>
  <c r="BY71" i="88"/>
  <c r="BV71" i="88"/>
  <c r="BQ71" i="88"/>
  <c r="BN71" i="88"/>
  <c r="BG71" i="88"/>
  <c r="BD71" i="88"/>
  <c r="BF71" i="88" s="1"/>
  <c r="BA71" i="88"/>
  <c r="AX71" i="88"/>
  <c r="AS71" i="88"/>
  <c r="AP71" i="88"/>
  <c r="AJ71" i="88"/>
  <c r="AE71" i="88"/>
  <c r="AD71" i="88"/>
  <c r="Y71" i="88"/>
  <c r="W71" i="88" s="1"/>
  <c r="V71" i="88"/>
  <c r="U71" i="88"/>
  <c r="S71" i="88" s="1"/>
  <c r="R71" i="88"/>
  <c r="O71" i="88"/>
  <c r="KQ70" i="88"/>
  <c r="JT70" i="88"/>
  <c r="JS70" i="88"/>
  <c r="JC70" i="88"/>
  <c r="JY70" i="88" s="1"/>
  <c r="IP70" i="88"/>
  <c r="JX70" i="88" s="1"/>
  <c r="IK70" i="88"/>
  <c r="IG70" i="88"/>
  <c r="IC70" i="88"/>
  <c r="HY70" i="88"/>
  <c r="HU70" i="88"/>
  <c r="HQ70" i="88"/>
  <c r="HM70" i="88"/>
  <c r="HI70" i="88"/>
  <c r="HE70" i="88"/>
  <c r="HA70" i="88"/>
  <c r="GW70" i="88"/>
  <c r="GS70" i="88"/>
  <c r="GO70" i="88"/>
  <c r="GK70" i="88"/>
  <c r="GG70" i="88"/>
  <c r="GC70" i="88"/>
  <c r="FY70" i="88"/>
  <c r="FU70" i="88"/>
  <c r="FQ70" i="88"/>
  <c r="FM70" i="88"/>
  <c r="FI70" i="88"/>
  <c r="FE70" i="88"/>
  <c r="FA70" i="88"/>
  <c r="EW70" i="88"/>
  <c r="EP70" i="88"/>
  <c r="EO70" i="88"/>
  <c r="EN70" i="88"/>
  <c r="EM70" i="88"/>
  <c r="EI70" i="88"/>
  <c r="EH70" i="88"/>
  <c r="EG70" i="88"/>
  <c r="EF70" i="88"/>
  <c r="EC70" i="88"/>
  <c r="DZ70" i="88"/>
  <c r="DU70" i="88"/>
  <c r="DR70" i="88"/>
  <c r="DM70" i="88"/>
  <c r="DJ70" i="88"/>
  <c r="DE70" i="88"/>
  <c r="DB70" i="88"/>
  <c r="CW70" i="88"/>
  <c r="CT70" i="88"/>
  <c r="CO70" i="88"/>
  <c r="CL70" i="88"/>
  <c r="CG70" i="88"/>
  <c r="CD70" i="88"/>
  <c r="BY70" i="88"/>
  <c r="BV70" i="88"/>
  <c r="BQ70" i="88"/>
  <c r="BN70" i="88"/>
  <c r="BI70" i="88"/>
  <c r="BF70" i="88"/>
  <c r="BA70" i="88"/>
  <c r="AX70" i="88"/>
  <c r="AS70" i="88"/>
  <c r="AP70" i="88"/>
  <c r="AJ70" i="88"/>
  <c r="AI70" i="88"/>
  <c r="AH70" i="88"/>
  <c r="AE70" i="88"/>
  <c r="AD70" i="88"/>
  <c r="AC70" i="88"/>
  <c r="Y70" i="88"/>
  <c r="W70" i="88" s="1"/>
  <c r="U70" i="88"/>
  <c r="S70" i="88" s="1"/>
  <c r="Q70" i="88"/>
  <c r="P70" i="88"/>
  <c r="R70" i="88" s="1"/>
  <c r="N70" i="88"/>
  <c r="O70" i="88" s="1"/>
  <c r="M70" i="88"/>
  <c r="KM69" i="88"/>
  <c r="KQ69" i="88" s="1"/>
  <c r="JR69" i="88"/>
  <c r="JQ69" i="88"/>
  <c r="JD69" i="88"/>
  <c r="JC69" i="88"/>
  <c r="IQ69" i="88"/>
  <c r="IP69" i="88"/>
  <c r="IN69" i="88"/>
  <c r="IM69" i="88"/>
  <c r="IJ69" i="88"/>
  <c r="IK69" i="88" s="1"/>
  <c r="II69" i="88"/>
  <c r="IG69" i="88"/>
  <c r="IF69" i="88"/>
  <c r="IE69" i="88"/>
  <c r="IB69" i="88"/>
  <c r="IC69" i="88" s="1"/>
  <c r="IA69" i="88"/>
  <c r="HY69" i="88"/>
  <c r="HX69" i="88"/>
  <c r="HW69" i="88"/>
  <c r="HT69" i="88"/>
  <c r="HS69" i="88"/>
  <c r="HP69" i="88"/>
  <c r="HO69" i="88"/>
  <c r="HL69" i="88"/>
  <c r="HM69" i="88" s="1"/>
  <c r="HK69" i="88"/>
  <c r="HI69" i="88"/>
  <c r="HH69" i="88"/>
  <c r="HG69" i="88"/>
  <c r="HD69" i="88"/>
  <c r="HE69" i="88" s="1"/>
  <c r="HC69" i="88"/>
  <c r="GZ69" i="88"/>
  <c r="HA69" i="88" s="1"/>
  <c r="GY69" i="88"/>
  <c r="GV69" i="88"/>
  <c r="GW69" i="88" s="1"/>
  <c r="GU69" i="88"/>
  <c r="GS69" i="88"/>
  <c r="GR69" i="88"/>
  <c r="GQ69" i="88"/>
  <c r="GN69" i="88"/>
  <c r="GO69" i="88" s="1"/>
  <c r="GM69" i="88"/>
  <c r="GK69" i="88"/>
  <c r="GJ69" i="88"/>
  <c r="GI69" i="88"/>
  <c r="GF69" i="88"/>
  <c r="GG69" i="88" s="1"/>
  <c r="GE69" i="88"/>
  <c r="GC69" i="88"/>
  <c r="GB69" i="88"/>
  <c r="GA69" i="88"/>
  <c r="FX69" i="88"/>
  <c r="FY69" i="88" s="1"/>
  <c r="FW69" i="88"/>
  <c r="FT69" i="88"/>
  <c r="FU69" i="88" s="1"/>
  <c r="FS69" i="88"/>
  <c r="FP69" i="88"/>
  <c r="FQ69" i="88" s="1"/>
  <c r="FO69" i="88"/>
  <c r="FM69" i="88"/>
  <c r="FL69" i="88"/>
  <c r="FK69" i="88"/>
  <c r="FH69" i="88"/>
  <c r="FI69" i="88" s="1"/>
  <c r="FG69" i="88"/>
  <c r="FD69" i="88"/>
  <c r="FE69" i="88" s="1"/>
  <c r="FC69" i="88"/>
  <c r="EH69" i="88" s="1"/>
  <c r="EZ69" i="88"/>
  <c r="FA69" i="88" s="1"/>
  <c r="EY69" i="88"/>
  <c r="EW69" i="88"/>
  <c r="EV69" i="88"/>
  <c r="EU69" i="88"/>
  <c r="EO69" i="88"/>
  <c r="EN69" i="88"/>
  <c r="EM69" i="88"/>
  <c r="EI69" i="88"/>
  <c r="EG69" i="88"/>
  <c r="EF69" i="88"/>
  <c r="EA69" i="88"/>
  <c r="EC69" i="88" s="1"/>
  <c r="DX69" i="88"/>
  <c r="DZ69" i="88" s="1"/>
  <c r="DU69" i="88"/>
  <c r="DR69" i="88"/>
  <c r="DM69" i="88"/>
  <c r="DJ69" i="88"/>
  <c r="DC69" i="88"/>
  <c r="DE69" i="88" s="1"/>
  <c r="CZ69" i="88"/>
  <c r="DB69" i="88" s="1"/>
  <c r="CW69" i="88"/>
  <c r="CT69" i="88"/>
  <c r="CO69" i="88"/>
  <c r="CL69" i="88"/>
  <c r="CE69" i="88"/>
  <c r="CB69" i="88"/>
  <c r="CD69" i="88" s="1"/>
  <c r="BY69" i="88"/>
  <c r="BV69" i="88"/>
  <c r="BQ69" i="88"/>
  <c r="BN69" i="88"/>
  <c r="BH69" i="88"/>
  <c r="BG69" i="88"/>
  <c r="BE69" i="88"/>
  <c r="BD69" i="88"/>
  <c r="BA69" i="88"/>
  <c r="AX69" i="88"/>
  <c r="AS69" i="88"/>
  <c r="AP69" i="88"/>
  <c r="AH69" i="88"/>
  <c r="AE69" i="88"/>
  <c r="AC69" i="88"/>
  <c r="Y69" i="88"/>
  <c r="W69" i="88" s="1"/>
  <c r="V69" i="88"/>
  <c r="U69" i="88"/>
  <c r="S69" i="88" s="1"/>
  <c r="R69" i="88"/>
  <c r="O69" i="88"/>
  <c r="KI68" i="88"/>
  <c r="KH68" i="88"/>
  <c r="KQ68" i="88" s="1"/>
  <c r="JR68" i="88"/>
  <c r="JQ68" i="88"/>
  <c r="JC68" i="88"/>
  <c r="IP68" i="88"/>
  <c r="IN68" i="88"/>
  <c r="IM68" i="88"/>
  <c r="IK68" i="88"/>
  <c r="II68" i="88"/>
  <c r="IG68" i="88"/>
  <c r="IE68" i="88"/>
  <c r="IB68" i="88"/>
  <c r="JY68" i="88" s="1"/>
  <c r="IA68" i="88"/>
  <c r="HX68" i="88"/>
  <c r="HY68" i="88" s="1"/>
  <c r="HW68" i="88"/>
  <c r="HU68" i="88"/>
  <c r="HT68" i="88"/>
  <c r="HS68" i="88"/>
  <c r="HP68" i="88"/>
  <c r="HO68" i="88"/>
  <c r="HL68" i="88"/>
  <c r="HM68" i="88" s="1"/>
  <c r="HK68" i="88"/>
  <c r="HH68" i="88"/>
  <c r="HI68" i="88" s="1"/>
  <c r="HG68" i="88"/>
  <c r="HE68" i="88"/>
  <c r="HD68" i="88"/>
  <c r="HC68" i="88"/>
  <c r="GZ68" i="88"/>
  <c r="HA68" i="88" s="1"/>
  <c r="GY68" i="88"/>
  <c r="GV68" i="88"/>
  <c r="GW68" i="88" s="1"/>
  <c r="GU68" i="88"/>
  <c r="GR68" i="88"/>
  <c r="GS68" i="88" s="1"/>
  <c r="GQ68" i="88"/>
  <c r="GO68" i="88"/>
  <c r="GN68" i="88"/>
  <c r="GM68" i="88"/>
  <c r="GJ68" i="88"/>
  <c r="GK68" i="88" s="1"/>
  <c r="GI68" i="88"/>
  <c r="GF68" i="88"/>
  <c r="GG68" i="88" s="1"/>
  <c r="GE68" i="88"/>
  <c r="GB68" i="88"/>
  <c r="GC68" i="88" s="1"/>
  <c r="GA68" i="88"/>
  <c r="FY68" i="88"/>
  <c r="FX68" i="88"/>
  <c r="FW68" i="88"/>
  <c r="FT68" i="88"/>
  <c r="FU68" i="88" s="1"/>
  <c r="FS68" i="88"/>
  <c r="FP68" i="88"/>
  <c r="FQ68" i="88" s="1"/>
  <c r="FO68" i="88"/>
  <c r="FL68" i="88"/>
  <c r="FM68" i="88" s="1"/>
  <c r="FK68" i="88"/>
  <c r="FI68" i="88"/>
  <c r="FH68" i="88"/>
  <c r="FG68" i="88"/>
  <c r="FD68" i="88"/>
  <c r="FE68" i="88" s="1"/>
  <c r="FC68" i="88"/>
  <c r="EZ68" i="88"/>
  <c r="FA68" i="88" s="1"/>
  <c r="EY68" i="88"/>
  <c r="EV68" i="88"/>
  <c r="EW68" i="88" s="1"/>
  <c r="EU68" i="88"/>
  <c r="EH68" i="88" s="1"/>
  <c r="EP68" i="88"/>
  <c r="EN68" i="88"/>
  <c r="EM68" i="88"/>
  <c r="EG68" i="88"/>
  <c r="EF68" i="88"/>
  <c r="EC68" i="88"/>
  <c r="DZ68" i="88"/>
  <c r="DU68" i="88"/>
  <c r="DR68" i="88"/>
  <c r="DM68" i="88"/>
  <c r="DJ68" i="88"/>
  <c r="DE68" i="88"/>
  <c r="DB68" i="88"/>
  <c r="CW68" i="88"/>
  <c r="CT68" i="88"/>
  <c r="CO68" i="88"/>
  <c r="CL68" i="88"/>
  <c r="CG68" i="88"/>
  <c r="CD68" i="88"/>
  <c r="BY68" i="88"/>
  <c r="BV68" i="88"/>
  <c r="BQ68" i="88"/>
  <c r="BO68" i="88"/>
  <c r="BL68" i="88"/>
  <c r="AC68" i="88" s="1"/>
  <c r="BI68" i="88"/>
  <c r="BE68" i="88"/>
  <c r="BF68" i="88" s="1"/>
  <c r="BA68" i="88"/>
  <c r="AX68" i="88"/>
  <c r="AS68" i="88"/>
  <c r="AP68" i="88"/>
  <c r="AJ68" i="88"/>
  <c r="AI68" i="88"/>
  <c r="AH68" i="88"/>
  <c r="Y68" i="88"/>
  <c r="W68" i="88" s="1"/>
  <c r="V68" i="88"/>
  <c r="U68" i="88"/>
  <c r="S68" i="88" s="1"/>
  <c r="R68" i="88"/>
  <c r="Q68" i="88"/>
  <c r="N68" i="88"/>
  <c r="O68" i="88" s="1"/>
  <c r="KQ67" i="88"/>
  <c r="JR67" i="88"/>
  <c r="JQ67" i="88"/>
  <c r="JC67" i="88"/>
  <c r="IP67" i="88"/>
  <c r="IN67" i="88"/>
  <c r="IM67" i="88"/>
  <c r="IK67" i="88"/>
  <c r="II67" i="88"/>
  <c r="IG67" i="88"/>
  <c r="IE67" i="88"/>
  <c r="IC67" i="88"/>
  <c r="IB67" i="88"/>
  <c r="IA67" i="88"/>
  <c r="HY67" i="88"/>
  <c r="HX67" i="88"/>
  <c r="HW67" i="88"/>
  <c r="HU67" i="88"/>
  <c r="HT67" i="88"/>
  <c r="HS67" i="88"/>
  <c r="HP67" i="88"/>
  <c r="HO67" i="88"/>
  <c r="HM67" i="88"/>
  <c r="HL67" i="88"/>
  <c r="HK67" i="88"/>
  <c r="JT67" i="88" s="1"/>
  <c r="HI67" i="88"/>
  <c r="HH67" i="88"/>
  <c r="HG67" i="88"/>
  <c r="HE67" i="88"/>
  <c r="HD67" i="88"/>
  <c r="HC67" i="88"/>
  <c r="GZ67" i="88"/>
  <c r="HA67" i="88" s="1"/>
  <c r="GY67" i="88"/>
  <c r="GW67" i="88"/>
  <c r="GV67" i="88"/>
  <c r="GU67" i="88"/>
  <c r="GS67" i="88"/>
  <c r="GR67" i="88"/>
  <c r="GQ67" i="88"/>
  <c r="GN67" i="88"/>
  <c r="GO67" i="88" s="1"/>
  <c r="GM67" i="88"/>
  <c r="GK67" i="88"/>
  <c r="GJ67" i="88"/>
  <c r="GI67" i="88"/>
  <c r="GG67" i="88"/>
  <c r="GF67" i="88"/>
  <c r="GE67" i="88"/>
  <c r="GC67" i="88"/>
  <c r="GB67" i="88"/>
  <c r="GA67" i="88"/>
  <c r="FX67" i="88"/>
  <c r="FY67" i="88" s="1"/>
  <c r="FW67" i="88"/>
  <c r="FU67" i="88"/>
  <c r="FT67" i="88"/>
  <c r="FS67" i="88"/>
  <c r="FQ67" i="88"/>
  <c r="FP67" i="88"/>
  <c r="FO67" i="88"/>
  <c r="FM67" i="88"/>
  <c r="FL67" i="88"/>
  <c r="FK67" i="88"/>
  <c r="FH67" i="88"/>
  <c r="EP67" i="88" s="1"/>
  <c r="FG67" i="88"/>
  <c r="FE67" i="88"/>
  <c r="FD67" i="88"/>
  <c r="FC67" i="88"/>
  <c r="FA67" i="88"/>
  <c r="EZ67" i="88"/>
  <c r="EY67" i="88"/>
  <c r="EW67" i="88"/>
  <c r="EV67" i="88"/>
  <c r="EI67" i="88" s="1"/>
  <c r="EU67" i="88"/>
  <c r="EN67" i="88"/>
  <c r="EM67" i="88"/>
  <c r="EH67" i="88"/>
  <c r="EG67" i="88"/>
  <c r="EF67" i="88"/>
  <c r="EC67" i="88"/>
  <c r="DZ67" i="88"/>
  <c r="DU67" i="88"/>
  <c r="DS67" i="88"/>
  <c r="DP67" i="88"/>
  <c r="DR67" i="88" s="1"/>
  <c r="DM67" i="88"/>
  <c r="DJ67" i="88"/>
  <c r="DE67" i="88"/>
  <c r="DB67" i="88"/>
  <c r="CW67" i="88"/>
  <c r="CU67" i="88"/>
  <c r="CR67" i="88"/>
  <c r="CT67" i="88" s="1"/>
  <c r="CO67" i="88"/>
  <c r="CL67" i="88"/>
  <c r="CG67" i="88"/>
  <c r="CD67" i="88"/>
  <c r="BY67" i="88"/>
  <c r="BW67" i="88"/>
  <c r="AH67" i="88" s="1"/>
  <c r="BT67" i="88"/>
  <c r="AD67" i="88" s="1"/>
  <c r="BQ67" i="88"/>
  <c r="BN67" i="88"/>
  <c r="BI67" i="88"/>
  <c r="BF67" i="88"/>
  <c r="BA67" i="88"/>
  <c r="AZ67" i="88"/>
  <c r="AY67" i="88"/>
  <c r="AX67" i="88"/>
  <c r="AV67" i="88"/>
  <c r="AC67" i="88" s="1"/>
  <c r="AS67" i="88"/>
  <c r="AP67" i="88"/>
  <c r="AJ67" i="88"/>
  <c r="AI67" i="88"/>
  <c r="AE67" i="88"/>
  <c r="Y67" i="88"/>
  <c r="W67" i="88" s="1"/>
  <c r="V67" i="88"/>
  <c r="U67" i="88"/>
  <c r="S67" i="88" s="1"/>
  <c r="R67" i="88"/>
  <c r="O67" i="88"/>
  <c r="KQ66" i="88"/>
  <c r="JS66" i="88"/>
  <c r="JR66" i="88"/>
  <c r="JQ66" i="88"/>
  <c r="JC66" i="88"/>
  <c r="IP66" i="88"/>
  <c r="IN66" i="88"/>
  <c r="IM66" i="88"/>
  <c r="IJ66" i="88"/>
  <c r="IK66" i="88" s="1"/>
  <c r="II66" i="88"/>
  <c r="IG66" i="88"/>
  <c r="IE66" i="88"/>
  <c r="IC66" i="88"/>
  <c r="IB66" i="88"/>
  <c r="IA66" i="88"/>
  <c r="HX66" i="88"/>
  <c r="HW66" i="88"/>
  <c r="HU66" i="88"/>
  <c r="HT66" i="88"/>
  <c r="HS66" i="88"/>
  <c r="HQ66" i="88"/>
  <c r="HP66" i="88"/>
  <c r="HO66" i="88"/>
  <c r="HM66" i="88"/>
  <c r="HL66" i="88"/>
  <c r="HK66" i="88"/>
  <c r="HH66" i="88"/>
  <c r="HI66" i="88" s="1"/>
  <c r="KA66" i="88" s="1"/>
  <c r="KD66" i="88" s="1"/>
  <c r="HG66" i="88"/>
  <c r="HE66" i="88"/>
  <c r="HD66" i="88"/>
  <c r="HC66" i="88"/>
  <c r="HA66" i="88"/>
  <c r="GZ66" i="88"/>
  <c r="GY66" i="88"/>
  <c r="GW66" i="88"/>
  <c r="GV66" i="88"/>
  <c r="GU66" i="88"/>
  <c r="GR66" i="88"/>
  <c r="GS66" i="88" s="1"/>
  <c r="GQ66" i="88"/>
  <c r="GO66" i="88"/>
  <c r="GN66" i="88"/>
  <c r="GM66" i="88"/>
  <c r="GJ66" i="88"/>
  <c r="GK66" i="88" s="1"/>
  <c r="GI66" i="88"/>
  <c r="GG66" i="88"/>
  <c r="GF66" i="88"/>
  <c r="GE66" i="88"/>
  <c r="GB66" i="88"/>
  <c r="GC66" i="88" s="1"/>
  <c r="GA66" i="88"/>
  <c r="FY66" i="88"/>
  <c r="FX66" i="88"/>
  <c r="FW66" i="88"/>
  <c r="FT66" i="88"/>
  <c r="FU66" i="88" s="1"/>
  <c r="FS66" i="88"/>
  <c r="FQ66" i="88"/>
  <c r="FP66" i="88"/>
  <c r="FO66" i="88"/>
  <c r="FL66" i="88"/>
  <c r="FM66" i="88" s="1"/>
  <c r="FK66" i="88"/>
  <c r="FI66" i="88"/>
  <c r="FH66" i="88"/>
  <c r="FG66" i="88"/>
  <c r="EO66" i="88" s="1"/>
  <c r="FE66" i="88"/>
  <c r="FD66" i="88"/>
  <c r="FC66" i="88"/>
  <c r="FA66" i="88"/>
  <c r="EZ66" i="88"/>
  <c r="EY66" i="88"/>
  <c r="EV66" i="88"/>
  <c r="EI66" i="88" s="1"/>
  <c r="EU66" i="88"/>
  <c r="EH66" i="88" s="1"/>
  <c r="EP66" i="88"/>
  <c r="EN66" i="88"/>
  <c r="EM66" i="88"/>
  <c r="EG66" i="88"/>
  <c r="EF66" i="88"/>
  <c r="EC66" i="88"/>
  <c r="DZ66" i="88"/>
  <c r="DU66" i="88"/>
  <c r="DR66" i="88"/>
  <c r="DM66" i="88"/>
  <c r="DJ66" i="88"/>
  <c r="DE66" i="88"/>
  <c r="DB66" i="88"/>
  <c r="CW66" i="88"/>
  <c r="CT66" i="88"/>
  <c r="CO66" i="88"/>
  <c r="CL66" i="88"/>
  <c r="CG66" i="88"/>
  <c r="CD66" i="88"/>
  <c r="BY66" i="88"/>
  <c r="BV66" i="88"/>
  <c r="BQ66" i="88"/>
  <c r="BN66" i="88"/>
  <c r="BI66" i="88"/>
  <c r="BF66" i="88"/>
  <c r="BA66" i="88"/>
  <c r="AX66" i="88"/>
  <c r="AS66" i="88"/>
  <c r="AP66" i="88"/>
  <c r="AJ66" i="88"/>
  <c r="AI66" i="88"/>
  <c r="AH66" i="88"/>
  <c r="AE66" i="88"/>
  <c r="AD66" i="88"/>
  <c r="AC66" i="88"/>
  <c r="Y66" i="88"/>
  <c r="W66" i="88" s="1"/>
  <c r="V66" i="88"/>
  <c r="U66" i="88"/>
  <c r="S66" i="88" s="1"/>
  <c r="R66" i="88"/>
  <c r="O66" i="88"/>
  <c r="KQ65" i="88"/>
  <c r="JT65" i="88"/>
  <c r="JS65" i="88"/>
  <c r="JC65" i="88"/>
  <c r="JY65" i="88" s="1"/>
  <c r="IP65" i="88"/>
  <c r="JX65" i="88" s="1"/>
  <c r="IK65" i="88"/>
  <c r="IG65" i="88"/>
  <c r="IC65" i="88"/>
  <c r="HY65" i="88"/>
  <c r="HU65" i="88"/>
  <c r="HQ65" i="88"/>
  <c r="HM65" i="88"/>
  <c r="HI65" i="88"/>
  <c r="HE65" i="88"/>
  <c r="HA65" i="88"/>
  <c r="GW65" i="88"/>
  <c r="GS65" i="88"/>
  <c r="GO65" i="88"/>
  <c r="GK65" i="88"/>
  <c r="GG65" i="88"/>
  <c r="GC65" i="88"/>
  <c r="FY65" i="88"/>
  <c r="FU65" i="88"/>
  <c r="FQ65" i="88"/>
  <c r="FM65" i="88"/>
  <c r="FI65" i="88"/>
  <c r="FE65" i="88"/>
  <c r="FA65" i="88"/>
  <c r="EW65" i="88"/>
  <c r="EP65" i="88"/>
  <c r="EO65" i="88"/>
  <c r="EN65" i="88"/>
  <c r="EQ65" i="88" s="1"/>
  <c r="EM65" i="88"/>
  <c r="EI65" i="88"/>
  <c r="EH65" i="88"/>
  <c r="EG65" i="88"/>
  <c r="EF65" i="88"/>
  <c r="EC65" i="88"/>
  <c r="DZ65" i="88"/>
  <c r="DU65" i="88"/>
  <c r="DR65" i="88"/>
  <c r="DM65" i="88"/>
  <c r="DJ65" i="88"/>
  <c r="DE65" i="88"/>
  <c r="DB65" i="88"/>
  <c r="CW65" i="88"/>
  <c r="CT65" i="88"/>
  <c r="CO65" i="88"/>
  <c r="CL65" i="88"/>
  <c r="CG65" i="88"/>
  <c r="CD65" i="88"/>
  <c r="BY65" i="88"/>
  <c r="BV65" i="88"/>
  <c r="BQ65" i="88"/>
  <c r="BN65" i="88"/>
  <c r="BI65" i="88"/>
  <c r="BF65" i="88"/>
  <c r="BA65" i="88"/>
  <c r="AX65" i="88"/>
  <c r="AS65" i="88"/>
  <c r="AP65" i="88"/>
  <c r="AJ65" i="88"/>
  <c r="AI65" i="88"/>
  <c r="AH65" i="88"/>
  <c r="AE65" i="88"/>
  <c r="AD65" i="88"/>
  <c r="AC65" i="88"/>
  <c r="Y65" i="88"/>
  <c r="W65" i="88" s="1"/>
  <c r="U65" i="88"/>
  <c r="S65" i="88"/>
  <c r="R65" i="88"/>
  <c r="O65" i="88"/>
  <c r="KQ64" i="88"/>
  <c r="KI64" i="88"/>
  <c r="KH64" i="88"/>
  <c r="JR64" i="88"/>
  <c r="JQ64" i="88"/>
  <c r="JC64" i="88"/>
  <c r="IP64" i="88"/>
  <c r="IN64" i="88"/>
  <c r="IM64" i="88"/>
  <c r="IJ64" i="88"/>
  <c r="IK64" i="88" s="1"/>
  <c r="II64" i="88"/>
  <c r="IG64" i="88"/>
  <c r="IF64" i="88"/>
  <c r="IE64" i="88"/>
  <c r="IB64" i="88"/>
  <c r="IC64" i="88" s="1"/>
  <c r="IA64" i="88"/>
  <c r="HY64" i="88"/>
  <c r="HX64" i="88"/>
  <c r="HW64" i="88"/>
  <c r="HT64" i="88"/>
  <c r="HS64" i="88"/>
  <c r="HQ64" i="88"/>
  <c r="HP64" i="88"/>
  <c r="JX64" i="88" s="1"/>
  <c r="HO64" i="88"/>
  <c r="HL64" i="88"/>
  <c r="HM64" i="88" s="1"/>
  <c r="HK64" i="88"/>
  <c r="HI64" i="88"/>
  <c r="HH64" i="88"/>
  <c r="HG64" i="88"/>
  <c r="HD64" i="88"/>
  <c r="HE64" i="88" s="1"/>
  <c r="HC64" i="88"/>
  <c r="HA64" i="88"/>
  <c r="GZ64" i="88"/>
  <c r="GY64" i="88"/>
  <c r="GV64" i="88"/>
  <c r="GW64" i="88" s="1"/>
  <c r="GU64" i="88"/>
  <c r="GS64" i="88"/>
  <c r="GR64" i="88"/>
  <c r="GQ64" i="88"/>
  <c r="GN64" i="88"/>
  <c r="GO64" i="88" s="1"/>
  <c r="GM64" i="88"/>
  <c r="GK64" i="88"/>
  <c r="GJ64" i="88"/>
  <c r="GI64" i="88"/>
  <c r="GF64" i="88"/>
  <c r="GG64" i="88" s="1"/>
  <c r="GE64" i="88"/>
  <c r="GC64" i="88"/>
  <c r="GB64" i="88"/>
  <c r="GA64" i="88"/>
  <c r="FX64" i="88"/>
  <c r="FY64" i="88" s="1"/>
  <c r="FW64" i="88"/>
  <c r="FU64" i="88"/>
  <c r="FT64" i="88"/>
  <c r="FS64" i="88"/>
  <c r="FP64" i="88"/>
  <c r="FQ64" i="88" s="1"/>
  <c r="FO64" i="88"/>
  <c r="FM64" i="88"/>
  <c r="FL64" i="88"/>
  <c r="FK64" i="88"/>
  <c r="FH64" i="88"/>
  <c r="FI64" i="88" s="1"/>
  <c r="FG64" i="88"/>
  <c r="FE64" i="88"/>
  <c r="FD64" i="88"/>
  <c r="FC64" i="88"/>
  <c r="EZ64" i="88"/>
  <c r="FA64" i="88" s="1"/>
  <c r="EY64" i="88"/>
  <c r="JT64" i="88" s="1"/>
  <c r="EW64" i="88"/>
  <c r="EV64" i="88"/>
  <c r="EU64" i="88"/>
  <c r="EH64" i="88" s="1"/>
  <c r="EO64" i="88"/>
  <c r="EN64" i="88"/>
  <c r="EM64" i="88"/>
  <c r="EI64" i="88"/>
  <c r="EG64" i="88"/>
  <c r="EF64" i="88"/>
  <c r="EC64" i="88"/>
  <c r="DZ64" i="88"/>
  <c r="DU64" i="88"/>
  <c r="DR64" i="88"/>
  <c r="DM64" i="88"/>
  <c r="DJ64" i="88"/>
  <c r="DE64" i="88"/>
  <c r="DB64" i="88"/>
  <c r="CW64" i="88"/>
  <c r="CT64" i="88"/>
  <c r="CO64" i="88"/>
  <c r="CL64" i="88"/>
  <c r="CG64" i="88"/>
  <c r="CD64" i="88"/>
  <c r="BY64" i="88"/>
  <c r="BV64" i="88"/>
  <c r="BP64" i="88"/>
  <c r="BQ64" i="88" s="1"/>
  <c r="BN64" i="88"/>
  <c r="BI64" i="88"/>
  <c r="BF64" i="88"/>
  <c r="BA64" i="88"/>
  <c r="AX64" i="88"/>
  <c r="AS64" i="88"/>
  <c r="AP64" i="88"/>
  <c r="AI64" i="88"/>
  <c r="AH64" i="88"/>
  <c r="AE64" i="88"/>
  <c r="AD64" i="88"/>
  <c r="AC64" i="88"/>
  <c r="Y64" i="88"/>
  <c r="W64" i="88" s="1"/>
  <c r="U64" i="88"/>
  <c r="S64" i="88" s="1"/>
  <c r="R64" i="88"/>
  <c r="O64" i="88"/>
  <c r="KQ63" i="88"/>
  <c r="JT63" i="88"/>
  <c r="JS63" i="88"/>
  <c r="JC63" i="88"/>
  <c r="JY63" i="88" s="1"/>
  <c r="IP63" i="88"/>
  <c r="JX63" i="88" s="1"/>
  <c r="IK63" i="88"/>
  <c r="IG63" i="88"/>
  <c r="IC63" i="88"/>
  <c r="HY63" i="88"/>
  <c r="HU63" i="88"/>
  <c r="HQ63" i="88"/>
  <c r="HM63" i="88"/>
  <c r="HI63" i="88"/>
  <c r="HE63" i="88"/>
  <c r="HA63" i="88"/>
  <c r="GW63" i="88"/>
  <c r="GS63" i="88"/>
  <c r="GO63" i="88"/>
  <c r="GK63" i="88"/>
  <c r="GG63" i="88"/>
  <c r="GC63" i="88"/>
  <c r="FY63" i="88"/>
  <c r="FU63" i="88"/>
  <c r="FQ63" i="88"/>
  <c r="FM63" i="88"/>
  <c r="FI63" i="88"/>
  <c r="FE63" i="88"/>
  <c r="FA63" i="88"/>
  <c r="EW63" i="88"/>
  <c r="EP63" i="88"/>
  <c r="EO63" i="88"/>
  <c r="EN63" i="88"/>
  <c r="EM63" i="88"/>
  <c r="EI63" i="88"/>
  <c r="EH63" i="88"/>
  <c r="EG63" i="88"/>
  <c r="EF63" i="88"/>
  <c r="EC63" i="88"/>
  <c r="DZ63" i="88"/>
  <c r="DU63" i="88"/>
  <c r="DR63" i="88"/>
  <c r="DM63" i="88"/>
  <c r="DJ63" i="88"/>
  <c r="DE63" i="88"/>
  <c r="DB63" i="88"/>
  <c r="CW63" i="88"/>
  <c r="CT63" i="88"/>
  <c r="CO63" i="88"/>
  <c r="CL63" i="88"/>
  <c r="CG63" i="88"/>
  <c r="CD63" i="88"/>
  <c r="BY63" i="88"/>
  <c r="BV63" i="88"/>
  <c r="BQ63" i="88"/>
  <c r="BN63" i="88"/>
  <c r="BI63" i="88"/>
  <c r="BF63" i="88"/>
  <c r="BA63" i="88"/>
  <c r="AX63" i="88"/>
  <c r="AS63" i="88"/>
  <c r="AP63" i="88"/>
  <c r="AJ63" i="88"/>
  <c r="AK63" i="88" s="1"/>
  <c r="AI63" i="88"/>
  <c r="AH63" i="88"/>
  <c r="AE63" i="88"/>
  <c r="AD63" i="88"/>
  <c r="AC63" i="88"/>
  <c r="Y63" i="88"/>
  <c r="W63" i="88" s="1"/>
  <c r="U63" i="88"/>
  <c r="S63" i="88" s="1"/>
  <c r="R63" i="88"/>
  <c r="O63" i="88"/>
  <c r="D63" i="88"/>
  <c r="KQ62" i="88"/>
  <c r="JT62" i="88"/>
  <c r="JS62" i="88"/>
  <c r="JC62" i="88"/>
  <c r="JY62" i="88" s="1"/>
  <c r="IP62" i="88"/>
  <c r="JX62" i="88" s="1"/>
  <c r="IK62" i="88"/>
  <c r="IG62" i="88"/>
  <c r="IC62" i="88"/>
  <c r="HY62" i="88"/>
  <c r="HU62" i="88"/>
  <c r="HQ62" i="88"/>
  <c r="HM62" i="88"/>
  <c r="HI62" i="88"/>
  <c r="HE62" i="88"/>
  <c r="HA62" i="88"/>
  <c r="GW62" i="88"/>
  <c r="GS62" i="88"/>
  <c r="GO62" i="88"/>
  <c r="GK62" i="88"/>
  <c r="GG62" i="88"/>
  <c r="GC62" i="88"/>
  <c r="FY62" i="88"/>
  <c r="FU62" i="88"/>
  <c r="FQ62" i="88"/>
  <c r="FM62" i="88"/>
  <c r="FI62" i="88"/>
  <c r="FE62" i="88"/>
  <c r="FA62" i="88"/>
  <c r="EW62" i="88"/>
  <c r="EP62" i="88"/>
  <c r="ER62" i="88" s="1"/>
  <c r="EO62" i="88"/>
  <c r="EN62" i="88"/>
  <c r="EM62" i="88"/>
  <c r="EI62" i="88"/>
  <c r="EH62" i="88"/>
  <c r="EG62" i="88"/>
  <c r="EF62" i="88"/>
  <c r="EC62" i="88"/>
  <c r="DZ62" i="88"/>
  <c r="DU62" i="88"/>
  <c r="DR62" i="88"/>
  <c r="DM62" i="88"/>
  <c r="DJ62" i="88"/>
  <c r="DE62" i="88"/>
  <c r="DB62" i="88"/>
  <c r="CW62" i="88"/>
  <c r="CT62" i="88"/>
  <c r="CO62" i="88"/>
  <c r="CL62" i="88"/>
  <c r="CG62" i="88"/>
  <c r="CD62" i="88"/>
  <c r="BY62" i="88"/>
  <c r="BV62" i="88"/>
  <c r="BQ62" i="88"/>
  <c r="BN62" i="88"/>
  <c r="BI62" i="88"/>
  <c r="BF62" i="88"/>
  <c r="BA62" i="88"/>
  <c r="AX62" i="88"/>
  <c r="AS62" i="88"/>
  <c r="AP62" i="88"/>
  <c r="AJ62" i="88"/>
  <c r="AI62" i="88"/>
  <c r="AH62" i="88"/>
  <c r="AE62" i="88"/>
  <c r="AD62" i="88"/>
  <c r="AC62" i="88"/>
  <c r="Y62" i="88"/>
  <c r="W62" i="88" s="1"/>
  <c r="U62" i="88"/>
  <c r="S62" i="88" s="1"/>
  <c r="R62" i="88"/>
  <c r="O62" i="88"/>
  <c r="KP61" i="88"/>
  <c r="KM61" i="88"/>
  <c r="KQ61" i="88" s="1"/>
  <c r="JR61" i="88"/>
  <c r="JQ61" i="88"/>
  <c r="JD61" i="88"/>
  <c r="JC61" i="88"/>
  <c r="IQ61" i="88"/>
  <c r="IP61" i="88" s="1"/>
  <c r="JX61" i="88" s="1"/>
  <c r="IN61" i="88"/>
  <c r="IM61" i="88"/>
  <c r="IK61" i="88"/>
  <c r="IJ61" i="88"/>
  <c r="II61" i="88"/>
  <c r="IG61" i="88"/>
  <c r="IF61" i="88"/>
  <c r="IE61" i="88"/>
  <c r="IB61" i="88"/>
  <c r="IC61" i="88" s="1"/>
  <c r="IA61" i="88"/>
  <c r="HY61" i="88"/>
  <c r="HX61" i="88"/>
  <c r="HW61" i="88"/>
  <c r="HU61" i="88"/>
  <c r="HT61" i="88"/>
  <c r="JY61" i="88" s="1"/>
  <c r="HS61" i="88"/>
  <c r="HQ61" i="88"/>
  <c r="HP61" i="88"/>
  <c r="HO61" i="88"/>
  <c r="HL61" i="88"/>
  <c r="HM61" i="88" s="1"/>
  <c r="HK61" i="88"/>
  <c r="HI61" i="88"/>
  <c r="HH61" i="88"/>
  <c r="HG61" i="88"/>
  <c r="HE61" i="88"/>
  <c r="HD61" i="88"/>
  <c r="HC61" i="88"/>
  <c r="HA61" i="88"/>
  <c r="GZ61" i="88"/>
  <c r="GY61" i="88"/>
  <c r="GV61" i="88"/>
  <c r="GW61" i="88" s="1"/>
  <c r="GU61" i="88"/>
  <c r="GS61" i="88"/>
  <c r="GR61" i="88"/>
  <c r="GQ61" i="88"/>
  <c r="GO61" i="88"/>
  <c r="GN61" i="88"/>
  <c r="GM61" i="88"/>
  <c r="GK61" i="88"/>
  <c r="GJ61" i="88"/>
  <c r="GI61" i="88"/>
  <c r="GF61" i="88"/>
  <c r="GG61" i="88" s="1"/>
  <c r="GE61" i="88"/>
  <c r="GC61" i="88"/>
  <c r="GB61" i="88"/>
  <c r="GA61" i="88"/>
  <c r="FY61" i="88"/>
  <c r="FX61" i="88"/>
  <c r="FW61" i="88"/>
  <c r="FU61" i="88"/>
  <c r="FT61" i="88"/>
  <c r="FS61" i="88"/>
  <c r="FP61" i="88"/>
  <c r="FQ61" i="88" s="1"/>
  <c r="FO61" i="88"/>
  <c r="FM61" i="88"/>
  <c r="FL61" i="88"/>
  <c r="FK61" i="88"/>
  <c r="FI61" i="88"/>
  <c r="FH61" i="88"/>
  <c r="FG61" i="88"/>
  <c r="FE61" i="88"/>
  <c r="FD61" i="88"/>
  <c r="FC61" i="88"/>
  <c r="EZ61" i="88"/>
  <c r="FA61" i="88" s="1"/>
  <c r="EY61" i="88"/>
  <c r="EW61" i="88"/>
  <c r="EV61" i="88"/>
  <c r="EU61" i="88"/>
  <c r="JS61" i="88" s="1"/>
  <c r="EO61" i="88"/>
  <c r="EN61" i="88"/>
  <c r="EM61" i="88"/>
  <c r="EI61" i="88"/>
  <c r="EG61" i="88"/>
  <c r="EF61" i="88"/>
  <c r="EC61" i="88"/>
  <c r="DZ61" i="88"/>
  <c r="DU61" i="88"/>
  <c r="DR61" i="88"/>
  <c r="DM61" i="88"/>
  <c r="DJ61" i="88"/>
  <c r="DE61" i="88"/>
  <c r="DB61" i="88"/>
  <c r="CW61" i="88"/>
  <c r="CT61" i="88"/>
  <c r="CN61" i="88"/>
  <c r="AJ61" i="88" s="1"/>
  <c r="CL61" i="88"/>
  <c r="CG61" i="88"/>
  <c r="CD61" i="88"/>
  <c r="BY61" i="88"/>
  <c r="BV61" i="88"/>
  <c r="BQ61" i="88"/>
  <c r="BN61" i="88"/>
  <c r="BI61" i="88"/>
  <c r="BF61" i="88"/>
  <c r="AZ61" i="88"/>
  <c r="AY61" i="88"/>
  <c r="BA61" i="88" s="1"/>
  <c r="AX61" i="88"/>
  <c r="AW61" i="88"/>
  <c r="AV61" i="88"/>
  <c r="AS61" i="88"/>
  <c r="AQ61" i="88"/>
  <c r="AI61" i="88" s="1"/>
  <c r="AP61" i="88"/>
  <c r="AN61" i="88"/>
  <c r="AE61" i="88"/>
  <c r="AD61" i="88"/>
  <c r="AC61" i="88"/>
  <c r="Y61" i="88"/>
  <c r="W61" i="88" s="1"/>
  <c r="V61" i="88"/>
  <c r="U61" i="88"/>
  <c r="S61" i="88" s="1"/>
  <c r="R61" i="88"/>
  <c r="O61" i="88"/>
  <c r="D61" i="88"/>
  <c r="KQ60" i="88"/>
  <c r="JR60" i="88"/>
  <c r="JQ60" i="88"/>
  <c r="JC60" i="88"/>
  <c r="JY60" i="88" s="1"/>
  <c r="IP60" i="88"/>
  <c r="JX60" i="88" s="1"/>
  <c r="IK60" i="88"/>
  <c r="IG60" i="88"/>
  <c r="IC60" i="88"/>
  <c r="HY60" i="88"/>
  <c r="HU60" i="88"/>
  <c r="HT60" i="88"/>
  <c r="HS60" i="88"/>
  <c r="HQ60" i="88"/>
  <c r="HP60" i="88"/>
  <c r="HO60" i="88"/>
  <c r="HM60" i="88"/>
  <c r="HL60" i="88"/>
  <c r="HK60" i="88"/>
  <c r="HH60" i="88"/>
  <c r="HI60" i="88" s="1"/>
  <c r="HG60" i="88"/>
  <c r="HE60" i="88"/>
  <c r="HD60" i="88"/>
  <c r="HC60" i="88"/>
  <c r="HA60" i="88"/>
  <c r="GZ60" i="88"/>
  <c r="GY60" i="88"/>
  <c r="GW60" i="88"/>
  <c r="GV60" i="88"/>
  <c r="GU60" i="88"/>
  <c r="GR60" i="88"/>
  <c r="GS60" i="88" s="1"/>
  <c r="GQ60" i="88"/>
  <c r="GO60" i="88"/>
  <c r="GN60" i="88"/>
  <c r="GM60" i="88"/>
  <c r="GK60" i="88"/>
  <c r="GJ60" i="88"/>
  <c r="GI60" i="88"/>
  <c r="GG60" i="88"/>
  <c r="GF60" i="88"/>
  <c r="GE60" i="88"/>
  <c r="GB60" i="88"/>
  <c r="GC60" i="88" s="1"/>
  <c r="GA60" i="88"/>
  <c r="FY60" i="88"/>
  <c r="FX60" i="88"/>
  <c r="FW60" i="88"/>
  <c r="FU60" i="88"/>
  <c r="FT60" i="88"/>
  <c r="FS60" i="88"/>
  <c r="FQ60" i="88"/>
  <c r="FP60" i="88"/>
  <c r="FO60" i="88"/>
  <c r="FL60" i="88"/>
  <c r="FM60" i="88" s="1"/>
  <c r="FK60" i="88"/>
  <c r="FI60" i="88"/>
  <c r="FH60" i="88"/>
  <c r="FG60" i="88"/>
  <c r="JT60" i="88" s="1"/>
  <c r="FE60" i="88"/>
  <c r="FD60" i="88"/>
  <c r="FC60" i="88"/>
  <c r="FA60" i="88"/>
  <c r="EZ60" i="88"/>
  <c r="EY60" i="88"/>
  <c r="EV60" i="88"/>
  <c r="EI60" i="88" s="1"/>
  <c r="EU60" i="88"/>
  <c r="JS60" i="88" s="1"/>
  <c r="EP60" i="88"/>
  <c r="EN60" i="88"/>
  <c r="EM60" i="88"/>
  <c r="EG60" i="88"/>
  <c r="EF60" i="88"/>
  <c r="EC60" i="88"/>
  <c r="DZ60" i="88"/>
  <c r="DU60" i="88"/>
  <c r="DR60" i="88"/>
  <c r="DM60" i="88"/>
  <c r="DJ60" i="88"/>
  <c r="DE60" i="88"/>
  <c r="DC60" i="88"/>
  <c r="DB60" i="88"/>
  <c r="CZ60" i="88"/>
  <c r="CW60" i="88"/>
  <c r="CT60" i="88"/>
  <c r="CO60" i="88"/>
  <c r="CL60" i="88"/>
  <c r="CG60" i="88"/>
  <c r="CD60" i="88"/>
  <c r="BY60" i="88"/>
  <c r="BV60" i="88"/>
  <c r="BQ60" i="88"/>
  <c r="BP60" i="88"/>
  <c r="BN60" i="88"/>
  <c r="BI60" i="88"/>
  <c r="BF60" i="88"/>
  <c r="BA60" i="88"/>
  <c r="AX60" i="88"/>
  <c r="AR60" i="88"/>
  <c r="AS60" i="88" s="1"/>
  <c r="AP60" i="88"/>
  <c r="AI60" i="88"/>
  <c r="AH60" i="88"/>
  <c r="AE60" i="88"/>
  <c r="AD60" i="88"/>
  <c r="AF60" i="88" s="1"/>
  <c r="AC60" i="88"/>
  <c r="Y60" i="88"/>
  <c r="W60" i="88" s="1"/>
  <c r="U60" i="88"/>
  <c r="S60" i="88" s="1"/>
  <c r="R60" i="88"/>
  <c r="O60" i="88"/>
  <c r="KQ59" i="88"/>
  <c r="JT59" i="88"/>
  <c r="JS59" i="88"/>
  <c r="JC59" i="88"/>
  <c r="JY59" i="88" s="1"/>
  <c r="IP59" i="88"/>
  <c r="JX59" i="88" s="1"/>
  <c r="IK59" i="88"/>
  <c r="IG59" i="88"/>
  <c r="IC59" i="88"/>
  <c r="HY59" i="88"/>
  <c r="HU59" i="88"/>
  <c r="HQ59" i="88"/>
  <c r="HM59" i="88"/>
  <c r="HI59" i="88"/>
  <c r="HE59" i="88"/>
  <c r="HA59" i="88"/>
  <c r="GW59" i="88"/>
  <c r="GS59" i="88"/>
  <c r="GO59" i="88"/>
  <c r="GK59" i="88"/>
  <c r="GG59" i="88"/>
  <c r="GC59" i="88"/>
  <c r="FY59" i="88"/>
  <c r="FU59" i="88"/>
  <c r="FQ59" i="88"/>
  <c r="FM59" i="88"/>
  <c r="FI59" i="88"/>
  <c r="FE59" i="88"/>
  <c r="FA59" i="88"/>
  <c r="EW59" i="88"/>
  <c r="EP59" i="88"/>
  <c r="EO59" i="88"/>
  <c r="EN59" i="88"/>
  <c r="EQ59" i="88" s="1"/>
  <c r="EM59" i="88"/>
  <c r="EI59" i="88"/>
  <c r="EH59" i="88"/>
  <c r="EG59" i="88"/>
  <c r="EF59" i="88"/>
  <c r="EC59" i="88"/>
  <c r="DZ59" i="88"/>
  <c r="DU59" i="88"/>
  <c r="DR59" i="88"/>
  <c r="DM59" i="88"/>
  <c r="DJ59" i="88"/>
  <c r="DE59" i="88"/>
  <c r="DB59" i="88"/>
  <c r="CW59" i="88"/>
  <c r="CT59" i="88"/>
  <c r="CO59" i="88"/>
  <c r="CL59" i="88"/>
  <c r="CG59" i="88"/>
  <c r="CD59" i="88"/>
  <c r="BY59" i="88"/>
  <c r="BV59" i="88"/>
  <c r="BQ59" i="88"/>
  <c r="BN59" i="88"/>
  <c r="BI59" i="88"/>
  <c r="BF59" i="88"/>
  <c r="BA59" i="88"/>
  <c r="AX59" i="88"/>
  <c r="AS59" i="88"/>
  <c r="AP59" i="88"/>
  <c r="AJ59" i="88"/>
  <c r="AI59" i="88"/>
  <c r="AH59" i="88"/>
  <c r="AE59" i="88"/>
  <c r="AD59" i="88"/>
  <c r="AC59" i="88"/>
  <c r="Y59" i="88"/>
  <c r="W59" i="88" s="1"/>
  <c r="U59" i="88"/>
  <c r="S59" i="88" s="1"/>
  <c r="R59" i="88"/>
  <c r="Q59" i="88"/>
  <c r="O59" i="88"/>
  <c r="N59" i="88"/>
  <c r="KQ58" i="88"/>
  <c r="JR58" i="88"/>
  <c r="JQ58" i="88"/>
  <c r="JC58" i="88"/>
  <c r="JY58" i="88" s="1"/>
  <c r="IP58" i="88"/>
  <c r="JX58" i="88" s="1"/>
  <c r="IK58" i="88"/>
  <c r="IG58" i="88"/>
  <c r="IC58" i="88"/>
  <c r="HY58" i="88"/>
  <c r="HU58" i="88"/>
  <c r="HT58" i="88"/>
  <c r="HS58" i="88"/>
  <c r="HQ58" i="88"/>
  <c r="HP58" i="88"/>
  <c r="HO58" i="88"/>
  <c r="HM58" i="88"/>
  <c r="HL58" i="88"/>
  <c r="HK58" i="88"/>
  <c r="HH58" i="88"/>
  <c r="HI58" i="88" s="1"/>
  <c r="HG58" i="88"/>
  <c r="HE58" i="88"/>
  <c r="HD58" i="88"/>
  <c r="HC58" i="88"/>
  <c r="HA58" i="88"/>
  <c r="GZ58" i="88"/>
  <c r="GY58" i="88"/>
  <c r="GW58" i="88"/>
  <c r="GV58" i="88"/>
  <c r="GU58" i="88"/>
  <c r="GR58" i="88"/>
  <c r="GS58" i="88" s="1"/>
  <c r="GQ58" i="88"/>
  <c r="GO58" i="88"/>
  <c r="GN58" i="88"/>
  <c r="GM58" i="88"/>
  <c r="GK58" i="88"/>
  <c r="GJ58" i="88"/>
  <c r="GI58" i="88"/>
  <c r="GG58" i="88"/>
  <c r="GF58" i="88"/>
  <c r="GE58" i="88"/>
  <c r="GC58" i="88"/>
  <c r="FY58" i="88"/>
  <c r="FX58" i="88"/>
  <c r="FW58" i="88"/>
  <c r="FT58" i="88"/>
  <c r="FU58" i="88" s="1"/>
  <c r="FS58" i="88"/>
  <c r="FQ58" i="88"/>
  <c r="FP58" i="88"/>
  <c r="FO58" i="88"/>
  <c r="FM58" i="88"/>
  <c r="FL58" i="88"/>
  <c r="FK58" i="88"/>
  <c r="FI58" i="88"/>
  <c r="FH58" i="88"/>
  <c r="EP58" i="88" s="1"/>
  <c r="FG58" i="88"/>
  <c r="FD58" i="88"/>
  <c r="FE58" i="88" s="1"/>
  <c r="FC58" i="88"/>
  <c r="FA58" i="88"/>
  <c r="EZ58" i="88"/>
  <c r="EY58" i="88"/>
  <c r="EO58" i="88" s="1"/>
  <c r="EW58" i="88"/>
  <c r="EV58" i="88"/>
  <c r="EU58" i="88"/>
  <c r="EN58" i="88"/>
  <c r="EM58" i="88"/>
  <c r="EI58" i="88"/>
  <c r="EH58" i="88"/>
  <c r="EG58" i="88"/>
  <c r="EF58" i="88"/>
  <c r="EC58" i="88"/>
  <c r="DZ58" i="88"/>
  <c r="DU58" i="88"/>
  <c r="DR58" i="88"/>
  <c r="DM58" i="88"/>
  <c r="DJ58" i="88"/>
  <c r="DE58" i="88"/>
  <c r="DB58" i="88"/>
  <c r="CW58" i="88"/>
  <c r="CT58" i="88"/>
  <c r="CO58" i="88"/>
  <c r="CM58" i="88"/>
  <c r="CL58" i="88"/>
  <c r="CJ58" i="88"/>
  <c r="CG58" i="88"/>
  <c r="CD58" i="88"/>
  <c r="BY58" i="88"/>
  <c r="BV58" i="88"/>
  <c r="BP58" i="88"/>
  <c r="BO58" i="88"/>
  <c r="JT58" i="88" s="1"/>
  <c r="BN58" i="88"/>
  <c r="BM58" i="88"/>
  <c r="BL58" i="88"/>
  <c r="BI58" i="88"/>
  <c r="BF58" i="88"/>
  <c r="BA58" i="88"/>
  <c r="AX58" i="88"/>
  <c r="AS58" i="88"/>
  <c r="AR58" i="88"/>
  <c r="AJ58" i="88" s="1"/>
  <c r="AQ58" i="88"/>
  <c r="AO58" i="88"/>
  <c r="AP58" i="88" s="1"/>
  <c r="AN58" i="88"/>
  <c r="JS58" i="88" s="1"/>
  <c r="AI58" i="88"/>
  <c r="AD58" i="88"/>
  <c r="AC58" i="88"/>
  <c r="Y58" i="88"/>
  <c r="W58" i="88" s="1"/>
  <c r="U58" i="88"/>
  <c r="S58" i="88" s="1"/>
  <c r="R58" i="88"/>
  <c r="O58" i="88"/>
  <c r="D58" i="88"/>
  <c r="KQ57" i="88"/>
  <c r="JT57" i="88"/>
  <c r="JS57" i="88"/>
  <c r="JC57" i="88"/>
  <c r="JY57" i="88" s="1"/>
  <c r="IP57" i="88"/>
  <c r="JX57" i="88" s="1"/>
  <c r="IK57" i="88"/>
  <c r="IG57" i="88"/>
  <c r="IC57" i="88"/>
  <c r="HY57" i="88"/>
  <c r="HU57" i="88"/>
  <c r="HQ57" i="88"/>
  <c r="HM57" i="88"/>
  <c r="HI57" i="88"/>
  <c r="HE57" i="88"/>
  <c r="HA57" i="88"/>
  <c r="GW57" i="88"/>
  <c r="GS57" i="88"/>
  <c r="GO57" i="88"/>
  <c r="GK57" i="88"/>
  <c r="GG57" i="88"/>
  <c r="GC57" i="88"/>
  <c r="FY57" i="88"/>
  <c r="FU57" i="88"/>
  <c r="FQ57" i="88"/>
  <c r="FM57" i="88"/>
  <c r="FI57" i="88"/>
  <c r="FE57" i="88"/>
  <c r="FA57" i="88"/>
  <c r="EW57" i="88"/>
  <c r="EP57" i="88"/>
  <c r="EO57" i="88"/>
  <c r="EN57" i="88"/>
  <c r="EM57" i="88"/>
  <c r="EI57" i="88"/>
  <c r="EH57" i="88"/>
  <c r="EG57" i="88"/>
  <c r="EF57" i="88"/>
  <c r="EC57" i="88"/>
  <c r="DZ57" i="88"/>
  <c r="DU57" i="88"/>
  <c r="DR57" i="88"/>
  <c r="DM57" i="88"/>
  <c r="DJ57" i="88"/>
  <c r="DE57" i="88"/>
  <c r="DB57" i="88"/>
  <c r="CW57" i="88"/>
  <c r="CT57" i="88"/>
  <c r="CO57" i="88"/>
  <c r="CL57" i="88"/>
  <c r="CG57" i="88"/>
  <c r="CD57" i="88"/>
  <c r="BY57" i="88"/>
  <c r="BV57" i="88"/>
  <c r="BQ57" i="88"/>
  <c r="BN57" i="88"/>
  <c r="BI57" i="88"/>
  <c r="BF57" i="88"/>
  <c r="BA57" i="88"/>
  <c r="AX57" i="88"/>
  <c r="AS57" i="88"/>
  <c r="AP57" i="88"/>
  <c r="AJ57" i="88"/>
  <c r="AK57" i="88" s="1"/>
  <c r="AI57" i="88"/>
  <c r="AH57" i="88"/>
  <c r="AE57" i="88"/>
  <c r="AD57" i="88"/>
  <c r="AC57" i="88"/>
  <c r="Y57" i="88"/>
  <c r="W57" i="88" s="1"/>
  <c r="U57" i="88"/>
  <c r="S57" i="88" s="1"/>
  <c r="R57" i="88"/>
  <c r="O57" i="88"/>
  <c r="D57" i="88"/>
  <c r="KQ56" i="88"/>
  <c r="JR56" i="88"/>
  <c r="JQ56" i="88"/>
  <c r="JD56" i="88"/>
  <c r="JC56" i="88" s="1"/>
  <c r="JY56" i="88" s="1"/>
  <c r="IQ56" i="88"/>
  <c r="IP56" i="88" s="1"/>
  <c r="IN56" i="88"/>
  <c r="IM56" i="88"/>
  <c r="IK56" i="88"/>
  <c r="IJ56" i="88"/>
  <c r="II56" i="88"/>
  <c r="IG56" i="88"/>
  <c r="IF56" i="88"/>
  <c r="IE56" i="88"/>
  <c r="IC56" i="88"/>
  <c r="IB56" i="88"/>
  <c r="IA56" i="88"/>
  <c r="HX56" i="88"/>
  <c r="JX56" i="88" s="1"/>
  <c r="HW56" i="88"/>
  <c r="HU56" i="88"/>
  <c r="HT56" i="88"/>
  <c r="HS56" i="88"/>
  <c r="HQ56" i="88"/>
  <c r="HP56" i="88"/>
  <c r="HO56" i="88"/>
  <c r="HM56" i="88"/>
  <c r="HL56" i="88"/>
  <c r="HK56" i="88"/>
  <c r="HH56" i="88"/>
  <c r="HI56" i="88" s="1"/>
  <c r="HG56" i="88"/>
  <c r="HE56" i="88"/>
  <c r="HD56" i="88"/>
  <c r="HC56" i="88"/>
  <c r="HA56" i="88"/>
  <c r="GZ56" i="88"/>
  <c r="GY56" i="88"/>
  <c r="GW56" i="88"/>
  <c r="GV56" i="88"/>
  <c r="GU56" i="88"/>
  <c r="GR56" i="88"/>
  <c r="GS56" i="88" s="1"/>
  <c r="GQ56" i="88"/>
  <c r="GO56" i="88"/>
  <c r="GN56" i="88"/>
  <c r="GM56" i="88"/>
  <c r="GK56" i="88"/>
  <c r="GJ56" i="88"/>
  <c r="GI56" i="88"/>
  <c r="GG56" i="88"/>
  <c r="GF56" i="88"/>
  <c r="GE56" i="88"/>
  <c r="GC56" i="88"/>
  <c r="FY56" i="88"/>
  <c r="FX56" i="88"/>
  <c r="FW56" i="88"/>
  <c r="FT56" i="88"/>
  <c r="FU56" i="88" s="1"/>
  <c r="FS56" i="88"/>
  <c r="FQ56" i="88"/>
  <c r="FP56" i="88"/>
  <c r="FO56" i="88"/>
  <c r="FM56" i="88"/>
  <c r="FL56" i="88"/>
  <c r="FK56" i="88"/>
  <c r="FI56" i="88"/>
  <c r="FH56" i="88"/>
  <c r="EP56" i="88" s="1"/>
  <c r="FG56" i="88"/>
  <c r="FD56" i="88"/>
  <c r="FE56" i="88" s="1"/>
  <c r="FC56" i="88"/>
  <c r="FA56" i="88"/>
  <c r="EZ56" i="88"/>
  <c r="EY56" i="88"/>
  <c r="JT56" i="88" s="1"/>
  <c r="EW56" i="88"/>
  <c r="EV56" i="88"/>
  <c r="EU56" i="88"/>
  <c r="EN56" i="88"/>
  <c r="EM56" i="88"/>
  <c r="EI56" i="88"/>
  <c r="EH56" i="88"/>
  <c r="EG56" i="88"/>
  <c r="EF56" i="88"/>
  <c r="EC56" i="88"/>
  <c r="EA56" i="88"/>
  <c r="DZ56" i="88"/>
  <c r="DX56" i="88"/>
  <c r="DU56" i="88"/>
  <c r="DR56" i="88"/>
  <c r="DM56" i="88"/>
  <c r="DJ56" i="88"/>
  <c r="DE56" i="88"/>
  <c r="DC56" i="88"/>
  <c r="DB56" i="88"/>
  <c r="CZ56" i="88"/>
  <c r="CW56" i="88"/>
  <c r="CT56" i="88"/>
  <c r="CO56" i="88"/>
  <c r="CL56" i="88"/>
  <c r="CG56" i="88"/>
  <c r="CE56" i="88"/>
  <c r="CD56" i="88"/>
  <c r="CB56" i="88"/>
  <c r="BY56" i="88"/>
  <c r="BV56" i="88"/>
  <c r="BQ56" i="88"/>
  <c r="BN56" i="88"/>
  <c r="BI56" i="88"/>
  <c r="BG56" i="88"/>
  <c r="AI56" i="88" s="1"/>
  <c r="BE56" i="88"/>
  <c r="BD56" i="88"/>
  <c r="JS56" i="88" s="1"/>
  <c r="BA56" i="88"/>
  <c r="AX56" i="88"/>
  <c r="AS56" i="88"/>
  <c r="AP56" i="88"/>
  <c r="AJ56" i="88"/>
  <c r="AH56" i="88"/>
  <c r="AE56" i="88"/>
  <c r="AC56" i="88"/>
  <c r="Y56" i="88"/>
  <c r="W56" i="88" s="1"/>
  <c r="V56" i="88"/>
  <c r="U56" i="88"/>
  <c r="S56" i="88" s="1"/>
  <c r="R56" i="88"/>
  <c r="O56" i="88"/>
  <c r="D56" i="88"/>
  <c r="KP55" i="88"/>
  <c r="KN55" i="88"/>
  <c r="KL55" i="88"/>
  <c r="KF55" i="88"/>
  <c r="KQ55" i="88" s="1"/>
  <c r="JR55" i="88"/>
  <c r="JQ55" i="88"/>
  <c r="JD55" i="88"/>
  <c r="JC55" i="88" s="1"/>
  <c r="IQ55" i="88"/>
  <c r="IP55" i="88"/>
  <c r="IN55" i="88"/>
  <c r="IM55" i="88"/>
  <c r="IJ55" i="88"/>
  <c r="IK55" i="88" s="1"/>
  <c r="II55" i="88"/>
  <c r="IG55" i="88"/>
  <c r="IF55" i="88"/>
  <c r="IE55" i="88"/>
  <c r="IC55" i="88"/>
  <c r="IB55" i="88"/>
  <c r="IA55" i="88"/>
  <c r="HY55" i="88"/>
  <c r="HX55" i="88"/>
  <c r="HW55" i="88"/>
  <c r="HT55" i="88"/>
  <c r="JY55" i="88" s="1"/>
  <c r="HS55" i="88"/>
  <c r="HP55" i="88"/>
  <c r="JX55" i="88" s="1"/>
  <c r="HO55" i="88"/>
  <c r="HM55" i="88"/>
  <c r="HL55" i="88"/>
  <c r="HK55" i="88"/>
  <c r="HI55" i="88"/>
  <c r="HH55" i="88"/>
  <c r="HG55" i="88"/>
  <c r="HD55" i="88"/>
  <c r="HE55" i="88" s="1"/>
  <c r="HC55" i="88"/>
  <c r="GZ55" i="88"/>
  <c r="HA55" i="88" s="1"/>
  <c r="GY55" i="88"/>
  <c r="GW55" i="88"/>
  <c r="GU55" i="88"/>
  <c r="GR55" i="88"/>
  <c r="GS55" i="88" s="1"/>
  <c r="GQ55" i="88"/>
  <c r="GN55" i="88"/>
  <c r="GO55" i="88" s="1"/>
  <c r="GM55" i="88"/>
  <c r="GK55" i="88"/>
  <c r="GJ55" i="88"/>
  <c r="GI55" i="88"/>
  <c r="GG55" i="88"/>
  <c r="GF55" i="88"/>
  <c r="GE55" i="88"/>
  <c r="GB55" i="88"/>
  <c r="GC55" i="88" s="1"/>
  <c r="GA55" i="88"/>
  <c r="FY55" i="88"/>
  <c r="FX55" i="88"/>
  <c r="FW55" i="88"/>
  <c r="FU55" i="88"/>
  <c r="FT55" i="88"/>
  <c r="FS55" i="88"/>
  <c r="FQ55" i="88"/>
  <c r="FP55" i="88"/>
  <c r="FO55" i="88"/>
  <c r="FL55" i="88"/>
  <c r="FM55" i="88" s="1"/>
  <c r="FK55" i="88"/>
  <c r="FI55" i="88"/>
  <c r="FH55" i="88"/>
  <c r="FG55" i="88"/>
  <c r="EO55" i="88" s="1"/>
  <c r="FE55" i="88"/>
  <c r="FD55" i="88"/>
  <c r="FC55" i="88"/>
  <c r="FA55" i="88"/>
  <c r="EZ55" i="88"/>
  <c r="EY55" i="88"/>
  <c r="EV55" i="88"/>
  <c r="EI55" i="88" s="1"/>
  <c r="EU55" i="88"/>
  <c r="EH55" i="88" s="1"/>
  <c r="EP55" i="88"/>
  <c r="EN55" i="88"/>
  <c r="EM55" i="88"/>
  <c r="EG55" i="88"/>
  <c r="EF55" i="88"/>
  <c r="EA55" i="88"/>
  <c r="EC55" i="88" s="1"/>
  <c r="DZ55" i="88"/>
  <c r="DX55" i="88"/>
  <c r="DU55" i="88"/>
  <c r="DR55" i="88"/>
  <c r="DM55" i="88"/>
  <c r="DJ55" i="88"/>
  <c r="DE55" i="88"/>
  <c r="DC55" i="88"/>
  <c r="DB55" i="88"/>
  <c r="CZ55" i="88"/>
  <c r="CW55" i="88"/>
  <c r="CU55" i="88"/>
  <c r="CT55" i="88"/>
  <c r="CR55" i="88"/>
  <c r="CO55" i="88"/>
  <c r="CJ55" i="88"/>
  <c r="CL55" i="88" s="1"/>
  <c r="CG55" i="88"/>
  <c r="CD55" i="88"/>
  <c r="BY55" i="88"/>
  <c r="BV55" i="88"/>
  <c r="BQ55" i="88"/>
  <c r="BN55" i="88"/>
  <c r="BH55" i="88"/>
  <c r="AJ55" i="88" s="1"/>
  <c r="BG55" i="88"/>
  <c r="JT55" i="88" s="1"/>
  <c r="BE55" i="88"/>
  <c r="BD55" i="88"/>
  <c r="BF55" i="88" s="1"/>
  <c r="BA55" i="88"/>
  <c r="AX55" i="88"/>
  <c r="AS55" i="88"/>
  <c r="AP55" i="88"/>
  <c r="AH55" i="88"/>
  <c r="AE55" i="88"/>
  <c r="AC55" i="88"/>
  <c r="Y55" i="88"/>
  <c r="W55" i="88" s="1"/>
  <c r="V55" i="88"/>
  <c r="U55" i="88"/>
  <c r="S55" i="88" s="1"/>
  <c r="R55" i="88"/>
  <c r="O55" i="88"/>
  <c r="KP54" i="88"/>
  <c r="KN54" i="88"/>
  <c r="KL54" i="88"/>
  <c r="KQ54" i="88" s="1"/>
  <c r="JR54" i="88"/>
  <c r="JQ54" i="88"/>
  <c r="JC54" i="88"/>
  <c r="IP54" i="88"/>
  <c r="JX54" i="88" s="1"/>
  <c r="IN54" i="88"/>
  <c r="IM54" i="88"/>
  <c r="IJ54" i="88"/>
  <c r="IK54" i="88" s="1"/>
  <c r="II54" i="88"/>
  <c r="IG54" i="88"/>
  <c r="IF54" i="88"/>
  <c r="IE54" i="88"/>
  <c r="IC54" i="88"/>
  <c r="IB54" i="88"/>
  <c r="IA54" i="88"/>
  <c r="HY54" i="88"/>
  <c r="HX54" i="88"/>
  <c r="HW54" i="88"/>
  <c r="HT54" i="88"/>
  <c r="HS54" i="88"/>
  <c r="HQ54" i="88"/>
  <c r="HP54" i="88"/>
  <c r="HO54" i="88"/>
  <c r="HM54" i="88"/>
  <c r="HL54" i="88"/>
  <c r="HK54" i="88"/>
  <c r="HI54" i="88"/>
  <c r="HE54" i="88"/>
  <c r="HD54" i="88"/>
  <c r="HC54" i="88"/>
  <c r="HA54" i="88"/>
  <c r="GW54" i="88"/>
  <c r="GV54" i="88"/>
  <c r="GU54" i="88"/>
  <c r="GS54" i="88"/>
  <c r="GR54" i="88"/>
  <c r="GQ54" i="88"/>
  <c r="GO54" i="88"/>
  <c r="GK54" i="88"/>
  <c r="GF54" i="88"/>
  <c r="GG54" i="88" s="1"/>
  <c r="GE54" i="88"/>
  <c r="GC54" i="88"/>
  <c r="GB54" i="88"/>
  <c r="GA54" i="88"/>
  <c r="FX54" i="88"/>
  <c r="FY54" i="88" s="1"/>
  <c r="FW54" i="88"/>
  <c r="FU54" i="88"/>
  <c r="FT54" i="88"/>
  <c r="FS54" i="88"/>
  <c r="FP54" i="88"/>
  <c r="FQ54" i="88" s="1"/>
  <c r="FO54" i="88"/>
  <c r="FM54" i="88"/>
  <c r="FL54" i="88"/>
  <c r="FK54" i="88"/>
  <c r="FH54" i="88"/>
  <c r="EP54" i="88" s="1"/>
  <c r="FG54" i="88"/>
  <c r="FE54" i="88"/>
  <c r="FD54" i="88"/>
  <c r="FC54" i="88"/>
  <c r="FA54" i="88"/>
  <c r="EZ54" i="88"/>
  <c r="EY54" i="88"/>
  <c r="EW54" i="88"/>
  <c r="EV54" i="88"/>
  <c r="EU54" i="88"/>
  <c r="EO54" i="88"/>
  <c r="EN54" i="88"/>
  <c r="EM54" i="88"/>
  <c r="EI54" i="88"/>
  <c r="EH54" i="88"/>
  <c r="EG54" i="88"/>
  <c r="EF54" i="88"/>
  <c r="EC54" i="88"/>
  <c r="DZ54" i="88"/>
  <c r="DS54" i="88"/>
  <c r="DU54" i="88" s="1"/>
  <c r="DP54" i="88"/>
  <c r="DR54" i="88" s="1"/>
  <c r="DM54" i="88"/>
  <c r="DJ54" i="88"/>
  <c r="DE54" i="88"/>
  <c r="DB54" i="88"/>
  <c r="CU54" i="88"/>
  <c r="CW54" i="88" s="1"/>
  <c r="CR54" i="88"/>
  <c r="CT54" i="88" s="1"/>
  <c r="CM54" i="88"/>
  <c r="CO54" i="88" s="1"/>
  <c r="CL54" i="88"/>
  <c r="CG54" i="88"/>
  <c r="CD54" i="88"/>
  <c r="BY54" i="88"/>
  <c r="BT54" i="88"/>
  <c r="BV54" i="88" s="1"/>
  <c r="BO54" i="88"/>
  <c r="BQ54" i="88" s="1"/>
  <c r="BL54" i="88"/>
  <c r="JS54" i="88" s="1"/>
  <c r="BI54" i="88"/>
  <c r="BF54" i="88"/>
  <c r="BA54" i="88"/>
  <c r="AX54" i="88"/>
  <c r="AR54" i="88"/>
  <c r="AS54" i="88" s="1"/>
  <c r="AQ54" i="88"/>
  <c r="AP54" i="88"/>
  <c r="AO54" i="88"/>
  <c r="AN54" i="88"/>
  <c r="AJ54" i="88"/>
  <c r="AI54" i="88"/>
  <c r="AH54" i="88"/>
  <c r="AE54" i="88"/>
  <c r="Y54" i="88"/>
  <c r="W54" i="88" s="1"/>
  <c r="V54" i="88"/>
  <c r="U54" i="88"/>
  <c r="S54" i="88" s="1"/>
  <c r="R54" i="88"/>
  <c r="O54" i="88"/>
  <c r="KQ53" i="88"/>
  <c r="JR53" i="88"/>
  <c r="JQ53" i="88"/>
  <c r="JC53" i="88"/>
  <c r="IP53" i="88"/>
  <c r="IN53" i="88"/>
  <c r="IM53" i="88"/>
  <c r="IK53" i="88"/>
  <c r="II53" i="88"/>
  <c r="IG53" i="88"/>
  <c r="IE53" i="88"/>
  <c r="IC53" i="88"/>
  <c r="IB53" i="88"/>
  <c r="IA53" i="88"/>
  <c r="HX53" i="88"/>
  <c r="HY53" i="88" s="1"/>
  <c r="HW53" i="88"/>
  <c r="HU53" i="88"/>
  <c r="HT53" i="88"/>
  <c r="HS53" i="88"/>
  <c r="HP53" i="88"/>
  <c r="HO53" i="88"/>
  <c r="HM53" i="88"/>
  <c r="HL53" i="88"/>
  <c r="HK53" i="88"/>
  <c r="HH53" i="88"/>
  <c r="HI53" i="88" s="1"/>
  <c r="HG53" i="88"/>
  <c r="HE53" i="88"/>
  <c r="HD53" i="88"/>
  <c r="HC53" i="88"/>
  <c r="GZ53" i="88"/>
  <c r="HA53" i="88" s="1"/>
  <c r="GY53" i="88"/>
  <c r="GW53" i="88"/>
  <c r="GV53" i="88"/>
  <c r="GU53" i="88"/>
  <c r="GR53" i="88"/>
  <c r="GS53" i="88" s="1"/>
  <c r="GQ53" i="88"/>
  <c r="GO53" i="88"/>
  <c r="GN53" i="88"/>
  <c r="GM53" i="88"/>
  <c r="GJ53" i="88"/>
  <c r="GK53" i="88" s="1"/>
  <c r="GI53" i="88"/>
  <c r="GG53" i="88"/>
  <c r="GF53" i="88"/>
  <c r="GE53" i="88"/>
  <c r="GB53" i="88"/>
  <c r="GC53" i="88" s="1"/>
  <c r="GA53" i="88"/>
  <c r="FY53" i="88"/>
  <c r="FX53" i="88"/>
  <c r="FW53" i="88"/>
  <c r="FT53" i="88"/>
  <c r="FU53" i="88" s="1"/>
  <c r="FS53" i="88"/>
  <c r="FQ53" i="88"/>
  <c r="FP53" i="88"/>
  <c r="FO53" i="88"/>
  <c r="FL53" i="88"/>
  <c r="FM53" i="88" s="1"/>
  <c r="FK53" i="88"/>
  <c r="FI53" i="88"/>
  <c r="FH53" i="88"/>
  <c r="FG53" i="88"/>
  <c r="FD53" i="88"/>
  <c r="FE53" i="88" s="1"/>
  <c r="FC53" i="88"/>
  <c r="FA53" i="88"/>
  <c r="EZ53" i="88"/>
  <c r="EY53" i="88"/>
  <c r="EO53" i="88" s="1"/>
  <c r="EV53" i="88"/>
  <c r="EW53" i="88" s="1"/>
  <c r="EU53" i="88"/>
  <c r="EP53" i="88"/>
  <c r="EN53" i="88"/>
  <c r="EM53" i="88"/>
  <c r="EI53" i="88"/>
  <c r="EH53" i="88"/>
  <c r="EG53" i="88"/>
  <c r="EF53" i="88"/>
  <c r="EC53" i="88"/>
  <c r="DZ53" i="88"/>
  <c r="DU53" i="88"/>
  <c r="DS53" i="88"/>
  <c r="DR53" i="88"/>
  <c r="DP53" i="88"/>
  <c r="DM53" i="88"/>
  <c r="DJ53" i="88"/>
  <c r="DE53" i="88"/>
  <c r="DB53" i="88"/>
  <c r="CW53" i="88"/>
  <c r="CU53" i="88"/>
  <c r="CT53" i="88"/>
  <c r="CR53" i="88"/>
  <c r="CO53" i="88"/>
  <c r="CL53" i="88"/>
  <c r="CG53" i="88"/>
  <c r="CD53" i="88"/>
  <c r="BY53" i="88"/>
  <c r="BW53" i="88"/>
  <c r="BV53" i="88"/>
  <c r="BT53" i="88"/>
  <c r="BQ53" i="88"/>
  <c r="BN53" i="88"/>
  <c r="BI53" i="88"/>
  <c r="BF53" i="88"/>
  <c r="BA53" i="88"/>
  <c r="AY53" i="88"/>
  <c r="AX53" i="88"/>
  <c r="AW53" i="88"/>
  <c r="AV53" i="88"/>
  <c r="AD53" i="88" s="1"/>
  <c r="AS53" i="88"/>
  <c r="AP53" i="88"/>
  <c r="AJ53" i="88"/>
  <c r="AI53" i="88"/>
  <c r="AH53" i="88"/>
  <c r="AE53" i="88"/>
  <c r="AC53" i="88"/>
  <c r="Y53" i="88"/>
  <c r="W53" i="88" s="1"/>
  <c r="V53" i="88"/>
  <c r="U53" i="88"/>
  <c r="S53" i="88" s="1"/>
  <c r="O53" i="88"/>
  <c r="KQ52" i="88"/>
  <c r="JR52" i="88"/>
  <c r="JQ52" i="88"/>
  <c r="JC52" i="88"/>
  <c r="IP52" i="88"/>
  <c r="JX52" i="88" s="1"/>
  <c r="IN52" i="88"/>
  <c r="IM52" i="88"/>
  <c r="IK52" i="88"/>
  <c r="II52" i="88"/>
  <c r="IG52" i="88"/>
  <c r="IE52" i="88"/>
  <c r="IB52" i="88"/>
  <c r="IC52" i="88" s="1"/>
  <c r="IA52" i="88"/>
  <c r="HY52" i="88"/>
  <c r="HX52" i="88"/>
  <c r="HW52" i="88"/>
  <c r="HT52" i="88"/>
  <c r="HU52" i="88" s="1"/>
  <c r="HS52" i="88"/>
  <c r="HQ52" i="88"/>
  <c r="HP52" i="88"/>
  <c r="HO52" i="88"/>
  <c r="HL52" i="88"/>
  <c r="HM52" i="88" s="1"/>
  <c r="HK52" i="88"/>
  <c r="HI52" i="88"/>
  <c r="HH52" i="88"/>
  <c r="HG52" i="88"/>
  <c r="HD52" i="88"/>
  <c r="HE52" i="88" s="1"/>
  <c r="HC52" i="88"/>
  <c r="HA52" i="88"/>
  <c r="GZ52" i="88"/>
  <c r="GY52" i="88"/>
  <c r="GV52" i="88"/>
  <c r="GW52" i="88" s="1"/>
  <c r="GU52" i="88"/>
  <c r="GS52" i="88"/>
  <c r="GR52" i="88"/>
  <c r="GQ52" i="88"/>
  <c r="GN52" i="88"/>
  <c r="GO52" i="88" s="1"/>
  <c r="GM52" i="88"/>
  <c r="GK52" i="88"/>
  <c r="GJ52" i="88"/>
  <c r="GI52" i="88"/>
  <c r="GF52" i="88"/>
  <c r="GG52" i="88" s="1"/>
  <c r="GE52" i="88"/>
  <c r="GC52" i="88"/>
  <c r="GB52" i="88"/>
  <c r="GA52" i="88"/>
  <c r="FX52" i="88"/>
  <c r="FY52" i="88" s="1"/>
  <c r="FW52" i="88"/>
  <c r="FU52" i="88"/>
  <c r="FT52" i="88"/>
  <c r="FS52" i="88"/>
  <c r="FP52" i="88"/>
  <c r="FQ52" i="88" s="1"/>
  <c r="FO52" i="88"/>
  <c r="FM52" i="88"/>
  <c r="FL52" i="88"/>
  <c r="FK52" i="88"/>
  <c r="FH52" i="88"/>
  <c r="FI52" i="88" s="1"/>
  <c r="FG52" i="88"/>
  <c r="FE52" i="88"/>
  <c r="FD52" i="88"/>
  <c r="FC52" i="88"/>
  <c r="EZ52" i="88"/>
  <c r="FA52" i="88" s="1"/>
  <c r="EY52" i="88"/>
  <c r="EW52" i="88"/>
  <c r="EV52" i="88"/>
  <c r="EU52" i="88"/>
  <c r="EH52" i="88" s="1"/>
  <c r="EO52" i="88"/>
  <c r="EN52" i="88"/>
  <c r="EM52" i="88"/>
  <c r="EI52" i="88"/>
  <c r="EK52" i="88" s="1"/>
  <c r="EG52" i="88"/>
  <c r="EF52" i="88"/>
  <c r="EC52" i="88"/>
  <c r="DZ52" i="88"/>
  <c r="DS52" i="88"/>
  <c r="DU52" i="88" s="1"/>
  <c r="DP52" i="88"/>
  <c r="DR52" i="88" s="1"/>
  <c r="DM52" i="88"/>
  <c r="DJ52" i="88"/>
  <c r="DE52" i="88"/>
  <c r="DB52" i="88"/>
  <c r="CU52" i="88"/>
  <c r="CW52" i="88" s="1"/>
  <c r="CR52" i="88"/>
  <c r="CT52" i="88" s="1"/>
  <c r="CO52" i="88"/>
  <c r="CL52" i="88"/>
  <c r="CG52" i="88"/>
  <c r="CD52" i="88"/>
  <c r="BW52" i="88"/>
  <c r="AI52" i="88" s="1"/>
  <c r="BT52" i="88"/>
  <c r="BV52" i="88" s="1"/>
  <c r="BQ52" i="88"/>
  <c r="BN52" i="88"/>
  <c r="BI52" i="88"/>
  <c r="BF52" i="88"/>
  <c r="AZ52" i="88"/>
  <c r="AZ133" i="88" s="1"/>
  <c r="AY52" i="88"/>
  <c r="AW52" i="88"/>
  <c r="AV52" i="88"/>
  <c r="JS52" i="88" s="1"/>
  <c r="AS52" i="88"/>
  <c r="AP52" i="88"/>
  <c r="AJ52" i="88"/>
  <c r="AK52" i="88" s="1"/>
  <c r="AE52" i="88"/>
  <c r="Y52" i="88"/>
  <c r="W52" i="88" s="1"/>
  <c r="V52" i="88"/>
  <c r="U52" i="88"/>
  <c r="S52" i="88" s="1"/>
  <c r="O52" i="88"/>
  <c r="KQ51" i="88"/>
  <c r="JR51" i="88"/>
  <c r="JQ51" i="88"/>
  <c r="JC51" i="88"/>
  <c r="IP51" i="88"/>
  <c r="IN51" i="88"/>
  <c r="IM51" i="88"/>
  <c r="IK51" i="88"/>
  <c r="II51" i="88"/>
  <c r="IG51" i="88"/>
  <c r="IE51" i="88"/>
  <c r="IB51" i="88"/>
  <c r="IC51" i="88" s="1"/>
  <c r="IA51" i="88"/>
  <c r="HY51" i="88"/>
  <c r="HX51" i="88"/>
  <c r="HW51" i="88"/>
  <c r="HT51" i="88"/>
  <c r="HS51" i="88"/>
  <c r="HQ51" i="88"/>
  <c r="HP51" i="88"/>
  <c r="HO51" i="88"/>
  <c r="HL51" i="88"/>
  <c r="HM51" i="88" s="1"/>
  <c r="HK51" i="88"/>
  <c r="HI51" i="88"/>
  <c r="HH51" i="88"/>
  <c r="HG51" i="88"/>
  <c r="HD51" i="88"/>
  <c r="HE51" i="88" s="1"/>
  <c r="HC51" i="88"/>
  <c r="HA51" i="88"/>
  <c r="GZ51" i="88"/>
  <c r="GY51" i="88"/>
  <c r="GV51" i="88"/>
  <c r="GW51" i="88" s="1"/>
  <c r="GU51" i="88"/>
  <c r="GS51" i="88"/>
  <c r="GR51" i="88"/>
  <c r="GQ51" i="88"/>
  <c r="GN51" i="88"/>
  <c r="GO51" i="88" s="1"/>
  <c r="GM51" i="88"/>
  <c r="GK51" i="88"/>
  <c r="GJ51" i="88"/>
  <c r="GI51" i="88"/>
  <c r="GF51" i="88"/>
  <c r="GG51" i="88" s="1"/>
  <c r="GE51" i="88"/>
  <c r="GC51" i="88"/>
  <c r="GB51" i="88"/>
  <c r="GA51" i="88"/>
  <c r="FX51" i="88"/>
  <c r="FY51" i="88" s="1"/>
  <c r="FW51" i="88"/>
  <c r="FU51" i="88"/>
  <c r="FT51" i="88"/>
  <c r="FS51" i="88"/>
  <c r="FP51" i="88"/>
  <c r="FQ51" i="88" s="1"/>
  <c r="FO51" i="88"/>
  <c r="FM51" i="88"/>
  <c r="FL51" i="88"/>
  <c r="FK51" i="88"/>
  <c r="FH51" i="88"/>
  <c r="FI51" i="88" s="1"/>
  <c r="FG51" i="88"/>
  <c r="FE51" i="88"/>
  <c r="FD51" i="88"/>
  <c r="FC51" i="88"/>
  <c r="EZ51" i="88"/>
  <c r="FA51" i="88" s="1"/>
  <c r="EY51" i="88"/>
  <c r="EW51" i="88"/>
  <c r="EV51" i="88"/>
  <c r="EI51" i="88" s="1"/>
  <c r="EU51" i="88"/>
  <c r="EO51" i="88"/>
  <c r="EN51" i="88"/>
  <c r="EM51" i="88"/>
  <c r="EH51" i="88"/>
  <c r="EG51" i="88"/>
  <c r="EF51" i="88"/>
  <c r="EC51" i="88"/>
  <c r="DZ51" i="88"/>
  <c r="DS51" i="88"/>
  <c r="DU51" i="88" s="1"/>
  <c r="DP51" i="88"/>
  <c r="DR51" i="88" s="1"/>
  <c r="DM51" i="88"/>
  <c r="DJ51" i="88"/>
  <c r="DE51" i="88"/>
  <c r="DB51" i="88"/>
  <c r="CU51" i="88"/>
  <c r="CW51" i="88" s="1"/>
  <c r="CR51" i="88"/>
  <c r="CT51" i="88" s="1"/>
  <c r="CO51" i="88"/>
  <c r="CL51" i="88"/>
  <c r="CG51" i="88"/>
  <c r="CD51" i="88"/>
  <c r="BW51" i="88"/>
  <c r="BY51" i="88" s="1"/>
  <c r="BT51" i="88"/>
  <c r="AD51" i="88" s="1"/>
  <c r="BQ51" i="88"/>
  <c r="BN51" i="88"/>
  <c r="BI51" i="88"/>
  <c r="BF51" i="88"/>
  <c r="AY51" i="88"/>
  <c r="JT51" i="88" s="1"/>
  <c r="AW51" i="88"/>
  <c r="AE51" i="88" s="1"/>
  <c r="AV51" i="88"/>
  <c r="AC51" i="88" s="1"/>
  <c r="AS51" i="88"/>
  <c r="AP51" i="88"/>
  <c r="AJ51" i="88"/>
  <c r="AI51" i="88"/>
  <c r="Y51" i="88"/>
  <c r="W51" i="88" s="1"/>
  <c r="V51" i="88"/>
  <c r="U51" i="88"/>
  <c r="S51" i="88" s="1"/>
  <c r="R51" i="88"/>
  <c r="O51" i="88"/>
  <c r="KQ50" i="88"/>
  <c r="KN50" i="88"/>
  <c r="KL50" i="88"/>
  <c r="JT50" i="88"/>
  <c r="JR50" i="88"/>
  <c r="JQ50" i="88"/>
  <c r="JC50" i="88"/>
  <c r="JY50" i="88" s="1"/>
  <c r="IP50" i="88"/>
  <c r="JX50" i="88" s="1"/>
  <c r="IK50" i="88"/>
  <c r="IG50" i="88"/>
  <c r="IC50" i="88"/>
  <c r="HY50" i="88"/>
  <c r="HU50" i="88"/>
  <c r="HQ50" i="88"/>
  <c r="HM50" i="88"/>
  <c r="HI50" i="88"/>
  <c r="KA50" i="88" s="1"/>
  <c r="KD50" i="88" s="1"/>
  <c r="HE50" i="88"/>
  <c r="HA50" i="88"/>
  <c r="GW50" i="88"/>
  <c r="GS50" i="88"/>
  <c r="GO50" i="88"/>
  <c r="GK50" i="88"/>
  <c r="GG50" i="88"/>
  <c r="GC50" i="88"/>
  <c r="FY50" i="88"/>
  <c r="FU50" i="88"/>
  <c r="FQ50" i="88"/>
  <c r="FM50" i="88"/>
  <c r="FI50" i="88"/>
  <c r="FE50" i="88"/>
  <c r="FA50" i="88"/>
  <c r="EZ50" i="88"/>
  <c r="EY50" i="88"/>
  <c r="EW50" i="88"/>
  <c r="EV50" i="88"/>
  <c r="EI50" i="88" s="1"/>
  <c r="EU50" i="88"/>
  <c r="EP50" i="88"/>
  <c r="EO50" i="88"/>
  <c r="EN50" i="88"/>
  <c r="EM50" i="88"/>
  <c r="EH50" i="88"/>
  <c r="EG50" i="88"/>
  <c r="EF50" i="88"/>
  <c r="EC50" i="88"/>
  <c r="DZ50" i="88"/>
  <c r="DU50" i="88"/>
  <c r="DR50" i="88"/>
  <c r="DM50" i="88"/>
  <c r="DJ50" i="88"/>
  <c r="DE50" i="88"/>
  <c r="DB50" i="88"/>
  <c r="CW50" i="88"/>
  <c r="CT50" i="88"/>
  <c r="CO50" i="88"/>
  <c r="CL50" i="88"/>
  <c r="CG50" i="88"/>
  <c r="CD50" i="88"/>
  <c r="BY50" i="88"/>
  <c r="BV50" i="88"/>
  <c r="BQ50" i="88"/>
  <c r="BN50" i="88"/>
  <c r="BI50" i="88"/>
  <c r="BF50" i="88"/>
  <c r="BA50" i="88"/>
  <c r="AX50" i="88"/>
  <c r="AS50" i="88"/>
  <c r="AP50" i="88"/>
  <c r="AJ50" i="88"/>
  <c r="AI50" i="88"/>
  <c r="AH50" i="88"/>
  <c r="AE50" i="88"/>
  <c r="AD50" i="88"/>
  <c r="AC50" i="88"/>
  <c r="Y50" i="88"/>
  <c r="W50" i="88" s="1"/>
  <c r="U50" i="88"/>
  <c r="S50" i="88" s="1"/>
  <c r="R50" i="88"/>
  <c r="O50" i="88"/>
  <c r="KQ49" i="88"/>
  <c r="KH49" i="88"/>
  <c r="JR49" i="88"/>
  <c r="JQ49" i="88"/>
  <c r="JC49" i="88"/>
  <c r="IP49" i="88"/>
  <c r="IK49" i="88"/>
  <c r="II49" i="88"/>
  <c r="IG49" i="88"/>
  <c r="IE49" i="88"/>
  <c r="IC49" i="88"/>
  <c r="IA49" i="88"/>
  <c r="HY49" i="88"/>
  <c r="HW49" i="88"/>
  <c r="HU49" i="88"/>
  <c r="HT49" i="88"/>
  <c r="HS49" i="88"/>
  <c r="HP49" i="88"/>
  <c r="JX49" i="88" s="1"/>
  <c r="HO49" i="88"/>
  <c r="HM49" i="88"/>
  <c r="HL49" i="88"/>
  <c r="HK49" i="88"/>
  <c r="HI49" i="88"/>
  <c r="HH49" i="88"/>
  <c r="HG49" i="88"/>
  <c r="HE49" i="88"/>
  <c r="HD49" i="88"/>
  <c r="HC49" i="88"/>
  <c r="GZ49" i="88"/>
  <c r="HA49" i="88" s="1"/>
  <c r="GY49" i="88"/>
  <c r="GW49" i="88"/>
  <c r="GV49" i="88"/>
  <c r="GU49" i="88"/>
  <c r="GS49" i="88"/>
  <c r="GR49" i="88"/>
  <c r="GQ49" i="88"/>
  <c r="GO49" i="88"/>
  <c r="GN49" i="88"/>
  <c r="GM49" i="88"/>
  <c r="GJ49" i="88"/>
  <c r="GK49" i="88" s="1"/>
  <c r="GI49" i="88"/>
  <c r="GG49" i="88"/>
  <c r="GF49" i="88"/>
  <c r="GE49" i="88"/>
  <c r="GC49" i="88"/>
  <c r="GB49" i="88"/>
  <c r="GA49" i="88"/>
  <c r="FY49" i="88"/>
  <c r="FX49" i="88"/>
  <c r="FW49" i="88"/>
  <c r="FT49" i="88"/>
  <c r="FU49" i="88" s="1"/>
  <c r="FS49" i="88"/>
  <c r="FQ49" i="88"/>
  <c r="FP49" i="88"/>
  <c r="FO49" i="88"/>
  <c r="FM49" i="88"/>
  <c r="FL49" i="88"/>
  <c r="FK49" i="88"/>
  <c r="FI49" i="88"/>
  <c r="FH49" i="88"/>
  <c r="FG49" i="88"/>
  <c r="FD49" i="88"/>
  <c r="FE49" i="88" s="1"/>
  <c r="FC49" i="88"/>
  <c r="FA49" i="88"/>
  <c r="EZ49" i="88"/>
  <c r="EY49" i="88"/>
  <c r="EO49" i="88" s="1"/>
  <c r="EW49" i="88"/>
  <c r="EV49" i="88"/>
  <c r="EU49" i="88"/>
  <c r="EP49" i="88"/>
  <c r="EN49" i="88"/>
  <c r="EM49" i="88"/>
  <c r="EI49" i="88"/>
  <c r="EH49" i="88"/>
  <c r="EG49" i="88"/>
  <c r="EF49" i="88"/>
  <c r="EC49" i="88"/>
  <c r="DZ49" i="88"/>
  <c r="DU49" i="88"/>
  <c r="DS49" i="88"/>
  <c r="DR49" i="88"/>
  <c r="DP49" i="88"/>
  <c r="DM49" i="88"/>
  <c r="DJ49" i="88"/>
  <c r="DE49" i="88"/>
  <c r="DB49" i="88"/>
  <c r="CW49" i="88"/>
  <c r="CT49" i="88"/>
  <c r="CO49" i="88"/>
  <c r="CL49" i="88"/>
  <c r="CG49" i="88"/>
  <c r="CD49" i="88"/>
  <c r="BY49" i="88"/>
  <c r="BV49" i="88"/>
  <c r="BQ49" i="88"/>
  <c r="BN49" i="88"/>
  <c r="BI49" i="88"/>
  <c r="BF49" i="88"/>
  <c r="BA49" i="88"/>
  <c r="AX49" i="88"/>
  <c r="AS49" i="88"/>
  <c r="AP49" i="88"/>
  <c r="AJ49" i="88"/>
  <c r="AI49" i="88"/>
  <c r="AH49" i="88"/>
  <c r="AE49" i="88"/>
  <c r="AD49" i="88"/>
  <c r="AF49" i="88" s="1"/>
  <c r="AC49" i="88"/>
  <c r="Y49" i="88"/>
  <c r="W49" i="88" s="1"/>
  <c r="V49" i="88"/>
  <c r="U49" i="88"/>
  <c r="S49" i="88" s="1"/>
  <c r="R49" i="88"/>
  <c r="O49" i="88"/>
  <c r="KQ48" i="88"/>
  <c r="JY48" i="88"/>
  <c r="JT48" i="88"/>
  <c r="JS48" i="88"/>
  <c r="JC48" i="88"/>
  <c r="IP48" i="88"/>
  <c r="JX48" i="88" s="1"/>
  <c r="IK48" i="88"/>
  <c r="IG48" i="88"/>
  <c r="IC48" i="88"/>
  <c r="HY48" i="88"/>
  <c r="HU48" i="88"/>
  <c r="HQ48" i="88"/>
  <c r="HM48" i="88"/>
  <c r="HI48" i="88"/>
  <c r="KA48" i="88" s="1"/>
  <c r="KD48" i="88" s="1"/>
  <c r="HE48" i="88"/>
  <c r="HA48" i="88"/>
  <c r="GW48" i="88"/>
  <c r="GS48" i="88"/>
  <c r="GO48" i="88"/>
  <c r="GK48" i="88"/>
  <c r="GG48" i="88"/>
  <c r="GC48" i="88"/>
  <c r="FY48" i="88"/>
  <c r="FU48" i="88"/>
  <c r="FQ48" i="88"/>
  <c r="FM48" i="88"/>
  <c r="FI48" i="88"/>
  <c r="FE48" i="88"/>
  <c r="FA48" i="88"/>
  <c r="EW48" i="88"/>
  <c r="EP48" i="88"/>
  <c r="EO48" i="88"/>
  <c r="EN48" i="88"/>
  <c r="EM48" i="88"/>
  <c r="EI48" i="88"/>
  <c r="EH48" i="88"/>
  <c r="EG48" i="88"/>
  <c r="EF48" i="88"/>
  <c r="EC48" i="88"/>
  <c r="DZ48" i="88"/>
  <c r="DU48" i="88"/>
  <c r="DR48" i="88"/>
  <c r="DM48" i="88"/>
  <c r="DJ48" i="88"/>
  <c r="DE48" i="88"/>
  <c r="DB48" i="88"/>
  <c r="CW48" i="88"/>
  <c r="CT48" i="88"/>
  <c r="CO48" i="88"/>
  <c r="CL48" i="88"/>
  <c r="CG48" i="88"/>
  <c r="CD48" i="88"/>
  <c r="BY48" i="88"/>
  <c r="BV48" i="88"/>
  <c r="BQ48" i="88"/>
  <c r="BN48" i="88"/>
  <c r="BI48" i="88"/>
  <c r="BF48" i="88"/>
  <c r="BA48" i="88"/>
  <c r="AX48" i="88"/>
  <c r="AS48" i="88"/>
  <c r="AP48" i="88"/>
  <c r="AJ48" i="88"/>
  <c r="AI48" i="88"/>
  <c r="AH48" i="88"/>
  <c r="AE48" i="88"/>
  <c r="AD48" i="88"/>
  <c r="AC48" i="88"/>
  <c r="Y48" i="88"/>
  <c r="W48" i="88" s="1"/>
  <c r="U48" i="88"/>
  <c r="S48" i="88" s="1"/>
  <c r="O48" i="88"/>
  <c r="KQ47" i="88"/>
  <c r="JR47" i="88"/>
  <c r="JQ47" i="88"/>
  <c r="JC47" i="88"/>
  <c r="JY47" i="88" s="1"/>
  <c r="IP47" i="88"/>
  <c r="IN47" i="88"/>
  <c r="IM47" i="88"/>
  <c r="IK47" i="88"/>
  <c r="II47" i="88"/>
  <c r="IG47" i="88"/>
  <c r="IE47" i="88"/>
  <c r="IC47" i="88"/>
  <c r="IA47" i="88"/>
  <c r="HY47" i="88"/>
  <c r="HW47" i="88"/>
  <c r="HU47" i="88"/>
  <c r="HT47" i="88"/>
  <c r="HS47" i="88"/>
  <c r="HQ47" i="88"/>
  <c r="HP47" i="88"/>
  <c r="HO47" i="88"/>
  <c r="HM47" i="88"/>
  <c r="HL47" i="88"/>
  <c r="HK47" i="88"/>
  <c r="HH47" i="88"/>
  <c r="HI47" i="88" s="1"/>
  <c r="HG47" i="88"/>
  <c r="HE47" i="88"/>
  <c r="HD47" i="88"/>
  <c r="HC47" i="88"/>
  <c r="HA47" i="88"/>
  <c r="GZ47" i="88"/>
  <c r="GY47" i="88"/>
  <c r="GW47" i="88"/>
  <c r="GV47" i="88"/>
  <c r="GU47" i="88"/>
  <c r="GR47" i="88"/>
  <c r="GS47" i="88" s="1"/>
  <c r="GQ47" i="88"/>
  <c r="GO47" i="88"/>
  <c r="GN47" i="88"/>
  <c r="GM47" i="88"/>
  <c r="GK47" i="88"/>
  <c r="GG47" i="88"/>
  <c r="GF47" i="88"/>
  <c r="GE47" i="88"/>
  <c r="GC47" i="88"/>
  <c r="GB47" i="88"/>
  <c r="GA47" i="88"/>
  <c r="FY47" i="88"/>
  <c r="FX47" i="88"/>
  <c r="FW47" i="88"/>
  <c r="FT47" i="88"/>
  <c r="FU47" i="88" s="1"/>
  <c r="FS47" i="88"/>
  <c r="FQ47" i="88"/>
  <c r="FP47" i="88"/>
  <c r="FO47" i="88"/>
  <c r="FM47" i="88"/>
  <c r="FL47" i="88"/>
  <c r="FK47" i="88"/>
  <c r="FI47" i="88"/>
  <c r="FH47" i="88"/>
  <c r="EP47" i="88" s="1"/>
  <c r="FG47" i="88"/>
  <c r="FD47" i="88"/>
  <c r="FE47" i="88" s="1"/>
  <c r="FC47" i="88"/>
  <c r="FA47" i="88"/>
  <c r="EZ47" i="88"/>
  <c r="EY47" i="88"/>
  <c r="EO47" i="88" s="1"/>
  <c r="EW47" i="88"/>
  <c r="EV47" i="88"/>
  <c r="EU47" i="88"/>
  <c r="EN47" i="88"/>
  <c r="EM47" i="88"/>
  <c r="EI47" i="88"/>
  <c r="EH47" i="88"/>
  <c r="EG47" i="88"/>
  <c r="EF47" i="88"/>
  <c r="EC47" i="88"/>
  <c r="DZ47" i="88"/>
  <c r="DU47" i="88"/>
  <c r="DR47" i="88"/>
  <c r="DM47" i="88"/>
  <c r="DJ47" i="88"/>
  <c r="DE47" i="88"/>
  <c r="DB47" i="88"/>
  <c r="CW47" i="88"/>
  <c r="CT47" i="88"/>
  <c r="CO47" i="88"/>
  <c r="CL47" i="88"/>
  <c r="CG47" i="88"/>
  <c r="CD47" i="88"/>
  <c r="CC47" i="88"/>
  <c r="CC133" i="88" s="1"/>
  <c r="BY47" i="88"/>
  <c r="BV47" i="88"/>
  <c r="BQ47" i="88"/>
  <c r="BN47" i="88"/>
  <c r="BH47" i="88"/>
  <c r="AJ47" i="88" s="1"/>
  <c r="BE47" i="88"/>
  <c r="BF47" i="88" s="1"/>
  <c r="BA47" i="88"/>
  <c r="AX47" i="88"/>
  <c r="AW47" i="88"/>
  <c r="AS47" i="88"/>
  <c r="AO47" i="88"/>
  <c r="AE47" i="88" s="1"/>
  <c r="AI47" i="88"/>
  <c r="AH47" i="88"/>
  <c r="AD47" i="88"/>
  <c r="AC47" i="88"/>
  <c r="Y47" i="88"/>
  <c r="W47" i="88" s="1"/>
  <c r="U47" i="88"/>
  <c r="S47" i="88" s="1"/>
  <c r="R47" i="88"/>
  <c r="O47" i="88"/>
  <c r="KQ46" i="88"/>
  <c r="KH46" i="88"/>
  <c r="JR46" i="88"/>
  <c r="JQ46" i="88"/>
  <c r="JD46" i="88"/>
  <c r="JD133" i="88" s="1"/>
  <c r="IQ46" i="88"/>
  <c r="IQ133" i="88" s="1"/>
  <c r="IN46" i="88"/>
  <c r="IM46" i="88"/>
  <c r="IK46" i="88"/>
  <c r="IJ46" i="88"/>
  <c r="II46" i="88"/>
  <c r="IF46" i="88"/>
  <c r="IG46" i="88" s="1"/>
  <c r="IE46" i="88"/>
  <c r="IC46" i="88"/>
  <c r="IB46" i="88"/>
  <c r="IA46" i="88"/>
  <c r="HX46" i="88"/>
  <c r="HY46" i="88" s="1"/>
  <c r="HW46" i="88"/>
  <c r="HU46" i="88"/>
  <c r="HT46" i="88"/>
  <c r="HS46" i="88"/>
  <c r="HP46" i="88"/>
  <c r="HO46" i="88"/>
  <c r="HM46" i="88"/>
  <c r="HL46" i="88"/>
  <c r="HK46" i="88"/>
  <c r="HH46" i="88"/>
  <c r="HI46" i="88" s="1"/>
  <c r="HG46" i="88"/>
  <c r="HE46" i="88"/>
  <c r="HD46" i="88"/>
  <c r="HC46" i="88"/>
  <c r="GZ46" i="88"/>
  <c r="HA46" i="88" s="1"/>
  <c r="GY46" i="88"/>
  <c r="GW46" i="88"/>
  <c r="GV46" i="88"/>
  <c r="GU46" i="88"/>
  <c r="GR46" i="88"/>
  <c r="GS46" i="88" s="1"/>
  <c r="GQ46" i="88"/>
  <c r="GO46" i="88"/>
  <c r="GN46" i="88"/>
  <c r="GM46" i="88"/>
  <c r="GJ46" i="88"/>
  <c r="GK46" i="88" s="1"/>
  <c r="GI46" i="88"/>
  <c r="GG46" i="88"/>
  <c r="GF46" i="88"/>
  <c r="GE46" i="88"/>
  <c r="GB46" i="88"/>
  <c r="GC46" i="88" s="1"/>
  <c r="GA46" i="88"/>
  <c r="FY46" i="88"/>
  <c r="FX46" i="88"/>
  <c r="FW46" i="88"/>
  <c r="FT46" i="88"/>
  <c r="FU46" i="88" s="1"/>
  <c r="FS46" i="88"/>
  <c r="FQ46" i="88"/>
  <c r="FP46" i="88"/>
  <c r="FO46" i="88"/>
  <c r="FL46" i="88"/>
  <c r="FM46" i="88" s="1"/>
  <c r="FK46" i="88"/>
  <c r="FI46" i="88"/>
  <c r="FH46" i="88"/>
  <c r="FG46" i="88"/>
  <c r="JT46" i="88" s="1"/>
  <c r="FD46" i="88"/>
  <c r="FE46" i="88" s="1"/>
  <c r="FC46" i="88"/>
  <c r="FA46" i="88"/>
  <c r="EZ46" i="88"/>
  <c r="EY46" i="88"/>
  <c r="EO46" i="88" s="1"/>
  <c r="EV46" i="88"/>
  <c r="EI46" i="88" s="1"/>
  <c r="EU46" i="88"/>
  <c r="EH46" i="88" s="1"/>
  <c r="EP46" i="88"/>
  <c r="ER46" i="88" s="1"/>
  <c r="EN46" i="88"/>
  <c r="EM46" i="88"/>
  <c r="EG46" i="88"/>
  <c r="EF46" i="88"/>
  <c r="EC46" i="88"/>
  <c r="EA46" i="88"/>
  <c r="DZ46" i="88"/>
  <c r="DX46" i="88"/>
  <c r="DU46" i="88"/>
  <c r="DR46" i="88"/>
  <c r="DM46" i="88"/>
  <c r="DJ46" i="88"/>
  <c r="DE46" i="88"/>
  <c r="DB46" i="88"/>
  <c r="CW46" i="88"/>
  <c r="CT46" i="88"/>
  <c r="CO46" i="88"/>
  <c r="CM46" i="88"/>
  <c r="CL46" i="88"/>
  <c r="CJ46" i="88"/>
  <c r="JS46" i="88" s="1"/>
  <c r="CG46" i="88"/>
  <c r="CD46" i="88"/>
  <c r="BY46" i="88"/>
  <c r="BV46" i="88"/>
  <c r="BQ46" i="88"/>
  <c r="BN46" i="88"/>
  <c r="BI46" i="88"/>
  <c r="BF46" i="88"/>
  <c r="BA46" i="88"/>
  <c r="AX46" i="88"/>
  <c r="AS46" i="88"/>
  <c r="AP46" i="88"/>
  <c r="AJ46" i="88"/>
  <c r="AI46" i="88"/>
  <c r="AH46" i="88"/>
  <c r="AE46" i="88"/>
  <c r="AD46" i="88"/>
  <c r="AC46" i="88"/>
  <c r="Y46" i="88"/>
  <c r="W46" i="88" s="1"/>
  <c r="V46" i="88"/>
  <c r="U46" i="88"/>
  <c r="S46" i="88" s="1"/>
  <c r="Q46" i="88"/>
  <c r="R46" i="88" s="1"/>
  <c r="N46" i="88"/>
  <c r="O46" i="88" s="1"/>
  <c r="KQ45" i="88"/>
  <c r="JR45" i="88"/>
  <c r="JQ45" i="88"/>
  <c r="JC45" i="88"/>
  <c r="IP45" i="88"/>
  <c r="JX45" i="88" s="1"/>
  <c r="IN45" i="88"/>
  <c r="IM45" i="88"/>
  <c r="IK45" i="88"/>
  <c r="II45" i="88"/>
  <c r="IG45" i="88"/>
  <c r="IE45" i="88"/>
  <c r="IC45" i="88"/>
  <c r="IA45" i="88"/>
  <c r="HY45" i="88"/>
  <c r="HW45" i="88"/>
  <c r="HT45" i="88"/>
  <c r="JY45" i="88" s="1"/>
  <c r="HS45" i="88"/>
  <c r="HQ45" i="88"/>
  <c r="HP45" i="88"/>
  <c r="HO45" i="88"/>
  <c r="HL45" i="88"/>
  <c r="HM45" i="88" s="1"/>
  <c r="HK45" i="88"/>
  <c r="HI45" i="88"/>
  <c r="HH45" i="88"/>
  <c r="HG45" i="88"/>
  <c r="HD45" i="88"/>
  <c r="HE45" i="88" s="1"/>
  <c r="HC45" i="88"/>
  <c r="HA45" i="88"/>
  <c r="GZ45" i="88"/>
  <c r="GY45" i="88"/>
  <c r="GV45" i="88"/>
  <c r="GW45" i="88" s="1"/>
  <c r="GU45" i="88"/>
  <c r="GS45" i="88"/>
  <c r="GR45" i="88"/>
  <c r="GQ45" i="88"/>
  <c r="GN45" i="88"/>
  <c r="GO45" i="88" s="1"/>
  <c r="GM45" i="88"/>
  <c r="GK45" i="88"/>
  <c r="GJ45" i="88"/>
  <c r="GI45" i="88"/>
  <c r="GF45" i="88"/>
  <c r="GG45" i="88" s="1"/>
  <c r="GE45" i="88"/>
  <c r="GC45" i="88"/>
  <c r="GB45" i="88"/>
  <c r="GA45" i="88"/>
  <c r="FX45" i="88"/>
  <c r="FY45" i="88" s="1"/>
  <c r="FW45" i="88"/>
  <c r="FU45" i="88"/>
  <c r="FT45" i="88"/>
  <c r="FS45" i="88"/>
  <c r="FP45" i="88"/>
  <c r="FQ45" i="88" s="1"/>
  <c r="FO45" i="88"/>
  <c r="FM45" i="88"/>
  <c r="FL45" i="88"/>
  <c r="FK45" i="88"/>
  <c r="FH45" i="88"/>
  <c r="FI45" i="88" s="1"/>
  <c r="FG45" i="88"/>
  <c r="FE45" i="88"/>
  <c r="FD45" i="88"/>
  <c r="FC45" i="88"/>
  <c r="JS45" i="88" s="1"/>
  <c r="EZ45" i="88"/>
  <c r="FA45" i="88" s="1"/>
  <c r="EY45" i="88"/>
  <c r="EW45" i="88"/>
  <c r="EV45" i="88"/>
  <c r="EI45" i="88" s="1"/>
  <c r="EU45" i="88"/>
  <c r="EO45" i="88"/>
  <c r="EN45" i="88"/>
  <c r="EM45" i="88"/>
  <c r="EH45" i="88"/>
  <c r="EG45" i="88"/>
  <c r="EF45" i="88"/>
  <c r="EC45" i="88"/>
  <c r="DZ45" i="88"/>
  <c r="DU45" i="88"/>
  <c r="DR45" i="88"/>
  <c r="DK45" i="88"/>
  <c r="DM45" i="88" s="1"/>
  <c r="DH45" i="88"/>
  <c r="DJ45" i="88" s="1"/>
  <c r="DE45" i="88"/>
  <c r="DB45" i="88"/>
  <c r="CW45" i="88"/>
  <c r="CT45" i="88"/>
  <c r="CM45" i="88"/>
  <c r="CO45" i="88" s="1"/>
  <c r="CJ45" i="88"/>
  <c r="CL45" i="88" s="1"/>
  <c r="CG45" i="88"/>
  <c r="CD45" i="88"/>
  <c r="BY45" i="88"/>
  <c r="BV45" i="88"/>
  <c r="BO45" i="88"/>
  <c r="BQ45" i="88" s="1"/>
  <c r="BL45" i="88"/>
  <c r="BN45" i="88" s="1"/>
  <c r="BI45" i="88"/>
  <c r="BF45" i="88"/>
  <c r="BA45" i="88"/>
  <c r="AX45" i="88"/>
  <c r="AQ45" i="88"/>
  <c r="AI45" i="88" s="1"/>
  <c r="AN45" i="88"/>
  <c r="AP45" i="88" s="1"/>
  <c r="AJ45" i="88"/>
  <c r="AE45" i="88"/>
  <c r="AC45" i="88"/>
  <c r="Y45" i="88"/>
  <c r="W45" i="88"/>
  <c r="V45" i="88"/>
  <c r="U45" i="88"/>
  <c r="S45" i="88" s="1"/>
  <c r="R45" i="88"/>
  <c r="O45" i="88"/>
  <c r="KP44" i="88"/>
  <c r="KL44" i="88"/>
  <c r="KI44" i="88"/>
  <c r="KQ44" i="88" s="1"/>
  <c r="KB44" i="88"/>
  <c r="KB133" i="88" s="1"/>
  <c r="JR44" i="88"/>
  <c r="JQ44" i="88"/>
  <c r="JC44" i="88"/>
  <c r="IP44" i="88"/>
  <c r="IN44" i="88"/>
  <c r="IM44" i="88"/>
  <c r="IK44" i="88"/>
  <c r="II44" i="88"/>
  <c r="IG44" i="88"/>
  <c r="IE44" i="88"/>
  <c r="IC44" i="88"/>
  <c r="IB44" i="88"/>
  <c r="IA44" i="88"/>
  <c r="HX44" i="88"/>
  <c r="HY44" i="88" s="1"/>
  <c r="HW44" i="88"/>
  <c r="HU44" i="88"/>
  <c r="HT44" i="88"/>
  <c r="HS44" i="88"/>
  <c r="HP44" i="88"/>
  <c r="HO44" i="88"/>
  <c r="HM44" i="88"/>
  <c r="HL44" i="88"/>
  <c r="HK44" i="88"/>
  <c r="HH44" i="88"/>
  <c r="HI44" i="88" s="1"/>
  <c r="HG44" i="88"/>
  <c r="HE44" i="88"/>
  <c r="HA44" i="88"/>
  <c r="GW44" i="88"/>
  <c r="GV44" i="88"/>
  <c r="GU44" i="88"/>
  <c r="GR44" i="88"/>
  <c r="GS44" i="88" s="1"/>
  <c r="GQ44" i="88"/>
  <c r="GO44" i="88"/>
  <c r="GN44" i="88"/>
  <c r="GM44" i="88"/>
  <c r="GJ44" i="88"/>
  <c r="GK44" i="88" s="1"/>
  <c r="GI44" i="88"/>
  <c r="GG44" i="88"/>
  <c r="GF44" i="88"/>
  <c r="GE44" i="88"/>
  <c r="GB44" i="88"/>
  <c r="GC44" i="88" s="1"/>
  <c r="GA44" i="88"/>
  <c r="FY44" i="88"/>
  <c r="FX44" i="88"/>
  <c r="FW44" i="88"/>
  <c r="FT44" i="88"/>
  <c r="FU44" i="88" s="1"/>
  <c r="FS44" i="88"/>
  <c r="FQ44" i="88"/>
  <c r="FP44" i="88"/>
  <c r="FO44" i="88"/>
  <c r="FL44" i="88"/>
  <c r="FM44" i="88" s="1"/>
  <c r="FK44" i="88"/>
  <c r="FI44" i="88"/>
  <c r="FH44" i="88"/>
  <c r="FG44" i="88"/>
  <c r="FD44" i="88"/>
  <c r="FE44" i="88" s="1"/>
  <c r="FC44" i="88"/>
  <c r="FA44" i="88"/>
  <c r="EZ44" i="88"/>
  <c r="EY44" i="88"/>
  <c r="EO44" i="88" s="1"/>
  <c r="ER44" i="88" s="1"/>
  <c r="EV44" i="88"/>
  <c r="EW44" i="88" s="1"/>
  <c r="EU44" i="88"/>
  <c r="EP44" i="88"/>
  <c r="EN44" i="88"/>
  <c r="EM44" i="88"/>
  <c r="EI44" i="88"/>
  <c r="EH44" i="88"/>
  <c r="EG44" i="88"/>
  <c r="EF44" i="88"/>
  <c r="EC44" i="88"/>
  <c r="DZ44" i="88"/>
  <c r="DU44" i="88"/>
  <c r="DR44" i="88"/>
  <c r="DM44" i="88"/>
  <c r="DK44" i="88"/>
  <c r="DJ44" i="88"/>
  <c r="DH44" i="88"/>
  <c r="DE44" i="88"/>
  <c r="DC44" i="88"/>
  <c r="DB44" i="88"/>
  <c r="CZ44" i="88"/>
  <c r="CW44" i="88"/>
  <c r="CT44" i="88"/>
  <c r="CN44" i="88"/>
  <c r="CM44" i="88"/>
  <c r="CK44" i="88"/>
  <c r="CL44" i="88" s="1"/>
  <c r="CJ44" i="88"/>
  <c r="CG44" i="88"/>
  <c r="CD44" i="88"/>
  <c r="BY44" i="88"/>
  <c r="BV44" i="88"/>
  <c r="BQ44" i="88"/>
  <c r="BN44" i="88"/>
  <c r="BI44" i="88"/>
  <c r="BF44" i="88"/>
  <c r="BA44" i="88"/>
  <c r="AX44" i="88"/>
  <c r="AS44" i="88"/>
  <c r="AP44" i="88"/>
  <c r="AJ44" i="88"/>
  <c r="AD44" i="88"/>
  <c r="AC44" i="88"/>
  <c r="Y44" i="88"/>
  <c r="W44" i="88" s="1"/>
  <c r="V44" i="88"/>
  <c r="U44" i="88"/>
  <c r="S44" i="88" s="1"/>
  <c r="R44" i="88"/>
  <c r="O44" i="88"/>
  <c r="KQ43" i="88"/>
  <c r="KH43" i="88"/>
  <c r="KD43" i="88"/>
  <c r="JT43" i="88"/>
  <c r="JS43" i="88"/>
  <c r="JC43" i="88"/>
  <c r="JY43" i="88" s="1"/>
  <c r="IP43" i="88"/>
  <c r="JX43" i="88" s="1"/>
  <c r="IK43" i="88"/>
  <c r="IG43" i="88"/>
  <c r="IC43" i="88"/>
  <c r="HY43" i="88"/>
  <c r="HU43" i="88"/>
  <c r="HQ43" i="88"/>
  <c r="HM43" i="88"/>
  <c r="HI43" i="88"/>
  <c r="HE43" i="88"/>
  <c r="HA43" i="88"/>
  <c r="GW43" i="88"/>
  <c r="GS43" i="88"/>
  <c r="GO43" i="88"/>
  <c r="GK43" i="88"/>
  <c r="GG43" i="88"/>
  <c r="GC43" i="88"/>
  <c r="FY43" i="88"/>
  <c r="FU43" i="88"/>
  <c r="FQ43" i="88"/>
  <c r="FM43" i="88"/>
  <c r="FI43" i="88"/>
  <c r="FE43" i="88"/>
  <c r="FA43" i="88"/>
  <c r="EW43" i="88"/>
  <c r="EP43" i="88"/>
  <c r="EO43" i="88"/>
  <c r="EN43" i="88"/>
  <c r="EM43" i="88"/>
  <c r="EI43" i="88"/>
  <c r="EH43" i="88"/>
  <c r="EG43" i="88"/>
  <c r="EF43" i="88"/>
  <c r="EC43" i="88"/>
  <c r="DZ43" i="88"/>
  <c r="DU43" i="88"/>
  <c r="DR43" i="88"/>
  <c r="DM43" i="88"/>
  <c r="DJ43" i="88"/>
  <c r="DE43" i="88"/>
  <c r="DB43" i="88"/>
  <c r="CW43" i="88"/>
  <c r="CT43" i="88"/>
  <c r="CO43" i="88"/>
  <c r="CL43" i="88"/>
  <c r="CG43" i="88"/>
  <c r="CD43" i="88"/>
  <c r="BY43" i="88"/>
  <c r="BV43" i="88"/>
  <c r="BQ43" i="88"/>
  <c r="BN43" i="88"/>
  <c r="BI43" i="88"/>
  <c r="BF43" i="88"/>
  <c r="BA43" i="88"/>
  <c r="AX43" i="88"/>
  <c r="AS43" i="88"/>
  <c r="AP43" i="88"/>
  <c r="AJ43" i="88"/>
  <c r="AI43" i="88"/>
  <c r="AH43" i="88"/>
  <c r="AE43" i="88"/>
  <c r="AD43" i="88"/>
  <c r="AC43" i="88"/>
  <c r="Y43" i="88"/>
  <c r="W43" i="88" s="1"/>
  <c r="U43" i="88"/>
  <c r="S43" i="88" s="1"/>
  <c r="O43" i="88"/>
  <c r="KM42" i="88"/>
  <c r="KQ42" i="88" s="1"/>
  <c r="KH42" i="88"/>
  <c r="JR42" i="88"/>
  <c r="JQ42" i="88"/>
  <c r="JC42" i="88"/>
  <c r="JY42" i="88" s="1"/>
  <c r="IP42" i="88"/>
  <c r="IN42" i="88"/>
  <c r="IM42" i="88"/>
  <c r="IK42" i="88"/>
  <c r="IJ42" i="88"/>
  <c r="II42" i="88"/>
  <c r="IF42" i="88"/>
  <c r="IG42" i="88" s="1"/>
  <c r="IE42" i="88"/>
  <c r="IC42" i="88"/>
  <c r="IB42" i="88"/>
  <c r="IA42" i="88"/>
  <c r="HX42" i="88"/>
  <c r="HY42" i="88" s="1"/>
  <c r="HW42" i="88"/>
  <c r="HU42" i="88"/>
  <c r="HT42" i="88"/>
  <c r="HS42" i="88"/>
  <c r="HP42" i="88"/>
  <c r="HQ42" i="88" s="1"/>
  <c r="HO42" i="88"/>
  <c r="HM42" i="88"/>
  <c r="HL42" i="88"/>
  <c r="HK42" i="88"/>
  <c r="HH42" i="88"/>
  <c r="HI42" i="88" s="1"/>
  <c r="HG42" i="88"/>
  <c r="HE42" i="88"/>
  <c r="HD42" i="88"/>
  <c r="HC42" i="88"/>
  <c r="GZ42" i="88"/>
  <c r="HA42" i="88" s="1"/>
  <c r="GY42" i="88"/>
  <c r="GW42" i="88"/>
  <c r="GV42" i="88"/>
  <c r="GU42" i="88"/>
  <c r="GR42" i="88"/>
  <c r="GS42" i="88" s="1"/>
  <c r="GQ42" i="88"/>
  <c r="GO42" i="88"/>
  <c r="GN42" i="88"/>
  <c r="GM42" i="88"/>
  <c r="GJ42" i="88"/>
  <c r="GK42" i="88" s="1"/>
  <c r="GI42" i="88"/>
  <c r="GG42" i="88"/>
  <c r="GF42" i="88"/>
  <c r="GE42" i="88"/>
  <c r="GB42" i="88"/>
  <c r="GC42" i="88" s="1"/>
  <c r="GA42" i="88"/>
  <c r="FY42" i="88"/>
  <c r="FX42" i="88"/>
  <c r="FW42" i="88"/>
  <c r="FT42" i="88"/>
  <c r="FU42" i="88" s="1"/>
  <c r="FS42" i="88"/>
  <c r="FQ42" i="88"/>
  <c r="FP42" i="88"/>
  <c r="FO42" i="88"/>
  <c r="FL42" i="88"/>
  <c r="FM42" i="88" s="1"/>
  <c r="FK42" i="88"/>
  <c r="FI42" i="88"/>
  <c r="FH42" i="88"/>
  <c r="FG42" i="88"/>
  <c r="FD42" i="88"/>
  <c r="FE42" i="88" s="1"/>
  <c r="FC42" i="88"/>
  <c r="FA42" i="88"/>
  <c r="EZ42" i="88"/>
  <c r="EY42" i="88"/>
  <c r="EO42" i="88" s="1"/>
  <c r="EV42" i="88"/>
  <c r="EU42" i="88"/>
  <c r="EH42" i="88" s="1"/>
  <c r="EP42" i="88"/>
  <c r="EN42" i="88"/>
  <c r="EM42" i="88"/>
  <c r="EG42" i="88"/>
  <c r="EF42" i="88"/>
  <c r="EC42" i="88"/>
  <c r="DZ42" i="88"/>
  <c r="DU42" i="88"/>
  <c r="DS42" i="88"/>
  <c r="DR42" i="88"/>
  <c r="DP42" i="88"/>
  <c r="DM42" i="88"/>
  <c r="DJ42" i="88"/>
  <c r="DE42" i="88"/>
  <c r="DB42" i="88"/>
  <c r="CW42" i="88"/>
  <c r="CU42" i="88"/>
  <c r="CT42" i="88"/>
  <c r="CR42" i="88"/>
  <c r="CO42" i="88"/>
  <c r="CL42" i="88"/>
  <c r="CG42" i="88"/>
  <c r="CD42" i="88"/>
  <c r="BY42" i="88"/>
  <c r="BX42" i="88"/>
  <c r="BX133" i="88" s="1"/>
  <c r="BW42" i="88"/>
  <c r="AH42" i="88" s="1"/>
  <c r="BU42" i="88"/>
  <c r="BT42" i="88"/>
  <c r="BQ42" i="88"/>
  <c r="BN42" i="88"/>
  <c r="BI42" i="88"/>
  <c r="BF42" i="88"/>
  <c r="BA42" i="88"/>
  <c r="AY42" i="88"/>
  <c r="AY133" i="88" s="1"/>
  <c r="AX42" i="88"/>
  <c r="AV42" i="88"/>
  <c r="AV133" i="88" s="1"/>
  <c r="AS42" i="88"/>
  <c r="AP42" i="88"/>
  <c r="AJ42" i="88"/>
  <c r="AI42" i="88"/>
  <c r="Y42" i="88"/>
  <c r="W42" i="88" s="1"/>
  <c r="U42" i="88"/>
  <c r="S42" i="88" s="1"/>
  <c r="O42" i="88"/>
  <c r="KQ41" i="88"/>
  <c r="KH41" i="88"/>
  <c r="JR41" i="88"/>
  <c r="JQ41" i="88"/>
  <c r="JC41" i="88"/>
  <c r="IP41" i="88"/>
  <c r="IN41" i="88"/>
  <c r="IM41" i="88"/>
  <c r="IK41" i="88"/>
  <c r="IJ41" i="88"/>
  <c r="II41" i="88"/>
  <c r="IG41" i="88"/>
  <c r="IF41" i="88"/>
  <c r="IE41" i="88"/>
  <c r="IC41" i="88"/>
  <c r="IB41" i="88"/>
  <c r="IA41" i="88"/>
  <c r="HX41" i="88"/>
  <c r="HY41" i="88" s="1"/>
  <c r="HW41" i="88"/>
  <c r="HU41" i="88"/>
  <c r="HT41" i="88"/>
  <c r="HS41" i="88"/>
  <c r="HQ41" i="88"/>
  <c r="HP41" i="88"/>
  <c r="HO41" i="88"/>
  <c r="HM41" i="88"/>
  <c r="HL41" i="88"/>
  <c r="HK41" i="88"/>
  <c r="HH41" i="88"/>
  <c r="HI41" i="88" s="1"/>
  <c r="HG41" i="88"/>
  <c r="HE41" i="88"/>
  <c r="HD41" i="88"/>
  <c r="HC41" i="88"/>
  <c r="HA41" i="88"/>
  <c r="GZ41" i="88"/>
  <c r="GY41" i="88"/>
  <c r="GW41" i="88"/>
  <c r="GV41" i="88"/>
  <c r="GU41" i="88"/>
  <c r="GR41" i="88"/>
  <c r="GS41" i="88" s="1"/>
  <c r="GQ41" i="88"/>
  <c r="GO41" i="88"/>
  <c r="GN41" i="88"/>
  <c r="GM41" i="88"/>
  <c r="GK41" i="88"/>
  <c r="GJ41" i="88"/>
  <c r="GI41" i="88"/>
  <c r="GG41" i="88"/>
  <c r="GF41" i="88"/>
  <c r="GE41" i="88"/>
  <c r="GB41" i="88"/>
  <c r="GC41" i="88" s="1"/>
  <c r="GA41" i="88"/>
  <c r="FY41" i="88"/>
  <c r="FX41" i="88"/>
  <c r="FW41" i="88"/>
  <c r="FU41" i="88"/>
  <c r="FT41" i="88"/>
  <c r="FS41" i="88"/>
  <c r="FQ41" i="88"/>
  <c r="FP41" i="88"/>
  <c r="FO41" i="88"/>
  <c r="FL41" i="88"/>
  <c r="FM41" i="88" s="1"/>
  <c r="FK41" i="88"/>
  <c r="FI41" i="88"/>
  <c r="FH41" i="88"/>
  <c r="FG41" i="88"/>
  <c r="EO41" i="88" s="1"/>
  <c r="FE41" i="88"/>
  <c r="FD41" i="88"/>
  <c r="FC41" i="88"/>
  <c r="FA41" i="88"/>
  <c r="EZ41" i="88"/>
  <c r="EY41" i="88"/>
  <c r="EV41" i="88"/>
  <c r="EU41" i="88"/>
  <c r="EH41" i="88" s="1"/>
  <c r="EP41" i="88"/>
  <c r="EN41" i="88"/>
  <c r="EM41" i="88"/>
  <c r="EG41" i="88"/>
  <c r="EF41" i="88"/>
  <c r="EC41" i="88"/>
  <c r="DZ41" i="88"/>
  <c r="DU41" i="88"/>
  <c r="DS41" i="88"/>
  <c r="DR41" i="88"/>
  <c r="DP41" i="88"/>
  <c r="DM41" i="88"/>
  <c r="DJ41" i="88"/>
  <c r="DE41" i="88"/>
  <c r="DB41" i="88"/>
  <c r="CW41" i="88"/>
  <c r="CU41" i="88"/>
  <c r="CT41" i="88"/>
  <c r="CR41" i="88"/>
  <c r="CO41" i="88"/>
  <c r="CL41" i="88"/>
  <c r="CG41" i="88"/>
  <c r="CD41" i="88"/>
  <c r="BY41" i="88"/>
  <c r="BV41" i="88"/>
  <c r="BQ41" i="88"/>
  <c r="BN41" i="88"/>
  <c r="BI41" i="88"/>
  <c r="BH41" i="88"/>
  <c r="AJ41" i="88" s="1"/>
  <c r="BG41" i="88"/>
  <c r="BG133" i="88" s="1"/>
  <c r="BD41" i="88"/>
  <c r="BA41" i="88"/>
  <c r="AX41" i="88"/>
  <c r="AS41" i="88"/>
  <c r="AP41" i="88"/>
  <c r="AH41" i="88"/>
  <c r="AE41" i="88"/>
  <c r="Y41" i="88"/>
  <c r="W41" i="88" s="1"/>
  <c r="V41" i="88"/>
  <c r="U41" i="88"/>
  <c r="S41" i="88" s="1"/>
  <c r="R41" i="88"/>
  <c r="O41" i="88"/>
  <c r="KQ40" i="88"/>
  <c r="KH40" i="88"/>
  <c r="JR40" i="88"/>
  <c r="JQ40" i="88"/>
  <c r="JC40" i="88"/>
  <c r="JY40" i="88" s="1"/>
  <c r="IP40" i="88"/>
  <c r="IN40" i="88"/>
  <c r="IM40" i="88"/>
  <c r="IK40" i="88"/>
  <c r="II40" i="88"/>
  <c r="IG40" i="88"/>
  <c r="IE40" i="88"/>
  <c r="IC40" i="88"/>
  <c r="IA40" i="88"/>
  <c r="HY40" i="88"/>
  <c r="HW40" i="88"/>
  <c r="HU40" i="88"/>
  <c r="HT40" i="88"/>
  <c r="HS40" i="88"/>
  <c r="HQ40" i="88"/>
  <c r="HP40" i="88"/>
  <c r="HO40" i="88"/>
  <c r="HL40" i="88"/>
  <c r="HM40" i="88" s="1"/>
  <c r="HK40" i="88"/>
  <c r="HI40" i="88"/>
  <c r="HH40" i="88"/>
  <c r="HG40" i="88"/>
  <c r="HE40" i="88"/>
  <c r="HD40" i="88"/>
  <c r="HC40" i="88"/>
  <c r="HA40" i="88"/>
  <c r="GZ40" i="88"/>
  <c r="GY40" i="88"/>
  <c r="GV40" i="88"/>
  <c r="GW40" i="88" s="1"/>
  <c r="GU40" i="88"/>
  <c r="GS40" i="88"/>
  <c r="GR40" i="88"/>
  <c r="GQ40" i="88"/>
  <c r="GO40" i="88"/>
  <c r="GN40" i="88"/>
  <c r="GM40" i="88"/>
  <c r="GK40" i="88"/>
  <c r="GJ40" i="88"/>
  <c r="GI40" i="88"/>
  <c r="GF40" i="88"/>
  <c r="GG40" i="88" s="1"/>
  <c r="GE40" i="88"/>
  <c r="GC40" i="88"/>
  <c r="GB40" i="88"/>
  <c r="GA40" i="88"/>
  <c r="FY40" i="88"/>
  <c r="FX40" i="88"/>
  <c r="FW40" i="88"/>
  <c r="FU40" i="88"/>
  <c r="FT40" i="88"/>
  <c r="FS40" i="88"/>
  <c r="FP40" i="88"/>
  <c r="FQ40" i="88" s="1"/>
  <c r="FO40" i="88"/>
  <c r="FM40" i="88"/>
  <c r="FL40" i="88"/>
  <c r="FK40" i="88"/>
  <c r="FI40" i="88"/>
  <c r="FH40" i="88"/>
  <c r="FG40" i="88"/>
  <c r="FE40" i="88"/>
  <c r="FD40" i="88"/>
  <c r="FC40" i="88"/>
  <c r="EZ40" i="88"/>
  <c r="EY40" i="88"/>
  <c r="EW40" i="88"/>
  <c r="EV40" i="88"/>
  <c r="EU40" i="88"/>
  <c r="EO40" i="88"/>
  <c r="EN40" i="88"/>
  <c r="EM40" i="88"/>
  <c r="EI40" i="88"/>
  <c r="EG40" i="88"/>
  <c r="EF40" i="88"/>
  <c r="EC40" i="88"/>
  <c r="DZ40" i="88"/>
  <c r="DU40" i="88"/>
  <c r="DR40" i="88"/>
  <c r="DM40" i="88"/>
  <c r="DK40" i="88"/>
  <c r="DH40" i="88"/>
  <c r="DJ40" i="88" s="1"/>
  <c r="DE40" i="88"/>
  <c r="DB40" i="88"/>
  <c r="CU40" i="88"/>
  <c r="CW40" i="88" s="1"/>
  <c r="CT40" i="88"/>
  <c r="CR40" i="88"/>
  <c r="CO40" i="88"/>
  <c r="CL40" i="88"/>
  <c r="CG40" i="88"/>
  <c r="CD40" i="88"/>
  <c r="BY40" i="88"/>
  <c r="BV40" i="88"/>
  <c r="BQ40" i="88"/>
  <c r="BO40" i="88"/>
  <c r="BL40" i="88"/>
  <c r="BN40" i="88" s="1"/>
  <c r="BI40" i="88"/>
  <c r="BF40" i="88"/>
  <c r="BA40" i="88"/>
  <c r="AX40" i="88"/>
  <c r="AS40" i="88"/>
  <c r="AQ40" i="88"/>
  <c r="JT40" i="88" s="1"/>
  <c r="AN40" i="88"/>
  <c r="AJ40" i="88"/>
  <c r="AH40" i="88"/>
  <c r="AE40" i="88"/>
  <c r="Y40" i="88"/>
  <c r="W40" i="88" s="1"/>
  <c r="V40" i="88"/>
  <c r="U40" i="88"/>
  <c r="S40" i="88" s="1"/>
  <c r="R40" i="88"/>
  <c r="O40" i="88"/>
  <c r="KQ39" i="88"/>
  <c r="KI39" i="88"/>
  <c r="KH39" i="88"/>
  <c r="JR39" i="88"/>
  <c r="JQ39" i="88"/>
  <c r="JC39" i="88"/>
  <c r="JY39" i="88" s="1"/>
  <c r="IP39" i="88"/>
  <c r="IN39" i="88"/>
  <c r="IM39" i="88"/>
  <c r="IK39" i="88"/>
  <c r="II39" i="88"/>
  <c r="IG39" i="88"/>
  <c r="IE39" i="88"/>
  <c r="IC39" i="88"/>
  <c r="IA39" i="88"/>
  <c r="HY39" i="88"/>
  <c r="HW39" i="88"/>
  <c r="HU39" i="88"/>
  <c r="HT39" i="88"/>
  <c r="HS39" i="88"/>
  <c r="HQ39" i="88"/>
  <c r="HP39" i="88"/>
  <c r="HO39" i="88"/>
  <c r="HM39" i="88"/>
  <c r="HL39" i="88"/>
  <c r="HK39" i="88"/>
  <c r="HH39" i="88"/>
  <c r="HI39" i="88" s="1"/>
  <c r="HG39" i="88"/>
  <c r="HE39" i="88"/>
  <c r="HD39" i="88"/>
  <c r="HC39" i="88"/>
  <c r="HA39" i="88"/>
  <c r="GZ39" i="88"/>
  <c r="GY39" i="88"/>
  <c r="GW39" i="88"/>
  <c r="GV39" i="88"/>
  <c r="GU39" i="88"/>
  <c r="GR39" i="88"/>
  <c r="GS39" i="88" s="1"/>
  <c r="GQ39" i="88"/>
  <c r="GO39" i="88"/>
  <c r="GN39" i="88"/>
  <c r="GM39" i="88"/>
  <c r="GK39" i="88"/>
  <c r="GJ39" i="88"/>
  <c r="GI39" i="88"/>
  <c r="GG39" i="88"/>
  <c r="GF39" i="88"/>
  <c r="GE39" i="88"/>
  <c r="GB39" i="88"/>
  <c r="GC39" i="88" s="1"/>
  <c r="GA39" i="88"/>
  <c r="FY39" i="88"/>
  <c r="FX39" i="88"/>
  <c r="FW39" i="88"/>
  <c r="FU39" i="88"/>
  <c r="FT39" i="88"/>
  <c r="FS39" i="88"/>
  <c r="FQ39" i="88"/>
  <c r="FP39" i="88"/>
  <c r="FO39" i="88"/>
  <c r="FL39" i="88"/>
  <c r="FM39" i="88" s="1"/>
  <c r="FK39" i="88"/>
  <c r="FI39" i="88"/>
  <c r="FH39" i="88"/>
  <c r="FG39" i="88"/>
  <c r="FE39" i="88"/>
  <c r="FD39" i="88"/>
  <c r="FC39" i="88"/>
  <c r="FA39" i="88"/>
  <c r="EZ39" i="88"/>
  <c r="EY39" i="88"/>
  <c r="EV39" i="88"/>
  <c r="EU39" i="88"/>
  <c r="EH39" i="88" s="1"/>
  <c r="EP39" i="88"/>
  <c r="EN39" i="88"/>
  <c r="EM39" i="88"/>
  <c r="EG39" i="88"/>
  <c r="EF39" i="88"/>
  <c r="EC39" i="88"/>
  <c r="DZ39" i="88"/>
  <c r="DU39" i="88"/>
  <c r="DR39" i="88"/>
  <c r="DM39" i="88"/>
  <c r="DJ39" i="88"/>
  <c r="DE39" i="88"/>
  <c r="DB39" i="88"/>
  <c r="CW39" i="88"/>
  <c r="CT39" i="88"/>
  <c r="CO39" i="88"/>
  <c r="CL39" i="88"/>
  <c r="CG39" i="88"/>
  <c r="CD39" i="88"/>
  <c r="BY39" i="88"/>
  <c r="BV39" i="88"/>
  <c r="BQ39" i="88"/>
  <c r="BN39" i="88"/>
  <c r="BI39" i="88"/>
  <c r="BF39" i="88"/>
  <c r="BA39" i="88"/>
  <c r="AX39" i="88"/>
  <c r="AS39" i="88"/>
  <c r="AQ39" i="88"/>
  <c r="AQ133" i="88" s="1"/>
  <c r="AP39" i="88"/>
  <c r="AN39" i="88"/>
  <c r="AJ39" i="88"/>
  <c r="AE39" i="88"/>
  <c r="AD39" i="88"/>
  <c r="AC39" i="88"/>
  <c r="Y39" i="88"/>
  <c r="W39" i="88" s="1"/>
  <c r="V39" i="88"/>
  <c r="U39" i="88"/>
  <c r="S39" i="88" s="1"/>
  <c r="R39" i="88"/>
  <c r="Q39" i="88"/>
  <c r="N39" i="88"/>
  <c r="O39" i="88" s="1"/>
  <c r="KI38" i="88"/>
  <c r="KH38" i="88"/>
  <c r="KQ38" i="88" s="1"/>
  <c r="JR38" i="88"/>
  <c r="JQ38" i="88"/>
  <c r="JC38" i="88"/>
  <c r="IP38" i="88"/>
  <c r="JX38" i="88" s="1"/>
  <c r="IN38" i="88"/>
  <c r="IM38" i="88"/>
  <c r="IJ38" i="88"/>
  <c r="IK38" i="88" s="1"/>
  <c r="II38" i="88"/>
  <c r="IG38" i="88"/>
  <c r="IF38" i="88"/>
  <c r="IE38" i="88"/>
  <c r="IC38" i="88"/>
  <c r="IB38" i="88"/>
  <c r="IA38" i="88"/>
  <c r="HY38" i="88"/>
  <c r="HX38" i="88"/>
  <c r="HW38" i="88"/>
  <c r="HT38" i="88"/>
  <c r="HS38" i="88"/>
  <c r="HQ38" i="88"/>
  <c r="HP38" i="88"/>
  <c r="HO38" i="88"/>
  <c r="HM38" i="88"/>
  <c r="HL38" i="88"/>
  <c r="HK38" i="88"/>
  <c r="HI38" i="88"/>
  <c r="HH38" i="88"/>
  <c r="HG38" i="88"/>
  <c r="HD38" i="88"/>
  <c r="HE38" i="88" s="1"/>
  <c r="HC38" i="88"/>
  <c r="HA38" i="88"/>
  <c r="GZ38" i="88"/>
  <c r="GY38" i="88"/>
  <c r="GW38" i="88"/>
  <c r="GV38" i="88"/>
  <c r="GU38" i="88"/>
  <c r="GS38" i="88"/>
  <c r="GR38" i="88"/>
  <c r="GQ38" i="88"/>
  <c r="GN38" i="88"/>
  <c r="GO38" i="88" s="1"/>
  <c r="GM38" i="88"/>
  <c r="GK38" i="88"/>
  <c r="GJ38" i="88"/>
  <c r="GI38" i="88"/>
  <c r="GG38" i="88"/>
  <c r="GF38" i="88"/>
  <c r="GE38" i="88"/>
  <c r="GC38" i="88"/>
  <c r="GB38" i="88"/>
  <c r="GA38" i="88"/>
  <c r="FX38" i="88"/>
  <c r="FY38" i="88" s="1"/>
  <c r="FW38" i="88"/>
  <c r="FU38" i="88"/>
  <c r="FT38" i="88"/>
  <c r="FS38" i="88"/>
  <c r="FQ38" i="88"/>
  <c r="FP38" i="88"/>
  <c r="FO38" i="88"/>
  <c r="FM38" i="88"/>
  <c r="FL38" i="88"/>
  <c r="FK38" i="88"/>
  <c r="FH38" i="88"/>
  <c r="FI38" i="88" s="1"/>
  <c r="FG38" i="88"/>
  <c r="EO38" i="88" s="1"/>
  <c r="FE38" i="88"/>
  <c r="FD38" i="88"/>
  <c r="FC38" i="88"/>
  <c r="JS38" i="88" s="1"/>
  <c r="FA38" i="88"/>
  <c r="EZ38" i="88"/>
  <c r="EY38" i="88"/>
  <c r="EW38" i="88"/>
  <c r="EV38" i="88"/>
  <c r="EI38" i="88" s="1"/>
  <c r="EU38" i="88"/>
  <c r="EP38" i="88"/>
  <c r="EN38" i="88"/>
  <c r="EM38" i="88"/>
  <c r="EH38" i="88"/>
  <c r="EG38" i="88"/>
  <c r="EF38" i="88"/>
  <c r="EC38" i="88"/>
  <c r="DZ38" i="88"/>
  <c r="DU38" i="88"/>
  <c r="DR38" i="88"/>
  <c r="DM38" i="88"/>
  <c r="DJ38" i="88"/>
  <c r="DE38" i="88"/>
  <c r="DB38" i="88"/>
  <c r="CW38" i="88"/>
  <c r="CT38" i="88"/>
  <c r="CO38" i="88"/>
  <c r="CL38" i="88"/>
  <c r="CG38" i="88"/>
  <c r="CD38" i="88"/>
  <c r="BY38" i="88"/>
  <c r="BV38" i="88"/>
  <c r="BQ38" i="88"/>
  <c r="BN38" i="88"/>
  <c r="BM38" i="88"/>
  <c r="BM133" i="88" s="1"/>
  <c r="BI38" i="88"/>
  <c r="BF38" i="88"/>
  <c r="BA38" i="88"/>
  <c r="AX38" i="88"/>
  <c r="AS38" i="88"/>
  <c r="AP38" i="88"/>
  <c r="AJ38" i="88"/>
  <c r="AI38" i="88"/>
  <c r="AH38" i="88"/>
  <c r="AE38" i="88"/>
  <c r="AD38" i="88"/>
  <c r="AC38" i="88"/>
  <c r="Y38" i="88"/>
  <c r="W38" i="88" s="1"/>
  <c r="U38" i="88"/>
  <c r="S38" i="88" s="1"/>
  <c r="R38" i="88"/>
  <c r="O38" i="88"/>
  <c r="KQ37" i="88"/>
  <c r="JT37" i="88"/>
  <c r="JS37" i="88"/>
  <c r="JC37" i="88"/>
  <c r="JY37" i="88" s="1"/>
  <c r="IP37" i="88"/>
  <c r="JX37" i="88" s="1"/>
  <c r="IK37" i="88"/>
  <c r="IG37" i="88"/>
  <c r="IC37" i="88"/>
  <c r="HY37" i="88"/>
  <c r="HU37" i="88"/>
  <c r="HQ37" i="88"/>
  <c r="HM37" i="88"/>
  <c r="HI37" i="88"/>
  <c r="KA37" i="88" s="1"/>
  <c r="KD37" i="88" s="1"/>
  <c r="HE37" i="88"/>
  <c r="HA37" i="88"/>
  <c r="GW37" i="88"/>
  <c r="GS37" i="88"/>
  <c r="GO37" i="88"/>
  <c r="GK37" i="88"/>
  <c r="GG37" i="88"/>
  <c r="GC37" i="88"/>
  <c r="FY37" i="88"/>
  <c r="FU37" i="88"/>
  <c r="FQ37" i="88"/>
  <c r="FM37" i="88"/>
  <c r="FI37" i="88"/>
  <c r="FE37" i="88"/>
  <c r="FA37" i="88"/>
  <c r="EW37" i="88"/>
  <c r="EP37" i="88"/>
  <c r="EQ37" i="88" s="1"/>
  <c r="EO37" i="88"/>
  <c r="EN37" i="88"/>
  <c r="EM37" i="88"/>
  <c r="EI37" i="88"/>
  <c r="EH37" i="88"/>
  <c r="EG37" i="88"/>
  <c r="EF37" i="88"/>
  <c r="EC37" i="88"/>
  <c r="DZ37" i="88"/>
  <c r="DU37" i="88"/>
  <c r="DR37" i="88"/>
  <c r="DM37" i="88"/>
  <c r="DJ37" i="88"/>
  <c r="DE37" i="88"/>
  <c r="DB37" i="88"/>
  <c r="CW37" i="88"/>
  <c r="CT37" i="88"/>
  <c r="CO37" i="88"/>
  <c r="CL37" i="88"/>
  <c r="CG37" i="88"/>
  <c r="CD37" i="88"/>
  <c r="BY37" i="88"/>
  <c r="BV37" i="88"/>
  <c r="BQ37" i="88"/>
  <c r="BN37" i="88"/>
  <c r="BI37" i="88"/>
  <c r="BF37" i="88"/>
  <c r="BA37" i="88"/>
  <c r="AX37" i="88"/>
  <c r="AS37" i="88"/>
  <c r="AP37" i="88"/>
  <c r="AJ37" i="88"/>
  <c r="AI37" i="88"/>
  <c r="AH37" i="88"/>
  <c r="AE37" i="88"/>
  <c r="AD37" i="88"/>
  <c r="AC37" i="88"/>
  <c r="Y37" i="88"/>
  <c r="W37" i="88"/>
  <c r="U37" i="88"/>
  <c r="S37" i="88" s="1"/>
  <c r="R37" i="88"/>
  <c r="O37" i="88"/>
  <c r="KN36" i="88"/>
  <c r="KM36" i="88"/>
  <c r="KQ36" i="88" s="1"/>
  <c r="KL36" i="88"/>
  <c r="JC36" i="88"/>
  <c r="JY36" i="88" s="1"/>
  <c r="IP36" i="88"/>
  <c r="IN36" i="88"/>
  <c r="IM36" i="88"/>
  <c r="IK36" i="88"/>
  <c r="II36" i="88"/>
  <c r="IG36" i="88"/>
  <c r="IE36" i="88"/>
  <c r="IB36" i="88"/>
  <c r="IC36" i="88" s="1"/>
  <c r="IA36" i="88"/>
  <c r="HX36" i="88"/>
  <c r="HY36" i="88" s="1"/>
  <c r="HW36" i="88"/>
  <c r="HU36" i="88"/>
  <c r="HT36" i="88"/>
  <c r="HS36" i="88"/>
  <c r="HP36" i="88"/>
  <c r="HQ36" i="88" s="1"/>
  <c r="HO36" i="88"/>
  <c r="HL36" i="88"/>
  <c r="HM36" i="88" s="1"/>
  <c r="HK36" i="88"/>
  <c r="HH36" i="88"/>
  <c r="HI36" i="88" s="1"/>
  <c r="HG36" i="88"/>
  <c r="HE36" i="88"/>
  <c r="HD36" i="88"/>
  <c r="HC36" i="88"/>
  <c r="GZ36" i="88"/>
  <c r="EI36" i="88" s="1"/>
  <c r="GY36" i="88"/>
  <c r="GV36" i="88"/>
  <c r="GW36" i="88" s="1"/>
  <c r="GU36" i="88"/>
  <c r="GR36" i="88"/>
  <c r="GS36" i="88" s="1"/>
  <c r="GQ36" i="88"/>
  <c r="GO36" i="88"/>
  <c r="GN36" i="88"/>
  <c r="GM36" i="88"/>
  <c r="EO36" i="88" s="1"/>
  <c r="GK36" i="88"/>
  <c r="GG36" i="88"/>
  <c r="GC36" i="88"/>
  <c r="FY36" i="88"/>
  <c r="FU36" i="88"/>
  <c r="FQ36" i="88"/>
  <c r="FM36" i="88"/>
  <c r="FI36" i="88"/>
  <c r="FE36" i="88"/>
  <c r="FA36" i="88"/>
  <c r="EW36" i="88"/>
  <c r="EP36" i="88"/>
  <c r="ER36" i="88" s="1"/>
  <c r="EN36" i="88"/>
  <c r="EM36" i="88"/>
  <c r="EH36" i="88"/>
  <c r="EG36" i="88"/>
  <c r="EF36" i="88"/>
  <c r="EC36" i="88"/>
  <c r="DZ36" i="88"/>
  <c r="DU36" i="88"/>
  <c r="DS36" i="88"/>
  <c r="DP36" i="88"/>
  <c r="DR36" i="88" s="1"/>
  <c r="DM36" i="88"/>
  <c r="DJ36" i="88"/>
  <c r="DC36" i="88"/>
  <c r="DE36" i="88" s="1"/>
  <c r="DB36" i="88"/>
  <c r="DA36" i="88"/>
  <c r="DA133" i="88" s="1"/>
  <c r="CZ36" i="88"/>
  <c r="CW36" i="88"/>
  <c r="CT36" i="88"/>
  <c r="CM36" i="88"/>
  <c r="CO36" i="88" s="1"/>
  <c r="CJ36" i="88"/>
  <c r="CL36" i="88" s="1"/>
  <c r="CE36" i="88"/>
  <c r="CG36" i="88" s="1"/>
  <c r="CB36" i="88"/>
  <c r="AC36" i="88" s="1"/>
  <c r="BY36" i="88"/>
  <c r="BV36" i="88"/>
  <c r="BQ36" i="88"/>
  <c r="BN36" i="88"/>
  <c r="BI36" i="88"/>
  <c r="BF36" i="88"/>
  <c r="BA36" i="88"/>
  <c r="AX36" i="88"/>
  <c r="AS36" i="88"/>
  <c r="AP36" i="88"/>
  <c r="AJ36" i="88"/>
  <c r="AE36" i="88"/>
  <c r="Y36" i="88"/>
  <c r="W36" i="88" s="1"/>
  <c r="V36" i="88"/>
  <c r="U36" i="88"/>
  <c r="S36" i="88" s="1"/>
  <c r="R36" i="88"/>
  <c r="O36" i="88"/>
  <c r="KI35" i="88"/>
  <c r="KI133" i="88" s="1"/>
  <c r="KF35" i="88"/>
  <c r="JC35" i="88"/>
  <c r="JY35" i="88" s="1"/>
  <c r="IP35" i="88"/>
  <c r="IN35" i="88"/>
  <c r="IM35" i="88"/>
  <c r="IJ35" i="88"/>
  <c r="IK35" i="88" s="1"/>
  <c r="II35" i="88"/>
  <c r="IH35" i="88"/>
  <c r="IF35" i="88"/>
  <c r="IG35" i="88" s="1"/>
  <c r="IE35" i="88"/>
  <c r="ID35" i="88"/>
  <c r="IB35" i="88"/>
  <c r="IC35" i="88" s="1"/>
  <c r="IA35" i="88"/>
  <c r="HZ35" i="88"/>
  <c r="HX35" i="88"/>
  <c r="HY35" i="88" s="1"/>
  <c r="HW35" i="88"/>
  <c r="HV35" i="88"/>
  <c r="HT35" i="88"/>
  <c r="HU35" i="88" s="1"/>
  <c r="HS35" i="88"/>
  <c r="HR35" i="88"/>
  <c r="HP35" i="88"/>
  <c r="HQ35" i="88" s="1"/>
  <c r="HO35" i="88"/>
  <c r="HN35" i="88"/>
  <c r="HL35" i="88"/>
  <c r="HM35" i="88" s="1"/>
  <c r="HK35" i="88"/>
  <c r="HJ35" i="88"/>
  <c r="HH35" i="88"/>
  <c r="HI35" i="88" s="1"/>
  <c r="HG35" i="88"/>
  <c r="HF35" i="88"/>
  <c r="HD35" i="88"/>
  <c r="HE35" i="88" s="1"/>
  <c r="HC35" i="88"/>
  <c r="HB35" i="88"/>
  <c r="GZ35" i="88"/>
  <c r="HA35" i="88" s="1"/>
  <c r="GY35" i="88"/>
  <c r="GV35" i="88"/>
  <c r="GW35" i="88" s="1"/>
  <c r="GU35" i="88"/>
  <c r="GT35" i="88"/>
  <c r="GR35" i="88"/>
  <c r="GS35" i="88" s="1"/>
  <c r="GQ35" i="88"/>
  <c r="GO35" i="88"/>
  <c r="GN35" i="88"/>
  <c r="GM35" i="88"/>
  <c r="GL35" i="88"/>
  <c r="EM35" i="88" s="1"/>
  <c r="GK35" i="88"/>
  <c r="GJ35" i="88"/>
  <c r="GI35" i="88"/>
  <c r="GF35" i="88"/>
  <c r="GG35" i="88" s="1"/>
  <c r="GE35" i="88"/>
  <c r="GB35" i="88"/>
  <c r="GC35" i="88" s="1"/>
  <c r="GA35" i="88"/>
  <c r="EH35" i="88" s="1"/>
  <c r="FX35" i="88"/>
  <c r="FY35" i="88" s="1"/>
  <c r="FW35" i="88"/>
  <c r="FU35" i="88"/>
  <c r="EO35" i="88"/>
  <c r="EG35" i="88"/>
  <c r="EF35" i="88"/>
  <c r="EC35" i="88"/>
  <c r="DZ35" i="88"/>
  <c r="DS35" i="88"/>
  <c r="DU35" i="88" s="1"/>
  <c r="DP35" i="88"/>
  <c r="DR35" i="88" s="1"/>
  <c r="DM35" i="88"/>
  <c r="DJ35" i="88"/>
  <c r="DC35" i="88"/>
  <c r="DE35" i="88" s="1"/>
  <c r="CZ35" i="88"/>
  <c r="DB35" i="88" s="1"/>
  <c r="CW35" i="88"/>
  <c r="CT35" i="88"/>
  <c r="CM35" i="88"/>
  <c r="AH35" i="88" s="1"/>
  <c r="CJ35" i="88"/>
  <c r="CL35" i="88" s="1"/>
  <c r="CG35" i="88"/>
  <c r="CD35" i="88"/>
  <c r="BW35" i="88"/>
  <c r="BY35" i="88" s="1"/>
  <c r="BT35" i="88"/>
  <c r="AC35" i="88" s="1"/>
  <c r="BQ35" i="88"/>
  <c r="BN35" i="88"/>
  <c r="AJ35" i="88"/>
  <c r="AE35" i="88"/>
  <c r="Y35" i="88"/>
  <c r="V35" i="88"/>
  <c r="U35" i="88"/>
  <c r="O35" i="88"/>
  <c r="KQ34" i="88"/>
  <c r="KL34" i="88"/>
  <c r="JT34" i="88"/>
  <c r="JS34" i="88"/>
  <c r="JC34" i="88"/>
  <c r="JY34" i="88" s="1"/>
  <c r="IP34" i="88"/>
  <c r="JX34" i="88" s="1"/>
  <c r="IK34" i="88"/>
  <c r="IH34" i="88"/>
  <c r="IH133" i="88" s="1"/>
  <c r="ID34" i="88"/>
  <c r="ID133" i="88" s="1"/>
  <c r="IC34" i="88"/>
  <c r="HZ34" i="88"/>
  <c r="HZ133" i="88" s="1"/>
  <c r="HV34" i="88"/>
  <c r="HV133" i="88" s="1"/>
  <c r="HU34" i="88"/>
  <c r="HR34" i="88"/>
  <c r="HR133" i="88" s="1"/>
  <c r="HN34" i="88"/>
  <c r="HN133" i="88" s="1"/>
  <c r="HM34" i="88"/>
  <c r="HJ34" i="88"/>
  <c r="HJ133" i="88" s="1"/>
  <c r="HF34" i="88"/>
  <c r="HF133" i="88" s="1"/>
  <c r="HE34" i="88"/>
  <c r="HB34" i="88"/>
  <c r="HB133" i="88" s="1"/>
  <c r="HA34" i="88"/>
  <c r="GW34" i="88"/>
  <c r="GT34" i="88"/>
  <c r="GT133" i="88" s="1"/>
  <c r="GS34" i="88"/>
  <c r="GL34" i="88"/>
  <c r="GL133" i="88" s="1"/>
  <c r="GK34" i="88"/>
  <c r="GG34" i="88"/>
  <c r="GC34" i="88"/>
  <c r="FY34" i="88"/>
  <c r="FU34" i="88"/>
  <c r="FQ34" i="88"/>
  <c r="FM34" i="88"/>
  <c r="FI34" i="88"/>
  <c r="FE34" i="88"/>
  <c r="FA34" i="88"/>
  <c r="EW34" i="88"/>
  <c r="EP34" i="88"/>
  <c r="EO34" i="88"/>
  <c r="ER34" i="88" s="1"/>
  <c r="EN34" i="88"/>
  <c r="EQ34" i="88" s="1"/>
  <c r="EM34" i="88"/>
  <c r="EI34" i="88"/>
  <c r="EH34" i="88"/>
  <c r="EC34" i="88"/>
  <c r="DZ34" i="88"/>
  <c r="DU34" i="88"/>
  <c r="DR34" i="88"/>
  <c r="DM34" i="88"/>
  <c r="DJ34" i="88"/>
  <c r="DE34" i="88"/>
  <c r="DB34" i="88"/>
  <c r="CW34" i="88"/>
  <c r="CT34" i="88"/>
  <c r="CO34" i="88"/>
  <c r="CL34" i="88"/>
  <c r="CG34" i="88"/>
  <c r="CD34" i="88"/>
  <c r="BY34" i="88"/>
  <c r="BV34" i="88"/>
  <c r="BQ34" i="88"/>
  <c r="BN34" i="88"/>
  <c r="BI34" i="88"/>
  <c r="BF34" i="88"/>
  <c r="BA34" i="88"/>
  <c r="AX34" i="88"/>
  <c r="AS34" i="88"/>
  <c r="AP34" i="88"/>
  <c r="AJ34" i="88"/>
  <c r="AI34" i="88"/>
  <c r="AH34" i="88"/>
  <c r="AE34" i="88"/>
  <c r="JU34" i="88" s="1"/>
  <c r="AD34" i="88"/>
  <c r="AC34" i="88"/>
  <c r="Y34" i="88"/>
  <c r="W34" i="88" s="1"/>
  <c r="U34" i="88"/>
  <c r="S34" i="88" s="1"/>
  <c r="R34" i="88"/>
  <c r="O34" i="88"/>
  <c r="D34" i="88"/>
  <c r="KQ33" i="88"/>
  <c r="KL33" i="88"/>
  <c r="JT33" i="88"/>
  <c r="JS33" i="88"/>
  <c r="JC33" i="88"/>
  <c r="JY33" i="88" s="1"/>
  <c r="IP33" i="88"/>
  <c r="JX33" i="88" s="1"/>
  <c r="IK33" i="88"/>
  <c r="IG33" i="88"/>
  <c r="IC33" i="88"/>
  <c r="HY33" i="88"/>
  <c r="HU33" i="88"/>
  <c r="HQ33" i="88"/>
  <c r="HM33" i="88"/>
  <c r="HI33" i="88"/>
  <c r="HE33" i="88"/>
  <c r="HA33" i="88"/>
  <c r="GW33" i="88"/>
  <c r="GS33" i="88"/>
  <c r="GO33" i="88"/>
  <c r="GK33" i="88"/>
  <c r="GG33" i="88"/>
  <c r="GC33" i="88"/>
  <c r="FY33" i="88"/>
  <c r="FU33" i="88"/>
  <c r="FQ33" i="88"/>
  <c r="FM33" i="88"/>
  <c r="FI33" i="88"/>
  <c r="FE33" i="88"/>
  <c r="FA33" i="88"/>
  <c r="EW33" i="88"/>
  <c r="EP33" i="88"/>
  <c r="EO33" i="88"/>
  <c r="ER33" i="88" s="1"/>
  <c r="EN33" i="88"/>
  <c r="EM33" i="88"/>
  <c r="EI33" i="88"/>
  <c r="EH33" i="88"/>
  <c r="EG33" i="88"/>
  <c r="EF33" i="88"/>
  <c r="EC33" i="88"/>
  <c r="DZ33" i="88"/>
  <c r="DU33" i="88"/>
  <c r="DR33" i="88"/>
  <c r="DM33" i="88"/>
  <c r="DJ33" i="88"/>
  <c r="DE33" i="88"/>
  <c r="DB33" i="88"/>
  <c r="CW33" i="88"/>
  <c r="CT33" i="88"/>
  <c r="CO33" i="88"/>
  <c r="CL33" i="88"/>
  <c r="CG33" i="88"/>
  <c r="CD33" i="88"/>
  <c r="BY33" i="88"/>
  <c r="BV33" i="88"/>
  <c r="BQ33" i="88"/>
  <c r="BN33" i="88"/>
  <c r="BI33" i="88"/>
  <c r="BF33" i="88"/>
  <c r="BA33" i="88"/>
  <c r="AX33" i="88"/>
  <c r="AS33" i="88"/>
  <c r="AP33" i="88"/>
  <c r="AJ33" i="88"/>
  <c r="AI33" i="88"/>
  <c r="AH33" i="88"/>
  <c r="AE33" i="88"/>
  <c r="AD33" i="88"/>
  <c r="AC33" i="88"/>
  <c r="Y33" i="88"/>
  <c r="W33" i="88" s="1"/>
  <c r="U33" i="88"/>
  <c r="S33" i="88" s="1"/>
  <c r="R33" i="88"/>
  <c r="O33" i="88"/>
  <c r="D33" i="88"/>
  <c r="KM32" i="88"/>
  <c r="KQ32" i="88" s="1"/>
  <c r="JR32" i="88"/>
  <c r="JQ32" i="88"/>
  <c r="JC32" i="88"/>
  <c r="IP32" i="88"/>
  <c r="IN32" i="88"/>
  <c r="IM32" i="88"/>
  <c r="IK32" i="88"/>
  <c r="II32" i="88"/>
  <c r="IG32" i="88"/>
  <c r="IE32" i="88"/>
  <c r="IC32" i="88"/>
  <c r="IA32" i="88"/>
  <c r="HY32" i="88"/>
  <c r="HW32" i="88"/>
  <c r="HT32" i="88"/>
  <c r="JY32" i="88" s="1"/>
  <c r="HS32" i="88"/>
  <c r="HP32" i="88"/>
  <c r="HQ32" i="88" s="1"/>
  <c r="HO32" i="88"/>
  <c r="HM32" i="88"/>
  <c r="HL32" i="88"/>
  <c r="HK32" i="88"/>
  <c r="HI32" i="88"/>
  <c r="HH32" i="88"/>
  <c r="HG32" i="88"/>
  <c r="HD32" i="88"/>
  <c r="HE32" i="88" s="1"/>
  <c r="HC32" i="88"/>
  <c r="GZ32" i="88"/>
  <c r="HA32" i="88" s="1"/>
  <c r="GY32" i="88"/>
  <c r="GW32" i="88"/>
  <c r="GV32" i="88"/>
  <c r="GU32" i="88"/>
  <c r="GS32" i="88"/>
  <c r="GR32" i="88"/>
  <c r="GQ32" i="88"/>
  <c r="GN32" i="88"/>
  <c r="GO32" i="88" s="1"/>
  <c r="GM32" i="88"/>
  <c r="GJ32" i="88"/>
  <c r="GK32" i="88" s="1"/>
  <c r="GI32" i="88"/>
  <c r="GG32" i="88"/>
  <c r="GF32" i="88"/>
  <c r="GE32" i="88"/>
  <c r="GC32" i="88"/>
  <c r="FY32" i="88"/>
  <c r="FX32" i="88"/>
  <c r="FW32" i="88"/>
  <c r="FU32" i="88"/>
  <c r="FQ32" i="88"/>
  <c r="FP32" i="88"/>
  <c r="FO32" i="88"/>
  <c r="FM32" i="88"/>
  <c r="FL32" i="88"/>
  <c r="FK32" i="88"/>
  <c r="FH32" i="88"/>
  <c r="FI32" i="88" s="1"/>
  <c r="FG32" i="88"/>
  <c r="FD32" i="88"/>
  <c r="FE32" i="88" s="1"/>
  <c r="FC32" i="88"/>
  <c r="JS32" i="88" s="1"/>
  <c r="FA32" i="88"/>
  <c r="EZ32" i="88"/>
  <c r="EY32" i="88"/>
  <c r="EO32" i="88" s="1"/>
  <c r="EW32" i="88"/>
  <c r="EV32" i="88"/>
  <c r="EU32" i="88"/>
  <c r="EN32" i="88"/>
  <c r="EM32" i="88"/>
  <c r="EI32" i="88"/>
  <c r="EH32" i="88"/>
  <c r="EG32" i="88"/>
  <c r="EF32" i="88"/>
  <c r="EC32" i="88"/>
  <c r="DZ32" i="88"/>
  <c r="DU32" i="88"/>
  <c r="DR32" i="88"/>
  <c r="DM32" i="88"/>
  <c r="DJ32" i="88"/>
  <c r="DE32" i="88"/>
  <c r="DB32" i="88"/>
  <c r="CW32" i="88"/>
  <c r="CT32" i="88"/>
  <c r="CO32" i="88"/>
  <c r="CL32" i="88"/>
  <c r="CG32" i="88"/>
  <c r="CD32" i="88"/>
  <c r="BY32" i="88"/>
  <c r="BV32" i="88"/>
  <c r="BQ32" i="88"/>
  <c r="BN32" i="88"/>
  <c r="BI32" i="88"/>
  <c r="BF32" i="88"/>
  <c r="BA32" i="88"/>
  <c r="AX32" i="88"/>
  <c r="AW32" i="88"/>
  <c r="AS32" i="88"/>
  <c r="AP32" i="88"/>
  <c r="AJ32" i="88"/>
  <c r="AI32" i="88"/>
  <c r="AH32" i="88"/>
  <c r="AE32" i="88"/>
  <c r="AD32" i="88"/>
  <c r="AC32" i="88"/>
  <c r="Y32" i="88"/>
  <c r="W32" i="88" s="1"/>
  <c r="V32" i="88"/>
  <c r="U32" i="88"/>
  <c r="S32" i="88" s="1"/>
  <c r="R32" i="88"/>
  <c r="O32" i="88"/>
  <c r="KQ31" i="88"/>
  <c r="JR31" i="88"/>
  <c r="JQ31" i="88"/>
  <c r="JC31" i="88"/>
  <c r="IP31" i="88"/>
  <c r="IN31" i="88"/>
  <c r="IM31" i="88"/>
  <c r="IK31" i="88"/>
  <c r="II31" i="88"/>
  <c r="IG31" i="88"/>
  <c r="IE31" i="88"/>
  <c r="IC31" i="88"/>
  <c r="IA31" i="88"/>
  <c r="HY31" i="88"/>
  <c r="HW31" i="88"/>
  <c r="HU31" i="88"/>
  <c r="HT31" i="88"/>
  <c r="HS31" i="88"/>
  <c r="HP31" i="88"/>
  <c r="HQ31" i="88" s="1"/>
  <c r="HO31" i="88"/>
  <c r="HM31" i="88"/>
  <c r="HL31" i="88"/>
  <c r="HK31" i="88"/>
  <c r="HI31" i="88"/>
  <c r="HH31" i="88"/>
  <c r="HG31" i="88"/>
  <c r="HE31" i="88"/>
  <c r="HD31" i="88"/>
  <c r="HC31" i="88"/>
  <c r="GZ31" i="88"/>
  <c r="HA31" i="88" s="1"/>
  <c r="GY31" i="88"/>
  <c r="GW31" i="88"/>
  <c r="GV31" i="88"/>
  <c r="GU31" i="88"/>
  <c r="GS31" i="88"/>
  <c r="GR31" i="88"/>
  <c r="GQ31" i="88"/>
  <c r="GO31" i="88"/>
  <c r="GN31" i="88"/>
  <c r="GM31" i="88"/>
  <c r="GJ31" i="88"/>
  <c r="GK31" i="88" s="1"/>
  <c r="GI31" i="88"/>
  <c r="GG31" i="88"/>
  <c r="GF31" i="88"/>
  <c r="GE31" i="88"/>
  <c r="GC31" i="88"/>
  <c r="GB31" i="88"/>
  <c r="GA31" i="88"/>
  <c r="FY31" i="88"/>
  <c r="FX31" i="88"/>
  <c r="FW31" i="88"/>
  <c r="FT31" i="88"/>
  <c r="FU31" i="88" s="1"/>
  <c r="FS31" i="88"/>
  <c r="FQ31" i="88"/>
  <c r="FP31" i="88"/>
  <c r="FO31" i="88"/>
  <c r="FM31" i="88"/>
  <c r="FL31" i="88"/>
  <c r="FK31" i="88"/>
  <c r="FI31" i="88"/>
  <c r="FH31" i="88"/>
  <c r="EP31" i="88" s="1"/>
  <c r="FG31" i="88"/>
  <c r="FD31" i="88"/>
  <c r="FE31" i="88" s="1"/>
  <c r="FC31" i="88"/>
  <c r="JS31" i="88" s="1"/>
  <c r="FA31" i="88"/>
  <c r="EZ31" i="88"/>
  <c r="EY31" i="88"/>
  <c r="EO31" i="88" s="1"/>
  <c r="EW31" i="88"/>
  <c r="EV31" i="88"/>
  <c r="EU31" i="88"/>
  <c r="EN31" i="88"/>
  <c r="EM31" i="88"/>
  <c r="EI31" i="88"/>
  <c r="EH31" i="88"/>
  <c r="EG31" i="88"/>
  <c r="EF31" i="88"/>
  <c r="EC31" i="88"/>
  <c r="DZ31" i="88"/>
  <c r="DU31" i="88"/>
  <c r="DR31" i="88"/>
  <c r="DM31" i="88"/>
  <c r="DJ31" i="88"/>
  <c r="DE31" i="88"/>
  <c r="DB31" i="88"/>
  <c r="CW31" i="88"/>
  <c r="CV31" i="88"/>
  <c r="CV133" i="88" s="1"/>
  <c r="CT31" i="88"/>
  <c r="CO31" i="88"/>
  <c r="CL31" i="88"/>
  <c r="CG31" i="88"/>
  <c r="CD31" i="88"/>
  <c r="CB31" i="88"/>
  <c r="BY31" i="88"/>
  <c r="BV31" i="88"/>
  <c r="BQ31" i="88"/>
  <c r="BN31" i="88"/>
  <c r="BI31" i="88"/>
  <c r="BF31" i="88"/>
  <c r="BA31" i="88"/>
  <c r="AX31" i="88"/>
  <c r="AS31" i="88"/>
  <c r="AP31" i="88"/>
  <c r="AI31" i="88"/>
  <c r="AH31" i="88"/>
  <c r="AE31" i="88"/>
  <c r="AD31" i="88"/>
  <c r="AC31" i="88"/>
  <c r="Y31" i="88"/>
  <c r="W31" i="88" s="1"/>
  <c r="V31" i="88"/>
  <c r="U31" i="88"/>
  <c r="S31" i="88" s="1"/>
  <c r="R31" i="88"/>
  <c r="O31" i="88"/>
  <c r="KQ30" i="88"/>
  <c r="KH30" i="88"/>
  <c r="KH133" i="88" s="1"/>
  <c r="JR30" i="88"/>
  <c r="JQ30" i="88"/>
  <c r="JS30" i="88" s="1"/>
  <c r="JC30" i="88"/>
  <c r="IP30" i="88"/>
  <c r="IN30" i="88"/>
  <c r="IM30" i="88"/>
  <c r="IK30" i="88"/>
  <c r="II30" i="88"/>
  <c r="IG30" i="88"/>
  <c r="IE30" i="88"/>
  <c r="IB30" i="88"/>
  <c r="IC30" i="88" s="1"/>
  <c r="IA30" i="88"/>
  <c r="HY30" i="88"/>
  <c r="HX30" i="88"/>
  <c r="HW30" i="88"/>
  <c r="HT30" i="88"/>
  <c r="HU30" i="88" s="1"/>
  <c r="HS30" i="88"/>
  <c r="HP30" i="88"/>
  <c r="HO30" i="88"/>
  <c r="HL30" i="88"/>
  <c r="HM30" i="88" s="1"/>
  <c r="HK30" i="88"/>
  <c r="HI30" i="88"/>
  <c r="HH30" i="88"/>
  <c r="HG30" i="88"/>
  <c r="HD30" i="88"/>
  <c r="HE30" i="88" s="1"/>
  <c r="HC30" i="88"/>
  <c r="GZ30" i="88"/>
  <c r="HA30" i="88" s="1"/>
  <c r="GY30" i="88"/>
  <c r="GV30" i="88"/>
  <c r="GW30" i="88" s="1"/>
  <c r="GU30" i="88"/>
  <c r="GS30" i="88"/>
  <c r="GR30" i="88"/>
  <c r="GQ30" i="88"/>
  <c r="GN30" i="88"/>
  <c r="GO30" i="88" s="1"/>
  <c r="GM30" i="88"/>
  <c r="GJ30" i="88"/>
  <c r="GK30" i="88" s="1"/>
  <c r="GI30" i="88"/>
  <c r="GF30" i="88"/>
  <c r="GG30" i="88" s="1"/>
  <c r="GE30" i="88"/>
  <c r="GC30" i="88"/>
  <c r="GB30" i="88"/>
  <c r="GA30" i="88"/>
  <c r="FX30" i="88"/>
  <c r="FY30" i="88" s="1"/>
  <c r="FW30" i="88"/>
  <c r="FT30" i="88"/>
  <c r="FU30" i="88" s="1"/>
  <c r="FS30" i="88"/>
  <c r="FP30" i="88"/>
  <c r="FQ30" i="88" s="1"/>
  <c r="FO30" i="88"/>
  <c r="FM30" i="88"/>
  <c r="FL30" i="88"/>
  <c r="FK30" i="88"/>
  <c r="FH30" i="88"/>
  <c r="FI30" i="88" s="1"/>
  <c r="FG30" i="88"/>
  <c r="FD30" i="88"/>
  <c r="FE30" i="88" s="1"/>
  <c r="FC30" i="88"/>
  <c r="EZ30" i="88"/>
  <c r="FA30" i="88" s="1"/>
  <c r="EY30" i="88"/>
  <c r="EO30" i="88" s="1"/>
  <c r="EW30" i="88"/>
  <c r="EV30" i="88"/>
  <c r="EU30" i="88"/>
  <c r="EN30" i="88"/>
  <c r="EM30" i="88"/>
  <c r="EI30" i="88"/>
  <c r="EH30" i="88"/>
  <c r="EG30" i="88"/>
  <c r="EF30" i="88"/>
  <c r="EC30" i="88"/>
  <c r="DZ30" i="88"/>
  <c r="DS30" i="88"/>
  <c r="DU30" i="88" s="1"/>
  <c r="DP30" i="88"/>
  <c r="DR30" i="88" s="1"/>
  <c r="DM30" i="88"/>
  <c r="DJ30" i="88"/>
  <c r="DC30" i="88"/>
  <c r="DE30" i="88" s="1"/>
  <c r="CZ30" i="88"/>
  <c r="DB30" i="88" s="1"/>
  <c r="CU30" i="88"/>
  <c r="CW30" i="88" s="1"/>
  <c r="CR30" i="88"/>
  <c r="CT30" i="88" s="1"/>
  <c r="CO30" i="88"/>
  <c r="CL30" i="88"/>
  <c r="CG30" i="88"/>
  <c r="CD30" i="88"/>
  <c r="BY30" i="88"/>
  <c r="BV30" i="88"/>
  <c r="BQ30" i="88"/>
  <c r="BN30" i="88"/>
  <c r="BI30" i="88"/>
  <c r="BF30" i="88"/>
  <c r="BA30" i="88"/>
  <c r="AX30" i="88"/>
  <c r="AS30" i="88"/>
  <c r="AP30" i="88"/>
  <c r="AO30" i="88"/>
  <c r="AJ30" i="88"/>
  <c r="AI30" i="88"/>
  <c r="AE30" i="88"/>
  <c r="AD30" i="88"/>
  <c r="Y30" i="88"/>
  <c r="W30" i="88" s="1"/>
  <c r="V30" i="88"/>
  <c r="U30" i="88"/>
  <c r="S30" i="88" s="1"/>
  <c r="R30" i="88"/>
  <c r="O30" i="88"/>
  <c r="D30" i="88"/>
  <c r="KQ29" i="88"/>
  <c r="JR29" i="88"/>
  <c r="JT29" i="88" s="1"/>
  <c r="JQ29" i="88"/>
  <c r="JC29" i="88"/>
  <c r="IP29" i="88"/>
  <c r="JX29" i="88" s="1"/>
  <c r="IN29" i="88"/>
  <c r="IM29" i="88"/>
  <c r="IK29" i="88"/>
  <c r="II29" i="88"/>
  <c r="IG29" i="88"/>
  <c r="IE29" i="88"/>
  <c r="IC29" i="88"/>
  <c r="IA29" i="88"/>
  <c r="HY29" i="88"/>
  <c r="HW29" i="88"/>
  <c r="HT29" i="88"/>
  <c r="JY29" i="88" s="1"/>
  <c r="HS29" i="88"/>
  <c r="HQ29" i="88"/>
  <c r="HP29" i="88"/>
  <c r="HO29" i="88"/>
  <c r="HM29" i="88"/>
  <c r="HL29" i="88"/>
  <c r="HK29" i="88"/>
  <c r="HH29" i="88"/>
  <c r="HI29" i="88" s="1"/>
  <c r="HG29" i="88"/>
  <c r="HD29" i="88"/>
  <c r="HE29" i="88" s="1"/>
  <c r="HC29" i="88"/>
  <c r="HA29" i="88"/>
  <c r="GZ29" i="88"/>
  <c r="GY29" i="88"/>
  <c r="GW29" i="88"/>
  <c r="GV29" i="88"/>
  <c r="GU29" i="88"/>
  <c r="GR29" i="88"/>
  <c r="GS29" i="88" s="1"/>
  <c r="GQ29" i="88"/>
  <c r="GN29" i="88"/>
  <c r="GO29" i="88" s="1"/>
  <c r="GM29" i="88"/>
  <c r="GK29" i="88"/>
  <c r="GJ29" i="88"/>
  <c r="GI29" i="88"/>
  <c r="GG29" i="88"/>
  <c r="GF29" i="88"/>
  <c r="GE29" i="88"/>
  <c r="GB29" i="88"/>
  <c r="GC29" i="88" s="1"/>
  <c r="GA29" i="88"/>
  <c r="FX29" i="88"/>
  <c r="FY29" i="88" s="1"/>
  <c r="FW29" i="88"/>
  <c r="FU29" i="88"/>
  <c r="FT29" i="88"/>
  <c r="FS29" i="88"/>
  <c r="FQ29" i="88"/>
  <c r="FP29" i="88"/>
  <c r="FO29" i="88"/>
  <c r="FL29" i="88"/>
  <c r="FM29" i="88" s="1"/>
  <c r="FK29" i="88"/>
  <c r="FH29" i="88"/>
  <c r="FI29" i="88" s="1"/>
  <c r="FG29" i="88"/>
  <c r="EO29" i="88" s="1"/>
  <c r="FE29" i="88"/>
  <c r="FD29" i="88"/>
  <c r="FC29" i="88"/>
  <c r="FA29" i="88"/>
  <c r="EZ29" i="88"/>
  <c r="EY29" i="88"/>
  <c r="EV29" i="88"/>
  <c r="EI29" i="88" s="1"/>
  <c r="EU29" i="88"/>
  <c r="EP29" i="88"/>
  <c r="EN29" i="88"/>
  <c r="EM29" i="88"/>
  <c r="EH29" i="88"/>
  <c r="EG29" i="88"/>
  <c r="EF29" i="88"/>
  <c r="EC29" i="88"/>
  <c r="DZ29" i="88"/>
  <c r="DU29" i="88"/>
  <c r="DR29" i="88"/>
  <c r="DM29" i="88"/>
  <c r="DJ29" i="88"/>
  <c r="DE29" i="88"/>
  <c r="DB29" i="88"/>
  <c r="CW29" i="88"/>
  <c r="CT29" i="88"/>
  <c r="CO29" i="88"/>
  <c r="CL29" i="88"/>
  <c r="CG29" i="88"/>
  <c r="CB29" i="88"/>
  <c r="AC29" i="88" s="1"/>
  <c r="BY29" i="88"/>
  <c r="BV29" i="88"/>
  <c r="BQ29" i="88"/>
  <c r="BN29" i="88"/>
  <c r="BI29" i="88"/>
  <c r="BF29" i="88"/>
  <c r="BA29" i="88"/>
  <c r="AX29" i="88"/>
  <c r="AS29" i="88"/>
  <c r="AP29" i="88"/>
  <c r="AJ29" i="88"/>
  <c r="AI29" i="88"/>
  <c r="AH29" i="88"/>
  <c r="AE29" i="88"/>
  <c r="Y29" i="88"/>
  <c r="W29" i="88" s="1"/>
  <c r="V29" i="88"/>
  <c r="U29" i="88"/>
  <c r="S29" i="88" s="1"/>
  <c r="R29" i="88"/>
  <c r="Q29" i="88"/>
  <c r="O29" i="88"/>
  <c r="KQ28" i="88"/>
  <c r="JR28" i="88"/>
  <c r="JQ28" i="88"/>
  <c r="JC28" i="88"/>
  <c r="IP28" i="88"/>
  <c r="JX28" i="88" s="1"/>
  <c r="IN28" i="88"/>
  <c r="IM28" i="88"/>
  <c r="IK28" i="88"/>
  <c r="II28" i="88"/>
  <c r="IG28" i="88"/>
  <c r="IE28" i="88"/>
  <c r="IC28" i="88"/>
  <c r="IA28" i="88"/>
  <c r="HY28" i="88"/>
  <c r="HW28" i="88"/>
  <c r="HT28" i="88"/>
  <c r="JY28" i="88" s="1"/>
  <c r="HS28" i="88"/>
  <c r="HP28" i="88"/>
  <c r="HQ28" i="88" s="1"/>
  <c r="HO28" i="88"/>
  <c r="HM28" i="88"/>
  <c r="HL28" i="88"/>
  <c r="HK28" i="88"/>
  <c r="HI28" i="88"/>
  <c r="HH28" i="88"/>
  <c r="HG28" i="88"/>
  <c r="HD28" i="88"/>
  <c r="HE28" i="88" s="1"/>
  <c r="HC28" i="88"/>
  <c r="GZ28" i="88"/>
  <c r="HA28" i="88" s="1"/>
  <c r="GY28" i="88"/>
  <c r="GW28" i="88"/>
  <c r="GV28" i="88"/>
  <c r="GU28" i="88"/>
  <c r="GS28" i="88"/>
  <c r="GR28" i="88"/>
  <c r="GQ28" i="88"/>
  <c r="GN28" i="88"/>
  <c r="GO28" i="88" s="1"/>
  <c r="GM28" i="88"/>
  <c r="GJ28" i="88"/>
  <c r="GK28" i="88" s="1"/>
  <c r="GI28" i="88"/>
  <c r="GG28" i="88"/>
  <c r="GF28" i="88"/>
  <c r="GE28" i="88"/>
  <c r="GC28" i="88"/>
  <c r="GB28" i="88"/>
  <c r="GA28" i="88"/>
  <c r="FX28" i="88"/>
  <c r="FY28" i="88" s="1"/>
  <c r="FW28" i="88"/>
  <c r="FT28" i="88"/>
  <c r="FU28" i="88" s="1"/>
  <c r="FS28" i="88"/>
  <c r="FQ28" i="88"/>
  <c r="FP28" i="88"/>
  <c r="FO28" i="88"/>
  <c r="FM28" i="88"/>
  <c r="FL28" i="88"/>
  <c r="FK28" i="88"/>
  <c r="FH28" i="88"/>
  <c r="FI28" i="88" s="1"/>
  <c r="FG28" i="88"/>
  <c r="FD28" i="88"/>
  <c r="FE28" i="88" s="1"/>
  <c r="FC28" i="88"/>
  <c r="JS28" i="88" s="1"/>
  <c r="FA28" i="88"/>
  <c r="EZ28" i="88"/>
  <c r="EY28" i="88"/>
  <c r="EO28" i="88" s="1"/>
  <c r="EW28" i="88"/>
  <c r="EV28" i="88"/>
  <c r="EU28" i="88"/>
  <c r="EN28" i="88"/>
  <c r="EM28" i="88"/>
  <c r="EI28" i="88"/>
  <c r="EH28" i="88"/>
  <c r="EG28" i="88"/>
  <c r="EF28" i="88"/>
  <c r="EC28" i="88"/>
  <c r="DZ28" i="88"/>
  <c r="DU28" i="88"/>
  <c r="DR28" i="88"/>
  <c r="DM28" i="88"/>
  <c r="DJ28" i="88"/>
  <c r="DE28" i="88"/>
  <c r="DB28" i="88"/>
  <c r="CW28" i="88"/>
  <c r="CT28" i="88"/>
  <c r="CO28" i="88"/>
  <c r="CL28" i="88"/>
  <c r="CG28" i="88"/>
  <c r="CD28" i="88"/>
  <c r="CB28" i="88"/>
  <c r="BY28" i="88"/>
  <c r="BV28" i="88"/>
  <c r="BQ28" i="88"/>
  <c r="BP28" i="88"/>
  <c r="BP133" i="88" s="1"/>
  <c r="BN28" i="88"/>
  <c r="BI28" i="88"/>
  <c r="BF28" i="88"/>
  <c r="BA28" i="88"/>
  <c r="AW28" i="88"/>
  <c r="AX28" i="88" s="1"/>
  <c r="AS28" i="88"/>
  <c r="AP28" i="88"/>
  <c r="AJ28" i="88"/>
  <c r="AI28" i="88"/>
  <c r="AH28" i="88"/>
  <c r="AE28" i="88"/>
  <c r="AD28" i="88"/>
  <c r="AC28" i="88"/>
  <c r="Y28" i="88"/>
  <c r="W28" i="88" s="1"/>
  <c r="V28" i="88"/>
  <c r="U28" i="88"/>
  <c r="S28" i="88" s="1"/>
  <c r="R28" i="88"/>
  <c r="O28" i="88"/>
  <c r="KQ27" i="88"/>
  <c r="JT27" i="88"/>
  <c r="JS27" i="88"/>
  <c r="JC27" i="88"/>
  <c r="JY27" i="88" s="1"/>
  <c r="IP27" i="88"/>
  <c r="JX27" i="88" s="1"/>
  <c r="IK27" i="88"/>
  <c r="IG27" i="88"/>
  <c r="IC27" i="88"/>
  <c r="HY27" i="88"/>
  <c r="HU27" i="88"/>
  <c r="HQ27" i="88"/>
  <c r="HM27" i="88"/>
  <c r="HI27" i="88"/>
  <c r="HE27" i="88"/>
  <c r="HA27" i="88"/>
  <c r="GW27" i="88"/>
  <c r="GS27" i="88"/>
  <c r="GO27" i="88"/>
  <c r="GK27" i="88"/>
  <c r="GG27" i="88"/>
  <c r="GC27" i="88"/>
  <c r="FY27" i="88"/>
  <c r="FU27" i="88"/>
  <c r="FQ27" i="88"/>
  <c r="FM27" i="88"/>
  <c r="FI27" i="88"/>
  <c r="FE27" i="88"/>
  <c r="FA27" i="88"/>
  <c r="EW27" i="88"/>
  <c r="EP27" i="88"/>
  <c r="EO27" i="88"/>
  <c r="EN27" i="88"/>
  <c r="EM27" i="88"/>
  <c r="EI27" i="88"/>
  <c r="EJ27" i="88" s="1"/>
  <c r="EH27" i="88"/>
  <c r="EG27" i="88"/>
  <c r="EF27" i="88"/>
  <c r="EC27" i="88"/>
  <c r="DZ27" i="88"/>
  <c r="DU27" i="88"/>
  <c r="DR27" i="88"/>
  <c r="DM27" i="88"/>
  <c r="DJ27" i="88"/>
  <c r="DE27" i="88"/>
  <c r="DB27" i="88"/>
  <c r="CW27" i="88"/>
  <c r="CT27" i="88"/>
  <c r="CO27" i="88"/>
  <c r="CL27" i="88"/>
  <c r="CG27" i="88"/>
  <c r="CD27" i="88"/>
  <c r="BY27" i="88"/>
  <c r="BV27" i="88"/>
  <c r="BQ27" i="88"/>
  <c r="BN27" i="88"/>
  <c r="BI27" i="88"/>
  <c r="BF27" i="88"/>
  <c r="BA27" i="88"/>
  <c r="AX27" i="88"/>
  <c r="AS27" i="88"/>
  <c r="AP27" i="88"/>
  <c r="AJ27" i="88"/>
  <c r="AI27" i="88"/>
  <c r="AH27" i="88"/>
  <c r="AE27" i="88"/>
  <c r="AD27" i="88"/>
  <c r="AF27" i="88" s="1"/>
  <c r="AC27" i="88"/>
  <c r="Y27" i="88"/>
  <c r="W27" i="88" s="1"/>
  <c r="U27" i="88"/>
  <c r="S27" i="88"/>
  <c r="R27" i="88"/>
  <c r="O27" i="88"/>
  <c r="KQ26" i="88"/>
  <c r="JT26" i="88"/>
  <c r="JS26" i="88"/>
  <c r="JC26" i="88"/>
  <c r="JY26" i="88" s="1"/>
  <c r="IP26" i="88"/>
  <c r="JX26" i="88" s="1"/>
  <c r="IK26" i="88"/>
  <c r="IG26" i="88"/>
  <c r="IC26" i="88"/>
  <c r="HY26" i="88"/>
  <c r="HU26" i="88"/>
  <c r="HQ26" i="88"/>
  <c r="HM26" i="88"/>
  <c r="HI26" i="88"/>
  <c r="HE26" i="88"/>
  <c r="HA26" i="88"/>
  <c r="GW26" i="88"/>
  <c r="GS26" i="88"/>
  <c r="GO26" i="88"/>
  <c r="GK26" i="88"/>
  <c r="GG26" i="88"/>
  <c r="GC26" i="88"/>
  <c r="FY26" i="88"/>
  <c r="FU26" i="88"/>
  <c r="FQ26" i="88"/>
  <c r="FM26" i="88"/>
  <c r="FI26" i="88"/>
  <c r="FE26" i="88"/>
  <c r="FA26" i="88"/>
  <c r="EW26" i="88"/>
  <c r="EP26" i="88"/>
  <c r="EQ26" i="88" s="1"/>
  <c r="EO26" i="88"/>
  <c r="EN26" i="88"/>
  <c r="EM26" i="88"/>
  <c r="EI26" i="88"/>
  <c r="EJ26" i="88" s="1"/>
  <c r="EH26" i="88"/>
  <c r="EG26" i="88"/>
  <c r="EF26" i="88"/>
  <c r="EC26" i="88"/>
  <c r="DZ26" i="88"/>
  <c r="DU26" i="88"/>
  <c r="DR26" i="88"/>
  <c r="DM26" i="88"/>
  <c r="DJ26" i="88"/>
  <c r="DE26" i="88"/>
  <c r="DB26" i="88"/>
  <c r="CW26" i="88"/>
  <c r="CT26" i="88"/>
  <c r="CO26" i="88"/>
  <c r="CL26" i="88"/>
  <c r="CG26" i="88"/>
  <c r="CD26" i="88"/>
  <c r="BY26" i="88"/>
  <c r="BV26" i="88"/>
  <c r="BQ26" i="88"/>
  <c r="BN26" i="88"/>
  <c r="BI26" i="88"/>
  <c r="BF26" i="88"/>
  <c r="BA26" i="88"/>
  <c r="AX26" i="88"/>
  <c r="AS26" i="88"/>
  <c r="AP26" i="88"/>
  <c r="AJ26" i="88"/>
  <c r="AI26" i="88"/>
  <c r="AH26" i="88"/>
  <c r="AE26" i="88"/>
  <c r="AD26" i="88"/>
  <c r="AC26" i="88"/>
  <c r="Y26" i="88"/>
  <c r="W26" i="88" s="1"/>
  <c r="U26" i="88"/>
  <c r="S26" i="88" s="1"/>
  <c r="R26" i="88"/>
  <c r="O26" i="88"/>
  <c r="D26" i="88"/>
  <c r="KQ25" i="88"/>
  <c r="JT25" i="88"/>
  <c r="JS25" i="88"/>
  <c r="JC25" i="88"/>
  <c r="JY25" i="88" s="1"/>
  <c r="IP25" i="88"/>
  <c r="JX25" i="88" s="1"/>
  <c r="IK25" i="88"/>
  <c r="IG25" i="88"/>
  <c r="IC25" i="88"/>
  <c r="HY25" i="88"/>
  <c r="HU25" i="88"/>
  <c r="HQ25" i="88"/>
  <c r="HM25" i="88"/>
  <c r="HI25" i="88"/>
  <c r="HE25" i="88"/>
  <c r="HA25" i="88"/>
  <c r="GW25" i="88"/>
  <c r="GS25" i="88"/>
  <c r="GO25" i="88"/>
  <c r="GK25" i="88"/>
  <c r="GG25" i="88"/>
  <c r="GC25" i="88"/>
  <c r="FY25" i="88"/>
  <c r="FU25" i="88"/>
  <c r="FQ25" i="88"/>
  <c r="FM25" i="88"/>
  <c r="FI25" i="88"/>
  <c r="FE25" i="88"/>
  <c r="FA25" i="88"/>
  <c r="EW25" i="88"/>
  <c r="EP25" i="88"/>
  <c r="EO25" i="88"/>
  <c r="EN25" i="88"/>
  <c r="EM25" i="88"/>
  <c r="EI25" i="88"/>
  <c r="EH25" i="88"/>
  <c r="EG25" i="88"/>
  <c r="EF25" i="88"/>
  <c r="EC25" i="88"/>
  <c r="DZ25" i="88"/>
  <c r="DU25" i="88"/>
  <c r="DR25" i="88"/>
  <c r="DM25" i="88"/>
  <c r="DJ25" i="88"/>
  <c r="DE25" i="88"/>
  <c r="DB25" i="88"/>
  <c r="CW25" i="88"/>
  <c r="CT25" i="88"/>
  <c r="CO25" i="88"/>
  <c r="CL25" i="88"/>
  <c r="CG25" i="88"/>
  <c r="CD25" i="88"/>
  <c r="BY25" i="88"/>
  <c r="BV25" i="88"/>
  <c r="BQ25" i="88"/>
  <c r="BN25" i="88"/>
  <c r="BI25" i="88"/>
  <c r="BF25" i="88"/>
  <c r="BA25" i="88"/>
  <c r="AX25" i="88"/>
  <c r="AS25" i="88"/>
  <c r="AP25" i="88"/>
  <c r="AJ25" i="88"/>
  <c r="AI25" i="88"/>
  <c r="AH25" i="88"/>
  <c r="AE25" i="88"/>
  <c r="AD25" i="88"/>
  <c r="AC25" i="88"/>
  <c r="Y25" i="88"/>
  <c r="W25" i="88" s="1"/>
  <c r="U25" i="88"/>
  <c r="S25" i="88" s="1"/>
  <c r="R25" i="88"/>
  <c r="O25" i="88"/>
  <c r="KQ24" i="88"/>
  <c r="KP24" i="88"/>
  <c r="JR24" i="88"/>
  <c r="JQ24" i="88"/>
  <c r="JS24" i="88" s="1"/>
  <c r="JC24" i="88"/>
  <c r="IP24" i="88"/>
  <c r="IN24" i="88"/>
  <c r="IM24" i="88"/>
  <c r="IK24" i="88"/>
  <c r="IJ24" i="88"/>
  <c r="II24" i="88"/>
  <c r="IG24" i="88"/>
  <c r="IF24" i="88"/>
  <c r="IE24" i="88"/>
  <c r="IB24" i="88"/>
  <c r="IC24" i="88" s="1"/>
  <c r="IA24" i="88"/>
  <c r="HX24" i="88"/>
  <c r="HY24" i="88" s="1"/>
  <c r="HW24" i="88"/>
  <c r="HU24" i="88"/>
  <c r="HT24" i="88"/>
  <c r="HS24" i="88"/>
  <c r="HQ24" i="88"/>
  <c r="HP24" i="88"/>
  <c r="JX24" i="88" s="1"/>
  <c r="HO24" i="88"/>
  <c r="HL24" i="88"/>
  <c r="HM24" i="88" s="1"/>
  <c r="HK24" i="88"/>
  <c r="HH24" i="88"/>
  <c r="HI24" i="88" s="1"/>
  <c r="KA24" i="88" s="1"/>
  <c r="KD24" i="88" s="1"/>
  <c r="HG24" i="88"/>
  <c r="HE24" i="88"/>
  <c r="HD24" i="88"/>
  <c r="HC24" i="88"/>
  <c r="HA24" i="88"/>
  <c r="GZ24" i="88"/>
  <c r="GY24" i="88"/>
  <c r="GV24" i="88"/>
  <c r="GW24" i="88" s="1"/>
  <c r="GU24" i="88"/>
  <c r="GR24" i="88"/>
  <c r="GS24" i="88" s="1"/>
  <c r="GQ24" i="88"/>
  <c r="GO24" i="88"/>
  <c r="GN24" i="88"/>
  <c r="GM24" i="88"/>
  <c r="GK24" i="88"/>
  <c r="GJ24" i="88"/>
  <c r="GI24" i="88"/>
  <c r="GF24" i="88"/>
  <c r="GG24" i="88" s="1"/>
  <c r="GE24" i="88"/>
  <c r="GB24" i="88"/>
  <c r="GC24" i="88" s="1"/>
  <c r="GA24" i="88"/>
  <c r="FY24" i="88"/>
  <c r="FX24" i="88"/>
  <c r="FW24" i="88"/>
  <c r="FU24" i="88"/>
  <c r="FT24" i="88"/>
  <c r="FS24" i="88"/>
  <c r="FP24" i="88"/>
  <c r="FQ24" i="88" s="1"/>
  <c r="FO24" i="88"/>
  <c r="FL24" i="88"/>
  <c r="FM24" i="88" s="1"/>
  <c r="FK24" i="88"/>
  <c r="FI24" i="88"/>
  <c r="FH24" i="88"/>
  <c r="FG24" i="88"/>
  <c r="FE24" i="88"/>
  <c r="FD24" i="88"/>
  <c r="FC24" i="88"/>
  <c r="EZ24" i="88"/>
  <c r="FA24" i="88" s="1"/>
  <c r="EY24" i="88"/>
  <c r="EV24" i="88"/>
  <c r="EW24" i="88" s="1"/>
  <c r="EU24" i="88"/>
  <c r="EH24" i="88" s="1"/>
  <c r="EO24" i="88"/>
  <c r="EN24" i="88"/>
  <c r="EM24" i="88"/>
  <c r="EG24" i="88"/>
  <c r="EF24" i="88"/>
  <c r="EC24" i="88"/>
  <c r="DZ24" i="88"/>
  <c r="DS24" i="88"/>
  <c r="DU24" i="88" s="1"/>
  <c r="DR24" i="88"/>
  <c r="DP24" i="88"/>
  <c r="DM24" i="88"/>
  <c r="DJ24" i="88"/>
  <c r="DE24" i="88"/>
  <c r="DB24" i="88"/>
  <c r="CW24" i="88"/>
  <c r="CT24" i="88"/>
  <c r="CO24" i="88"/>
  <c r="CL24" i="88"/>
  <c r="CG24" i="88"/>
  <c r="CD24" i="88"/>
  <c r="BY24" i="88"/>
  <c r="BW24" i="88"/>
  <c r="BT24" i="88"/>
  <c r="BV24" i="88" s="1"/>
  <c r="BQ24" i="88"/>
  <c r="BN24" i="88"/>
  <c r="BI24" i="88"/>
  <c r="BF24" i="88"/>
  <c r="BA24" i="88"/>
  <c r="AX24" i="88"/>
  <c r="AS24" i="88"/>
  <c r="AP24" i="88"/>
  <c r="AJ24" i="88"/>
  <c r="AI24" i="88"/>
  <c r="AH24" i="88"/>
  <c r="AE24" i="88"/>
  <c r="AC24" i="88"/>
  <c r="Y24" i="88"/>
  <c r="W24" i="88" s="1"/>
  <c r="U24" i="88"/>
  <c r="S24" i="88" s="1"/>
  <c r="R24" i="88"/>
  <c r="O24" i="88"/>
  <c r="KQ23" i="88"/>
  <c r="JT23" i="88"/>
  <c r="JS23" i="88"/>
  <c r="JC23" i="88"/>
  <c r="JY23" i="88" s="1"/>
  <c r="IP23" i="88"/>
  <c r="JX23" i="88" s="1"/>
  <c r="IK23" i="88"/>
  <c r="IG23" i="88"/>
  <c r="IC23" i="88"/>
  <c r="HY23" i="88"/>
  <c r="HU23" i="88"/>
  <c r="HQ23" i="88"/>
  <c r="HM23" i="88"/>
  <c r="HI23" i="88"/>
  <c r="HE23" i="88"/>
  <c r="HA23" i="88"/>
  <c r="GW23" i="88"/>
  <c r="GS23" i="88"/>
  <c r="GO23" i="88"/>
  <c r="GK23" i="88"/>
  <c r="GG23" i="88"/>
  <c r="GC23" i="88"/>
  <c r="FY23" i="88"/>
  <c r="FU23" i="88"/>
  <c r="FQ23" i="88"/>
  <c r="FM23" i="88"/>
  <c r="FI23" i="88"/>
  <c r="FE23" i="88"/>
  <c r="FA23" i="88"/>
  <c r="EW23" i="88"/>
  <c r="EP23" i="88"/>
  <c r="EO23" i="88"/>
  <c r="EN23" i="88"/>
  <c r="EM23" i="88"/>
  <c r="EI23" i="88"/>
  <c r="EH23" i="88"/>
  <c r="EG23" i="88"/>
  <c r="EF23" i="88"/>
  <c r="EC23" i="88"/>
  <c r="DZ23" i="88"/>
  <c r="DU23" i="88"/>
  <c r="DR23" i="88"/>
  <c r="DM23" i="88"/>
  <c r="DJ23" i="88"/>
  <c r="DE23" i="88"/>
  <c r="DB23" i="88"/>
  <c r="CW23" i="88"/>
  <c r="CT23" i="88"/>
  <c r="CO23" i="88"/>
  <c r="CL23" i="88"/>
  <c r="CG23" i="88"/>
  <c r="CD23" i="88"/>
  <c r="BY23" i="88"/>
  <c r="BV23" i="88"/>
  <c r="BQ23" i="88"/>
  <c r="BN23" i="88"/>
  <c r="BI23" i="88"/>
  <c r="BF23" i="88"/>
  <c r="BA23" i="88"/>
  <c r="AX23" i="88"/>
  <c r="AS23" i="88"/>
  <c r="AP23" i="88"/>
  <c r="AJ23" i="88"/>
  <c r="AI23" i="88"/>
  <c r="AH23" i="88"/>
  <c r="AE23" i="88"/>
  <c r="AD23" i="88"/>
  <c r="AC23" i="88"/>
  <c r="Y23" i="88"/>
  <c r="W23" i="88" s="1"/>
  <c r="U23" i="88"/>
  <c r="S23" i="88" s="1"/>
  <c r="Q23" i="88"/>
  <c r="R23" i="88" s="1"/>
  <c r="P23" i="88"/>
  <c r="P133" i="88" s="1"/>
  <c r="N23" i="88"/>
  <c r="M23" i="88"/>
  <c r="M133" i="88" s="1"/>
  <c r="KQ22" i="88"/>
  <c r="JR22" i="88"/>
  <c r="JQ22" i="88"/>
  <c r="JC22" i="88"/>
  <c r="JY22" i="88" s="1"/>
  <c r="IP22" i="88"/>
  <c r="IN22" i="88"/>
  <c r="IM22" i="88"/>
  <c r="IK22" i="88"/>
  <c r="II22" i="88"/>
  <c r="IG22" i="88"/>
  <c r="IE22" i="88"/>
  <c r="IC22" i="88"/>
  <c r="IA22" i="88"/>
  <c r="HY22" i="88"/>
  <c r="HW22" i="88"/>
  <c r="HU22" i="88"/>
  <c r="HT22" i="88"/>
  <c r="HS22" i="88"/>
  <c r="HQ22" i="88"/>
  <c r="HP22" i="88"/>
  <c r="JX22" i="88" s="1"/>
  <c r="HO22" i="88"/>
  <c r="HM22" i="88"/>
  <c r="HL22" i="88"/>
  <c r="HK22" i="88"/>
  <c r="HH22" i="88"/>
  <c r="HI22" i="88" s="1"/>
  <c r="HG22" i="88"/>
  <c r="HE22" i="88"/>
  <c r="HD22" i="88"/>
  <c r="HC22" i="88"/>
  <c r="HA22" i="88"/>
  <c r="GZ22" i="88"/>
  <c r="GY22" i="88"/>
  <c r="GV22" i="88"/>
  <c r="GW22" i="88" s="1"/>
  <c r="GU22" i="88"/>
  <c r="GR22" i="88"/>
  <c r="GS22" i="88" s="1"/>
  <c r="GQ22" i="88"/>
  <c r="GO22" i="88"/>
  <c r="GN22" i="88"/>
  <c r="GM22" i="88"/>
  <c r="GK22" i="88"/>
  <c r="GJ22" i="88"/>
  <c r="GI22" i="88"/>
  <c r="GG22" i="88"/>
  <c r="GF22" i="88"/>
  <c r="GE22" i="88"/>
  <c r="GB22" i="88"/>
  <c r="GC22" i="88" s="1"/>
  <c r="GA22" i="88"/>
  <c r="FY22" i="88"/>
  <c r="FX22" i="88"/>
  <c r="FW22" i="88"/>
  <c r="FU22" i="88"/>
  <c r="FT22" i="88"/>
  <c r="FS22" i="88"/>
  <c r="FP22" i="88"/>
  <c r="FQ22" i="88" s="1"/>
  <c r="FO22" i="88"/>
  <c r="FL22" i="88"/>
  <c r="FM22" i="88" s="1"/>
  <c r="FK22" i="88"/>
  <c r="FI22" i="88"/>
  <c r="FH22" i="88"/>
  <c r="FG22" i="88"/>
  <c r="FE22" i="88"/>
  <c r="FD22" i="88"/>
  <c r="FC22" i="88"/>
  <c r="FA22" i="88"/>
  <c r="EZ22" i="88"/>
  <c r="EY22" i="88"/>
  <c r="EV22" i="88"/>
  <c r="EU22" i="88"/>
  <c r="EH22" i="88" s="1"/>
  <c r="EO22" i="88"/>
  <c r="EN22" i="88"/>
  <c r="EM22" i="88"/>
  <c r="EG22" i="88"/>
  <c r="EF22" i="88"/>
  <c r="EC22" i="88"/>
  <c r="DZ22" i="88"/>
  <c r="DU22" i="88"/>
  <c r="DR22" i="88"/>
  <c r="DM22" i="88"/>
  <c r="DJ22" i="88"/>
  <c r="DE22" i="88"/>
  <c r="DB22" i="88"/>
  <c r="CW22" i="88"/>
  <c r="CT22" i="88"/>
  <c r="CN22" i="88"/>
  <c r="AJ22" i="88" s="1"/>
  <c r="CK22" i="88"/>
  <c r="CJ22" i="88"/>
  <c r="CL22" i="88" s="1"/>
  <c r="CG22" i="88"/>
  <c r="CD22" i="88"/>
  <c r="CB22" i="88"/>
  <c r="CB133" i="88" s="1"/>
  <c r="BY22" i="88"/>
  <c r="BV22" i="88"/>
  <c r="BQ22" i="88"/>
  <c r="BN22" i="88"/>
  <c r="BI22" i="88"/>
  <c r="BF22" i="88"/>
  <c r="BA22" i="88"/>
  <c r="AX22" i="88"/>
  <c r="AS22" i="88"/>
  <c r="AP22" i="88"/>
  <c r="AI22" i="88"/>
  <c r="AH22" i="88"/>
  <c r="AE22" i="88"/>
  <c r="AC22" i="88"/>
  <c r="Y22" i="88"/>
  <c r="W22" i="88" s="1"/>
  <c r="V22" i="88"/>
  <c r="U22" i="88"/>
  <c r="S22" i="88" s="1"/>
  <c r="R22" i="88"/>
  <c r="O22" i="88"/>
  <c r="KQ21" i="88"/>
  <c r="JR21" i="88"/>
  <c r="JQ21" i="88"/>
  <c r="JC21" i="88"/>
  <c r="IP21" i="88"/>
  <c r="IK21" i="88"/>
  <c r="IG21" i="88"/>
  <c r="IC21" i="88"/>
  <c r="HY21" i="88"/>
  <c r="HT21" i="88"/>
  <c r="HU21" i="88" s="1"/>
  <c r="HS21" i="88"/>
  <c r="HP21" i="88"/>
  <c r="HO21" i="88"/>
  <c r="HM21" i="88"/>
  <c r="HL21" i="88"/>
  <c r="HK21" i="88"/>
  <c r="HH21" i="88"/>
  <c r="HI21" i="88" s="1"/>
  <c r="HG21" i="88"/>
  <c r="HE21" i="88"/>
  <c r="HD21" i="88"/>
  <c r="HC21" i="88"/>
  <c r="GZ21" i="88"/>
  <c r="HA21" i="88" s="1"/>
  <c r="GY21" i="88"/>
  <c r="GW21" i="88"/>
  <c r="GV21" i="88"/>
  <c r="GU21" i="88"/>
  <c r="GS21" i="88"/>
  <c r="GR21" i="88"/>
  <c r="GQ21" i="88"/>
  <c r="GN21" i="88"/>
  <c r="GO21" i="88" s="1"/>
  <c r="GM21" i="88"/>
  <c r="GJ21" i="88"/>
  <c r="GK21" i="88" s="1"/>
  <c r="GI21" i="88"/>
  <c r="GG21" i="88"/>
  <c r="GF21" i="88"/>
  <c r="GE21" i="88"/>
  <c r="GB21" i="88"/>
  <c r="GC21" i="88" s="1"/>
  <c r="GA21" i="88"/>
  <c r="FY21" i="88"/>
  <c r="FX21" i="88"/>
  <c r="FW21" i="88"/>
  <c r="JT21" i="88" s="1"/>
  <c r="FT21" i="88"/>
  <c r="FU21" i="88" s="1"/>
  <c r="FS21" i="88"/>
  <c r="FP21" i="88"/>
  <c r="FQ21" i="88" s="1"/>
  <c r="FO21" i="88"/>
  <c r="FM21" i="88"/>
  <c r="FL21" i="88"/>
  <c r="FK21" i="88"/>
  <c r="FH21" i="88"/>
  <c r="FI21" i="88" s="1"/>
  <c r="FG21" i="88"/>
  <c r="FE21" i="88"/>
  <c r="FD21" i="88"/>
  <c r="FC21" i="88"/>
  <c r="EZ21" i="88"/>
  <c r="FA21" i="88" s="1"/>
  <c r="EY21" i="88"/>
  <c r="EW21" i="88"/>
  <c r="EV21" i="88"/>
  <c r="EI21" i="88" s="1"/>
  <c r="EU21" i="88"/>
  <c r="EH21" i="88" s="1"/>
  <c r="EO21" i="88"/>
  <c r="EN21" i="88"/>
  <c r="EM21" i="88"/>
  <c r="EG21" i="88"/>
  <c r="EF21" i="88"/>
  <c r="EC21" i="88"/>
  <c r="DZ21" i="88"/>
  <c r="DU21" i="88"/>
  <c r="DR21" i="88"/>
  <c r="DM21" i="88"/>
  <c r="DJ21" i="88"/>
  <c r="DE21" i="88"/>
  <c r="DB21" i="88"/>
  <c r="CW21" i="88"/>
  <c r="CT21" i="88"/>
  <c r="CN21" i="88"/>
  <c r="CO21" i="88" s="1"/>
  <c r="CL21" i="88"/>
  <c r="CG21" i="88"/>
  <c r="CD21" i="88"/>
  <c r="BY21" i="88"/>
  <c r="BV21" i="88"/>
  <c r="BQ21" i="88"/>
  <c r="BN21" i="88"/>
  <c r="BI21" i="88"/>
  <c r="BF21" i="88"/>
  <c r="BA21" i="88"/>
  <c r="AW21" i="88"/>
  <c r="AW133" i="88" s="1"/>
  <c r="AS21" i="88"/>
  <c r="AP21" i="88"/>
  <c r="AJ21" i="88"/>
  <c r="AI21" i="88"/>
  <c r="AH21" i="88"/>
  <c r="AE21" i="88"/>
  <c r="AD21" i="88"/>
  <c r="AC21" i="88"/>
  <c r="Y21" i="88"/>
  <c r="W21" i="88" s="1"/>
  <c r="V21" i="88"/>
  <c r="U21" i="88"/>
  <c r="S21" i="88" s="1"/>
  <c r="R21" i="88"/>
  <c r="Q21" i="88"/>
  <c r="Q133" i="88" s="1"/>
  <c r="O21" i="88"/>
  <c r="KQ20" i="88"/>
  <c r="KL20" i="88"/>
  <c r="JT20" i="88"/>
  <c r="JS20" i="88"/>
  <c r="JC20" i="88"/>
  <c r="JY20" i="88" s="1"/>
  <c r="IP20" i="88"/>
  <c r="JX20" i="88" s="1"/>
  <c r="IK20" i="88"/>
  <c r="IG20" i="88"/>
  <c r="IC20" i="88"/>
  <c r="HY20" i="88"/>
  <c r="HU20" i="88"/>
  <c r="HQ20" i="88"/>
  <c r="HM20" i="88"/>
  <c r="HI20" i="88"/>
  <c r="HE20" i="88"/>
  <c r="HA20" i="88"/>
  <c r="GW20" i="88"/>
  <c r="GS20" i="88"/>
  <c r="GO20" i="88"/>
  <c r="GK20" i="88"/>
  <c r="GG20" i="88"/>
  <c r="GC20" i="88"/>
  <c r="FY20" i="88"/>
  <c r="FU20" i="88"/>
  <c r="FQ20" i="88"/>
  <c r="FM20" i="88"/>
  <c r="FI20" i="88"/>
  <c r="FE20" i="88"/>
  <c r="FA20" i="88"/>
  <c r="EW20" i="88"/>
  <c r="EP20" i="88"/>
  <c r="EQ20" i="88" s="1"/>
  <c r="EO20" i="88"/>
  <c r="EN20" i="88"/>
  <c r="EM20" i="88"/>
  <c r="EI20" i="88"/>
  <c r="EH20" i="88"/>
  <c r="EG20" i="88"/>
  <c r="EF20" i="88"/>
  <c r="EC20" i="88"/>
  <c r="DZ20" i="88"/>
  <c r="DU20" i="88"/>
  <c r="DR20" i="88"/>
  <c r="DM20" i="88"/>
  <c r="DJ20" i="88"/>
  <c r="DE20" i="88"/>
  <c r="DB20" i="88"/>
  <c r="CW20" i="88"/>
  <c r="CT20" i="88"/>
  <c r="CO20" i="88"/>
  <c r="CL20" i="88"/>
  <c r="CG20" i="88"/>
  <c r="CD20" i="88"/>
  <c r="BY20" i="88"/>
  <c r="BV20" i="88"/>
  <c r="BQ20" i="88"/>
  <c r="BN20" i="88"/>
  <c r="BI20" i="88"/>
  <c r="BF20" i="88"/>
  <c r="BA20" i="88"/>
  <c r="AX20" i="88"/>
  <c r="AS20" i="88"/>
  <c r="AP20" i="88"/>
  <c r="AJ20" i="88"/>
  <c r="AI20" i="88"/>
  <c r="AH20" i="88"/>
  <c r="AE20" i="88"/>
  <c r="AD20" i="88"/>
  <c r="AC20" i="88"/>
  <c r="Y20" i="88"/>
  <c r="W20" i="88" s="1"/>
  <c r="U20" i="88"/>
  <c r="S20" i="88" s="1"/>
  <c r="R20" i="88"/>
  <c r="O20" i="88"/>
  <c r="D20" i="88"/>
  <c r="KQ19" i="88"/>
  <c r="JT19" i="88"/>
  <c r="JS19" i="88"/>
  <c r="JC19" i="88"/>
  <c r="JY19" i="88" s="1"/>
  <c r="IP19" i="88"/>
  <c r="JX19" i="88" s="1"/>
  <c r="IK19" i="88"/>
  <c r="IG19" i="88"/>
  <c r="IC19" i="88"/>
  <c r="HY19" i="88"/>
  <c r="HU19" i="88"/>
  <c r="HQ19" i="88"/>
  <c r="HM19" i="88"/>
  <c r="HI19" i="88"/>
  <c r="HE19" i="88"/>
  <c r="HA19" i="88"/>
  <c r="GW19" i="88"/>
  <c r="GS19" i="88"/>
  <c r="GO19" i="88"/>
  <c r="GK19" i="88"/>
  <c r="GG19" i="88"/>
  <c r="GC19" i="88"/>
  <c r="FY19" i="88"/>
  <c r="FU19" i="88"/>
  <c r="FQ19" i="88"/>
  <c r="FM19" i="88"/>
  <c r="FI19" i="88"/>
  <c r="FE19" i="88"/>
  <c r="FA19" i="88"/>
  <c r="EW19" i="88"/>
  <c r="EP19" i="88"/>
  <c r="EQ19" i="88" s="1"/>
  <c r="EO19" i="88"/>
  <c r="EN19" i="88"/>
  <c r="EM19" i="88"/>
  <c r="EI19" i="88"/>
  <c r="EH19" i="88"/>
  <c r="EG19" i="88"/>
  <c r="EF19" i="88"/>
  <c r="EC19" i="88"/>
  <c r="DZ19" i="88"/>
  <c r="DU19" i="88"/>
  <c r="DR19" i="88"/>
  <c r="DM19" i="88"/>
  <c r="DJ19" i="88"/>
  <c r="DE19" i="88"/>
  <c r="DB19" i="88"/>
  <c r="CW19" i="88"/>
  <c r="CT19" i="88"/>
  <c r="CO19" i="88"/>
  <c r="CL19" i="88"/>
  <c r="CG19" i="88"/>
  <c r="CD19" i="88"/>
  <c r="BY19" i="88"/>
  <c r="BV19" i="88"/>
  <c r="BQ19" i="88"/>
  <c r="BN19" i="88"/>
  <c r="BI19" i="88"/>
  <c r="BF19" i="88"/>
  <c r="BA19" i="88"/>
  <c r="AX19" i="88"/>
  <c r="AS19" i="88"/>
  <c r="AP19" i="88"/>
  <c r="AJ19" i="88"/>
  <c r="AI19" i="88"/>
  <c r="AH19" i="88"/>
  <c r="AE19" i="88"/>
  <c r="AD19" i="88"/>
  <c r="AC19" i="88"/>
  <c r="Y19" i="88"/>
  <c r="W19" i="88"/>
  <c r="U19" i="88"/>
  <c r="S19" i="88" s="1"/>
  <c r="R19" i="88"/>
  <c r="O19" i="88"/>
  <c r="D19" i="88"/>
  <c r="KL18" i="88"/>
  <c r="KQ18" i="88" s="1"/>
  <c r="JT18" i="88"/>
  <c r="JS18" i="88"/>
  <c r="JC18" i="88"/>
  <c r="JY18" i="88" s="1"/>
  <c r="IP18" i="88"/>
  <c r="JX18" i="88" s="1"/>
  <c r="IK18" i="88"/>
  <c r="IG18" i="88"/>
  <c r="IC18" i="88"/>
  <c r="HY18" i="88"/>
  <c r="HU18" i="88"/>
  <c r="HQ18" i="88"/>
  <c r="HM18" i="88"/>
  <c r="HI18" i="88"/>
  <c r="HE18" i="88"/>
  <c r="HA18" i="88"/>
  <c r="GW18" i="88"/>
  <c r="GS18" i="88"/>
  <c r="GO18" i="88"/>
  <c r="GK18" i="88"/>
  <c r="GG18" i="88"/>
  <c r="GC18" i="88"/>
  <c r="FY18" i="88"/>
  <c r="FU18" i="88"/>
  <c r="FQ18" i="88"/>
  <c r="FM18" i="88"/>
  <c r="FI18" i="88"/>
  <c r="FE18" i="88"/>
  <c r="FA18" i="88"/>
  <c r="EW18" i="88"/>
  <c r="EP18" i="88"/>
  <c r="EO18" i="88"/>
  <c r="EN18" i="88"/>
  <c r="EM18" i="88"/>
  <c r="EI18" i="88"/>
  <c r="EH18" i="88"/>
  <c r="EG18" i="88"/>
  <c r="EF18" i="88"/>
  <c r="EC18" i="88"/>
  <c r="DZ18" i="88"/>
  <c r="DU18" i="88"/>
  <c r="DR18" i="88"/>
  <c r="DM18" i="88"/>
  <c r="DJ18" i="88"/>
  <c r="DE18" i="88"/>
  <c r="DB18" i="88"/>
  <c r="CW18" i="88"/>
  <c r="CT18" i="88"/>
  <c r="CO18" i="88"/>
  <c r="CL18" i="88"/>
  <c r="CG18" i="88"/>
  <c r="CD18" i="88"/>
  <c r="BY18" i="88"/>
  <c r="BV18" i="88"/>
  <c r="BQ18" i="88"/>
  <c r="BN18" i="88"/>
  <c r="BI18" i="88"/>
  <c r="BF18" i="88"/>
  <c r="BA18" i="88"/>
  <c r="AX18" i="88"/>
  <c r="AS18" i="88"/>
  <c r="AP18" i="88"/>
  <c r="AJ18" i="88"/>
  <c r="JV18" i="88" s="1"/>
  <c r="AI18" i="88"/>
  <c r="AH18" i="88"/>
  <c r="AE18" i="88"/>
  <c r="AD18" i="88"/>
  <c r="AC18" i="88"/>
  <c r="Y18" i="88"/>
  <c r="W18" i="88" s="1"/>
  <c r="U18" i="88"/>
  <c r="S18" i="88" s="1"/>
  <c r="R18" i="88"/>
  <c r="O18" i="88"/>
  <c r="KQ17" i="88"/>
  <c r="KL17" i="88"/>
  <c r="JT17" i="88"/>
  <c r="JS17" i="88"/>
  <c r="JC17" i="88"/>
  <c r="JY17" i="88" s="1"/>
  <c r="IP17" i="88"/>
  <c r="JX17" i="88" s="1"/>
  <c r="IK17" i="88"/>
  <c r="IG17" i="88"/>
  <c r="IC17" i="88"/>
  <c r="HY17" i="88"/>
  <c r="HU17" i="88"/>
  <c r="HQ17" i="88"/>
  <c r="HM17" i="88"/>
  <c r="HI17" i="88"/>
  <c r="HE17" i="88"/>
  <c r="HA17" i="88"/>
  <c r="GW17" i="88"/>
  <c r="GS17" i="88"/>
  <c r="GO17" i="88"/>
  <c r="GK17" i="88"/>
  <c r="GG17" i="88"/>
  <c r="GC17" i="88"/>
  <c r="FY17" i="88"/>
  <c r="FU17" i="88"/>
  <c r="FQ17" i="88"/>
  <c r="FM17" i="88"/>
  <c r="FI17" i="88"/>
  <c r="FE17" i="88"/>
  <c r="FA17" i="88"/>
  <c r="EW17" i="88"/>
  <c r="EP17" i="88"/>
  <c r="EO17" i="88"/>
  <c r="EN17" i="88"/>
  <c r="EM17" i="88"/>
  <c r="EI17" i="88"/>
  <c r="EK17" i="88" s="1"/>
  <c r="EH17" i="88"/>
  <c r="EG17" i="88"/>
  <c r="EF17" i="88"/>
  <c r="EC17" i="88"/>
  <c r="DZ17" i="88"/>
  <c r="DU17" i="88"/>
  <c r="DR17" i="88"/>
  <c r="DM17" i="88"/>
  <c r="DJ17" i="88"/>
  <c r="DE17" i="88"/>
  <c r="DB17" i="88"/>
  <c r="CW17" i="88"/>
  <c r="CT17" i="88"/>
  <c r="CO17" i="88"/>
  <c r="CL17" i="88"/>
  <c r="CG17" i="88"/>
  <c r="CD17" i="88"/>
  <c r="BY17" i="88"/>
  <c r="BV17" i="88"/>
  <c r="BQ17" i="88"/>
  <c r="BN17" i="88"/>
  <c r="BI17" i="88"/>
  <c r="BF17" i="88"/>
  <c r="BA17" i="88"/>
  <c r="AX17" i="88"/>
  <c r="AS17" i="88"/>
  <c r="AP17" i="88"/>
  <c r="AJ17" i="88"/>
  <c r="AI17" i="88"/>
  <c r="AH17" i="88"/>
  <c r="AE17" i="88"/>
  <c r="AD17" i="88"/>
  <c r="AC17" i="88"/>
  <c r="Y17" i="88"/>
  <c r="W17" i="88" s="1"/>
  <c r="U17" i="88"/>
  <c r="S17" i="88" s="1"/>
  <c r="R17" i="88"/>
  <c r="O17" i="88"/>
  <c r="KL16" i="88"/>
  <c r="KQ16" i="88" s="1"/>
  <c r="JT16" i="88"/>
  <c r="JS16" i="88"/>
  <c r="JC16" i="88"/>
  <c r="JY16" i="88" s="1"/>
  <c r="IP16" i="88"/>
  <c r="JX16" i="88" s="1"/>
  <c r="IK16" i="88"/>
  <c r="IG16" i="88"/>
  <c r="IC16" i="88"/>
  <c r="HY16" i="88"/>
  <c r="HU16" i="88"/>
  <c r="HQ16" i="88"/>
  <c r="HM16" i="88"/>
  <c r="HI16" i="88"/>
  <c r="HE16" i="88"/>
  <c r="HA16" i="88"/>
  <c r="GW16" i="88"/>
  <c r="GS16" i="88"/>
  <c r="GO16" i="88"/>
  <c r="GK16" i="88"/>
  <c r="GG16" i="88"/>
  <c r="GC16" i="88"/>
  <c r="FY16" i="88"/>
  <c r="FU16" i="88"/>
  <c r="FQ16" i="88"/>
  <c r="FM16" i="88"/>
  <c r="FI16" i="88"/>
  <c r="FE16" i="88"/>
  <c r="FA16" i="88"/>
  <c r="EW16" i="88"/>
  <c r="EP16" i="88"/>
  <c r="EQ16" i="88" s="1"/>
  <c r="EO16" i="88"/>
  <c r="EN16" i="88"/>
  <c r="EM16" i="88"/>
  <c r="EI16" i="88"/>
  <c r="EK16" i="88" s="1"/>
  <c r="EH16" i="88"/>
  <c r="EG16" i="88"/>
  <c r="EF16" i="88"/>
  <c r="EC16" i="88"/>
  <c r="DZ16" i="88"/>
  <c r="DU16" i="88"/>
  <c r="DR16" i="88"/>
  <c r="DM16" i="88"/>
  <c r="DJ16" i="88"/>
  <c r="DE16" i="88"/>
  <c r="DB16" i="88"/>
  <c r="CW16" i="88"/>
  <c r="CT16" i="88"/>
  <c r="CO16" i="88"/>
  <c r="CL16" i="88"/>
  <c r="CG16" i="88"/>
  <c r="CD16" i="88"/>
  <c r="BY16" i="88"/>
  <c r="BV16" i="88"/>
  <c r="BQ16" i="88"/>
  <c r="BN16" i="88"/>
  <c r="BI16" i="88"/>
  <c r="BF16" i="88"/>
  <c r="BA16" i="88"/>
  <c r="AX16" i="88"/>
  <c r="AS16" i="88"/>
  <c r="AP16" i="88"/>
  <c r="AJ16" i="88"/>
  <c r="AK16" i="88" s="1"/>
  <c r="AI16" i="88"/>
  <c r="AH16" i="88"/>
  <c r="AE16" i="88"/>
  <c r="AD16" i="88"/>
  <c r="AC16" i="88"/>
  <c r="Y16" i="88"/>
  <c r="W16" i="88" s="1"/>
  <c r="U16" i="88"/>
  <c r="S16" i="88" s="1"/>
  <c r="R16" i="88"/>
  <c r="O16" i="88"/>
  <c r="KQ15" i="88"/>
  <c r="JT15" i="88"/>
  <c r="JS15" i="88"/>
  <c r="JC15" i="88"/>
  <c r="JY15" i="88" s="1"/>
  <c r="IP15" i="88"/>
  <c r="JX15" i="88" s="1"/>
  <c r="IK15" i="88"/>
  <c r="IG15" i="88"/>
  <c r="IC15" i="88"/>
  <c r="HY15" i="88"/>
  <c r="HU15" i="88"/>
  <c r="HQ15" i="88"/>
  <c r="HM15" i="88"/>
  <c r="HI15" i="88"/>
  <c r="HE15" i="88"/>
  <c r="HA15" i="88"/>
  <c r="GW15" i="88"/>
  <c r="GS15" i="88"/>
  <c r="GO15" i="88"/>
  <c r="GK15" i="88"/>
  <c r="GG15" i="88"/>
  <c r="GC15" i="88"/>
  <c r="FY15" i="88"/>
  <c r="FU15" i="88"/>
  <c r="FQ15" i="88"/>
  <c r="FM15" i="88"/>
  <c r="FI15" i="88"/>
  <c r="FE15" i="88"/>
  <c r="FA15" i="88"/>
  <c r="EW15" i="88"/>
  <c r="EP15" i="88"/>
  <c r="EQ15" i="88" s="1"/>
  <c r="EO15" i="88"/>
  <c r="EN15" i="88"/>
  <c r="EM15" i="88"/>
  <c r="EI15" i="88"/>
  <c r="EH15" i="88"/>
  <c r="EG15" i="88"/>
  <c r="EF15" i="88"/>
  <c r="EC15" i="88"/>
  <c r="DZ15" i="88"/>
  <c r="DU15" i="88"/>
  <c r="DR15" i="88"/>
  <c r="DM15" i="88"/>
  <c r="DJ15" i="88"/>
  <c r="DE15" i="88"/>
  <c r="DB15" i="88"/>
  <c r="CW15" i="88"/>
  <c r="CT15" i="88"/>
  <c r="CO15" i="88"/>
  <c r="CL15" i="88"/>
  <c r="CG15" i="88"/>
  <c r="CD15" i="88"/>
  <c r="BY15" i="88"/>
  <c r="BV15" i="88"/>
  <c r="BQ15" i="88"/>
  <c r="BN15" i="88"/>
  <c r="BI15" i="88"/>
  <c r="BF15" i="88"/>
  <c r="BA15" i="88"/>
  <c r="AX15" i="88"/>
  <c r="AS15" i="88"/>
  <c r="AP15" i="88"/>
  <c r="AJ15" i="88"/>
  <c r="JV15" i="88" s="1"/>
  <c r="AI15" i="88"/>
  <c r="AH15" i="88"/>
  <c r="AE15" i="88"/>
  <c r="AD15" i="88"/>
  <c r="AC15" i="88"/>
  <c r="Y15" i="88"/>
  <c r="W15" i="88" s="1"/>
  <c r="U15" i="88"/>
  <c r="S15" i="88" s="1"/>
  <c r="R15" i="88"/>
  <c r="O15" i="88"/>
  <c r="KQ14" i="88"/>
  <c r="JR14" i="88"/>
  <c r="JQ14" i="88"/>
  <c r="JC14" i="88"/>
  <c r="IP14" i="88"/>
  <c r="IK14" i="88"/>
  <c r="IG14" i="88"/>
  <c r="IB14" i="88"/>
  <c r="IC14" i="88" s="1"/>
  <c r="IA14" i="88"/>
  <c r="HY14" i="88"/>
  <c r="HX14" i="88"/>
  <c r="HW14" i="88"/>
  <c r="HT14" i="88"/>
  <c r="HS14" i="88"/>
  <c r="HQ14" i="88"/>
  <c r="HP14" i="88"/>
  <c r="HO14" i="88"/>
  <c r="HL14" i="88"/>
  <c r="HM14" i="88" s="1"/>
  <c r="HK14" i="88"/>
  <c r="HI14" i="88"/>
  <c r="HH14" i="88"/>
  <c r="HG14" i="88"/>
  <c r="HD14" i="88"/>
  <c r="HE14" i="88" s="1"/>
  <c r="HC14" i="88"/>
  <c r="HA14" i="88"/>
  <c r="GZ14" i="88"/>
  <c r="GY14" i="88"/>
  <c r="GV14" i="88"/>
  <c r="GW14" i="88" s="1"/>
  <c r="GU14" i="88"/>
  <c r="GS14" i="88"/>
  <c r="GR14" i="88"/>
  <c r="GQ14" i="88"/>
  <c r="GN14" i="88"/>
  <c r="GO14" i="88" s="1"/>
  <c r="GM14" i="88"/>
  <c r="GK14" i="88"/>
  <c r="GJ14" i="88"/>
  <c r="GI14" i="88"/>
  <c r="GF14" i="88"/>
  <c r="GG14" i="88" s="1"/>
  <c r="GE14" i="88"/>
  <c r="GC14" i="88"/>
  <c r="GB14" i="88"/>
  <c r="GA14" i="88"/>
  <c r="FX14" i="88"/>
  <c r="FY14" i="88" s="1"/>
  <c r="FW14" i="88"/>
  <c r="FU14" i="88"/>
  <c r="FT14" i="88"/>
  <c r="FS14" i="88"/>
  <c r="FP14" i="88"/>
  <c r="FQ14" i="88" s="1"/>
  <c r="FO14" i="88"/>
  <c r="FM14" i="88"/>
  <c r="FL14" i="88"/>
  <c r="FK14" i="88"/>
  <c r="FH14" i="88"/>
  <c r="EP14" i="88" s="1"/>
  <c r="FG14" i="88"/>
  <c r="FE14" i="88"/>
  <c r="FD14" i="88"/>
  <c r="FC14" i="88"/>
  <c r="EZ14" i="88"/>
  <c r="FA14" i="88" s="1"/>
  <c r="EY14" i="88"/>
  <c r="JT14" i="88" s="1"/>
  <c r="EW14" i="88"/>
  <c r="EV14" i="88"/>
  <c r="EI14" i="88" s="1"/>
  <c r="EU14" i="88"/>
  <c r="EO14" i="88"/>
  <c r="EN14" i="88"/>
  <c r="EM14" i="88"/>
  <c r="EH14" i="88"/>
  <c r="EG14" i="88"/>
  <c r="EF14" i="88"/>
  <c r="EC14" i="88"/>
  <c r="DZ14" i="88"/>
  <c r="DU14" i="88"/>
  <c r="DR14" i="88"/>
  <c r="DM14" i="88"/>
  <c r="DJ14" i="88"/>
  <c r="DE14" i="88"/>
  <c r="DB14" i="88"/>
  <c r="CW14" i="88"/>
  <c r="CT14" i="88"/>
  <c r="CN14" i="88"/>
  <c r="CO14" i="88" s="1"/>
  <c r="CL14" i="88"/>
  <c r="CG14" i="88"/>
  <c r="CD14" i="88"/>
  <c r="BY14" i="88"/>
  <c r="BV14" i="88"/>
  <c r="BQ14" i="88"/>
  <c r="BN14" i="88"/>
  <c r="BI14" i="88"/>
  <c r="BH14" i="88"/>
  <c r="BF14" i="88"/>
  <c r="BA14" i="88"/>
  <c r="AX14" i="88"/>
  <c r="AS14" i="88"/>
  <c r="AP14" i="88"/>
  <c r="AJ14" i="88"/>
  <c r="AI14" i="88"/>
  <c r="AH14" i="88"/>
  <c r="AE14" i="88"/>
  <c r="AD14" i="88"/>
  <c r="AC14" i="88"/>
  <c r="Y14" i="88"/>
  <c r="W14" i="88" s="1"/>
  <c r="V14" i="88"/>
  <c r="U14" i="88"/>
  <c r="S14" i="88" s="1"/>
  <c r="R14" i="88"/>
  <c r="O14" i="88"/>
  <c r="KF13" i="88"/>
  <c r="KQ13" i="88" s="1"/>
  <c r="JC13" i="88"/>
  <c r="IP13" i="88"/>
  <c r="JX13" i="88" s="1"/>
  <c r="IN13" i="88"/>
  <c r="IM13" i="88"/>
  <c r="IK13" i="88"/>
  <c r="II13" i="88"/>
  <c r="IG13" i="88"/>
  <c r="IE13" i="88"/>
  <c r="IB13" i="88"/>
  <c r="IC13" i="88" s="1"/>
  <c r="IA13" i="88"/>
  <c r="HY13" i="88"/>
  <c r="HX13" i="88"/>
  <c r="HW13" i="88"/>
  <c r="HT13" i="88"/>
  <c r="HS13" i="88"/>
  <c r="HQ13" i="88"/>
  <c r="HP13" i="88"/>
  <c r="HO13" i="88"/>
  <c r="HL13" i="88"/>
  <c r="HM13" i="88" s="1"/>
  <c r="HK13" i="88"/>
  <c r="HI13" i="88"/>
  <c r="HH13" i="88"/>
  <c r="HG13" i="88"/>
  <c r="HD13" i="88"/>
  <c r="HE13" i="88" s="1"/>
  <c r="HC13" i="88"/>
  <c r="HA13" i="88"/>
  <c r="GZ13" i="88"/>
  <c r="GY13" i="88"/>
  <c r="GV13" i="88"/>
  <c r="GW13" i="88" s="1"/>
  <c r="GU13" i="88"/>
  <c r="GS13" i="88"/>
  <c r="GR13" i="88"/>
  <c r="GQ13" i="88"/>
  <c r="EH13" i="88" s="1"/>
  <c r="GO13" i="88"/>
  <c r="GK13" i="88"/>
  <c r="GG13" i="88"/>
  <c r="GC13" i="88"/>
  <c r="FY13" i="88"/>
  <c r="FU13" i="88"/>
  <c r="FQ13" i="88"/>
  <c r="FM13" i="88"/>
  <c r="FI13" i="88"/>
  <c r="FE13" i="88"/>
  <c r="FA13" i="88"/>
  <c r="EW13" i="88"/>
  <c r="EO13" i="88"/>
  <c r="EN13" i="88"/>
  <c r="EM13" i="88"/>
  <c r="EI13" i="88"/>
  <c r="EG13" i="88"/>
  <c r="EF13" i="88"/>
  <c r="EA13" i="88"/>
  <c r="EA133" i="88" s="1"/>
  <c r="DX13" i="88"/>
  <c r="DX133" i="88" s="1"/>
  <c r="DU13" i="88"/>
  <c r="DR13" i="88"/>
  <c r="DK13" i="88"/>
  <c r="DM13" i="88" s="1"/>
  <c r="DH13" i="88"/>
  <c r="DJ13" i="88" s="1"/>
  <c r="DE13" i="88"/>
  <c r="DB13" i="88"/>
  <c r="CU13" i="88"/>
  <c r="CU133" i="88" s="1"/>
  <c r="CR13" i="88"/>
  <c r="CR133" i="88" s="1"/>
  <c r="CN13" i="88"/>
  <c r="CN133" i="88" s="1"/>
  <c r="CM13" i="88"/>
  <c r="JT13" i="88" s="1"/>
  <c r="CL13" i="88"/>
  <c r="CK13" i="88"/>
  <c r="CJ13" i="88"/>
  <c r="AD13" i="88" s="1"/>
  <c r="CG13" i="88"/>
  <c r="CD13" i="88"/>
  <c r="BY13" i="88"/>
  <c r="BV13" i="88"/>
  <c r="BQ13" i="88"/>
  <c r="BN13" i="88"/>
  <c r="BI13" i="88"/>
  <c r="BF13" i="88"/>
  <c r="BA13" i="88"/>
  <c r="AX13" i="88"/>
  <c r="AS13" i="88"/>
  <c r="AP13" i="88"/>
  <c r="AJ13" i="88"/>
  <c r="AH13" i="88"/>
  <c r="AE13" i="88"/>
  <c r="JU13" i="88" s="1"/>
  <c r="AC13" i="88"/>
  <c r="Y13" i="88"/>
  <c r="W13" i="88" s="1"/>
  <c r="V13" i="88"/>
  <c r="U13" i="88"/>
  <c r="S13" i="88" s="1"/>
  <c r="R13" i="88"/>
  <c r="O13" i="88"/>
  <c r="KP12" i="88"/>
  <c r="KL12" i="88"/>
  <c r="KQ12" i="88" s="1"/>
  <c r="JR12" i="88"/>
  <c r="JQ12" i="88"/>
  <c r="JC12" i="88"/>
  <c r="JY12" i="88" s="1"/>
  <c r="IP12" i="88"/>
  <c r="JX12" i="88" s="1"/>
  <c r="IK12" i="88"/>
  <c r="IG12" i="88"/>
  <c r="IC12" i="88"/>
  <c r="HY12" i="88"/>
  <c r="HU12" i="88"/>
  <c r="HQ12" i="88"/>
  <c r="HM12" i="88"/>
  <c r="HI12" i="88"/>
  <c r="HE12" i="88"/>
  <c r="HD12" i="88"/>
  <c r="HC12" i="88"/>
  <c r="GZ12" i="88"/>
  <c r="HA12" i="88" s="1"/>
  <c r="GY12" i="88"/>
  <c r="GW12" i="88"/>
  <c r="GV12" i="88"/>
  <c r="GU12" i="88"/>
  <c r="GR12" i="88"/>
  <c r="GS12" i="88" s="1"/>
  <c r="GQ12" i="88"/>
  <c r="GO12" i="88"/>
  <c r="GN12" i="88"/>
  <c r="GM12" i="88"/>
  <c r="GJ12" i="88"/>
  <c r="GK12" i="88" s="1"/>
  <c r="GI12" i="88"/>
  <c r="GG12" i="88"/>
  <c r="GF12" i="88"/>
  <c r="GE12" i="88"/>
  <c r="GB12" i="88"/>
  <c r="GC12" i="88" s="1"/>
  <c r="GA12" i="88"/>
  <c r="FY12" i="88"/>
  <c r="FX12" i="88"/>
  <c r="FW12" i="88"/>
  <c r="FT12" i="88"/>
  <c r="FU12" i="88" s="1"/>
  <c r="FS12" i="88"/>
  <c r="FQ12" i="88"/>
  <c r="FP12" i="88"/>
  <c r="FO12" i="88"/>
  <c r="FL12" i="88"/>
  <c r="FM12" i="88" s="1"/>
  <c r="FK12" i="88"/>
  <c r="FI12" i="88"/>
  <c r="FH12" i="88"/>
  <c r="FG12" i="88"/>
  <c r="JT12" i="88" s="1"/>
  <c r="FD12" i="88"/>
  <c r="FE12" i="88" s="1"/>
  <c r="FC12" i="88"/>
  <c r="FA12" i="88"/>
  <c r="EZ12" i="88"/>
  <c r="EY12" i="88"/>
  <c r="EO12" i="88" s="1"/>
  <c r="EV12" i="88"/>
  <c r="EI12" i="88" s="1"/>
  <c r="EU12" i="88"/>
  <c r="JS12" i="88" s="1"/>
  <c r="EP12" i="88"/>
  <c r="EN12" i="88"/>
  <c r="EM12" i="88"/>
  <c r="EG12" i="88"/>
  <c r="EF12" i="88"/>
  <c r="EC12" i="88"/>
  <c r="DZ12" i="88"/>
  <c r="DU12" i="88"/>
  <c r="DR12" i="88"/>
  <c r="DM12" i="88"/>
  <c r="DJ12" i="88"/>
  <c r="DE12" i="88"/>
  <c r="DB12" i="88"/>
  <c r="CW12" i="88"/>
  <c r="CT12" i="88"/>
  <c r="CO12" i="88"/>
  <c r="CL12" i="88"/>
  <c r="CG12" i="88"/>
  <c r="CD12" i="88"/>
  <c r="BY12" i="88"/>
  <c r="BV12" i="88"/>
  <c r="BQ12" i="88"/>
  <c r="BN12" i="88"/>
  <c r="BI12" i="88"/>
  <c r="BF12" i="88"/>
  <c r="BA12" i="88"/>
  <c r="AX12" i="88"/>
  <c r="AS12" i="88"/>
  <c r="AP12" i="88"/>
  <c r="AJ12" i="88"/>
  <c r="AI12" i="88"/>
  <c r="AH12" i="88"/>
  <c r="AE12" i="88"/>
  <c r="AD12" i="88"/>
  <c r="AC12" i="88"/>
  <c r="Y12" i="88"/>
  <c r="W12" i="88" s="1"/>
  <c r="U12" i="88"/>
  <c r="S12" i="88" s="1"/>
  <c r="R12" i="88"/>
  <c r="O12" i="88"/>
  <c r="KF11" i="88"/>
  <c r="KQ11" i="88" s="1"/>
  <c r="JC11" i="88"/>
  <c r="IP11" i="88"/>
  <c r="JX11" i="88" s="1"/>
  <c r="IN11" i="88"/>
  <c r="IM11" i="88"/>
  <c r="IK11" i="88"/>
  <c r="II11" i="88"/>
  <c r="IG11" i="88"/>
  <c r="IE11" i="88"/>
  <c r="IB11" i="88"/>
  <c r="IC11" i="88" s="1"/>
  <c r="IA11" i="88"/>
  <c r="HY11" i="88"/>
  <c r="HX11" i="88"/>
  <c r="HW11" i="88"/>
  <c r="HT11" i="88"/>
  <c r="HS11" i="88"/>
  <c r="HQ11" i="88"/>
  <c r="HP11" i="88"/>
  <c r="HO11" i="88"/>
  <c r="HL11" i="88"/>
  <c r="HM11" i="88" s="1"/>
  <c r="HK11" i="88"/>
  <c r="HI11" i="88"/>
  <c r="HH11" i="88"/>
  <c r="HG11" i="88"/>
  <c r="HD11" i="88"/>
  <c r="HE11" i="88" s="1"/>
  <c r="HC11" i="88"/>
  <c r="HA11" i="88"/>
  <c r="GZ11" i="88"/>
  <c r="GY11" i="88"/>
  <c r="GV11" i="88"/>
  <c r="GW11" i="88" s="1"/>
  <c r="GU11" i="88"/>
  <c r="GS11" i="88"/>
  <c r="GR11" i="88"/>
  <c r="GQ11" i="88"/>
  <c r="GN11" i="88"/>
  <c r="GO11" i="88" s="1"/>
  <c r="GM11" i="88"/>
  <c r="GK11" i="88"/>
  <c r="GJ11" i="88"/>
  <c r="GI11" i="88"/>
  <c r="GF11" i="88"/>
  <c r="GG11" i="88" s="1"/>
  <c r="GE11" i="88"/>
  <c r="GC11" i="88"/>
  <c r="GB11" i="88"/>
  <c r="GA11" i="88"/>
  <c r="EH11" i="88" s="1"/>
  <c r="FX11" i="88"/>
  <c r="FY11" i="88" s="1"/>
  <c r="FW11" i="88"/>
  <c r="FU11" i="88"/>
  <c r="FT11" i="88"/>
  <c r="FS11" i="88"/>
  <c r="FP11" i="88"/>
  <c r="FQ11" i="88" s="1"/>
  <c r="FO11" i="88"/>
  <c r="FM11" i="88"/>
  <c r="FH11" i="88"/>
  <c r="FI11" i="88" s="1"/>
  <c r="FG11" i="88"/>
  <c r="FE11" i="88"/>
  <c r="FA11" i="88"/>
  <c r="EW11" i="88"/>
  <c r="EO11" i="88"/>
  <c r="EN11" i="88"/>
  <c r="EM11" i="88"/>
  <c r="EI11" i="88"/>
  <c r="EJ11" i="88" s="1"/>
  <c r="EG11" i="88"/>
  <c r="EF11" i="88"/>
  <c r="EC11" i="88"/>
  <c r="DZ11" i="88"/>
  <c r="DU11" i="88"/>
  <c r="DR11" i="88"/>
  <c r="DK11" i="88"/>
  <c r="DK133" i="88" s="1"/>
  <c r="DH11" i="88"/>
  <c r="DH133" i="88" s="1"/>
  <c r="DE11" i="88"/>
  <c r="DB11" i="88"/>
  <c r="CW11" i="88"/>
  <c r="CT11" i="88"/>
  <c r="CM11" i="88"/>
  <c r="CO11" i="88" s="1"/>
  <c r="CJ11" i="88"/>
  <c r="CL11" i="88" s="1"/>
  <c r="CG11" i="88"/>
  <c r="CD11" i="88"/>
  <c r="BW11" i="88"/>
  <c r="BW133" i="88" s="1"/>
  <c r="BT11" i="88"/>
  <c r="BT133" i="88" s="1"/>
  <c r="BO11" i="88"/>
  <c r="JT11" i="88" s="1"/>
  <c r="BL11" i="88"/>
  <c r="BN11" i="88" s="1"/>
  <c r="BI11" i="88"/>
  <c r="BF11" i="88"/>
  <c r="BA11" i="88"/>
  <c r="AX11" i="88"/>
  <c r="AS11" i="88"/>
  <c r="AP11" i="88"/>
  <c r="AJ11" i="88"/>
  <c r="AH11" i="88"/>
  <c r="AE11" i="88"/>
  <c r="AC11" i="88"/>
  <c r="Y11" i="88"/>
  <c r="W11" i="88" s="1"/>
  <c r="V11" i="88"/>
  <c r="U11" i="88"/>
  <c r="S11" i="88" s="1"/>
  <c r="O11" i="88"/>
  <c r="KQ10" i="88"/>
  <c r="KL10" i="88"/>
  <c r="JT10" i="88"/>
  <c r="JS10" i="88"/>
  <c r="JC10" i="88"/>
  <c r="JY10" i="88" s="1"/>
  <c r="IP10" i="88"/>
  <c r="JX10" i="88" s="1"/>
  <c r="IK10" i="88"/>
  <c r="IG10" i="88"/>
  <c r="IC10" i="88"/>
  <c r="HY10" i="88"/>
  <c r="HU10" i="88"/>
  <c r="HQ10" i="88"/>
  <c r="HM10" i="88"/>
  <c r="HI10" i="88"/>
  <c r="HE10" i="88"/>
  <c r="HA10" i="88"/>
  <c r="GW10" i="88"/>
  <c r="GS10" i="88"/>
  <c r="GO10" i="88"/>
  <c r="GK10" i="88"/>
  <c r="GG10" i="88"/>
  <c r="GC10" i="88"/>
  <c r="FY10" i="88"/>
  <c r="FU10" i="88"/>
  <c r="FQ10" i="88"/>
  <c r="FM10" i="88"/>
  <c r="FI10" i="88"/>
  <c r="FE10" i="88"/>
  <c r="FA10" i="88"/>
  <c r="EW10" i="88"/>
  <c r="EP10" i="88"/>
  <c r="EO10" i="88"/>
  <c r="EN10" i="88"/>
  <c r="EM10" i="88"/>
  <c r="EI10" i="88"/>
  <c r="EH10" i="88"/>
  <c r="EG10" i="88"/>
  <c r="EF10" i="88"/>
  <c r="EC10" i="88"/>
  <c r="DZ10" i="88"/>
  <c r="DU10" i="88"/>
  <c r="DR10" i="88"/>
  <c r="DM10" i="88"/>
  <c r="DJ10" i="88"/>
  <c r="DE10" i="88"/>
  <c r="DB10" i="88"/>
  <c r="CW10" i="88"/>
  <c r="CT10" i="88"/>
  <c r="CO10" i="88"/>
  <c r="CL10" i="88"/>
  <c r="CG10" i="88"/>
  <c r="CD10" i="88"/>
  <c r="BY10" i="88"/>
  <c r="BV10" i="88"/>
  <c r="BQ10" i="88"/>
  <c r="BN10" i="88"/>
  <c r="BI10" i="88"/>
  <c r="BF10" i="88"/>
  <c r="BA10" i="88"/>
  <c r="AX10" i="88"/>
  <c r="AS10" i="88"/>
  <c r="AP10" i="88"/>
  <c r="AJ10" i="88"/>
  <c r="AI10" i="88"/>
  <c r="AH10" i="88"/>
  <c r="AE10" i="88"/>
  <c r="AD10" i="88"/>
  <c r="AC10" i="88"/>
  <c r="Y10" i="88"/>
  <c r="W10" i="88" s="1"/>
  <c r="U10" i="88"/>
  <c r="S10" i="88" s="1"/>
  <c r="O10" i="88"/>
  <c r="KQ9" i="88"/>
  <c r="JT9" i="88"/>
  <c r="JS9" i="88"/>
  <c r="JC9" i="88"/>
  <c r="JY9" i="88" s="1"/>
  <c r="IP9" i="88"/>
  <c r="JX9" i="88" s="1"/>
  <c r="IK9" i="88"/>
  <c r="IG9" i="88"/>
  <c r="IC9" i="88"/>
  <c r="HY9" i="88"/>
  <c r="HU9" i="88"/>
  <c r="HQ9" i="88"/>
  <c r="HM9" i="88"/>
  <c r="HI9" i="88"/>
  <c r="HE9" i="88"/>
  <c r="HA9" i="88"/>
  <c r="GW9" i="88"/>
  <c r="GS9" i="88"/>
  <c r="GO9" i="88"/>
  <c r="GK9" i="88"/>
  <c r="GG9" i="88"/>
  <c r="GC9" i="88"/>
  <c r="FY9" i="88"/>
  <c r="FU9" i="88"/>
  <c r="FQ9" i="88"/>
  <c r="FM9" i="88"/>
  <c r="FI9" i="88"/>
  <c r="FE9" i="88"/>
  <c r="FA9" i="88"/>
  <c r="EW9" i="88"/>
  <c r="EP9" i="88"/>
  <c r="EQ9" i="88" s="1"/>
  <c r="EO9" i="88"/>
  <c r="EN9" i="88"/>
  <c r="EM9" i="88"/>
  <c r="EI9" i="88"/>
  <c r="EH9" i="88"/>
  <c r="EG9" i="88"/>
  <c r="EF9" i="88"/>
  <c r="EC9" i="88"/>
  <c r="DZ9" i="88"/>
  <c r="DU9" i="88"/>
  <c r="DR9" i="88"/>
  <c r="DM9" i="88"/>
  <c r="DJ9" i="88"/>
  <c r="DE9" i="88"/>
  <c r="DB9" i="88"/>
  <c r="CW9" i="88"/>
  <c r="CT9" i="88"/>
  <c r="CO9" i="88"/>
  <c r="CL9" i="88"/>
  <c r="CG9" i="88"/>
  <c r="CD9" i="88"/>
  <c r="BY9" i="88"/>
  <c r="BV9" i="88"/>
  <c r="BQ9" i="88"/>
  <c r="BN9" i="88"/>
  <c r="BI9" i="88"/>
  <c r="BF9" i="88"/>
  <c r="BA9" i="88"/>
  <c r="AX9" i="88"/>
  <c r="AS9" i="88"/>
  <c r="AP9" i="88"/>
  <c r="AJ9" i="88"/>
  <c r="AI9" i="88"/>
  <c r="AH9" i="88"/>
  <c r="AE9" i="88"/>
  <c r="AD9" i="88"/>
  <c r="AC9" i="88"/>
  <c r="Y9" i="88"/>
  <c r="W9" i="88" s="1"/>
  <c r="U9" i="88"/>
  <c r="S9" i="88" s="1"/>
  <c r="O9" i="88"/>
  <c r="KL8" i="88"/>
  <c r="KQ8" i="88" s="1"/>
  <c r="JT8" i="88"/>
  <c r="JS8" i="88"/>
  <c r="JC8" i="88"/>
  <c r="JY8" i="88" s="1"/>
  <c r="IP8" i="88"/>
  <c r="JX8" i="88" s="1"/>
  <c r="IK8" i="88"/>
  <c r="IG8" i="88"/>
  <c r="IC8" i="88"/>
  <c r="HY8" i="88"/>
  <c r="HU8" i="88"/>
  <c r="HQ8" i="88"/>
  <c r="HM8" i="88"/>
  <c r="HI8" i="88"/>
  <c r="HE8" i="88"/>
  <c r="HA8" i="88"/>
  <c r="GW8" i="88"/>
  <c r="GS8" i="88"/>
  <c r="GO8" i="88"/>
  <c r="GK8" i="88"/>
  <c r="GG8" i="88"/>
  <c r="GC8" i="88"/>
  <c r="FY8" i="88"/>
  <c r="FU8" i="88"/>
  <c r="FQ8" i="88"/>
  <c r="FM8" i="88"/>
  <c r="FI8" i="88"/>
  <c r="FE8" i="88"/>
  <c r="FA8" i="88"/>
  <c r="EW8" i="88"/>
  <c r="EP8" i="88"/>
  <c r="EO8" i="88"/>
  <c r="EN8" i="88"/>
  <c r="EM8" i="88"/>
  <c r="EI8" i="88"/>
  <c r="EH8" i="88"/>
  <c r="EG8" i="88"/>
  <c r="EF8" i="88"/>
  <c r="EC8" i="88"/>
  <c r="DZ8" i="88"/>
  <c r="DU8" i="88"/>
  <c r="DR8" i="88"/>
  <c r="DM8" i="88"/>
  <c r="DJ8" i="88"/>
  <c r="DE8" i="88"/>
  <c r="DB8" i="88"/>
  <c r="CW8" i="88"/>
  <c r="CT8" i="88"/>
  <c r="CO8" i="88"/>
  <c r="CL8" i="88"/>
  <c r="CG8" i="88"/>
  <c r="CD8" i="88"/>
  <c r="BY8" i="88"/>
  <c r="BV8" i="88"/>
  <c r="BQ8" i="88"/>
  <c r="BN8" i="88"/>
  <c r="BI8" i="88"/>
  <c r="BF8" i="88"/>
  <c r="BA8" i="88"/>
  <c r="AX8" i="88"/>
  <c r="AS8" i="88"/>
  <c r="AP8" i="88"/>
  <c r="AJ8" i="88"/>
  <c r="AI8" i="88"/>
  <c r="AH8" i="88"/>
  <c r="AE8" i="88"/>
  <c r="AD8" i="88"/>
  <c r="AC8" i="88"/>
  <c r="Y8" i="88"/>
  <c r="W8" i="88" s="1"/>
  <c r="U8" i="88"/>
  <c r="S8" i="88" s="1"/>
  <c r="O8" i="88"/>
  <c r="KL7" i="88"/>
  <c r="KQ7" i="88" s="1"/>
  <c r="JT7" i="88"/>
  <c r="JS7" i="88"/>
  <c r="JC7" i="88"/>
  <c r="JY7" i="88" s="1"/>
  <c r="IP7" i="88"/>
  <c r="JX7" i="88" s="1"/>
  <c r="IK7" i="88"/>
  <c r="IG7" i="88"/>
  <c r="IC7" i="88"/>
  <c r="HY7" i="88"/>
  <c r="HU7" i="88"/>
  <c r="HQ7" i="88"/>
  <c r="HM7" i="88"/>
  <c r="HI7" i="88"/>
  <c r="HE7" i="88"/>
  <c r="HA7" i="88"/>
  <c r="GW7" i="88"/>
  <c r="GS7" i="88"/>
  <c r="GO7" i="88"/>
  <c r="GK7" i="88"/>
  <c r="GG7" i="88"/>
  <c r="GC7" i="88"/>
  <c r="FY7" i="88"/>
  <c r="FU7" i="88"/>
  <c r="FQ7" i="88"/>
  <c r="FM7" i="88"/>
  <c r="FI7" i="88"/>
  <c r="FE7" i="88"/>
  <c r="FA7" i="88"/>
  <c r="EW7" i="88"/>
  <c r="EP7" i="88"/>
  <c r="EO7" i="88"/>
  <c r="EN7" i="88"/>
  <c r="EM7" i="88"/>
  <c r="EI7" i="88"/>
  <c r="EH7" i="88"/>
  <c r="EG7" i="88"/>
  <c r="EF7" i="88"/>
  <c r="EC7" i="88"/>
  <c r="DU7" i="88"/>
  <c r="DM7" i="88"/>
  <c r="DE7" i="88"/>
  <c r="CW7" i="88"/>
  <c r="CO7" i="88"/>
  <c r="CL7" i="88"/>
  <c r="CG7" i="88"/>
  <c r="BY7" i="88"/>
  <c r="BQ7" i="88"/>
  <c r="BI7" i="88"/>
  <c r="BA7" i="88"/>
  <c r="AJ7" i="88"/>
  <c r="AI7" i="88"/>
  <c r="AH7" i="88"/>
  <c r="AE7" i="88"/>
  <c r="AD7" i="88"/>
  <c r="AC7" i="88"/>
  <c r="Y7" i="88"/>
  <c r="W7" i="88" s="1"/>
  <c r="U7" i="88"/>
  <c r="S7" i="88" s="1"/>
  <c r="O7" i="88"/>
  <c r="KM6" i="88"/>
  <c r="KF6" i="88"/>
  <c r="KF133" i="88" s="1"/>
  <c r="JR6" i="88"/>
  <c r="JQ6" i="88"/>
  <c r="JC6" i="88"/>
  <c r="JY6" i="88" s="1"/>
  <c r="IP6" i="88"/>
  <c r="IN6" i="88"/>
  <c r="IM6" i="88"/>
  <c r="IK6" i="88"/>
  <c r="IJ6" i="88"/>
  <c r="IJ133" i="88" s="1"/>
  <c r="II6" i="88"/>
  <c r="IF6" i="88"/>
  <c r="IF133" i="88" s="1"/>
  <c r="IE6" i="88"/>
  <c r="IC6" i="88"/>
  <c r="IB6" i="88"/>
  <c r="IB133" i="88" s="1"/>
  <c r="IA6" i="88"/>
  <c r="HX6" i="88"/>
  <c r="HX133" i="88" s="1"/>
  <c r="HW6" i="88"/>
  <c r="HU6" i="88"/>
  <c r="HT6" i="88"/>
  <c r="HS6" i="88"/>
  <c r="HP6" i="88"/>
  <c r="JX6" i="88" s="1"/>
  <c r="HO6" i="88"/>
  <c r="HM6" i="88"/>
  <c r="HL6" i="88"/>
  <c r="HK6" i="88"/>
  <c r="HH6" i="88"/>
  <c r="HI6" i="88" s="1"/>
  <c r="KA6" i="88" s="1"/>
  <c r="KD6" i="88" s="1"/>
  <c r="HG6" i="88"/>
  <c r="HE6" i="88"/>
  <c r="HD6" i="88"/>
  <c r="HC6" i="88"/>
  <c r="GZ6" i="88"/>
  <c r="HA6" i="88" s="1"/>
  <c r="GY6" i="88"/>
  <c r="GW6" i="88"/>
  <c r="GV6" i="88"/>
  <c r="GU6" i="88"/>
  <c r="GR6" i="88"/>
  <c r="GS6" i="88" s="1"/>
  <c r="GQ6" i="88"/>
  <c r="GO6" i="88"/>
  <c r="GN6" i="88"/>
  <c r="GM6" i="88"/>
  <c r="GJ6" i="88"/>
  <c r="GK6" i="88" s="1"/>
  <c r="GI6" i="88"/>
  <c r="GG6" i="88"/>
  <c r="GF6" i="88"/>
  <c r="GE6" i="88"/>
  <c r="GB6" i="88"/>
  <c r="GC6" i="88" s="1"/>
  <c r="GA6" i="88"/>
  <c r="FY6" i="88"/>
  <c r="FX6" i="88"/>
  <c r="FW6" i="88"/>
  <c r="FT6" i="88"/>
  <c r="FU6" i="88" s="1"/>
  <c r="FS6" i="88"/>
  <c r="FQ6" i="88"/>
  <c r="FP6" i="88"/>
  <c r="FO6" i="88"/>
  <c r="FL6" i="88"/>
  <c r="FM6" i="88" s="1"/>
  <c r="FK6" i="88"/>
  <c r="FI6" i="88"/>
  <c r="FH6" i="88"/>
  <c r="FG6" i="88"/>
  <c r="FD6" i="88"/>
  <c r="FE6" i="88" s="1"/>
  <c r="FC6" i="88"/>
  <c r="FA6" i="88"/>
  <c r="EZ6" i="88"/>
  <c r="EY6" i="88"/>
  <c r="EO6" i="88" s="1"/>
  <c r="ER6" i="88" s="1"/>
  <c r="EV6" i="88"/>
  <c r="EW6" i="88" s="1"/>
  <c r="EU6" i="88"/>
  <c r="EP6" i="88"/>
  <c r="EN6" i="88"/>
  <c r="EM6" i="88"/>
  <c r="EI6" i="88"/>
  <c r="EH6" i="88"/>
  <c r="EG6" i="88"/>
  <c r="EF6" i="88"/>
  <c r="EC6" i="88"/>
  <c r="DZ6" i="88"/>
  <c r="DU6" i="88"/>
  <c r="DS6" i="88"/>
  <c r="DS133" i="88" s="1"/>
  <c r="DR6" i="88"/>
  <c r="DP6" i="88"/>
  <c r="DP133" i="88" s="1"/>
  <c r="DM6" i="88"/>
  <c r="DJ6" i="88"/>
  <c r="DE6" i="88"/>
  <c r="DC6" i="88"/>
  <c r="DC133" i="88" s="1"/>
  <c r="DB6" i="88"/>
  <c r="CZ6" i="88"/>
  <c r="CZ133" i="88" s="1"/>
  <c r="CW6" i="88"/>
  <c r="CT6" i="88"/>
  <c r="CO6" i="88"/>
  <c r="CM6" i="88"/>
  <c r="CM133" i="88" s="1"/>
  <c r="CL6" i="88"/>
  <c r="CJ6" i="88"/>
  <c r="CJ133" i="88" s="1"/>
  <c r="CG6" i="88"/>
  <c r="CE6" i="88"/>
  <c r="CE133" i="88" s="1"/>
  <c r="CD6" i="88"/>
  <c r="BY6" i="88"/>
  <c r="BV6" i="88"/>
  <c r="BO6" i="88"/>
  <c r="BO133" i="88" s="1"/>
  <c r="BL6" i="88"/>
  <c r="BI6" i="88"/>
  <c r="BF6" i="88"/>
  <c r="BF138" i="88" s="1"/>
  <c r="BA6" i="88"/>
  <c r="AX6" i="88"/>
  <c r="AR6" i="88"/>
  <c r="AS6" i="88" s="1"/>
  <c r="AP6" i="88"/>
  <c r="AI6" i="88"/>
  <c r="AE6" i="88"/>
  <c r="AD6" i="88"/>
  <c r="AF6" i="88" s="1"/>
  <c r="Y6" i="88"/>
  <c r="W6" i="88" s="1"/>
  <c r="V6" i="88"/>
  <c r="U6" i="88"/>
  <c r="S6" i="88"/>
  <c r="R6" i="88"/>
  <c r="O6" i="88"/>
  <c r="KP5" i="88"/>
  <c r="KP133" i="88" s="1"/>
  <c r="KN5" i="88"/>
  <c r="KN133" i="88" s="1"/>
  <c r="KM5" i="88"/>
  <c r="KM133" i="88" s="1"/>
  <c r="JR5" i="88"/>
  <c r="JR133" i="88" s="1"/>
  <c r="JQ5" i="88"/>
  <c r="JQ133" i="88" s="1"/>
  <c r="JC5" i="88"/>
  <c r="JY5" i="88" s="1"/>
  <c r="IP5" i="88"/>
  <c r="IN5" i="88"/>
  <c r="IN133" i="88" s="1"/>
  <c r="IM5" i="88"/>
  <c r="IM133" i="88" s="1"/>
  <c r="IK5" i="88"/>
  <c r="II5" i="88"/>
  <c r="II133" i="88" s="1"/>
  <c r="IG5" i="88"/>
  <c r="IE5" i="88"/>
  <c r="IE133" i="88" s="1"/>
  <c r="IC5" i="88"/>
  <c r="IA5" i="88"/>
  <c r="IA133" i="88" s="1"/>
  <c r="HY5" i="88"/>
  <c r="HW5" i="88"/>
  <c r="HW133" i="88" s="1"/>
  <c r="HU5" i="88"/>
  <c r="HT5" i="88"/>
  <c r="HT133" i="88" s="1"/>
  <c r="HS5" i="88"/>
  <c r="HS133" i="88" s="1"/>
  <c r="HP5" i="88"/>
  <c r="HP133" i="88" s="1"/>
  <c r="HO5" i="88"/>
  <c r="HO133" i="88" s="1"/>
  <c r="HL5" i="88"/>
  <c r="HL133" i="88" s="1"/>
  <c r="HK5" i="88"/>
  <c r="HK133" i="88" s="1"/>
  <c r="HH5" i="88"/>
  <c r="HH133" i="88" s="1"/>
  <c r="HG5" i="88"/>
  <c r="HG133" i="88" s="1"/>
  <c r="HE5" i="88"/>
  <c r="HD5" i="88"/>
  <c r="HD133" i="88" s="1"/>
  <c r="HC5" i="88"/>
  <c r="HC133" i="88" s="1"/>
  <c r="GZ5" i="88"/>
  <c r="GZ133" i="88" s="1"/>
  <c r="GY5" i="88"/>
  <c r="GY133" i="88" s="1"/>
  <c r="GW5" i="88"/>
  <c r="GV5" i="88"/>
  <c r="GV133" i="88" s="1"/>
  <c r="GU5" i="88"/>
  <c r="GU133" i="88" s="1"/>
  <c r="GR5" i="88"/>
  <c r="GR133" i="88" s="1"/>
  <c r="GQ5" i="88"/>
  <c r="GQ133" i="88" s="1"/>
  <c r="GO5" i="88"/>
  <c r="GN5" i="88"/>
  <c r="GN133" i="88" s="1"/>
  <c r="GM5" i="88"/>
  <c r="GM133" i="88" s="1"/>
  <c r="GJ5" i="88"/>
  <c r="GJ133" i="88" s="1"/>
  <c r="GI5" i="88"/>
  <c r="GI133" i="88" s="1"/>
  <c r="GG5" i="88"/>
  <c r="GF5" i="88"/>
  <c r="GF133" i="88" s="1"/>
  <c r="GE5" i="88"/>
  <c r="GE133" i="88" s="1"/>
  <c r="GB5" i="88"/>
  <c r="GB133" i="88" s="1"/>
  <c r="GA5" i="88"/>
  <c r="GA133" i="88" s="1"/>
  <c r="FY5" i="88"/>
  <c r="FX5" i="88"/>
  <c r="FX133" i="88" s="1"/>
  <c r="FW5" i="88"/>
  <c r="FW133" i="88" s="1"/>
  <c r="FT5" i="88"/>
  <c r="FT133" i="88" s="1"/>
  <c r="FS5" i="88"/>
  <c r="FS133" i="88" s="1"/>
  <c r="FQ5" i="88"/>
  <c r="FP5" i="88"/>
  <c r="FP133" i="88" s="1"/>
  <c r="FO5" i="88"/>
  <c r="FO133" i="88" s="1"/>
  <c r="FL5" i="88"/>
  <c r="FL133" i="88" s="1"/>
  <c r="FK5" i="88"/>
  <c r="FK133" i="88" s="1"/>
  <c r="FI5" i="88"/>
  <c r="FH5" i="88"/>
  <c r="FH133" i="88" s="1"/>
  <c r="FG5" i="88"/>
  <c r="FG133" i="88" s="1"/>
  <c r="FD5" i="88"/>
  <c r="FD133" i="88" s="1"/>
  <c r="FC5" i="88"/>
  <c r="FC133" i="88" s="1"/>
  <c r="FA5" i="88"/>
  <c r="EZ5" i="88"/>
  <c r="EZ133" i="88" s="1"/>
  <c r="EY5" i="88"/>
  <c r="EY133" i="88" s="1"/>
  <c r="EV5" i="88"/>
  <c r="EV133" i="88" s="1"/>
  <c r="EU5" i="88"/>
  <c r="EU133" i="88" s="1"/>
  <c r="EP5" i="88"/>
  <c r="ER5" i="88" s="1"/>
  <c r="EO5" i="88"/>
  <c r="EN5" i="88"/>
  <c r="EM5" i="88"/>
  <c r="EI5" i="88"/>
  <c r="EG5" i="88"/>
  <c r="EF5" i="88"/>
  <c r="EC5" i="88"/>
  <c r="DZ5" i="88"/>
  <c r="DU5" i="88"/>
  <c r="DR5" i="88"/>
  <c r="DM5" i="88"/>
  <c r="DJ5" i="88"/>
  <c r="DE5" i="88"/>
  <c r="DB5" i="88"/>
  <c r="CW5" i="88"/>
  <c r="CT5" i="88"/>
  <c r="CO5" i="88"/>
  <c r="CK5" i="88"/>
  <c r="CL5" i="88" s="1"/>
  <c r="CG5" i="88"/>
  <c r="CD5" i="88"/>
  <c r="BY5" i="88"/>
  <c r="BV5" i="88"/>
  <c r="BQ5" i="88"/>
  <c r="BN5" i="88"/>
  <c r="BH5" i="88"/>
  <c r="BH133" i="88" s="1"/>
  <c r="BE5" i="88"/>
  <c r="BE133" i="88" s="1"/>
  <c r="BA5" i="88"/>
  <c r="AX5" i="88"/>
  <c r="AR5" i="88"/>
  <c r="AR133" i="88" s="1"/>
  <c r="AO5" i="88"/>
  <c r="AO133" i="88" s="1"/>
  <c r="AJ5" i="88"/>
  <c r="AI5" i="88"/>
  <c r="AH5" i="88"/>
  <c r="AE5" i="88"/>
  <c r="AD5" i="88"/>
  <c r="AC5" i="88"/>
  <c r="Y5" i="88"/>
  <c r="I139" i="88" s="1"/>
  <c r="I141" i="88" s="1"/>
  <c r="J141" i="88" s="1"/>
  <c r="V5" i="88"/>
  <c r="U5" i="88"/>
  <c r="S5" i="88" s="1"/>
  <c r="R5" i="88"/>
  <c r="O5" i="88"/>
  <c r="D5" i="88"/>
  <c r="D133" i="88" s="1"/>
  <c r="KQ4" i="88"/>
  <c r="KL4" i="88"/>
  <c r="KL133" i="88" s="1"/>
  <c r="JT4" i="88"/>
  <c r="JS4" i="88"/>
  <c r="JC4" i="88"/>
  <c r="JY4" i="88" s="1"/>
  <c r="IP4" i="88"/>
  <c r="JX4" i="88" s="1"/>
  <c r="IK4" i="88"/>
  <c r="IG4" i="88"/>
  <c r="IC4" i="88"/>
  <c r="HY4" i="88"/>
  <c r="HU4" i="88"/>
  <c r="HQ4" i="88"/>
  <c r="HM4" i="88"/>
  <c r="HI4" i="88"/>
  <c r="HE4" i="88"/>
  <c r="HA4" i="88"/>
  <c r="GW4" i="88"/>
  <c r="GS4" i="88"/>
  <c r="GO4" i="88"/>
  <c r="GK4" i="88"/>
  <c r="GG4" i="88"/>
  <c r="GC4" i="88"/>
  <c r="FY4" i="88"/>
  <c r="FU4" i="88"/>
  <c r="FQ4" i="88"/>
  <c r="FM4" i="88"/>
  <c r="FI4" i="88"/>
  <c r="FE4" i="88"/>
  <c r="FA4" i="88"/>
  <c r="EW4" i="88"/>
  <c r="EP4" i="88"/>
  <c r="EO4" i="88"/>
  <c r="EN4" i="88"/>
  <c r="EM4" i="88"/>
  <c r="EI4" i="88"/>
  <c r="EH4" i="88"/>
  <c r="EG4" i="88"/>
  <c r="EF4" i="88"/>
  <c r="EC4" i="88"/>
  <c r="DZ4" i="88"/>
  <c r="DU4" i="88"/>
  <c r="DR4" i="88"/>
  <c r="DM4" i="88"/>
  <c r="DJ4" i="88"/>
  <c r="DE4" i="88"/>
  <c r="DB4" i="88"/>
  <c r="CW4" i="88"/>
  <c r="CT4" i="88"/>
  <c r="CO4" i="88"/>
  <c r="CL4" i="88"/>
  <c r="CG4" i="88"/>
  <c r="CD4" i="88"/>
  <c r="BY4" i="88"/>
  <c r="BV4" i="88"/>
  <c r="BQ4" i="88"/>
  <c r="BN4" i="88"/>
  <c r="BI4" i="88"/>
  <c r="BF4" i="88"/>
  <c r="BA4" i="88"/>
  <c r="AX4" i="88"/>
  <c r="AS4" i="88"/>
  <c r="AP4" i="88"/>
  <c r="AJ4" i="88"/>
  <c r="AI4" i="88"/>
  <c r="AH4" i="88"/>
  <c r="AE4" i="88"/>
  <c r="AD4" i="88"/>
  <c r="AC4" i="88"/>
  <c r="Y4" i="88"/>
  <c r="U4" i="88"/>
  <c r="R4" i="88"/>
  <c r="O4" i="88"/>
  <c r="ER7" i="88" l="1"/>
  <c r="JV8" i="88"/>
  <c r="EQ8" i="88"/>
  <c r="KA9" i="88"/>
  <c r="KD9" i="88" s="1"/>
  <c r="AK10" i="88"/>
  <c r="JY14" i="88"/>
  <c r="ER25" i="88"/>
  <c r="AK26" i="88"/>
  <c r="KA27" i="88"/>
  <c r="KD27" i="88" s="1"/>
  <c r="AF39" i="88"/>
  <c r="KA54" i="88"/>
  <c r="KD54" i="88" s="1"/>
  <c r="JY54" i="88"/>
  <c r="AF57" i="88"/>
  <c r="AF64" i="88"/>
  <c r="AK67" i="88"/>
  <c r="JV68" i="88"/>
  <c r="AF71" i="88"/>
  <c r="JX87" i="88"/>
  <c r="JX102" i="88"/>
  <c r="JY105" i="88"/>
  <c r="AF106" i="88"/>
  <c r="EJ106" i="88"/>
  <c r="JY109" i="88"/>
  <c r="EJ111" i="88"/>
  <c r="EQ120" i="88"/>
  <c r="AF124" i="88"/>
  <c r="EJ23" i="88"/>
  <c r="ER23" i="88"/>
  <c r="ER29" i="88"/>
  <c r="EJ43" i="88"/>
  <c r="EK47" i="88"/>
  <c r="JX47" i="88"/>
  <c r="EJ65" i="88"/>
  <c r="ER96" i="88"/>
  <c r="EJ101" i="88"/>
  <c r="KA104" i="88"/>
  <c r="KD104" i="88" s="1"/>
  <c r="KA109" i="88"/>
  <c r="KD109" i="88" s="1"/>
  <c r="JY111" i="88"/>
  <c r="EJ112" i="88"/>
  <c r="AK120" i="88"/>
  <c r="AK123" i="88"/>
  <c r="EK123" i="88"/>
  <c r="KA124" i="88"/>
  <c r="KD124" i="88" s="1"/>
  <c r="EK125" i="88"/>
  <c r="JV132" i="88"/>
  <c r="G139" i="88"/>
  <c r="G141" i="88" s="1"/>
  <c r="H141" i="88" s="1"/>
  <c r="T141" i="88" s="1"/>
  <c r="AF4" i="88"/>
  <c r="ER9" i="88"/>
  <c r="KA12" i="88"/>
  <c r="KD12" i="88" s="1"/>
  <c r="EK15" i="88"/>
  <c r="EK18" i="88"/>
  <c r="EQ18" i="88"/>
  <c r="AF48" i="88"/>
  <c r="JV48" i="88"/>
  <c r="EK48" i="88"/>
  <c r="AF63" i="88"/>
  <c r="AF65" i="88"/>
  <c r="JY66" i="88"/>
  <c r="KA74" i="88"/>
  <c r="KD74" i="88" s="1"/>
  <c r="EK75" i="88"/>
  <c r="EQ75" i="88"/>
  <c r="KA76" i="88"/>
  <c r="KD76" i="88" s="1"/>
  <c r="AF79" i="88"/>
  <c r="AK80" i="88"/>
  <c r="ER80" i="88"/>
  <c r="ER95" i="88"/>
  <c r="EJ96" i="88"/>
  <c r="AK98" i="88"/>
  <c r="EJ102" i="88"/>
  <c r="JY106" i="88"/>
  <c r="EJ109" i="88"/>
  <c r="ER110" i="88"/>
  <c r="AF114" i="88"/>
  <c r="V27" i="1"/>
  <c r="AH7" i="1"/>
  <c r="AK7" i="88"/>
  <c r="EK7" i="88"/>
  <c r="EK10" i="88"/>
  <c r="AF10" i="88"/>
  <c r="ER8" i="88"/>
  <c r="EQ7" i="88"/>
  <c r="KA8" i="88"/>
  <c r="KD8" i="88" s="1"/>
  <c r="EQ10" i="88"/>
  <c r="KA10" i="88"/>
  <c r="KD10" i="88" s="1"/>
  <c r="AK4" i="88"/>
  <c r="EJ13" i="88"/>
  <c r="AK28" i="88"/>
  <c r="KA36" i="88"/>
  <c r="KD36" i="88" s="1"/>
  <c r="KA39" i="88"/>
  <c r="KD39" i="88" s="1"/>
  <c r="KA44" i="88"/>
  <c r="KD44" i="88" s="1"/>
  <c r="AK45" i="88"/>
  <c r="AF38" i="88"/>
  <c r="EJ40" i="88"/>
  <c r="KA40" i="88"/>
  <c r="KD40" i="88" s="1"/>
  <c r="ER59" i="88"/>
  <c r="AK51" i="88"/>
  <c r="KA53" i="88"/>
  <c r="KD53" i="88" s="1"/>
  <c r="KA56" i="88"/>
  <c r="KD56" i="88" s="1"/>
  <c r="EK57" i="88"/>
  <c r="KA59" i="88"/>
  <c r="KD59" i="88" s="1"/>
  <c r="EJ61" i="88"/>
  <c r="EQ73" i="88"/>
  <c r="JX69" i="88"/>
  <c r="JU69" i="88" s="1"/>
  <c r="KA79" i="88"/>
  <c r="KD79" i="88" s="1"/>
  <c r="JX79" i="88"/>
  <c r="JU79" i="88" s="1"/>
  <c r="AP138" i="88"/>
  <c r="KA82" i="88"/>
  <c r="KD82" i="88" s="1"/>
  <c r="KA85" i="88"/>
  <c r="KD85" i="88" s="1"/>
  <c r="AK92" i="88"/>
  <c r="AF94" i="88"/>
  <c r="EJ98" i="88"/>
  <c r="AF104" i="88"/>
  <c r="CJ137" i="88"/>
  <c r="JY127" i="88"/>
  <c r="AK129" i="88"/>
  <c r="KA132" i="88"/>
  <c r="KD132" i="88" s="1"/>
  <c r="JV70" i="88"/>
  <c r="JV105" i="88"/>
  <c r="KA107" i="88"/>
  <c r="KD107" i="88" s="1"/>
  <c r="KA108" i="88"/>
  <c r="KD108" i="88" s="1"/>
  <c r="EJ114" i="88"/>
  <c r="AF115" i="88"/>
  <c r="AK122" i="88"/>
  <c r="EK122" i="88"/>
  <c r="ER122" i="88"/>
  <c r="JX123" i="88"/>
  <c r="EQ131" i="88"/>
  <c r="AK5" i="88"/>
  <c r="EQ6" i="88"/>
  <c r="EJ7" i="88"/>
  <c r="KR7" i="88" s="1"/>
  <c r="AK9" i="88"/>
  <c r="EK9" i="88"/>
  <c r="ER10" i="88"/>
  <c r="AF14" i="88"/>
  <c r="ER20" i="88"/>
  <c r="AF21" i="88"/>
  <c r="EQ23" i="88"/>
  <c r="AF25" i="88"/>
  <c r="JU37" i="88"/>
  <c r="KA49" i="88"/>
  <c r="KD49" i="88" s="1"/>
  <c r="JX53" i="88"/>
  <c r="EK54" i="88"/>
  <c r="EK56" i="88"/>
  <c r="KA58" i="88"/>
  <c r="KD58" i="88" s="1"/>
  <c r="EK63" i="88"/>
  <c r="ER63" i="88"/>
  <c r="KA67" i="88"/>
  <c r="KD67" i="88" s="1"/>
  <c r="KA78" i="88"/>
  <c r="KD78" i="88" s="1"/>
  <c r="KA86" i="88"/>
  <c r="KD86" i="88" s="1"/>
  <c r="JU91" i="88"/>
  <c r="AF92" i="88"/>
  <c r="AK100" i="88"/>
  <c r="AF105" i="88"/>
  <c r="JX106" i="88"/>
  <c r="JU106" i="88" s="1"/>
  <c r="KD115" i="88"/>
  <c r="AF120" i="88"/>
  <c r="AF121" i="88"/>
  <c r="EK121" i="88"/>
  <c r="KA122" i="88"/>
  <c r="KD122" i="88" s="1"/>
  <c r="EJ126" i="88"/>
  <c r="KA126" i="88"/>
  <c r="KD126" i="88" s="1"/>
  <c r="ER4" i="88"/>
  <c r="AF5" i="88"/>
  <c r="EK6" i="88"/>
  <c r="EK8" i="88"/>
  <c r="JU9" i="88"/>
  <c r="EJ9" i="88"/>
  <c r="KR9" i="88" s="1"/>
  <c r="KA11" i="88"/>
  <c r="KD11" i="88" s="1"/>
  <c r="ER16" i="88"/>
  <c r="AK17" i="88"/>
  <c r="EJ25" i="88"/>
  <c r="AK32" i="88"/>
  <c r="JV39" i="88"/>
  <c r="KA46" i="88"/>
  <c r="KD46" i="88" s="1"/>
  <c r="KA47" i="88"/>
  <c r="KD47" i="88" s="1"/>
  <c r="EQ49" i="88"/>
  <c r="AK50" i="88"/>
  <c r="KA52" i="88"/>
  <c r="KD52" i="88" s="1"/>
  <c r="AK54" i="88"/>
  <c r="KA55" i="88"/>
  <c r="KD55" i="88" s="1"/>
  <c r="EQ57" i="88"/>
  <c r="EK58" i="88"/>
  <c r="AF61" i="88"/>
  <c r="KA63" i="88"/>
  <c r="KD63" i="88" s="1"/>
  <c r="EJ64" i="88"/>
  <c r="AK66" i="88"/>
  <c r="AF72" i="88"/>
  <c r="EJ82" i="88"/>
  <c r="KA83" i="88"/>
  <c r="KD83" i="88" s="1"/>
  <c r="JX86" i="88"/>
  <c r="KA87" i="88"/>
  <c r="KD87" i="88" s="1"/>
  <c r="AK97" i="88"/>
  <c r="JX103" i="88"/>
  <c r="JU103" i="88" s="1"/>
  <c r="JX105" i="88"/>
  <c r="AF109" i="88"/>
  <c r="EK109" i="88"/>
  <c r="KA110" i="88"/>
  <c r="KD110" i="88" s="1"/>
  <c r="JU111" i="88"/>
  <c r="KD114" i="88"/>
  <c r="KA116" i="88"/>
  <c r="KD116" i="88" s="1"/>
  <c r="AK128" i="88"/>
  <c r="KA7" i="88"/>
  <c r="KD7" i="88" s="1"/>
  <c r="JU8" i="88"/>
  <c r="EJ8" i="88"/>
  <c r="JU11" i="88"/>
  <c r="JY11" i="88"/>
  <c r="AF12" i="88"/>
  <c r="JX14" i="88"/>
  <c r="EJ17" i="88"/>
  <c r="KA21" i="88"/>
  <c r="KD21" i="88" s="1"/>
  <c r="EK25" i="88"/>
  <c r="KA28" i="88"/>
  <c r="KD28" i="88" s="1"/>
  <c r="EJ31" i="88"/>
  <c r="JY31" i="88"/>
  <c r="AF32" i="88"/>
  <c r="EJ33" i="88"/>
  <c r="JV36" i="88"/>
  <c r="ER37" i="88"/>
  <c r="AK42" i="88"/>
  <c r="EK43" i="88"/>
  <c r="JY44" i="88"/>
  <c r="AK48" i="88"/>
  <c r="ER48" i="88"/>
  <c r="AF50" i="88"/>
  <c r="EQ50" i="88"/>
  <c r="JX51" i="88"/>
  <c r="EJ54" i="88"/>
  <c r="JV57" i="88"/>
  <c r="ER57" i="88"/>
  <c r="JX66" i="88"/>
  <c r="AF67" i="88"/>
  <c r="AK70" i="88"/>
  <c r="EK70" i="88"/>
  <c r="KA73" i="88"/>
  <c r="KD73" i="88" s="1"/>
  <c r="AF74" i="88"/>
  <c r="AF83" i="88"/>
  <c r="ER83" i="88"/>
  <c r="AK93" i="88"/>
  <c r="JV95" i="88"/>
  <c r="AF97" i="88"/>
  <c r="KA98" i="88"/>
  <c r="KD98" i="88" s="1"/>
  <c r="AF103" i="88"/>
  <c r="KA106" i="88"/>
  <c r="KD106" i="88" s="1"/>
  <c r="EK124" i="88"/>
  <c r="JV125" i="88"/>
  <c r="AK127" i="88"/>
  <c r="KA127" i="88"/>
  <c r="KD127" i="88" s="1"/>
  <c r="JX127" i="88"/>
  <c r="EQ128" i="88"/>
  <c r="AF132" i="88"/>
  <c r="EJ132" i="88"/>
  <c r="KA123" i="88"/>
  <c r="KD123" i="88" s="1"/>
  <c r="AK125" i="88"/>
  <c r="KA125" i="88"/>
  <c r="KD125" i="88" s="1"/>
  <c r="JU125" i="88"/>
  <c r="EJ128" i="88"/>
  <c r="JU128" i="88"/>
  <c r="AF129" i="88"/>
  <c r="EQ129" i="88"/>
  <c r="AF130" i="88"/>
  <c r="EJ130" i="88"/>
  <c r="ER130" i="88"/>
  <c r="JV131" i="88"/>
  <c r="AF125" i="88"/>
  <c r="W127" i="88"/>
  <c r="KA130" i="88"/>
  <c r="KD130" i="88" s="1"/>
  <c r="JU130" i="88"/>
  <c r="KA131" i="88"/>
  <c r="KD131" i="88" s="1"/>
  <c r="JU132" i="88"/>
  <c r="KA129" i="88"/>
  <c r="KD129" i="88" s="1"/>
  <c r="JU118" i="88"/>
  <c r="EQ118" i="88"/>
  <c r="EJ121" i="88"/>
  <c r="EJ119" i="88"/>
  <c r="KA119" i="88"/>
  <c r="KD119" i="88" s="1"/>
  <c r="JU119" i="88"/>
  <c r="KA118" i="88"/>
  <c r="KD118" i="88" s="1"/>
  <c r="AK119" i="88"/>
  <c r="JV119" i="88"/>
  <c r="AK121" i="88"/>
  <c r="KA121" i="88"/>
  <c r="KD121" i="88" s="1"/>
  <c r="JU121" i="88"/>
  <c r="EQ122" i="88"/>
  <c r="JV118" i="88"/>
  <c r="JU82" i="88"/>
  <c r="JV90" i="88"/>
  <c r="AF99" i="88"/>
  <c r="IK133" i="88"/>
  <c r="V133" i="88"/>
  <c r="EJ57" i="88"/>
  <c r="JU59" i="88"/>
  <c r="JV59" i="88"/>
  <c r="KA60" i="88"/>
  <c r="KD60" i="88" s="1"/>
  <c r="JU62" i="88"/>
  <c r="EQ62" i="88"/>
  <c r="KA64" i="88"/>
  <c r="KD64" i="88" s="1"/>
  <c r="AK65" i="88"/>
  <c r="EK65" i="88"/>
  <c r="ER65" i="88"/>
  <c r="JY67" i="88"/>
  <c r="EQ68" i="88"/>
  <c r="KA69" i="88"/>
  <c r="KD69" i="88" s="1"/>
  <c r="AF70" i="88"/>
  <c r="ER73" i="88"/>
  <c r="JY73" i="88"/>
  <c r="AK74" i="88"/>
  <c r="ER75" i="88"/>
  <c r="ER77" i="88"/>
  <c r="JV79" i="88"/>
  <c r="KA80" i="88"/>
  <c r="KD80" i="88" s="1"/>
  <c r="JV81" i="88"/>
  <c r="EQ83" i="88"/>
  <c r="JU87" i="88"/>
  <c r="AK88" i="88"/>
  <c r="AK89" i="88"/>
  <c r="EK91" i="88"/>
  <c r="EK92" i="88"/>
  <c r="JV92" i="88"/>
  <c r="JU93" i="88"/>
  <c r="JV97" i="88"/>
  <c r="KA100" i="88"/>
  <c r="KD100" i="88" s="1"/>
  <c r="U133" i="88"/>
  <c r="DR133" i="88"/>
  <c r="FP140" i="88"/>
  <c r="KA57" i="88"/>
  <c r="KD57" i="88" s="1"/>
  <c r="JU57" i="88"/>
  <c r="AF59" i="88"/>
  <c r="AK59" i="88"/>
  <c r="EK59" i="88"/>
  <c r="EJ62" i="88"/>
  <c r="KR62" i="88" s="1"/>
  <c r="KA62" i="88"/>
  <c r="KD62" i="88" s="1"/>
  <c r="EQ63" i="88"/>
  <c r="JY64" i="88"/>
  <c r="KR65" i="88"/>
  <c r="JY72" i="88"/>
  <c r="JV72" i="88" s="1"/>
  <c r="EJ74" i="88"/>
  <c r="KA75" i="88"/>
  <c r="KD75" i="88" s="1"/>
  <c r="AF76" i="88"/>
  <c r="EJ76" i="88"/>
  <c r="KA77" i="88"/>
  <c r="KD77" i="88" s="1"/>
  <c r="JU80" i="88"/>
  <c r="EK83" i="88"/>
  <c r="AF84" i="88"/>
  <c r="JY87" i="88"/>
  <c r="EJ88" i="88"/>
  <c r="AF89" i="88"/>
  <c r="KA90" i="88"/>
  <c r="KD90" i="88" s="1"/>
  <c r="AF91" i="88"/>
  <c r="EJ91" i="88"/>
  <c r="ER91" i="88"/>
  <c r="ER92" i="88"/>
  <c r="JU95" i="88"/>
  <c r="JV96" i="88"/>
  <c r="EQ96" i="88"/>
  <c r="KR96" i="88" s="1"/>
  <c r="EK97" i="88"/>
  <c r="KA97" i="88"/>
  <c r="KD97" i="88" s="1"/>
  <c r="AK99" i="88"/>
  <c r="EQ100" i="88"/>
  <c r="JU114" i="88"/>
  <c r="JU126" i="88"/>
  <c r="Y133" i="88"/>
  <c r="DE133" i="88"/>
  <c r="DU133" i="88"/>
  <c r="AK56" i="88"/>
  <c r="AK58" i="88"/>
  <c r="EK62" i="88"/>
  <c r="JU63" i="88"/>
  <c r="JV63" i="88"/>
  <c r="KA65" i="88"/>
  <c r="KD65" i="88" s="1"/>
  <c r="JU65" i="88"/>
  <c r="AF66" i="88"/>
  <c r="AK68" i="88"/>
  <c r="KA70" i="88"/>
  <c r="KD70" i="88" s="1"/>
  <c r="JU71" i="88"/>
  <c r="AK72" i="88"/>
  <c r="KA72" i="88"/>
  <c r="KD72" i="88" s="1"/>
  <c r="EK74" i="88"/>
  <c r="JU75" i="88"/>
  <c r="JV75" i="88"/>
  <c r="EK76" i="88"/>
  <c r="JU77" i="88"/>
  <c r="JV77" i="88"/>
  <c r="AK79" i="88"/>
  <c r="AF80" i="88"/>
  <c r="EK80" i="88"/>
  <c r="EQ80" i="88"/>
  <c r="AK83" i="88"/>
  <c r="KA89" i="88"/>
  <c r="KD89" i="88" s="1"/>
  <c r="AK90" i="88"/>
  <c r="JX90" i="88"/>
  <c r="EQ91" i="88"/>
  <c r="EK94" i="88"/>
  <c r="EJ95" i="88"/>
  <c r="JU96" i="88"/>
  <c r="EK96" i="88"/>
  <c r="JX97" i="88"/>
  <c r="EK100" i="88"/>
  <c r="JU6" i="88"/>
  <c r="KA13" i="88"/>
  <c r="KD13" i="88" s="1"/>
  <c r="JU20" i="88"/>
  <c r="JV20" i="88"/>
  <c r="KA23" i="88"/>
  <c r="KD23" i="88" s="1"/>
  <c r="AK24" i="88"/>
  <c r="ER26" i="88"/>
  <c r="EK27" i="88"/>
  <c r="EQ27" i="88"/>
  <c r="KR27" i="88" s="1"/>
  <c r="EJ28" i="88"/>
  <c r="EJ32" i="88"/>
  <c r="JV33" i="88"/>
  <c r="JV42" i="88"/>
  <c r="EJ48" i="88"/>
  <c r="AK49" i="88"/>
  <c r="JY49" i="88"/>
  <c r="JU49" i="88"/>
  <c r="AF51" i="88"/>
  <c r="ER53" i="88"/>
  <c r="JU56" i="88"/>
  <c r="JU10" i="88"/>
  <c r="AK12" i="88"/>
  <c r="CR137" i="88"/>
  <c r="JY13" i="88"/>
  <c r="JU15" i="88"/>
  <c r="EJ15" i="88"/>
  <c r="KR15" i="88" s="1"/>
  <c r="ER15" i="88"/>
  <c r="EJ16" i="88"/>
  <c r="AF17" i="88"/>
  <c r="JU18" i="88"/>
  <c r="EJ18" i="88"/>
  <c r="ER18" i="88"/>
  <c r="EK19" i="88"/>
  <c r="ER19" i="88"/>
  <c r="AF20" i="88"/>
  <c r="AK20" i="88"/>
  <c r="EK20" i="88"/>
  <c r="KR23" i="88"/>
  <c r="AK27" i="88"/>
  <c r="JU27" i="88"/>
  <c r="AK30" i="88"/>
  <c r="AF31" i="88"/>
  <c r="JU33" i="88"/>
  <c r="AK33" i="88"/>
  <c r="KA38" i="88"/>
  <c r="KD38" i="88" s="1"/>
  <c r="JY41" i="88"/>
  <c r="JV41" i="88" s="1"/>
  <c r="EQ44" i="88"/>
  <c r="JX44" i="88"/>
  <c r="KA45" i="88"/>
  <c r="KD45" i="88" s="1"/>
  <c r="AK47" i="88"/>
  <c r="JU48" i="88"/>
  <c r="JV49" i="88"/>
  <c r="ER50" i="88"/>
  <c r="JY51" i="88"/>
  <c r="AK53" i="88"/>
  <c r="EQ53" i="88"/>
  <c r="JU53" i="88"/>
  <c r="JU19" i="88"/>
  <c r="KR26" i="88"/>
  <c r="EJ30" i="88"/>
  <c r="JV34" i="88"/>
  <c r="ER38" i="88"/>
  <c r="AV137" i="88"/>
  <c r="ER43" i="88"/>
  <c r="EK44" i="88"/>
  <c r="AK46" i="88"/>
  <c r="EQ48" i="88"/>
  <c r="ER49" i="88"/>
  <c r="EJ52" i="88"/>
  <c r="EK53" i="88"/>
  <c r="JY53" i="88"/>
  <c r="JU7" i="88"/>
  <c r="EK11" i="88"/>
  <c r="ER12" i="88"/>
  <c r="JV12" i="88"/>
  <c r="AK14" i="88"/>
  <c r="KA15" i="88"/>
  <c r="KD15" i="88" s="1"/>
  <c r="KA16" i="88"/>
  <c r="KD16" i="88" s="1"/>
  <c r="KA17" i="88"/>
  <c r="KD17" i="88" s="1"/>
  <c r="KA18" i="88"/>
  <c r="KD18" i="88" s="1"/>
  <c r="KA19" i="88"/>
  <c r="KD19" i="88" s="1"/>
  <c r="KA20" i="88"/>
  <c r="KD20" i="88" s="1"/>
  <c r="AK21" i="88"/>
  <c r="KA22" i="88"/>
  <c r="KD22" i="88" s="1"/>
  <c r="AK25" i="88"/>
  <c r="KA25" i="88"/>
  <c r="KD25" i="88" s="1"/>
  <c r="JU26" i="88"/>
  <c r="KA26" i="88"/>
  <c r="KD26" i="88" s="1"/>
  <c r="AF28" i="88"/>
  <c r="AK29" i="88"/>
  <c r="KA29" i="88"/>
  <c r="KD29" i="88" s="1"/>
  <c r="AF30" i="88"/>
  <c r="KA30" i="88"/>
  <c r="KD30" i="88" s="1"/>
  <c r="JX30" i="88"/>
  <c r="KA31" i="88"/>
  <c r="KD31" i="88" s="1"/>
  <c r="KA32" i="88"/>
  <c r="KD32" i="88" s="1"/>
  <c r="EQ33" i="88"/>
  <c r="KA33" i="88"/>
  <c r="KD33" i="88" s="1"/>
  <c r="AF34" i="88"/>
  <c r="AK34" i="88"/>
  <c r="AK37" i="88"/>
  <c r="EJ37" i="88"/>
  <c r="KR37" i="88" s="1"/>
  <c r="AK38" i="88"/>
  <c r="JX39" i="88"/>
  <c r="JX40" i="88"/>
  <c r="JU40" i="88" s="1"/>
  <c r="KA42" i="88"/>
  <c r="KD42" i="88" s="1"/>
  <c r="EQ43" i="88"/>
  <c r="KR43" i="88" s="1"/>
  <c r="AF46" i="88"/>
  <c r="AF47" i="88"/>
  <c r="EK49" i="88"/>
  <c r="JV54" i="88"/>
  <c r="JV6" i="89"/>
  <c r="KD4" i="89"/>
  <c r="KP5" i="89"/>
  <c r="ER5" i="89"/>
  <c r="EQ5" i="89"/>
  <c r="KP8" i="89"/>
  <c r="O18" i="89"/>
  <c r="AJ4" i="89"/>
  <c r="AQ18" i="89"/>
  <c r="CJ18" i="89"/>
  <c r="CT18" i="89"/>
  <c r="EO18" i="89"/>
  <c r="FE18" i="89"/>
  <c r="FU18" i="89"/>
  <c r="GK18" i="89"/>
  <c r="IM18" i="89"/>
  <c r="EV25" i="89"/>
  <c r="AI5" i="89"/>
  <c r="AK5" i="89" s="1"/>
  <c r="AS5" i="89"/>
  <c r="EK5" i="89"/>
  <c r="EF6" i="89"/>
  <c r="EF18" i="89" s="1"/>
  <c r="IP6" i="89"/>
  <c r="JX6" i="89" s="1"/>
  <c r="JU6" i="89" s="1"/>
  <c r="JS6" i="89"/>
  <c r="EG7" i="89"/>
  <c r="EJ7" i="89" s="1"/>
  <c r="EP7" i="89"/>
  <c r="JT7" i="89"/>
  <c r="AF8" i="89"/>
  <c r="ER8" i="89"/>
  <c r="ER11" i="89"/>
  <c r="EQ11" i="89"/>
  <c r="Q18" i="89"/>
  <c r="R12" i="89"/>
  <c r="GW12" i="89"/>
  <c r="EN12" i="89"/>
  <c r="EQ12" i="89" s="1"/>
  <c r="EK15" i="89"/>
  <c r="EJ15" i="89"/>
  <c r="R18" i="89"/>
  <c r="Y18" i="89"/>
  <c r="CL18" i="89"/>
  <c r="EP4" i="89"/>
  <c r="FQ18" i="89"/>
  <c r="GG18" i="89"/>
  <c r="GW18" i="89"/>
  <c r="HC18" i="89"/>
  <c r="HH18" i="89"/>
  <c r="EZ25" i="89"/>
  <c r="AE5" i="89"/>
  <c r="AF5" i="89" s="1"/>
  <c r="JX5" i="89"/>
  <c r="EG6" i="89"/>
  <c r="EG18" i="89" s="1"/>
  <c r="GW6" i="89"/>
  <c r="HA6" i="89"/>
  <c r="HA18" i="89" s="1"/>
  <c r="HE6" i="89"/>
  <c r="HI6" i="89"/>
  <c r="KA6" i="89" s="1"/>
  <c r="KD6" i="89" s="1"/>
  <c r="HM6" i="89"/>
  <c r="HM18" i="89" s="1"/>
  <c r="HQ6" i="89"/>
  <c r="HQ18" i="89" s="1"/>
  <c r="HU6" i="89"/>
  <c r="HY6" i="89"/>
  <c r="HY18" i="89" s="1"/>
  <c r="IC6" i="89"/>
  <c r="IG6" i="89"/>
  <c r="IG18" i="89" s="1"/>
  <c r="IK6" i="89"/>
  <c r="EH7" i="89"/>
  <c r="EK7" i="89" s="1"/>
  <c r="JU9" i="89"/>
  <c r="JU10" i="89"/>
  <c r="JV10" i="89"/>
  <c r="KP11" i="89"/>
  <c r="KA11" i="89"/>
  <c r="KD11" i="89" s="1"/>
  <c r="AK12" i="89"/>
  <c r="JV12" i="89"/>
  <c r="KA12" i="89"/>
  <c r="KD12" i="89" s="1"/>
  <c r="EJ14" i="89"/>
  <c r="EK14" i="89"/>
  <c r="AH18" i="89"/>
  <c r="HI18" i="89"/>
  <c r="IP18" i="89"/>
  <c r="IF24" i="89" s="1"/>
  <c r="JS4" i="89"/>
  <c r="JX4" i="89"/>
  <c r="JT5" i="89"/>
  <c r="JV8" i="89"/>
  <c r="EK10" i="89"/>
  <c r="EJ10" i="89"/>
  <c r="KP10" i="89" s="1"/>
  <c r="JU12" i="89"/>
  <c r="AF12" i="89"/>
  <c r="AK14" i="89"/>
  <c r="U18" i="89"/>
  <c r="AD4" i="89"/>
  <c r="AI4" i="89"/>
  <c r="AP4" i="89"/>
  <c r="AP18" i="89" s="1"/>
  <c r="BQ4" i="89"/>
  <c r="BQ18" i="89" s="1"/>
  <c r="CG18" i="89"/>
  <c r="CO4" i="89"/>
  <c r="CO18" i="89" s="1"/>
  <c r="DM4" i="89"/>
  <c r="DM18" i="89" s="1"/>
  <c r="EI4" i="89"/>
  <c r="EY18" i="89"/>
  <c r="FD18" i="89"/>
  <c r="FI4" i="89"/>
  <c r="FI18" i="89" s="1"/>
  <c r="FO18" i="89"/>
  <c r="FT18" i="89"/>
  <c r="FT25" i="89" s="1"/>
  <c r="FY4" i="89"/>
  <c r="FY18" i="89" s="1"/>
  <c r="GE18" i="89"/>
  <c r="GJ18" i="89"/>
  <c r="GO4" i="89"/>
  <c r="GO18" i="89" s="1"/>
  <c r="GU18" i="89"/>
  <c r="GZ18" i="89"/>
  <c r="HE4" i="89"/>
  <c r="HE18" i="89" s="1"/>
  <c r="HK18" i="89"/>
  <c r="HP18" i="89"/>
  <c r="HH24" i="89" s="1"/>
  <c r="HU4" i="89"/>
  <c r="HU18" i="89" s="1"/>
  <c r="IK18" i="89"/>
  <c r="JC18" i="89"/>
  <c r="IJ24" i="89" s="1"/>
  <c r="JT4" i="89"/>
  <c r="JY4" i="89"/>
  <c r="BN5" i="89"/>
  <c r="BN18" i="89" s="1"/>
  <c r="AD6" i="89"/>
  <c r="AF6" i="89" s="1"/>
  <c r="AI6" i="89"/>
  <c r="AK6" i="89" s="1"/>
  <c r="DE6" i="89"/>
  <c r="DE18" i="89" s="1"/>
  <c r="EC6" i="89"/>
  <c r="EC18" i="89" s="1"/>
  <c r="EN6" i="89"/>
  <c r="EQ6" i="89" s="1"/>
  <c r="KO6" i="89"/>
  <c r="KO18" i="89" s="1"/>
  <c r="EQ9" i="89"/>
  <c r="KP9" i="89" s="1"/>
  <c r="JU11" i="89"/>
  <c r="KP12" i="89"/>
  <c r="EJ13" i="89"/>
  <c r="EK13" i="89"/>
  <c r="EP13" i="89"/>
  <c r="JT13" i="89"/>
  <c r="JY13" i="89"/>
  <c r="AI14" i="89"/>
  <c r="EP14" i="89"/>
  <c r="JV14" i="89" s="1"/>
  <c r="JT14" i="89"/>
  <c r="JY14" i="89"/>
  <c r="AD15" i="89"/>
  <c r="AF15" i="89" s="1"/>
  <c r="AI15" i="89"/>
  <c r="AK15" i="89" s="1"/>
  <c r="AE16" i="89"/>
  <c r="AF16" i="89" s="1"/>
  <c r="FP25" i="89"/>
  <c r="GB25" i="89"/>
  <c r="IC16" i="89"/>
  <c r="IC18" i="89" s="1"/>
  <c r="JY16" i="89"/>
  <c r="FH25" i="89"/>
  <c r="GJ25" i="89"/>
  <c r="GV25" i="89"/>
  <c r="JU13" i="89"/>
  <c r="JU14" i="89"/>
  <c r="JU15" i="89"/>
  <c r="FL25" i="89"/>
  <c r="GN25" i="89"/>
  <c r="AC13" i="89"/>
  <c r="AC18" i="89" s="1"/>
  <c r="AX13" i="89"/>
  <c r="AX18" i="89" s="1"/>
  <c r="DR13" i="89"/>
  <c r="DR18" i="89" s="1"/>
  <c r="AS14" i="89"/>
  <c r="AS18" i="89" s="1"/>
  <c r="BA14" i="89"/>
  <c r="BA18" i="89" s="1"/>
  <c r="BI14" i="89"/>
  <c r="BI18" i="89" s="1"/>
  <c r="BY14" i="89"/>
  <c r="BY18" i="89" s="1"/>
  <c r="CG14" i="89"/>
  <c r="CW14" i="89"/>
  <c r="CW18" i="89" s="1"/>
  <c r="DU14" i="89"/>
  <c r="DU18" i="89" s="1"/>
  <c r="AS15" i="89"/>
  <c r="FA15" i="89"/>
  <c r="FA18" i="89" s="1"/>
  <c r="EP15" i="89"/>
  <c r="AC16" i="89"/>
  <c r="AI16" i="89"/>
  <c r="BF16" i="89"/>
  <c r="BF18" i="89" s="1"/>
  <c r="EK16" i="89"/>
  <c r="EJ16" i="89"/>
  <c r="KP16" i="89" s="1"/>
  <c r="FA16" i="89"/>
  <c r="GF25" i="89"/>
  <c r="GZ25" i="89"/>
  <c r="AD13" i="89"/>
  <c r="AF13" i="89" s="1"/>
  <c r="AC15" i="89"/>
  <c r="JY15" i="89"/>
  <c r="JT15" i="89"/>
  <c r="AJ16" i="89"/>
  <c r="AK16" i="89" s="1"/>
  <c r="FD25" i="89"/>
  <c r="GR25" i="89"/>
  <c r="HD25" i="89"/>
  <c r="JS16" i="89"/>
  <c r="EQ17" i="89"/>
  <c r="KP17" i="89" s="1"/>
  <c r="EJ19" i="89"/>
  <c r="JT16" i="89"/>
  <c r="ER17" i="89"/>
  <c r="EQ19" i="89"/>
  <c r="JU12" i="88"/>
  <c r="JU14" i="88"/>
  <c r="JU17" i="88"/>
  <c r="JV17" i="88"/>
  <c r="EJ21" i="88"/>
  <c r="EK21" i="88"/>
  <c r="JV14" i="88"/>
  <c r="EK14" i="88"/>
  <c r="EJ14" i="88"/>
  <c r="EQ14" i="88"/>
  <c r="ER14" i="88"/>
  <c r="KR8" i="88"/>
  <c r="EJ12" i="88"/>
  <c r="EK13" i="88"/>
  <c r="KA14" i="88"/>
  <c r="KD14" i="88" s="1"/>
  <c r="JU16" i="88"/>
  <c r="KR16" i="88"/>
  <c r="KR18" i="88"/>
  <c r="JV19" i="88"/>
  <c r="W4" i="88"/>
  <c r="EQ4" i="88"/>
  <c r="AP5" i="88"/>
  <c r="BI5" i="88"/>
  <c r="EJ5" i="88"/>
  <c r="FE5" i="88"/>
  <c r="FE133" i="88" s="1"/>
  <c r="FU5" i="88"/>
  <c r="FU133" i="88" s="1"/>
  <c r="GK5" i="88"/>
  <c r="HA5" i="88"/>
  <c r="HQ5" i="88"/>
  <c r="EV140" i="88"/>
  <c r="AJ6" i="88"/>
  <c r="AK6" i="88" s="1"/>
  <c r="BQ6" i="88"/>
  <c r="CZ137" i="88"/>
  <c r="EJ6" i="88"/>
  <c r="HQ6" i="88"/>
  <c r="IG6" i="88"/>
  <c r="KQ6" i="88"/>
  <c r="JV7" i="88"/>
  <c r="AF8" i="88"/>
  <c r="AK8" i="88"/>
  <c r="JV9" i="88"/>
  <c r="EJ10" i="88"/>
  <c r="KR10" i="88" s="1"/>
  <c r="AD11" i="88"/>
  <c r="AI11" i="88"/>
  <c r="AK11" i="88" s="1"/>
  <c r="BQ11" i="88"/>
  <c r="BY11" i="88"/>
  <c r="DJ11" i="88"/>
  <c r="EP11" i="88"/>
  <c r="JV11" i="88"/>
  <c r="EH12" i="88"/>
  <c r="EK12" i="88" s="1"/>
  <c r="EQ12" i="88"/>
  <c r="EW12" i="88"/>
  <c r="AF13" i="88"/>
  <c r="CT13" i="88"/>
  <c r="DZ13" i="88"/>
  <c r="DZ133" i="88" s="1"/>
  <c r="EP13" i="88"/>
  <c r="FI14" i="88"/>
  <c r="HU14" i="88"/>
  <c r="AF15" i="88"/>
  <c r="AK15" i="88"/>
  <c r="JV16" i="88"/>
  <c r="EQ17" i="88"/>
  <c r="KR17" i="88" s="1"/>
  <c r="AF18" i="88"/>
  <c r="AK18" i="88"/>
  <c r="AF19" i="88"/>
  <c r="AK19" i="88"/>
  <c r="EJ20" i="88"/>
  <c r="KR20" i="88" s="1"/>
  <c r="AX21" i="88"/>
  <c r="EP21" i="88"/>
  <c r="AD22" i="88"/>
  <c r="AF22" i="88" s="1"/>
  <c r="CO22" i="88"/>
  <c r="EW22" i="88"/>
  <c r="EI22" i="88"/>
  <c r="JU23" i="88"/>
  <c r="AF23" i="88"/>
  <c r="ER31" i="88"/>
  <c r="EQ31" i="88"/>
  <c r="KR31" i="88" s="1"/>
  <c r="R133" i="88"/>
  <c r="FY133" i="88"/>
  <c r="HE133" i="88"/>
  <c r="W5" i="88"/>
  <c r="FL140" i="88"/>
  <c r="BF137" i="88"/>
  <c r="BF140" i="88" s="1"/>
  <c r="HM5" i="88"/>
  <c r="EZ140" i="88"/>
  <c r="JV5" i="88"/>
  <c r="KQ5" i="88"/>
  <c r="BL138" i="88"/>
  <c r="BL133" i="88"/>
  <c r="BL137" i="88" s="1"/>
  <c r="JV10" i="88"/>
  <c r="BT137" i="88"/>
  <c r="JS11" i="88"/>
  <c r="GV140" i="88"/>
  <c r="GV141" i="88" s="1"/>
  <c r="JS13" i="88"/>
  <c r="JS14" i="88"/>
  <c r="ER17" i="88"/>
  <c r="EJ19" i="88"/>
  <c r="KR19" i="88" s="1"/>
  <c r="JS21" i="88"/>
  <c r="JY21" i="88"/>
  <c r="EK29" i="88"/>
  <c r="EJ29" i="88"/>
  <c r="EK36" i="88"/>
  <c r="EJ36" i="88"/>
  <c r="S4" i="88"/>
  <c r="CL133" i="88"/>
  <c r="EJ4" i="88"/>
  <c r="JU4" i="88"/>
  <c r="KA4" i="88"/>
  <c r="AS5" i="88"/>
  <c r="AP139" i="88" s="1"/>
  <c r="BF5" i="88"/>
  <c r="EH5" i="88"/>
  <c r="EK5" i="88" s="1"/>
  <c r="EQ5" i="88"/>
  <c r="EW5" i="88"/>
  <c r="FM5" i="88"/>
  <c r="GC5" i="88"/>
  <c r="GC133" i="88" s="1"/>
  <c r="GS5" i="88"/>
  <c r="GS133" i="88" s="1"/>
  <c r="HI5" i="88"/>
  <c r="KA5" i="88" s="1"/>
  <c r="KD5" i="88" s="1"/>
  <c r="JS5" i="88"/>
  <c r="JX5" i="88"/>
  <c r="JU5" i="88" s="1"/>
  <c r="AC6" i="88"/>
  <c r="AH6" i="88"/>
  <c r="BN6" i="88"/>
  <c r="HY6" i="88"/>
  <c r="JS6" i="88"/>
  <c r="AF7" i="88"/>
  <c r="AF9" i="88"/>
  <c r="AF11" i="88"/>
  <c r="BV11" i="88"/>
  <c r="DM11" i="88"/>
  <c r="DM133" i="88" s="1"/>
  <c r="HU11" i="88"/>
  <c r="AI13" i="88"/>
  <c r="AK13" i="88" s="1"/>
  <c r="CO13" i="88"/>
  <c r="CW13" i="88"/>
  <c r="CW133" i="88" s="1"/>
  <c r="EC13" i="88"/>
  <c r="EC133" i="88" s="1"/>
  <c r="HU13" i="88"/>
  <c r="AF16" i="88"/>
  <c r="JV21" i="88"/>
  <c r="EP22" i="88"/>
  <c r="JS22" i="88"/>
  <c r="N133" i="88"/>
  <c r="O23" i="88"/>
  <c r="O133" i="88" s="1"/>
  <c r="JU29" i="88"/>
  <c r="EK4" i="88"/>
  <c r="FQ133" i="88"/>
  <c r="GW133" i="88"/>
  <c r="HM133" i="88"/>
  <c r="JV4" i="88"/>
  <c r="CL139" i="88"/>
  <c r="CK133" i="88"/>
  <c r="HP134" i="88"/>
  <c r="JT5" i="88"/>
  <c r="JT6" i="88"/>
  <c r="AX137" i="88"/>
  <c r="AX140" i="88" s="1"/>
  <c r="FD140" i="88"/>
  <c r="JX21" i="88"/>
  <c r="JU21" i="88" s="1"/>
  <c r="HQ21" i="88"/>
  <c r="AK22" i="88"/>
  <c r="JT22" i="88"/>
  <c r="AK23" i="88"/>
  <c r="JV23" i="88"/>
  <c r="JU28" i="88"/>
  <c r="KR33" i="88"/>
  <c r="KA35" i="88"/>
  <c r="KD35" i="88" s="1"/>
  <c r="EK23" i="88"/>
  <c r="EI24" i="88"/>
  <c r="JU24" i="88" s="1"/>
  <c r="JT24" i="88"/>
  <c r="JY24" i="88"/>
  <c r="JU25" i="88"/>
  <c r="EK26" i="88"/>
  <c r="JV26" i="88"/>
  <c r="ER27" i="88"/>
  <c r="FX140" i="88"/>
  <c r="FX141" i="88" s="1"/>
  <c r="EK28" i="88"/>
  <c r="EP28" i="88"/>
  <c r="JV28" i="88" s="1"/>
  <c r="AD29" i="88"/>
  <c r="AF29" i="88" s="1"/>
  <c r="AC30" i="88"/>
  <c r="AH30" i="88"/>
  <c r="EK30" i="88"/>
  <c r="EP30" i="88"/>
  <c r="JT30" i="88"/>
  <c r="JY30" i="88"/>
  <c r="EK31" i="88"/>
  <c r="EK32" i="88"/>
  <c r="EP32" i="88"/>
  <c r="JV32" i="88" s="1"/>
  <c r="EK33" i="88"/>
  <c r="EG34" i="88"/>
  <c r="EJ34" i="88" s="1"/>
  <c r="KR34" i="88" s="1"/>
  <c r="EK34" i="88"/>
  <c r="AD35" i="88"/>
  <c r="AI35" i="88"/>
  <c r="AK35" i="88" s="1"/>
  <c r="EI35" i="88"/>
  <c r="EN35" i="88"/>
  <c r="EN133" i="88" s="1"/>
  <c r="EN135" i="88" s="1"/>
  <c r="JS35" i="88"/>
  <c r="JX35" i="88"/>
  <c r="AD36" i="88"/>
  <c r="AF36" i="88" s="1"/>
  <c r="AI36" i="88"/>
  <c r="AK36" i="88" s="1"/>
  <c r="DB137" i="88"/>
  <c r="JS36" i="88"/>
  <c r="JX36" i="88"/>
  <c r="JU36" i="88" s="1"/>
  <c r="EK37" i="88"/>
  <c r="JV37" i="88"/>
  <c r="EQ39" i="88"/>
  <c r="EH40" i="88"/>
  <c r="FA40" i="88"/>
  <c r="EP40" i="88"/>
  <c r="JV40" i="88" s="1"/>
  <c r="JX41" i="88"/>
  <c r="BU133" i="88"/>
  <c r="AE42" i="88"/>
  <c r="BV42" i="88"/>
  <c r="EK46" i="88"/>
  <c r="EJ46" i="88"/>
  <c r="JV47" i="88"/>
  <c r="JV50" i="88"/>
  <c r="KA51" i="88"/>
  <c r="KD51" i="88" s="1"/>
  <c r="AF53" i="88"/>
  <c r="JV53" i="88"/>
  <c r="EQ54" i="88"/>
  <c r="KR54" i="88" s="1"/>
  <c r="ER54" i="88"/>
  <c r="JU54" i="88"/>
  <c r="ER55" i="88"/>
  <c r="JV55" i="88"/>
  <c r="JU61" i="88"/>
  <c r="EK66" i="88"/>
  <c r="EJ66" i="88"/>
  <c r="EQ67" i="88"/>
  <c r="JV67" i="88"/>
  <c r="JV25" i="88"/>
  <c r="JV29" i="88"/>
  <c r="JU30" i="88"/>
  <c r="HD140" i="88"/>
  <c r="HD141" i="88" s="1"/>
  <c r="JX31" i="88"/>
  <c r="JU31" i="88" s="1"/>
  <c r="JX32" i="88"/>
  <c r="JU32" i="88" s="1"/>
  <c r="JT35" i="88"/>
  <c r="JT36" i="88"/>
  <c r="BN137" i="88"/>
  <c r="BN140" i="88" s="1"/>
  <c r="FT140" i="88"/>
  <c r="FT141" i="88" s="1"/>
  <c r="EJ38" i="88"/>
  <c r="EO39" i="88"/>
  <c r="JT39" i="88"/>
  <c r="AC40" i="88"/>
  <c r="AP40" i="88"/>
  <c r="AD40" i="88"/>
  <c r="AF40" i="88" s="1"/>
  <c r="ER41" i="88"/>
  <c r="EQ41" i="88"/>
  <c r="JT41" i="88"/>
  <c r="EI42" i="88"/>
  <c r="EW42" i="88"/>
  <c r="JT42" i="88"/>
  <c r="JV43" i="88"/>
  <c r="AK43" i="88"/>
  <c r="CO44" i="88"/>
  <c r="AI44" i="88"/>
  <c r="AK44" i="88" s="1"/>
  <c r="AH44" i="88"/>
  <c r="JV44" i="88"/>
  <c r="JU51" i="88"/>
  <c r="ER58" i="88"/>
  <c r="EQ58" i="88"/>
  <c r="JV58" i="88"/>
  <c r="JU66" i="88"/>
  <c r="AD24" i="88"/>
  <c r="AF24" i="88" s="1"/>
  <c r="EP24" i="88"/>
  <c r="EQ25" i="88"/>
  <c r="KR25" i="88" s="1"/>
  <c r="AF26" i="88"/>
  <c r="JV27" i="88"/>
  <c r="HU28" i="88"/>
  <c r="JT28" i="88"/>
  <c r="CD29" i="88"/>
  <c r="EQ29" i="88"/>
  <c r="EW29" i="88"/>
  <c r="JS29" i="88"/>
  <c r="JT31" i="88"/>
  <c r="HU32" i="88"/>
  <c r="JT32" i="88"/>
  <c r="AF33" i="88"/>
  <c r="AF35" i="88"/>
  <c r="BV35" i="88"/>
  <c r="CO35" i="88"/>
  <c r="EP35" i="88"/>
  <c r="KQ35" i="88"/>
  <c r="CD36" i="88"/>
  <c r="EQ36" i="88"/>
  <c r="HA36" i="88"/>
  <c r="AF37" i="88"/>
  <c r="JY38" i="88"/>
  <c r="JV38" i="88" s="1"/>
  <c r="HU38" i="88"/>
  <c r="JU38" i="88"/>
  <c r="EI39" i="88"/>
  <c r="EW39" i="88"/>
  <c r="BD133" i="88"/>
  <c r="BD137" i="88" s="1"/>
  <c r="BF41" i="88"/>
  <c r="AD41" i="88"/>
  <c r="AF41" i="88" s="1"/>
  <c r="JU43" i="88"/>
  <c r="AF43" i="88"/>
  <c r="EK45" i="88"/>
  <c r="EJ45" i="88"/>
  <c r="ER47" i="88"/>
  <c r="EQ47" i="88"/>
  <c r="EK50" i="88"/>
  <c r="EJ50" i="88"/>
  <c r="KR50" i="88" s="1"/>
  <c r="EK55" i="88"/>
  <c r="EJ55" i="88"/>
  <c r="EQ56" i="88"/>
  <c r="JV62" i="88"/>
  <c r="EK64" i="88"/>
  <c r="ER66" i="88"/>
  <c r="JV66" i="88"/>
  <c r="CB137" i="88"/>
  <c r="HU29" i="88"/>
  <c r="HQ30" i="88"/>
  <c r="AJ31" i="88"/>
  <c r="AK31" i="88" s="1"/>
  <c r="EF34" i="88"/>
  <c r="GO34" i="88"/>
  <c r="GO133" i="88" s="1"/>
  <c r="HI34" i="88"/>
  <c r="KA34" i="88" s="1"/>
  <c r="KD34" i="88" s="1"/>
  <c r="HQ34" i="88"/>
  <c r="HY34" i="88"/>
  <c r="IG34" i="88"/>
  <c r="AH36" i="88"/>
  <c r="EK38" i="88"/>
  <c r="EQ38" i="88"/>
  <c r="EK40" i="88"/>
  <c r="JS40" i="88"/>
  <c r="AC41" i="88"/>
  <c r="EI41" i="88"/>
  <c r="EW41" i="88"/>
  <c r="KA41" i="88"/>
  <c r="KD41" i="88" s="1"/>
  <c r="ER42" i="88"/>
  <c r="EQ42" i="88"/>
  <c r="JU45" i="88"/>
  <c r="JU47" i="88"/>
  <c r="JU50" i="88"/>
  <c r="EK51" i="88"/>
  <c r="EJ51" i="88"/>
  <c r="JU52" i="88"/>
  <c r="JU55" i="88"/>
  <c r="JV56" i="88"/>
  <c r="KR57" i="88"/>
  <c r="EJ60" i="88"/>
  <c r="JU60" i="88"/>
  <c r="AK61" i="88"/>
  <c r="KA61" i="88"/>
  <c r="KD61" i="88" s="1"/>
  <c r="JU64" i="88"/>
  <c r="EK67" i="88"/>
  <c r="EJ67" i="88"/>
  <c r="JT38" i="88"/>
  <c r="AH39" i="88"/>
  <c r="AN133" i="88"/>
  <c r="AN137" i="88" s="1"/>
  <c r="JS39" i="88"/>
  <c r="AI40" i="88"/>
  <c r="AK40" i="88" s="1"/>
  <c r="AI41" i="88"/>
  <c r="AK41" i="88" s="1"/>
  <c r="JS41" i="88"/>
  <c r="AC42" i="88"/>
  <c r="JS42" i="88"/>
  <c r="JX42" i="88"/>
  <c r="EJ44" i="88"/>
  <c r="KR44" i="88" s="1"/>
  <c r="HQ44" i="88"/>
  <c r="JS44" i="88"/>
  <c r="AS45" i="88"/>
  <c r="HU45" i="88"/>
  <c r="JT45" i="88"/>
  <c r="EQ46" i="88"/>
  <c r="EW46" i="88"/>
  <c r="IP46" i="88"/>
  <c r="JX46" i="88" s="1"/>
  <c r="JU46" i="88" s="1"/>
  <c r="AP47" i="88"/>
  <c r="BI47" i="88"/>
  <c r="EJ47" i="88"/>
  <c r="JS47" i="88"/>
  <c r="EJ49" i="88"/>
  <c r="KR49" i="88" s="1"/>
  <c r="HQ49" i="88"/>
  <c r="JS49" i="88"/>
  <c r="AH51" i="88"/>
  <c r="AX51" i="88"/>
  <c r="BV51" i="88"/>
  <c r="HU51" i="88"/>
  <c r="BA52" i="88"/>
  <c r="BY52" i="88"/>
  <c r="EP52" i="88"/>
  <c r="JT52" i="88"/>
  <c r="JY52" i="88"/>
  <c r="EJ53" i="88"/>
  <c r="KR53" i="88" s="1"/>
  <c r="HQ53" i="88"/>
  <c r="JS53" i="88"/>
  <c r="BN54" i="88"/>
  <c r="FI54" i="88"/>
  <c r="HU54" i="88"/>
  <c r="JT54" i="88"/>
  <c r="AD55" i="88"/>
  <c r="AF55" i="88" s="1"/>
  <c r="AI55" i="88"/>
  <c r="AK55" i="88" s="1"/>
  <c r="BI55" i="88"/>
  <c r="EQ55" i="88"/>
  <c r="EW55" i="88"/>
  <c r="HU55" i="88"/>
  <c r="AD56" i="88"/>
  <c r="AF56" i="88" s="1"/>
  <c r="EJ56" i="88"/>
  <c r="EO56" i="88"/>
  <c r="ER56" i="88" s="1"/>
  <c r="HY56" i="88"/>
  <c r="AE58" i="88"/>
  <c r="AF58" i="88" s="1"/>
  <c r="EJ58" i="88"/>
  <c r="KR58" i="88" s="1"/>
  <c r="EJ59" i="88"/>
  <c r="KR59" i="88" s="1"/>
  <c r="AJ60" i="88"/>
  <c r="AK60" i="88" s="1"/>
  <c r="EH60" i="88"/>
  <c r="EK60" i="88" s="1"/>
  <c r="EQ60" i="88"/>
  <c r="EW60" i="88"/>
  <c r="AH61" i="88"/>
  <c r="CO61" i="88"/>
  <c r="EP61" i="88"/>
  <c r="JT61" i="88"/>
  <c r="AF62" i="88"/>
  <c r="AK62" i="88"/>
  <c r="EJ63" i="88"/>
  <c r="KR63" i="88" s="1"/>
  <c r="AJ64" i="88"/>
  <c r="AK64" i="88" s="1"/>
  <c r="EP64" i="88"/>
  <c r="JV65" i="88"/>
  <c r="EQ66" i="88"/>
  <c r="EW66" i="88"/>
  <c r="HY66" i="88"/>
  <c r="JT66" i="88"/>
  <c r="BV67" i="88"/>
  <c r="FI67" i="88"/>
  <c r="KA68" i="88"/>
  <c r="KD68" i="88" s="1"/>
  <c r="JX68" i="88"/>
  <c r="HQ68" i="88"/>
  <c r="BF69" i="88"/>
  <c r="AD69" i="88"/>
  <c r="AF69" i="88" s="1"/>
  <c r="JS69" i="88"/>
  <c r="AI71" i="88"/>
  <c r="AK71" i="88" s="1"/>
  <c r="AH71" i="88"/>
  <c r="BI71" i="88"/>
  <c r="EQ72" i="88"/>
  <c r="EO72" i="88"/>
  <c r="ER72" i="88" s="1"/>
  <c r="JX72" i="88"/>
  <c r="HQ72" i="88"/>
  <c r="AP73" i="88"/>
  <c r="AD73" i="88"/>
  <c r="ER78" i="88"/>
  <c r="EJ79" i="88"/>
  <c r="ER81" i="88"/>
  <c r="AK82" i="88"/>
  <c r="JU83" i="88"/>
  <c r="AI39" i="88"/>
  <c r="AK39" i="88" s="1"/>
  <c r="AD42" i="88"/>
  <c r="JT44" i="88"/>
  <c r="AH45" i="88"/>
  <c r="CD137" i="88"/>
  <c r="CD140" i="88" s="1"/>
  <c r="GJ140" i="88"/>
  <c r="GJ141" i="88" s="1"/>
  <c r="JT47" i="88"/>
  <c r="JT49" i="88"/>
  <c r="JS50" i="88"/>
  <c r="JS51" i="88"/>
  <c r="AC52" i="88"/>
  <c r="AH52" i="88"/>
  <c r="AX52" i="88"/>
  <c r="JT53" i="88"/>
  <c r="AC54" i="88"/>
  <c r="HQ55" i="88"/>
  <c r="JS55" i="88"/>
  <c r="BF56" i="88"/>
  <c r="BQ58" i="88"/>
  <c r="EH61" i="88"/>
  <c r="EK61" i="88" s="1"/>
  <c r="JS64" i="88"/>
  <c r="EO67" i="88"/>
  <c r="ER67" i="88" s="1"/>
  <c r="JS67" i="88"/>
  <c r="AE68" i="88"/>
  <c r="AD68" i="88"/>
  <c r="BN68" i="88"/>
  <c r="JS68" i="88"/>
  <c r="EO68" i="88"/>
  <c r="ER68" i="88" s="1"/>
  <c r="JT68" i="88"/>
  <c r="CG69" i="88"/>
  <c r="AI69" i="88"/>
  <c r="EK69" i="88"/>
  <c r="JT69" i="88"/>
  <c r="EJ70" i="88"/>
  <c r="AC71" i="88"/>
  <c r="DJ71" i="88"/>
  <c r="EI72" i="88"/>
  <c r="JU72" i="88" s="1"/>
  <c r="EK73" i="88"/>
  <c r="EJ73" i="88"/>
  <c r="KR73" i="88" s="1"/>
  <c r="JU74" i="88"/>
  <c r="JV74" i="88"/>
  <c r="JU76" i="88"/>
  <c r="JV76" i="88"/>
  <c r="JV83" i="88"/>
  <c r="GF140" i="88"/>
  <c r="GF141" i="88" s="1"/>
  <c r="AE44" i="88"/>
  <c r="AF44" i="88" s="1"/>
  <c r="AD45" i="88"/>
  <c r="AF45" i="88" s="1"/>
  <c r="EP45" i="88"/>
  <c r="HQ46" i="88"/>
  <c r="JC46" i="88"/>
  <c r="JY46" i="88" s="1"/>
  <c r="JV46" i="88" s="1"/>
  <c r="BA51" i="88"/>
  <c r="EP51" i="88"/>
  <c r="AD52" i="88"/>
  <c r="AF52" i="88" s="1"/>
  <c r="AD54" i="88"/>
  <c r="AF54" i="88" s="1"/>
  <c r="AH58" i="88"/>
  <c r="EO60" i="88"/>
  <c r="ER60" i="88" s="1"/>
  <c r="HU64" i="88"/>
  <c r="BV138" i="88"/>
  <c r="EI68" i="88"/>
  <c r="JU70" i="88"/>
  <c r="ER70" i="88"/>
  <c r="EQ70" i="88"/>
  <c r="EK71" i="88"/>
  <c r="JS71" i="88"/>
  <c r="JT72" i="88"/>
  <c r="AE73" i="88"/>
  <c r="JU73" i="88" s="1"/>
  <c r="BF73" i="88"/>
  <c r="EK78" i="88"/>
  <c r="EJ78" i="88"/>
  <c r="EK81" i="88"/>
  <c r="EJ81" i="88"/>
  <c r="FH140" i="88"/>
  <c r="JX67" i="88"/>
  <c r="JU67" i="88" s="1"/>
  <c r="HQ67" i="88"/>
  <c r="AJ69" i="88"/>
  <c r="BI69" i="88"/>
  <c r="JY69" i="88"/>
  <c r="HU69" i="88"/>
  <c r="AJ73" i="88"/>
  <c r="AK73" i="88" s="1"/>
  <c r="AS73" i="88"/>
  <c r="JV78" i="88"/>
  <c r="EK84" i="88"/>
  <c r="EJ84" i="88"/>
  <c r="JS72" i="88"/>
  <c r="HQ73" i="88"/>
  <c r="JS73" i="88"/>
  <c r="EQ74" i="88"/>
  <c r="KR74" i="88" s="1"/>
  <c r="EJ75" i="88"/>
  <c r="KR75" i="88" s="1"/>
  <c r="EQ76" i="88"/>
  <c r="KR76" i="88" s="1"/>
  <c r="EJ77" i="88"/>
  <c r="KR77" i="88" s="1"/>
  <c r="AD78" i="88"/>
  <c r="AF78" i="88" s="1"/>
  <c r="AI78" i="88"/>
  <c r="AK78" i="88" s="1"/>
  <c r="AS78" i="88"/>
  <c r="EQ78" i="88"/>
  <c r="EW78" i="88"/>
  <c r="JS78" i="88"/>
  <c r="JX78" i="88"/>
  <c r="JU78" i="88" s="1"/>
  <c r="EH79" i="88"/>
  <c r="EK79" i="88" s="1"/>
  <c r="EQ79" i="88"/>
  <c r="FM79" i="88"/>
  <c r="EJ80" i="88"/>
  <c r="KR80" i="88" s="1"/>
  <c r="AK81" i="88"/>
  <c r="AS81" i="88"/>
  <c r="BF81" i="88"/>
  <c r="EQ81" i="88"/>
  <c r="EW81" i="88"/>
  <c r="JS81" i="88"/>
  <c r="JX81" i="88"/>
  <c r="JU81" i="88" s="1"/>
  <c r="AX82" i="88"/>
  <c r="BI82" i="88"/>
  <c r="EP82" i="88"/>
  <c r="JT82" i="88"/>
  <c r="JY82" i="88"/>
  <c r="EJ83" i="88"/>
  <c r="KR83" i="88" s="1"/>
  <c r="HQ83" i="88"/>
  <c r="JS83" i="88"/>
  <c r="AK84" i="88"/>
  <c r="JX84" i="88"/>
  <c r="JU84" i="88" s="1"/>
  <c r="HU84" i="88"/>
  <c r="AJ85" i="88"/>
  <c r="AK85" i="88" s="1"/>
  <c r="EK85" i="88"/>
  <c r="JS85" i="88"/>
  <c r="JU86" i="88"/>
  <c r="JV89" i="88"/>
  <c r="EK90" i="88"/>
  <c r="EJ90" i="88"/>
  <c r="EK93" i="88"/>
  <c r="EK95" i="88"/>
  <c r="JU97" i="88"/>
  <c r="KA99" i="88"/>
  <c r="KD99" i="88" s="1"/>
  <c r="IC68" i="88"/>
  <c r="EJ69" i="88"/>
  <c r="HQ69" i="88"/>
  <c r="EJ71" i="88"/>
  <c r="JT73" i="88"/>
  <c r="ER74" i="88"/>
  <c r="ER76" i="88"/>
  <c r="JV80" i="88"/>
  <c r="AH81" i="88"/>
  <c r="JT81" i="88"/>
  <c r="AC82" i="88"/>
  <c r="AH82" i="88"/>
  <c r="JT83" i="88"/>
  <c r="JS84" i="88"/>
  <c r="JC84" i="88"/>
  <c r="AE85" i="88"/>
  <c r="AF85" i="88" s="1"/>
  <c r="AK86" i="88"/>
  <c r="EK86" i="88"/>
  <c r="EJ86" i="88"/>
  <c r="JV86" i="88"/>
  <c r="EK87" i="88"/>
  <c r="EJ87" i="88"/>
  <c r="KA88" i="88"/>
  <c r="KD88" i="88" s="1"/>
  <c r="JU88" i="88"/>
  <c r="KR95" i="88"/>
  <c r="EP69" i="88"/>
  <c r="EP71" i="88"/>
  <c r="JV71" i="88" s="1"/>
  <c r="EO79" i="88"/>
  <c r="ER79" i="88" s="1"/>
  <c r="HQ79" i="88"/>
  <c r="AD81" i="88"/>
  <c r="AF81" i="88" s="1"/>
  <c r="GN140" i="88"/>
  <c r="GN141" i="88" s="1"/>
  <c r="AD82" i="88"/>
  <c r="AF82" i="88" s="1"/>
  <c r="EP84" i="88"/>
  <c r="KQ84" i="88"/>
  <c r="FA85" i="88"/>
  <c r="EP85" i="88"/>
  <c r="AF90" i="88"/>
  <c r="JU90" i="88"/>
  <c r="ER90" i="88"/>
  <c r="JU92" i="88"/>
  <c r="KD93" i="88"/>
  <c r="ER94" i="88"/>
  <c r="EK98" i="88"/>
  <c r="KA84" i="88"/>
  <c r="KD84" i="88" s="1"/>
  <c r="EK89" i="88"/>
  <c r="EJ89" i="88"/>
  <c r="JU89" i="88"/>
  <c r="EJ99" i="88"/>
  <c r="EK99" i="88"/>
  <c r="HU85" i="88"/>
  <c r="JT85" i="88"/>
  <c r="AS86" i="88"/>
  <c r="HQ86" i="88"/>
  <c r="JS86" i="88"/>
  <c r="AD87" i="88"/>
  <c r="AF87" i="88" s="1"/>
  <c r="AI87" i="88"/>
  <c r="AK87" i="88" s="1"/>
  <c r="EK88" i="88"/>
  <c r="EP88" i="88"/>
  <c r="JS89" i="88"/>
  <c r="AX90" i="88"/>
  <c r="HQ90" i="88"/>
  <c r="AK91" i="88"/>
  <c r="EQ92" i="88"/>
  <c r="AC93" i="88"/>
  <c r="AH93" i="88"/>
  <c r="BY93" i="88"/>
  <c r="EG93" i="88"/>
  <c r="EJ93" i="88" s="1"/>
  <c r="EP93" i="88"/>
  <c r="GK93" i="88"/>
  <c r="GK133" i="88" s="1"/>
  <c r="HU93" i="88"/>
  <c r="AI94" i="88"/>
  <c r="AK94" i="88" s="1"/>
  <c r="DB138" i="88"/>
  <c r="JU94" i="88"/>
  <c r="AF95" i="88"/>
  <c r="AK95" i="88"/>
  <c r="JS95" i="88"/>
  <c r="AF96" i="88"/>
  <c r="AK96" i="88"/>
  <c r="EQ97" i="88"/>
  <c r="HU98" i="88"/>
  <c r="AC99" i="88"/>
  <c r="CT99" i="88"/>
  <c r="CT133" i="88" s="1"/>
  <c r="EP99" i="88"/>
  <c r="AC100" i="88"/>
  <c r="EO100" i="88"/>
  <c r="ER100" i="88" s="1"/>
  <c r="EH101" i="88"/>
  <c r="EK101" i="88" s="1"/>
  <c r="FA101" i="88"/>
  <c r="EP101" i="88"/>
  <c r="JU101" i="88"/>
  <c r="AE102" i="88"/>
  <c r="AF102" i="88" s="1"/>
  <c r="BF102" i="88"/>
  <c r="KA105" i="88"/>
  <c r="KD105" i="88" s="1"/>
  <c r="EP107" i="88"/>
  <c r="FI107" i="88"/>
  <c r="EP108" i="88"/>
  <c r="FI108" i="88"/>
  <c r="JY108" i="88"/>
  <c r="HU108" i="88"/>
  <c r="JU108" i="88"/>
  <c r="FA109" i="88"/>
  <c r="EP109" i="88"/>
  <c r="JS109" i="88"/>
  <c r="AE110" i="88"/>
  <c r="AF110" i="88" s="1"/>
  <c r="JT86" i="88"/>
  <c r="JV87" i="88"/>
  <c r="JS88" i="88"/>
  <c r="JS93" i="88"/>
  <c r="JV94" i="88"/>
  <c r="JU98" i="88"/>
  <c r="JY99" i="88"/>
  <c r="JV99" i="88" s="1"/>
  <c r="JV100" i="88"/>
  <c r="AP101" i="88"/>
  <c r="AD101" i="88"/>
  <c r="AF101" i="88" s="1"/>
  <c r="JV101" i="88"/>
  <c r="JS102" i="88"/>
  <c r="EK103" i="88"/>
  <c r="EJ103" i="88"/>
  <c r="JS103" i="88"/>
  <c r="KQ103" i="88"/>
  <c r="EI104" i="88"/>
  <c r="JU104" i="88" s="1"/>
  <c r="EW104" i="88"/>
  <c r="EQ105" i="88"/>
  <c r="AD86" i="88"/>
  <c r="AF86" i="88" s="1"/>
  <c r="BA86" i="88"/>
  <c r="EQ86" i="88"/>
  <c r="EW86" i="88"/>
  <c r="EQ87" i="88"/>
  <c r="EW87" i="88"/>
  <c r="HY87" i="88"/>
  <c r="AC88" i="88"/>
  <c r="HU88" i="88"/>
  <c r="EQ89" i="88"/>
  <c r="EW89" i="88"/>
  <c r="EQ90" i="88"/>
  <c r="EW90" i="88"/>
  <c r="EJ92" i="88"/>
  <c r="GD133" i="88"/>
  <c r="CR138" i="88"/>
  <c r="EM94" i="88"/>
  <c r="EM133" i="88" s="1"/>
  <c r="EM135" i="88" s="1"/>
  <c r="EQ94" i="88"/>
  <c r="KR94" i="88" s="1"/>
  <c r="GG94" i="88"/>
  <c r="GG133" i="88" s="1"/>
  <c r="EJ97" i="88"/>
  <c r="EO97" i="88"/>
  <c r="ER97" i="88" s="1"/>
  <c r="HQ97" i="88"/>
  <c r="AD98" i="88"/>
  <c r="AF98" i="88" s="1"/>
  <c r="BQ98" i="88"/>
  <c r="EP98" i="88"/>
  <c r="JX99" i="88"/>
  <c r="JU99" i="88" s="1"/>
  <c r="AF100" i="88"/>
  <c r="AI101" i="88"/>
  <c r="AK101" i="88" s="1"/>
  <c r="KA101" i="88"/>
  <c r="KD101" i="88" s="1"/>
  <c r="JS101" i="88"/>
  <c r="EK102" i="88"/>
  <c r="JY102" i="88"/>
  <c r="HU102" i="88"/>
  <c r="EP103" i="88"/>
  <c r="FI103" i="88"/>
  <c r="JY103" i="88"/>
  <c r="IC103" i="88"/>
  <c r="JV104" i="88"/>
  <c r="EO105" i="88"/>
  <c r="ER105" i="88" s="1"/>
  <c r="AE107" i="88"/>
  <c r="AF107" i="88" s="1"/>
  <c r="AP107" i="88"/>
  <c r="AI108" i="88"/>
  <c r="AK108" i="88" s="1"/>
  <c r="BI108" i="88"/>
  <c r="AH108" i="88"/>
  <c r="EH108" i="88"/>
  <c r="EK108" i="88" s="1"/>
  <c r="JU109" i="88"/>
  <c r="EQ110" i="88"/>
  <c r="JV110" i="88"/>
  <c r="AH87" i="88"/>
  <c r="HU87" i="88"/>
  <c r="AD88" i="88"/>
  <c r="AF88" i="88" s="1"/>
  <c r="EF93" i="88"/>
  <c r="AH94" i="88"/>
  <c r="CO94" i="88"/>
  <c r="CL138" i="88" s="1"/>
  <c r="EJ100" i="88"/>
  <c r="KR100" i="88" s="1"/>
  <c r="JX100" i="88"/>
  <c r="JU100" i="88" s="1"/>
  <c r="AI102" i="88"/>
  <c r="AK102" i="88" s="1"/>
  <c r="BY102" i="88"/>
  <c r="AH102" i="88"/>
  <c r="FA102" i="88"/>
  <c r="EP102" i="88"/>
  <c r="JT103" i="88"/>
  <c r="AI103" i="88"/>
  <c r="AK103" i="88" s="1"/>
  <c r="AH103" i="88"/>
  <c r="CG103" i="88"/>
  <c r="ER104" i="88"/>
  <c r="EQ104" i="88"/>
  <c r="EI105" i="88"/>
  <c r="JU105" i="88" s="1"/>
  <c r="EW105" i="88"/>
  <c r="JT105" i="88"/>
  <c r="EH106" i="88"/>
  <c r="EK106" i="88" s="1"/>
  <c r="FA106" i="88"/>
  <c r="EP106" i="88"/>
  <c r="JS106" i="88"/>
  <c r="EK107" i="88"/>
  <c r="EJ107" i="88"/>
  <c r="JY107" i="88"/>
  <c r="HU107" i="88"/>
  <c r="EJ108" i="88"/>
  <c r="AC109" i="88"/>
  <c r="CD109" i="88"/>
  <c r="EK110" i="88"/>
  <c r="EJ110" i="88"/>
  <c r="KR110" i="88" s="1"/>
  <c r="JT110" i="88"/>
  <c r="HU112" i="88"/>
  <c r="JY112" i="88"/>
  <c r="FA113" i="88"/>
  <c r="EP113" i="88"/>
  <c r="JV113" i="88" s="1"/>
  <c r="JS113" i="88"/>
  <c r="CG114" i="88"/>
  <c r="AJ114" i="88"/>
  <c r="AK114" i="88" s="1"/>
  <c r="EW115" i="88"/>
  <c r="EI115" i="88"/>
  <c r="JU115" i="88" s="1"/>
  <c r="CD117" i="88"/>
  <c r="AE117" i="88"/>
  <c r="JT100" i="88"/>
  <c r="JT101" i="88"/>
  <c r="EH104" i="88"/>
  <c r="JS105" i="88"/>
  <c r="JT107" i="88"/>
  <c r="JT108" i="88"/>
  <c r="AJ109" i="88"/>
  <c r="AK109" i="88" s="1"/>
  <c r="HQ110" i="88"/>
  <c r="AD111" i="88"/>
  <c r="AF111" i="88" s="1"/>
  <c r="FA111" i="88"/>
  <c r="EP111" i="88"/>
  <c r="JV111" i="88" s="1"/>
  <c r="JS111" i="88"/>
  <c r="EK112" i="88"/>
  <c r="EK113" i="88"/>
  <c r="EO115" i="88"/>
  <c r="EH117" i="88"/>
  <c r="EO117" i="88"/>
  <c r="BT138" i="88"/>
  <c r="AC113" i="88"/>
  <c r="BF113" i="88"/>
  <c r="AD113" i="88"/>
  <c r="KA113" i="88"/>
  <c r="KD113" i="88" s="1"/>
  <c r="EP115" i="88"/>
  <c r="EI116" i="88"/>
  <c r="HQ116" i="88"/>
  <c r="JX116" i="88"/>
  <c r="HU109" i="88"/>
  <c r="AK111" i="88"/>
  <c r="JT111" i="88"/>
  <c r="EK111" i="88"/>
  <c r="BI112" i="88"/>
  <c r="JT112" i="88"/>
  <c r="AI112" i="88"/>
  <c r="AK112" i="88" s="1"/>
  <c r="AH112" i="88"/>
  <c r="JU112" i="88"/>
  <c r="AF113" i="88"/>
  <c r="JY114" i="88"/>
  <c r="HU114" i="88"/>
  <c r="AC117" i="88"/>
  <c r="JS117" i="88"/>
  <c r="DB117" i="88"/>
  <c r="JS112" i="88"/>
  <c r="JU113" i="88"/>
  <c r="JS115" i="88"/>
  <c r="BF116" i="88"/>
  <c r="AD116" i="88"/>
  <c r="AF116" i="88" s="1"/>
  <c r="EH116" i="88"/>
  <c r="FA116" i="88"/>
  <c r="EP116" i="88"/>
  <c r="AH117" i="88"/>
  <c r="BI117" i="88"/>
  <c r="JT117" i="88"/>
  <c r="ER119" i="88"/>
  <c r="EQ119" i="88"/>
  <c r="KR119" i="88" s="1"/>
  <c r="AF122" i="88"/>
  <c r="JU122" i="88"/>
  <c r="HU111" i="88"/>
  <c r="AD112" i="88"/>
  <c r="AF112" i="88" s="1"/>
  <c r="EP112" i="88"/>
  <c r="BI113" i="88"/>
  <c r="HU113" i="88"/>
  <c r="EP114" i="88"/>
  <c r="JY115" i="88"/>
  <c r="HU115" i="88"/>
  <c r="JT116" i="88"/>
  <c r="JY116" i="88"/>
  <c r="AK117" i="88"/>
  <c r="EP117" i="88"/>
  <c r="JX117" i="88"/>
  <c r="AF118" i="88"/>
  <c r="AK118" i="88"/>
  <c r="EK118" i="88"/>
  <c r="EJ118" i="88"/>
  <c r="KR118" i="88" s="1"/>
  <c r="JU120" i="88"/>
  <c r="JV120" i="88"/>
  <c r="JV121" i="88"/>
  <c r="JU124" i="88"/>
  <c r="EK120" i="88"/>
  <c r="EJ120" i="88"/>
  <c r="KR120" i="88" s="1"/>
  <c r="AI113" i="88"/>
  <c r="AK113" i="88" s="1"/>
  <c r="JT115" i="88"/>
  <c r="EI117" i="88"/>
  <c r="EW117" i="88"/>
  <c r="KQ117" i="88"/>
  <c r="JU123" i="88"/>
  <c r="AI116" i="88"/>
  <c r="AK116" i="88" s="1"/>
  <c r="EQ121" i="88"/>
  <c r="KR121" i="88" s="1"/>
  <c r="EJ122" i="88"/>
  <c r="KR122" i="88" s="1"/>
  <c r="EJ123" i="88"/>
  <c r="EO123" i="88"/>
  <c r="HQ123" i="88"/>
  <c r="AX124" i="88"/>
  <c r="BI124" i="88"/>
  <c r="EJ124" i="88"/>
  <c r="HQ124" i="88"/>
  <c r="JS124" i="88"/>
  <c r="EQ125" i="88"/>
  <c r="KR125" i="88" s="1"/>
  <c r="ER126" i="88"/>
  <c r="ER121" i="88"/>
  <c r="JV122" i="88"/>
  <c r="EP123" i="88"/>
  <c r="EP124" i="88"/>
  <c r="JT124" i="88"/>
  <c r="JY124" i="88"/>
  <c r="ER125" i="88"/>
  <c r="JV126" i="88"/>
  <c r="AK126" i="88"/>
  <c r="EK127" i="88"/>
  <c r="EJ127" i="88"/>
  <c r="HU123" i="88"/>
  <c r="AJ124" i="88"/>
  <c r="AK124" i="88" s="1"/>
  <c r="AF126" i="88"/>
  <c r="JU127" i="88"/>
  <c r="KR128" i="88"/>
  <c r="JY128" i="88"/>
  <c r="JV128" i="88" s="1"/>
  <c r="EQ126" i="88"/>
  <c r="KR126" i="88" s="1"/>
  <c r="EW127" i="88"/>
  <c r="JS127" i="88"/>
  <c r="EK128" i="88"/>
  <c r="JT128" i="88"/>
  <c r="EJ129" i="88"/>
  <c r="KR129" i="88" s="1"/>
  <c r="JU129" i="88"/>
  <c r="EQ130" i="88"/>
  <c r="KR130" i="88" s="1"/>
  <c r="AD131" i="88"/>
  <c r="AF131" i="88" s="1"/>
  <c r="EI131" i="88"/>
  <c r="EQ132" i="88"/>
  <c r="KR132" i="88" s="1"/>
  <c r="LL141" i="88"/>
  <c r="LL142" i="88" s="1"/>
  <c r="LM136" i="88"/>
  <c r="LM141" i="88" s="1"/>
  <c r="LM142" i="88" s="1"/>
  <c r="HU127" i="88"/>
  <c r="JT127" i="88"/>
  <c r="JV129" i="88"/>
  <c r="AK130" i="88"/>
  <c r="EO131" i="88"/>
  <c r="ER131" i="88" s="1"/>
  <c r="HQ131" i="88"/>
  <c r="JS131" i="88"/>
  <c r="AK132" i="88"/>
  <c r="BD138" i="88"/>
  <c r="CB138" i="88"/>
  <c r="AD127" i="88"/>
  <c r="AF127" i="88" s="1"/>
  <c r="BF127" i="88"/>
  <c r="CD127" i="88"/>
  <c r="DB127" i="88"/>
  <c r="EP127" i="88"/>
  <c r="HQ128" i="88"/>
  <c r="CT137" i="88"/>
  <c r="CT140" i="88" s="1"/>
  <c r="GZ140" i="88"/>
  <c r="GZ141" i="88" s="1"/>
  <c r="CV137" i="88"/>
  <c r="CV139" i="88" s="1"/>
  <c r="CV140" i="88" s="1"/>
  <c r="B15" i="74"/>
  <c r="C14" i="74"/>
  <c r="B14" i="74"/>
  <c r="JV85" i="88" l="1"/>
  <c r="AP137" i="88"/>
  <c r="JV108" i="88"/>
  <c r="KR56" i="88"/>
  <c r="JV30" i="88"/>
  <c r="JC133" i="88"/>
  <c r="IJ139" i="88" s="1"/>
  <c r="JU68" i="88"/>
  <c r="JV82" i="88"/>
  <c r="JV124" i="88"/>
  <c r="IC133" i="88"/>
  <c r="KR5" i="88"/>
  <c r="CG133" i="88"/>
  <c r="JV114" i="88"/>
  <c r="JU116" i="88"/>
  <c r="JV107" i="88"/>
  <c r="JU102" i="88"/>
  <c r="JV103" i="88"/>
  <c r="JV102" i="88"/>
  <c r="JU85" i="88"/>
  <c r="AK69" i="88"/>
  <c r="DB133" i="88"/>
  <c r="KR92" i="88"/>
  <c r="BI133" i="88"/>
  <c r="KR70" i="88"/>
  <c r="AS133" i="88"/>
  <c r="BN133" i="88"/>
  <c r="FM133" i="88"/>
  <c r="BQ133" i="88"/>
  <c r="KR91" i="88"/>
  <c r="KR97" i="88"/>
  <c r="KR86" i="88"/>
  <c r="JY84" i="88"/>
  <c r="JY133" i="88" s="1"/>
  <c r="FI133" i="88"/>
  <c r="BY133" i="88"/>
  <c r="KR67" i="88"/>
  <c r="KR78" i="88"/>
  <c r="EF133" i="88"/>
  <c r="EF135" i="88" s="1"/>
  <c r="EO133" i="88"/>
  <c r="EO135" i="88" s="1"/>
  <c r="FA133" i="88"/>
  <c r="DJ133" i="88"/>
  <c r="HU133" i="88"/>
  <c r="AP133" i="88"/>
  <c r="JT133" i="88"/>
  <c r="KQ133" i="88"/>
  <c r="KQ140" i="88" s="1"/>
  <c r="EW133" i="88"/>
  <c r="AX133" i="88"/>
  <c r="EP133" i="88"/>
  <c r="EP135" i="88" s="1"/>
  <c r="IG133" i="88"/>
  <c r="HQ133" i="88"/>
  <c r="JV52" i="88"/>
  <c r="CD133" i="88"/>
  <c r="AI133" i="88"/>
  <c r="JV31" i="88"/>
  <c r="CO133" i="88"/>
  <c r="BV133" i="88"/>
  <c r="HA133" i="88"/>
  <c r="KR14" i="88"/>
  <c r="BA133" i="88"/>
  <c r="AH133" i="88"/>
  <c r="KR66" i="88"/>
  <c r="AC133" i="88"/>
  <c r="HY133" i="88"/>
  <c r="JS133" i="88"/>
  <c r="BF133" i="88"/>
  <c r="KR48" i="88"/>
  <c r="JV16" i="89"/>
  <c r="JT18" i="89"/>
  <c r="EI18" i="89"/>
  <c r="EK4" i="89"/>
  <c r="EK18" i="89" s="1"/>
  <c r="EJ4" i="89"/>
  <c r="JX18" i="89"/>
  <c r="JX19" i="89" s="1"/>
  <c r="EP18" i="89"/>
  <c r="ER4" i="89"/>
  <c r="EQ4" i="89"/>
  <c r="HT24" i="89"/>
  <c r="EJ6" i="89"/>
  <c r="KP6" i="89" s="1"/>
  <c r="AI18" i="89"/>
  <c r="JS18" i="89"/>
  <c r="EH18" i="89"/>
  <c r="JV4" i="89"/>
  <c r="KP15" i="89"/>
  <c r="JV7" i="89"/>
  <c r="ER7" i="89"/>
  <c r="EQ7" i="89"/>
  <c r="KP7" i="89" s="1"/>
  <c r="HP24" i="89"/>
  <c r="HX25" i="89" s="1"/>
  <c r="JU5" i="89"/>
  <c r="ER15" i="89"/>
  <c r="EQ15" i="89"/>
  <c r="ER14" i="89"/>
  <c r="EQ14" i="89"/>
  <c r="KP14" i="89" s="1"/>
  <c r="ER13" i="89"/>
  <c r="EQ13" i="89"/>
  <c r="KP13" i="89" s="1"/>
  <c r="AD18" i="89"/>
  <c r="AF4" i="89"/>
  <c r="AF18" i="89" s="1"/>
  <c r="JV15" i="89"/>
  <c r="IB24" i="89"/>
  <c r="IJ25" i="89" s="1"/>
  <c r="JU4" i="89"/>
  <c r="AJ18" i="89"/>
  <c r="AK4" i="89"/>
  <c r="AK18" i="89" s="1"/>
  <c r="KD18" i="89"/>
  <c r="JU16" i="89"/>
  <c r="HH25" i="89"/>
  <c r="JY18" i="89"/>
  <c r="EN18" i="89"/>
  <c r="HL24" i="89"/>
  <c r="JV13" i="89"/>
  <c r="HX24" i="89"/>
  <c r="IF25" i="89" s="1"/>
  <c r="AE18" i="89"/>
  <c r="KA18" i="89"/>
  <c r="JX133" i="88"/>
  <c r="AK133" i="88"/>
  <c r="ER112" i="88"/>
  <c r="EQ112" i="88"/>
  <c r="KR112" i="88" s="1"/>
  <c r="EQ115" i="88"/>
  <c r="ER115" i="88"/>
  <c r="EQ84" i="88"/>
  <c r="KR84" i="88" s="1"/>
  <c r="ER84" i="88"/>
  <c r="EQ98" i="88"/>
  <c r="KR98" i="88" s="1"/>
  <c r="ER98" i="88"/>
  <c r="ER107" i="88"/>
  <c r="EQ107" i="88"/>
  <c r="ER85" i="88"/>
  <c r="EQ85" i="88"/>
  <c r="KR85" i="88" s="1"/>
  <c r="ER82" i="88"/>
  <c r="EQ82" i="88"/>
  <c r="KR82" i="88" s="1"/>
  <c r="AF73" i="88"/>
  <c r="EQ51" i="88"/>
  <c r="KR51" i="88" s="1"/>
  <c r="ER51" i="88"/>
  <c r="EQ45" i="88"/>
  <c r="KR45" i="88" s="1"/>
  <c r="ER45" i="88"/>
  <c r="EK72" i="88"/>
  <c r="EJ72" i="88"/>
  <c r="KR72" i="88" s="1"/>
  <c r="ER61" i="88"/>
  <c r="EQ61" i="88"/>
  <c r="KR61" i="88" s="1"/>
  <c r="KR47" i="88"/>
  <c r="JV51" i="88"/>
  <c r="EQ35" i="88"/>
  <c r="ER35" i="88"/>
  <c r="KR38" i="88"/>
  <c r="JV60" i="88"/>
  <c r="JV45" i="88"/>
  <c r="AF42" i="88"/>
  <c r="DB140" i="88"/>
  <c r="EK24" i="88"/>
  <c r="EJ24" i="88"/>
  <c r="JV35" i="88"/>
  <c r="EG133" i="88"/>
  <c r="EG135" i="88" s="1"/>
  <c r="IP133" i="88"/>
  <c r="KR4" i="88"/>
  <c r="ER11" i="88"/>
  <c r="EQ11" i="88"/>
  <c r="KR11" i="88" s="1"/>
  <c r="EH133" i="88"/>
  <c r="EH135" i="88" s="1"/>
  <c r="AE133" i="88"/>
  <c r="EQ116" i="88"/>
  <c r="JV116" i="88"/>
  <c r="ER116" i="88"/>
  <c r="ER88" i="88"/>
  <c r="EQ88" i="88"/>
  <c r="KR88" i="88" s="1"/>
  <c r="EK131" i="88"/>
  <c r="EJ131" i="88"/>
  <c r="KR131" i="88" s="1"/>
  <c r="ER124" i="88"/>
  <c r="EQ124" i="88"/>
  <c r="KR124" i="88" s="1"/>
  <c r="JV115" i="88"/>
  <c r="JV112" i="88"/>
  <c r="EJ115" i="88"/>
  <c r="EK115" i="88"/>
  <c r="ER106" i="88"/>
  <c r="EQ106" i="88"/>
  <c r="KR106" i="88" s="1"/>
  <c r="JU110" i="88"/>
  <c r="EJ104" i="88"/>
  <c r="KR104" i="88" s="1"/>
  <c r="EK104" i="88"/>
  <c r="ER108" i="88"/>
  <c r="EQ108" i="88"/>
  <c r="JV106" i="88"/>
  <c r="ER93" i="88"/>
  <c r="EQ93" i="88"/>
  <c r="KR93" i="88" s="1"/>
  <c r="KR87" i="88"/>
  <c r="KR81" i="88"/>
  <c r="EK68" i="88"/>
  <c r="EJ68" i="88"/>
  <c r="KR68" i="88" s="1"/>
  <c r="AF68" i="88"/>
  <c r="KR79" i="88"/>
  <c r="ER52" i="88"/>
  <c r="EQ52" i="88"/>
  <c r="KR52" i="88" s="1"/>
  <c r="EJ39" i="88"/>
  <c r="KR39" i="88" s="1"/>
  <c r="EK39" i="88"/>
  <c r="JV61" i="88"/>
  <c r="JV64" i="88"/>
  <c r="JU58" i="88"/>
  <c r="JU44" i="88"/>
  <c r="GB140" i="88"/>
  <c r="GB141" i="88" s="1"/>
  <c r="BV137" i="88"/>
  <c r="BV140" i="88" s="1"/>
  <c r="JU39" i="88"/>
  <c r="ER32" i="88"/>
  <c r="EQ32" i="88"/>
  <c r="KR32" i="88" s="1"/>
  <c r="KR29" i="88"/>
  <c r="EI133" i="88"/>
  <c r="EI135" i="88" s="1"/>
  <c r="JV6" i="88"/>
  <c r="JV13" i="88"/>
  <c r="EK117" i="88"/>
  <c r="EJ117" i="88"/>
  <c r="ER117" i="88"/>
  <c r="EQ117" i="88"/>
  <c r="ER127" i="88"/>
  <c r="EQ127" i="88"/>
  <c r="KR127" i="88" s="1"/>
  <c r="JU131" i="88"/>
  <c r="ER123" i="88"/>
  <c r="EQ123" i="88"/>
  <c r="KR123" i="88" s="1"/>
  <c r="JV127" i="88"/>
  <c r="JV117" i="88"/>
  <c r="JV123" i="88"/>
  <c r="EK116" i="88"/>
  <c r="EJ116" i="88"/>
  <c r="JU117" i="88"/>
  <c r="AF117" i="88"/>
  <c r="ER113" i="88"/>
  <c r="EQ113" i="88"/>
  <c r="KR113" i="88" s="1"/>
  <c r="KR108" i="88"/>
  <c r="KR107" i="88"/>
  <c r="EJ105" i="88"/>
  <c r="KR105" i="88" s="1"/>
  <c r="EK105" i="88"/>
  <c r="ER102" i="88"/>
  <c r="EQ102" i="88"/>
  <c r="KR102" i="88" s="1"/>
  <c r="ER103" i="88"/>
  <c r="EQ103" i="88"/>
  <c r="KR103" i="88" s="1"/>
  <c r="JV109" i="88"/>
  <c r="ER109" i="88"/>
  <c r="EQ109" i="88"/>
  <c r="KR109" i="88" s="1"/>
  <c r="JU107" i="88"/>
  <c r="ER101" i="88"/>
  <c r="EQ101" i="88"/>
  <c r="KR101" i="88" s="1"/>
  <c r="ER99" i="88"/>
  <c r="EQ99" i="88"/>
  <c r="KR99" i="88" s="1"/>
  <c r="KR89" i="88"/>
  <c r="JV98" i="88"/>
  <c r="JV88" i="88"/>
  <c r="ER71" i="88"/>
  <c r="EQ71" i="88"/>
  <c r="KR71" i="88" s="1"/>
  <c r="JV93" i="88"/>
  <c r="KR90" i="88"/>
  <c r="JV69" i="88"/>
  <c r="JV84" i="88"/>
  <c r="JV73" i="88"/>
  <c r="ER64" i="88"/>
  <c r="EQ64" i="88"/>
  <c r="KR64" i="88" s="1"/>
  <c r="KR60" i="88"/>
  <c r="EJ41" i="88"/>
  <c r="KR41" i="88" s="1"/>
  <c r="EK41" i="88"/>
  <c r="KR55" i="88"/>
  <c r="EQ24" i="88"/>
  <c r="ER24" i="88"/>
  <c r="KR46" i="88"/>
  <c r="JU42" i="88"/>
  <c r="JU41" i="88"/>
  <c r="ER40" i="88"/>
  <c r="EQ40" i="88"/>
  <c r="KR40" i="88" s="1"/>
  <c r="ER30" i="88"/>
  <c r="EQ30" i="88"/>
  <c r="KR30" i="88" s="1"/>
  <c r="AD133" i="88"/>
  <c r="EQ22" i="88"/>
  <c r="ER22" i="88"/>
  <c r="KA133" i="88"/>
  <c r="KD4" i="88"/>
  <c r="KD133" i="88" s="1"/>
  <c r="KD138" i="88" s="1"/>
  <c r="HI133" i="88"/>
  <c r="KR36" i="88"/>
  <c r="JV24" i="88"/>
  <c r="EK22" i="88"/>
  <c r="EJ22" i="88"/>
  <c r="JU22" i="88"/>
  <c r="ER21" i="88"/>
  <c r="EQ21" i="88"/>
  <c r="KR21" i="88" s="1"/>
  <c r="KR12" i="88"/>
  <c r="JV22" i="88"/>
  <c r="ER114" i="88"/>
  <c r="EQ114" i="88"/>
  <c r="KR114" i="88" s="1"/>
  <c r="ER111" i="88"/>
  <c r="EQ111" i="88"/>
  <c r="KR111" i="88" s="1"/>
  <c r="ER69" i="88"/>
  <c r="EQ69" i="88"/>
  <c r="KR69" i="88" s="1"/>
  <c r="EJ42" i="88"/>
  <c r="KR42" i="88" s="1"/>
  <c r="EK42" i="88"/>
  <c r="ER39" i="88"/>
  <c r="EK35" i="88"/>
  <c r="EJ35" i="88"/>
  <c r="KR35" i="88" s="1"/>
  <c r="ER28" i="88"/>
  <c r="EQ28" i="88"/>
  <c r="KR28" i="88" s="1"/>
  <c r="GR140" i="88"/>
  <c r="GR141" i="88" s="1"/>
  <c r="CL137" i="88"/>
  <c r="CL140" i="88" s="1"/>
  <c r="JU35" i="88"/>
  <c r="ER13" i="88"/>
  <c r="EQ13" i="88"/>
  <c r="KR13" i="88" s="1"/>
  <c r="KR6" i="88"/>
  <c r="AJ133" i="88"/>
  <c r="C23" i="43"/>
  <c r="KR115" i="88" l="1"/>
  <c r="HL139" i="88"/>
  <c r="IB139" i="88"/>
  <c r="IJ140" i="88" s="1"/>
  <c r="IJ141" i="88" s="1"/>
  <c r="HT139" i="88"/>
  <c r="JV133" i="88"/>
  <c r="AF133" i="88"/>
  <c r="EK133" i="88"/>
  <c r="EK135" i="88" s="1"/>
  <c r="KR22" i="88"/>
  <c r="HT25" i="89"/>
  <c r="HL25" i="89"/>
  <c r="JU18" i="89"/>
  <c r="IB25" i="89"/>
  <c r="JV18" i="89"/>
  <c r="EQ18" i="89"/>
  <c r="EJ18" i="89"/>
  <c r="KP4" i="89"/>
  <c r="KP18" i="89" s="1"/>
  <c r="HP25" i="89"/>
  <c r="ER18" i="89"/>
  <c r="IF139" i="88"/>
  <c r="HX139" i="88"/>
  <c r="HP139" i="88"/>
  <c r="HH139" i="88"/>
  <c r="EQ133" i="88"/>
  <c r="EQ135" i="88" s="1"/>
  <c r="KR116" i="88"/>
  <c r="JU133" i="88"/>
  <c r="KR117" i="88"/>
  <c r="EJ133" i="88"/>
  <c r="EJ135" i="88" s="1"/>
  <c r="KR24" i="88"/>
  <c r="KR133" i="88" s="1"/>
  <c r="ER133" i="88"/>
  <c r="ER135" i="88" s="1"/>
  <c r="HL140" i="88"/>
  <c r="HL141" i="88" s="1"/>
  <c r="AA24" i="1"/>
  <c r="AA26" i="1" s="1"/>
  <c r="Z26" i="1" s="1"/>
  <c r="A126" i="86"/>
  <c r="A120" i="86"/>
  <c r="H112" i="86"/>
  <c r="H111" i="86"/>
  <c r="D126" i="86" s="1"/>
  <c r="D127" i="86" s="1"/>
  <c r="E111" i="86"/>
  <c r="E109" i="86"/>
  <c r="A124" i="86" s="1"/>
  <c r="E107" i="86"/>
  <c r="A122" i="86" s="1"/>
  <c r="H106" i="86"/>
  <c r="H103" i="86" s="1"/>
  <c r="D120" i="86" s="1"/>
  <c r="H105" i="86"/>
  <c r="H104" i="86"/>
  <c r="D101" i="86"/>
  <c r="C101" i="86"/>
  <c r="D93" i="86"/>
  <c r="C91" i="86"/>
  <c r="E90" i="86"/>
  <c r="D89" i="86"/>
  <c r="C89" i="86"/>
  <c r="C87" i="86"/>
  <c r="C92" i="86" s="1"/>
  <c r="D78" i="86"/>
  <c r="H77" i="86"/>
  <c r="D77" i="86"/>
  <c r="C76" i="86"/>
  <c r="D68" i="86"/>
  <c r="F59" i="86"/>
  <c r="O55" i="86" s="1"/>
  <c r="E59" i="86"/>
  <c r="N56" i="86"/>
  <c r="M56" i="86"/>
  <c r="K56" i="86"/>
  <c r="J56" i="86"/>
  <c r="F56" i="86"/>
  <c r="O54" i="86" s="1"/>
  <c r="N55" i="86"/>
  <c r="K55" i="86"/>
  <c r="J55" i="86"/>
  <c r="J57" i="86" s="1"/>
  <c r="J59" i="86" s="1"/>
  <c r="J61" i="86" s="1"/>
  <c r="I55" i="86"/>
  <c r="F55" i="86"/>
  <c r="O53" i="86" s="1"/>
  <c r="N54" i="86"/>
  <c r="F54" i="86"/>
  <c r="N53" i="86"/>
  <c r="F53" i="86"/>
  <c r="F52" i="86"/>
  <c r="K49" i="86"/>
  <c r="F48" i="86"/>
  <c r="O52" i="86" s="1"/>
  <c r="E48" i="86"/>
  <c r="N52" i="86" s="1"/>
  <c r="D48" i="86"/>
  <c r="M52" i="86" s="1"/>
  <c r="F33" i="86"/>
  <c r="D27" i="86"/>
  <c r="C25" i="86"/>
  <c r="C24" i="86"/>
  <c r="M19" i="86"/>
  <c r="C118" i="86" s="1"/>
  <c r="L19" i="86"/>
  <c r="M18" i="86"/>
  <c r="B118" i="86" s="1"/>
  <c r="L18" i="86"/>
  <c r="D17" i="86"/>
  <c r="C17" i="86"/>
  <c r="L4" i="86"/>
  <c r="K4" i="86"/>
  <c r="H1" i="86"/>
  <c r="P74" i="85"/>
  <c r="Q72" i="85"/>
  <c r="Q59" i="85"/>
  <c r="K59" i="85"/>
  <c r="P61" i="85" s="1"/>
  <c r="F59" i="85"/>
  <c r="Q58" i="85"/>
  <c r="J52" i="85"/>
  <c r="Q51" i="85"/>
  <c r="J50" i="85"/>
  <c r="J49" i="85"/>
  <c r="M47" i="85"/>
  <c r="D46" i="85"/>
  <c r="F34" i="85"/>
  <c r="F62" i="85" s="1"/>
  <c r="F33" i="85"/>
  <c r="F61" i="85" s="1"/>
  <c r="F32" i="85"/>
  <c r="F60" i="85" s="1"/>
  <c r="F31" i="85"/>
  <c r="F28" i="85"/>
  <c r="F23" i="85"/>
  <c r="D24" i="85" s="1"/>
  <c r="D23" i="85"/>
  <c r="D22" i="85"/>
  <c r="F21" i="85"/>
  <c r="M20" i="85"/>
  <c r="F20" i="85"/>
  <c r="M19" i="85"/>
  <c r="M18" i="85"/>
  <c r="F18" i="85"/>
  <c r="M17" i="85"/>
  <c r="F17" i="85"/>
  <c r="F15" i="85"/>
  <c r="C18" i="31"/>
  <c r="D17" i="31"/>
  <c r="E17" i="31"/>
  <c r="C17" i="31"/>
  <c r="D4" i="31"/>
  <c r="E4" i="31"/>
  <c r="F4" i="31"/>
  <c r="G4" i="31"/>
  <c r="H4" i="31"/>
  <c r="C4" i="31"/>
  <c r="D3" i="31"/>
  <c r="E3" i="31"/>
  <c r="F3" i="31"/>
  <c r="G3" i="31"/>
  <c r="H3" i="31"/>
  <c r="C3" i="31"/>
  <c r="B32" i="31"/>
  <c r="A32" i="31"/>
  <c r="B30" i="31"/>
  <c r="B31" i="31"/>
  <c r="B29" i="31"/>
  <c r="A30" i="31"/>
  <c r="A31" i="31"/>
  <c r="A29" i="31"/>
  <c r="B25" i="31"/>
  <c r="B26" i="31"/>
  <c r="B27" i="31"/>
  <c r="B28" i="31"/>
  <c r="B24" i="31"/>
  <c r="A25" i="31"/>
  <c r="A26" i="31"/>
  <c r="A27" i="31"/>
  <c r="A28" i="31"/>
  <c r="A24" i="31"/>
  <c r="AL7" i="1"/>
  <c r="G62" i="43"/>
  <c r="G63" i="43"/>
  <c r="G64" i="43"/>
  <c r="G65" i="43"/>
  <c r="G66" i="43"/>
  <c r="G67" i="43"/>
  <c r="G68" i="43"/>
  <c r="G69" i="43"/>
  <c r="G61" i="43"/>
  <c r="B131" i="84"/>
  <c r="B129" i="84"/>
  <c r="B127" i="84"/>
  <c r="D126" i="84"/>
  <c r="E126" i="84" s="1"/>
  <c r="F126" i="84" s="1"/>
  <c r="G126" i="84" s="1"/>
  <c r="E124" i="84"/>
  <c r="F124" i="84" s="1"/>
  <c r="G124" i="84" s="1"/>
  <c r="H124" i="84" s="1"/>
  <c r="I124" i="84" s="1"/>
  <c r="J124" i="84" s="1"/>
  <c r="K124" i="84" s="1"/>
  <c r="L124" i="84" s="1"/>
  <c r="M124" i="84" s="1"/>
  <c r="D124" i="84"/>
  <c r="D120" i="84"/>
  <c r="E120" i="84" s="1"/>
  <c r="F120" i="84" s="1"/>
  <c r="G120" i="84" s="1"/>
  <c r="H120" i="84" s="1"/>
  <c r="I120" i="84" s="1"/>
  <c r="J120" i="84" s="1"/>
  <c r="K120" i="84" s="1"/>
  <c r="L120" i="84" s="1"/>
  <c r="M120" i="84" s="1"/>
  <c r="D118" i="84"/>
  <c r="E118" i="84" s="1"/>
  <c r="F118" i="84" s="1"/>
  <c r="G118" i="84" s="1"/>
  <c r="E116" i="84"/>
  <c r="F116" i="84" s="1"/>
  <c r="G116" i="84" s="1"/>
  <c r="H116" i="84" s="1"/>
  <c r="I116" i="84" s="1"/>
  <c r="J116" i="84" s="1"/>
  <c r="K116" i="84" s="1"/>
  <c r="L116" i="84" s="1"/>
  <c r="M116" i="84" s="1"/>
  <c r="D116" i="84"/>
  <c r="D114" i="84"/>
  <c r="E114" i="84" s="1"/>
  <c r="F114" i="84" s="1"/>
  <c r="G114" i="84" s="1"/>
  <c r="H114" i="84" s="1"/>
  <c r="I114" i="84" s="1"/>
  <c r="J114" i="84" s="1"/>
  <c r="K114" i="84" s="1"/>
  <c r="L114" i="84" s="1"/>
  <c r="M114" i="84" s="1"/>
  <c r="D112" i="84"/>
  <c r="E112" i="84" s="1"/>
  <c r="G110" i="84"/>
  <c r="F110" i="84"/>
  <c r="E110" i="84"/>
  <c r="D110" i="84"/>
  <c r="C110" i="84"/>
  <c r="D109" i="84"/>
  <c r="E109" i="84" s="1"/>
  <c r="F109" i="84" s="1"/>
  <c r="G109" i="84" s="1"/>
  <c r="H109" i="84" s="1"/>
  <c r="I109" i="84" s="1"/>
  <c r="J109" i="84" s="1"/>
  <c r="K109" i="84" s="1"/>
  <c r="L109" i="84" s="1"/>
  <c r="M109" i="84" s="1"/>
  <c r="D107" i="84"/>
  <c r="E107" i="84" s="1"/>
  <c r="F107" i="84" s="1"/>
  <c r="G107" i="84" s="1"/>
  <c r="H107" i="84" s="1"/>
  <c r="I107" i="84" s="1"/>
  <c r="J107" i="84" s="1"/>
  <c r="K107" i="84" s="1"/>
  <c r="L107" i="84" s="1"/>
  <c r="M107" i="84" s="1"/>
  <c r="M103" i="84"/>
  <c r="L103" i="84"/>
  <c r="K103" i="84"/>
  <c r="J103" i="84"/>
  <c r="I103" i="84"/>
  <c r="H103" i="84"/>
  <c r="G103" i="84"/>
  <c r="F103" i="84"/>
  <c r="E103" i="84"/>
  <c r="D103" i="84"/>
  <c r="C103" i="84"/>
  <c r="D102" i="84"/>
  <c r="E102" i="84" s="1"/>
  <c r="F102" i="84" s="1"/>
  <c r="G102" i="84" s="1"/>
  <c r="H102" i="84" s="1"/>
  <c r="I102" i="84" s="1"/>
  <c r="J102" i="84" s="1"/>
  <c r="K102" i="84" s="1"/>
  <c r="L102" i="84" s="1"/>
  <c r="M102" i="84" s="1"/>
  <c r="B99" i="84"/>
  <c r="B97" i="84"/>
  <c r="B95" i="84"/>
  <c r="B93" i="84"/>
  <c r="E92" i="84"/>
  <c r="F92" i="84" s="1"/>
  <c r="G92" i="84" s="1"/>
  <c r="H92" i="84" s="1"/>
  <c r="I92" i="84" s="1"/>
  <c r="J92" i="84" s="1"/>
  <c r="K92" i="84" s="1"/>
  <c r="L92" i="84" s="1"/>
  <c r="M92" i="84" s="1"/>
  <c r="D92" i="84"/>
  <c r="B91" i="84"/>
  <c r="D90" i="84"/>
  <c r="E90" i="84" s="1"/>
  <c r="F90" i="84" s="1"/>
  <c r="G90" i="84" s="1"/>
  <c r="H90" i="84" s="1"/>
  <c r="I90" i="84" s="1"/>
  <c r="J90" i="84" s="1"/>
  <c r="K90" i="84" s="1"/>
  <c r="L90" i="84" s="1"/>
  <c r="M90" i="84" s="1"/>
  <c r="B89" i="84"/>
  <c r="D88" i="84"/>
  <c r="E88" i="84" s="1"/>
  <c r="F88" i="84" s="1"/>
  <c r="G88" i="84" s="1"/>
  <c r="H88" i="84" s="1"/>
  <c r="I88" i="84" s="1"/>
  <c r="J88" i="84" s="1"/>
  <c r="K88" i="84" s="1"/>
  <c r="L88" i="84" s="1"/>
  <c r="M88" i="84" s="1"/>
  <c r="D86" i="84"/>
  <c r="E86" i="84" s="1"/>
  <c r="F86" i="84" s="1"/>
  <c r="G86" i="84" s="1"/>
  <c r="D84" i="84"/>
  <c r="E84" i="84" s="1"/>
  <c r="F84" i="84" s="1"/>
  <c r="G84" i="84" s="1"/>
  <c r="D82" i="84"/>
  <c r="E82" i="84" s="1"/>
  <c r="F82" i="84" s="1"/>
  <c r="G82" i="84" s="1"/>
  <c r="D80" i="84"/>
  <c r="E80" i="84" s="1"/>
  <c r="F80" i="84" s="1"/>
  <c r="G80" i="84" s="1"/>
  <c r="D78" i="84"/>
  <c r="E78" i="84" s="1"/>
  <c r="F78" i="84" s="1"/>
  <c r="G78" i="84" s="1"/>
  <c r="B75" i="84"/>
  <c r="B73" i="84"/>
  <c r="B71" i="84"/>
  <c r="D70" i="84"/>
  <c r="E70" i="84" s="1"/>
  <c r="F70" i="84" s="1"/>
  <c r="G70" i="84" s="1"/>
  <c r="H70" i="84" s="1"/>
  <c r="I70" i="84" s="1"/>
  <c r="J70" i="84" s="1"/>
  <c r="K70" i="84" s="1"/>
  <c r="L70" i="84" s="1"/>
  <c r="M70" i="84" s="1"/>
  <c r="M68" i="84"/>
  <c r="L68" i="84"/>
  <c r="K68" i="84"/>
  <c r="J68" i="84"/>
  <c r="I68" i="84"/>
  <c r="H68" i="84"/>
  <c r="G68" i="84"/>
  <c r="F68" i="84"/>
  <c r="E68" i="84"/>
  <c r="D68" i="84"/>
  <c r="C68" i="84"/>
  <c r="C64" i="84"/>
  <c r="I55" i="84"/>
  <c r="J55" i="84" s="1"/>
  <c r="G55" i="84"/>
  <c r="H55" i="84" s="1"/>
  <c r="E55" i="84"/>
  <c r="F55" i="84" s="1"/>
  <c r="P50" i="84"/>
  <c r="P49" i="84"/>
  <c r="K49" i="84"/>
  <c r="V48" i="84"/>
  <c r="T48" i="84"/>
  <c r="R48" i="84"/>
  <c r="P48" i="84"/>
  <c r="Q47" i="84"/>
  <c r="Z47" i="84" s="1"/>
  <c r="J47" i="84"/>
  <c r="AC47" i="84" s="1"/>
  <c r="H47" i="84"/>
  <c r="AB47" i="84" s="1"/>
  <c r="F47" i="84"/>
  <c r="AA47" i="84" s="1"/>
  <c r="Q46" i="84"/>
  <c r="Z46" i="84" s="1"/>
  <c r="J46" i="84"/>
  <c r="AC46" i="84" s="1"/>
  <c r="H46" i="84"/>
  <c r="AB46" i="84" s="1"/>
  <c r="F46" i="84"/>
  <c r="AA46" i="84" s="1"/>
  <c r="Q45" i="84"/>
  <c r="Z45" i="84" s="1"/>
  <c r="H45" i="84"/>
  <c r="AB45" i="84" s="1"/>
  <c r="F45" i="84"/>
  <c r="AA45" i="84" s="1"/>
  <c r="C45" i="84"/>
  <c r="J45" i="84" s="1"/>
  <c r="Q44" i="84"/>
  <c r="Z44" i="84" s="1"/>
  <c r="J44" i="84"/>
  <c r="AC44" i="84" s="1"/>
  <c r="H44" i="84"/>
  <c r="AB44" i="84" s="1"/>
  <c r="F44" i="84"/>
  <c r="AA44" i="84" s="1"/>
  <c r="Q43" i="84"/>
  <c r="Z43" i="84" s="1"/>
  <c r="J43" i="84"/>
  <c r="AC43" i="84" s="1"/>
  <c r="H43" i="84"/>
  <c r="AB43" i="84" s="1"/>
  <c r="F43" i="84"/>
  <c r="AA43" i="84" s="1"/>
  <c r="Q42" i="84"/>
  <c r="Z42" i="84" s="1"/>
  <c r="J42" i="84"/>
  <c r="AC42" i="84" s="1"/>
  <c r="H42" i="84"/>
  <c r="AB42" i="84" s="1"/>
  <c r="F42" i="84"/>
  <c r="AA42" i="84" s="1"/>
  <c r="Q41" i="84"/>
  <c r="Z41" i="84" s="1"/>
  <c r="J41" i="84"/>
  <c r="AC41" i="84" s="1"/>
  <c r="H41" i="84"/>
  <c r="AB41" i="84" s="1"/>
  <c r="F41" i="84"/>
  <c r="AA41" i="84" s="1"/>
  <c r="Q40" i="84"/>
  <c r="Z40" i="84" s="1"/>
  <c r="J40" i="84"/>
  <c r="AC40" i="84" s="1"/>
  <c r="H40" i="84"/>
  <c r="AB40" i="84" s="1"/>
  <c r="F40" i="84"/>
  <c r="AA40" i="84" s="1"/>
  <c r="Q39" i="84"/>
  <c r="Z39" i="84" s="1"/>
  <c r="J39" i="84"/>
  <c r="AC39" i="84" s="1"/>
  <c r="H39" i="84"/>
  <c r="AB39" i="84" s="1"/>
  <c r="F39" i="84"/>
  <c r="AA39" i="84" s="1"/>
  <c r="Z38" i="84"/>
  <c r="Q38" i="84"/>
  <c r="J38" i="84"/>
  <c r="AC38" i="84" s="1"/>
  <c r="H38" i="84"/>
  <c r="AB38" i="84" s="1"/>
  <c r="F38" i="84"/>
  <c r="AA38" i="84" s="1"/>
  <c r="Q37" i="84"/>
  <c r="Z37" i="84" s="1"/>
  <c r="C37" i="84"/>
  <c r="G37" i="84" s="1"/>
  <c r="H37" i="84" s="1"/>
  <c r="AB37" i="84" s="1"/>
  <c r="Q36" i="84"/>
  <c r="Z36" i="84" s="1"/>
  <c r="J36" i="84"/>
  <c r="AC36" i="84" s="1"/>
  <c r="H36" i="84"/>
  <c r="AB36" i="84" s="1"/>
  <c r="F36" i="84"/>
  <c r="AA36" i="84" s="1"/>
  <c r="Q35" i="84"/>
  <c r="Z35" i="84" s="1"/>
  <c r="J35" i="84"/>
  <c r="AC35" i="84" s="1"/>
  <c r="H35" i="84"/>
  <c r="U35" i="84" s="1"/>
  <c r="F35" i="84"/>
  <c r="AA35" i="84" s="1"/>
  <c r="Q34" i="84"/>
  <c r="Z34" i="84" s="1"/>
  <c r="C34" i="84"/>
  <c r="F34" i="84" s="1"/>
  <c r="AA33" i="84"/>
  <c r="Z33" i="84"/>
  <c r="Q33" i="84"/>
  <c r="J33" i="84"/>
  <c r="AC33" i="84" s="1"/>
  <c r="H33" i="84"/>
  <c r="AB33" i="84" s="1"/>
  <c r="F33" i="84"/>
  <c r="S33" i="84" s="1"/>
  <c r="Z32" i="84"/>
  <c r="W32" i="84"/>
  <c r="Q32" i="84"/>
  <c r="J32" i="84"/>
  <c r="AC32" i="84" s="1"/>
  <c r="H32" i="84"/>
  <c r="AB32" i="84" s="1"/>
  <c r="F32" i="84"/>
  <c r="AA32" i="84" s="1"/>
  <c r="W31" i="84"/>
  <c r="U31" i="84"/>
  <c r="Q31" i="84"/>
  <c r="Z31" i="84" s="1"/>
  <c r="J31" i="84"/>
  <c r="AC31" i="84" s="1"/>
  <c r="H31" i="84"/>
  <c r="AB31" i="84" s="1"/>
  <c r="F31" i="84"/>
  <c r="AA31" i="84" s="1"/>
  <c r="Q30" i="84"/>
  <c r="Z30" i="84" s="1"/>
  <c r="J30" i="84"/>
  <c r="AC30" i="84" s="1"/>
  <c r="H30" i="84"/>
  <c r="U30" i="84" s="1"/>
  <c r="F30" i="84"/>
  <c r="AA30" i="84" s="1"/>
  <c r="Q29" i="84"/>
  <c r="Z29" i="84" s="1"/>
  <c r="J29" i="84"/>
  <c r="AC29" i="84" s="1"/>
  <c r="H29" i="84"/>
  <c r="AB29" i="84" s="1"/>
  <c r="F29" i="84"/>
  <c r="S29" i="84" s="1"/>
  <c r="Q28" i="84"/>
  <c r="Z28" i="84" s="1"/>
  <c r="J28" i="84"/>
  <c r="W28" i="84" s="1"/>
  <c r="H28" i="84"/>
  <c r="AB28" i="84" s="1"/>
  <c r="F28" i="84"/>
  <c r="AA28" i="84" s="1"/>
  <c r="AC27" i="84"/>
  <c r="AB27" i="84"/>
  <c r="W27" i="84"/>
  <c r="Q27" i="84"/>
  <c r="Z27" i="84" s="1"/>
  <c r="J27" i="84"/>
  <c r="H27" i="84"/>
  <c r="U27" i="84" s="1"/>
  <c r="F27" i="84"/>
  <c r="AA27" i="84" s="1"/>
  <c r="AC25" i="84"/>
  <c r="AA25" i="84"/>
  <c r="Q25" i="84"/>
  <c r="Z25" i="84" s="1"/>
  <c r="J25" i="84"/>
  <c r="W25" i="84" s="1"/>
  <c r="H25" i="84"/>
  <c r="U25" i="84" s="1"/>
  <c r="F25" i="84"/>
  <c r="S25" i="84" s="1"/>
  <c r="Z23" i="84"/>
  <c r="Q23" i="84"/>
  <c r="J23" i="84"/>
  <c r="AC23" i="84" s="1"/>
  <c r="H23" i="84"/>
  <c r="AB23" i="84" s="1"/>
  <c r="F23" i="84"/>
  <c r="S23" i="84" s="1"/>
  <c r="C23" i="84"/>
  <c r="Z21" i="84"/>
  <c r="Q21" i="84"/>
  <c r="J21" i="84"/>
  <c r="H21" i="84"/>
  <c r="U21" i="84" s="1"/>
  <c r="F21" i="84"/>
  <c r="S21" i="84" s="1"/>
  <c r="C21" i="84"/>
  <c r="Q19" i="84"/>
  <c r="Z19" i="84" s="1"/>
  <c r="J19" i="84"/>
  <c r="AC19" i="84" s="1"/>
  <c r="H19" i="84"/>
  <c r="AB19" i="84" s="1"/>
  <c r="F19" i="84"/>
  <c r="AA19" i="84" s="1"/>
  <c r="C19" i="84"/>
  <c r="Q17" i="84"/>
  <c r="Z17" i="84" s="1"/>
  <c r="J17" i="84"/>
  <c r="AC17" i="84" s="1"/>
  <c r="H17" i="84"/>
  <c r="AB17" i="84" s="1"/>
  <c r="F17" i="84"/>
  <c r="AA17" i="84" s="1"/>
  <c r="C17" i="84"/>
  <c r="Q15" i="84"/>
  <c r="Z15" i="84" s="1"/>
  <c r="J15" i="84"/>
  <c r="AC15" i="84" s="1"/>
  <c r="H15" i="84"/>
  <c r="AB15" i="84" s="1"/>
  <c r="F15" i="84"/>
  <c r="AA15" i="84" s="1"/>
  <c r="C15" i="84"/>
  <c r="Q14" i="84"/>
  <c r="Z14" i="84" s="1"/>
  <c r="J14" i="84"/>
  <c r="AC14" i="84" s="1"/>
  <c r="H14" i="84"/>
  <c r="AB14" i="84" s="1"/>
  <c r="F14" i="84"/>
  <c r="AA14" i="84" s="1"/>
  <c r="Q13" i="84"/>
  <c r="Z13" i="84" s="1"/>
  <c r="J13" i="84"/>
  <c r="AC13" i="84" s="1"/>
  <c r="H13" i="84"/>
  <c r="AB13" i="84" s="1"/>
  <c r="F13" i="84"/>
  <c r="AA13" i="84" s="1"/>
  <c r="Q12" i="84"/>
  <c r="Z12" i="84" s="1"/>
  <c r="J12" i="84"/>
  <c r="AC12" i="84" s="1"/>
  <c r="H12" i="84"/>
  <c r="AB12" i="84" s="1"/>
  <c r="F12" i="84"/>
  <c r="AA12" i="84" s="1"/>
  <c r="Q11" i="84"/>
  <c r="Z11" i="84" s="1"/>
  <c r="J11" i="84"/>
  <c r="AC11" i="84" s="1"/>
  <c r="H11" i="84"/>
  <c r="AB11" i="84" s="1"/>
  <c r="F11" i="84"/>
  <c r="AA11" i="84" s="1"/>
  <c r="Q10" i="84"/>
  <c r="Z10" i="84" s="1"/>
  <c r="J10" i="84"/>
  <c r="AC10" i="84" s="1"/>
  <c r="H10" i="84"/>
  <c r="AB10" i="84" s="1"/>
  <c r="F10" i="84"/>
  <c r="AA10" i="84" s="1"/>
  <c r="Q9" i="84"/>
  <c r="Z9" i="84" s="1"/>
  <c r="J9" i="84"/>
  <c r="AC9" i="84" s="1"/>
  <c r="H9" i="84"/>
  <c r="AB9" i="84" s="1"/>
  <c r="F9" i="84"/>
  <c r="AA9" i="84" s="1"/>
  <c r="J8" i="84"/>
  <c r="AC8" i="84" s="1"/>
  <c r="H8" i="84"/>
  <c r="U8" i="84" s="1"/>
  <c r="F8" i="84"/>
  <c r="AA8" i="84" s="1"/>
  <c r="D3" i="84"/>
  <c r="C45" i="34"/>
  <c r="C34" i="34"/>
  <c r="N19" i="1"/>
  <c r="N6" i="1" s="1"/>
  <c r="J49" i="15"/>
  <c r="D2" i="84"/>
  <c r="HT140" i="88" l="1"/>
  <c r="HT141" i="88" s="1"/>
  <c r="IB140" i="88"/>
  <c r="IB141" i="88" s="1"/>
  <c r="IF140" i="88"/>
  <c r="IF141" i="88" s="1"/>
  <c r="HP140" i="88"/>
  <c r="HP141" i="88" s="1"/>
  <c r="HH140" i="88"/>
  <c r="HH141" i="88" s="1"/>
  <c r="HX140" i="88"/>
  <c r="HX141" i="88" s="1"/>
  <c r="C18" i="86"/>
  <c r="D18" i="86" s="1"/>
  <c r="D121" i="86"/>
  <c r="K120" i="86"/>
  <c r="C94" i="86"/>
  <c r="H109" i="86"/>
  <c r="W8" i="84"/>
  <c r="F112" i="84"/>
  <c r="G112" i="84" s="1"/>
  <c r="H112" i="84" s="1"/>
  <c r="I112" i="84" s="1"/>
  <c r="J112" i="84" s="1"/>
  <c r="K112" i="84" s="1"/>
  <c r="L112" i="84" s="1"/>
  <c r="M112" i="84" s="1"/>
  <c r="J37" i="84"/>
  <c r="W37" i="84" s="1"/>
  <c r="F37" i="84"/>
  <c r="S37" i="84" s="1"/>
  <c r="S34" i="84"/>
  <c r="AA34" i="84"/>
  <c r="S9" i="84"/>
  <c r="W11" i="84"/>
  <c r="U14" i="84"/>
  <c r="W15" i="84"/>
  <c r="W19" i="84"/>
  <c r="S8" i="84"/>
  <c r="AB8" i="84"/>
  <c r="W9" i="84"/>
  <c r="S11" i="84"/>
  <c r="U12" i="84"/>
  <c r="W13" i="84"/>
  <c r="AA21" i="84"/>
  <c r="U23" i="84"/>
  <c r="AB25" i="84"/>
  <c r="AA29" i="84"/>
  <c r="AB30" i="84"/>
  <c r="AB35" i="84"/>
  <c r="S15" i="84"/>
  <c r="S17" i="84"/>
  <c r="S19" i="84"/>
  <c r="AB21" i="84"/>
  <c r="AC28" i="84"/>
  <c r="S30" i="84"/>
  <c r="S35" i="84"/>
  <c r="W36" i="84"/>
  <c r="S10" i="84"/>
  <c r="W12" i="84"/>
  <c r="S14" i="84"/>
  <c r="U15" i="84"/>
  <c r="U17" i="84"/>
  <c r="U19" i="84"/>
  <c r="AA23" i="84"/>
  <c r="AC45" i="84"/>
  <c r="W45" i="84"/>
  <c r="U11" i="84"/>
  <c r="U10" i="84"/>
  <c r="S13" i="84"/>
  <c r="U9" i="84"/>
  <c r="W10" i="84"/>
  <c r="S12" i="84"/>
  <c r="U13" i="84"/>
  <c r="W14" i="84"/>
  <c r="W17" i="84"/>
  <c r="AC21" i="84"/>
  <c r="W21" i="84"/>
  <c r="J34" i="84"/>
  <c r="H34" i="84"/>
  <c r="U36" i="84"/>
  <c r="U37" i="84"/>
  <c r="W38" i="84"/>
  <c r="S40" i="84"/>
  <c r="U41" i="84"/>
  <c r="W42" i="84"/>
  <c r="S44" i="84"/>
  <c r="S45" i="84"/>
  <c r="U46" i="84"/>
  <c r="W47" i="84"/>
  <c r="S39" i="84"/>
  <c r="U40" i="84"/>
  <c r="W41" i="84"/>
  <c r="S43" i="84"/>
  <c r="U44" i="84"/>
  <c r="U45" i="84"/>
  <c r="W46" i="84"/>
  <c r="S28" i="84"/>
  <c r="U29" i="84"/>
  <c r="W30" i="84"/>
  <c r="S32" i="84"/>
  <c r="U33" i="84"/>
  <c r="W35" i="84"/>
  <c r="S38" i="84"/>
  <c r="U39" i="84"/>
  <c r="W40" i="84"/>
  <c r="S42" i="84"/>
  <c r="U43" i="84"/>
  <c r="W44" i="84"/>
  <c r="S47" i="84"/>
  <c r="W23" i="84"/>
  <c r="S27" i="84"/>
  <c r="U28" i="84"/>
  <c r="W29" i="84"/>
  <c r="S31" i="84"/>
  <c r="U32" i="84"/>
  <c r="W33" i="84"/>
  <c r="S36" i="84"/>
  <c r="U38" i="84"/>
  <c r="W39" i="84"/>
  <c r="S41" i="84"/>
  <c r="U42" i="84"/>
  <c r="W43" i="84"/>
  <c r="S46" i="84"/>
  <c r="U47" i="84"/>
  <c r="AA37" i="84" l="1"/>
  <c r="D124" i="86"/>
  <c r="D125" i="86" s="1"/>
  <c r="H110" i="86"/>
  <c r="AC37" i="84"/>
  <c r="AC34" i="84"/>
  <c r="W34" i="84"/>
  <c r="AB34" i="84"/>
  <c r="U34" i="84"/>
  <c r="C37" i="34" l="1"/>
  <c r="Y6" i="1"/>
  <c r="N7" i="1"/>
  <c r="Y7" i="1" s="1"/>
  <c r="A3" i="3"/>
  <c r="F21" i="6"/>
  <c r="G20" i="6"/>
  <c r="F19" i="6"/>
  <c r="I14" i="3"/>
  <c r="N9" i="81"/>
  <c r="L9" i="81"/>
  <c r="K13" i="3"/>
  <c r="I13" i="3"/>
  <c r="I16" i="81"/>
  <c r="H16" i="81"/>
  <c r="I15" i="81"/>
  <c r="H14" i="81"/>
  <c r="H10" i="81"/>
  <c r="D3" i="4"/>
  <c r="AB30" i="79" l="1"/>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4" i="73" l="1"/>
  <c r="F14" i="73"/>
  <c r="E14" i="73"/>
  <c r="G15" i="73"/>
  <c r="F15" i="73"/>
  <c r="E15" i="73"/>
  <c r="AB32" i="79" l="1"/>
  <c r="AA32" i="79"/>
  <c r="Z32" i="79"/>
  <c r="N32" i="79"/>
  <c r="M32" i="79"/>
  <c r="P32" i="79" s="1"/>
  <c r="L32" i="79"/>
  <c r="I32" i="79"/>
  <c r="AD32" i="79" s="1"/>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6" i="73" l="1"/>
  <c r="F16" i="73"/>
  <c r="E16"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B44" i="79"/>
  <c r="AA44" i="79"/>
  <c r="Z44" i="79"/>
  <c r="N44" i="79"/>
  <c r="M44" i="79"/>
  <c r="L44" i="79"/>
  <c r="I44" i="79"/>
  <c r="AB43" i="79"/>
  <c r="AA43" i="79"/>
  <c r="Z43" i="79"/>
  <c r="N43" i="79"/>
  <c r="M43" i="79"/>
  <c r="L43" i="79"/>
  <c r="I43" i="79"/>
  <c r="AB42" i="79"/>
  <c r="AA42" i="79"/>
  <c r="Z42" i="79"/>
  <c r="N42" i="79"/>
  <c r="M42" i="79"/>
  <c r="L42" i="79"/>
  <c r="I42" i="79"/>
  <c r="AB41" i="79"/>
  <c r="AA41" i="79"/>
  <c r="Z41" i="79"/>
  <c r="N41" i="79"/>
  <c r="M41" i="79"/>
  <c r="L41" i="79"/>
  <c r="I41" i="79"/>
  <c r="AB40" i="79"/>
  <c r="AA40" i="79"/>
  <c r="Z40" i="79"/>
  <c r="N40" i="79"/>
  <c r="M40" i="79"/>
  <c r="L40" i="79"/>
  <c r="I40" i="79"/>
  <c r="AB39" i="79"/>
  <c r="AA39" i="79"/>
  <c r="Z39" i="79"/>
  <c r="N39" i="79"/>
  <c r="M39" i="79"/>
  <c r="L39" i="79"/>
  <c r="I39" i="79"/>
  <c r="AB33" i="79"/>
  <c r="AA33" i="79"/>
  <c r="Z33" i="79"/>
  <c r="N33" i="79"/>
  <c r="M33" i="79"/>
  <c r="L33" i="79"/>
  <c r="I33"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Z3" i="79" l="1"/>
  <c r="AA28" i="79"/>
  <c r="AD28" i="79" s="1"/>
  <c r="T34" i="79"/>
  <c r="W34" i="79" s="1"/>
  <c r="U40" i="79"/>
  <c r="AD41" i="79"/>
  <c r="U44" i="79"/>
  <c r="AD45" i="79"/>
  <c r="S42" i="79"/>
  <c r="N28" i="79"/>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W33" i="79" s="1"/>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W36" i="79" s="1"/>
  <c r="T39" i="79"/>
  <c r="W39" i="79" s="1"/>
  <c r="T37" i="79"/>
  <c r="W37" i="79" s="1"/>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8"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8" i="73"/>
  <c r="F18" i="73"/>
  <c r="E18" i="73"/>
  <c r="G19" i="73" l="1"/>
  <c r="F19" i="73"/>
  <c r="E19" i="73"/>
  <c r="G20" i="73" l="1"/>
  <c r="F20" i="73"/>
  <c r="E20"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R14" i="77"/>
  <c r="R24" i="77" s="1"/>
  <c r="D29" i="77"/>
  <c r="D32" i="77" s="1"/>
  <c r="E23" i="77"/>
  <c r="D26" i="77"/>
  <c r="C29" i="77"/>
  <c r="R35" i="77"/>
  <c r="U34" i="77" s="1"/>
  <c r="AH9" i="71"/>
  <c r="AG9" i="71"/>
  <c r="AE9" i="71"/>
  <c r="AF9" i="71" s="1"/>
  <c r="AD9" i="71"/>
  <c r="Q9" i="71"/>
  <c r="P9" i="71"/>
  <c r="O9" i="71"/>
  <c r="N9" i="71"/>
  <c r="C32" i="77" l="1"/>
  <c r="C38" i="77" s="1"/>
  <c r="C39" i="77" s="1"/>
  <c r="R25" i="77"/>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Q24" i="71"/>
  <c r="P24" i="71"/>
  <c r="E24" i="71" s="1"/>
  <c r="O24" i="71"/>
  <c r="C24" i="71"/>
  <c r="Q25" i="71"/>
  <c r="F24" i="71"/>
  <c r="F23" i="71"/>
  <c r="F22" i="71" s="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A20" i="51"/>
  <c r="B15" i="72" s="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s="1"/>
  <c r="B82" i="71" s="1"/>
  <c r="D81" i="71"/>
  <c r="Q80" i="71"/>
  <c r="P80" i="71"/>
  <c r="O80" i="71"/>
  <c r="N80" i="71"/>
  <c r="F80" i="71"/>
  <c r="V80" i="71"/>
  <c r="E80" i="71"/>
  <c r="U80" i="71" s="1"/>
  <c r="C80" i="71"/>
  <c r="T80" i="71" s="1"/>
  <c r="B80" i="71"/>
  <c r="Q79" i="71"/>
  <c r="P79" i="71"/>
  <c r="O79" i="71"/>
  <c r="N79" i="71"/>
  <c r="F79" i="71"/>
  <c r="F78" i="71"/>
  <c r="Q78" i="71"/>
  <c r="P78" i="71"/>
  <c r="O78" i="71"/>
  <c r="N78" i="71"/>
  <c r="Q77" i="71"/>
  <c r="P77" i="71"/>
  <c r="O77" i="71"/>
  <c r="N77" i="71"/>
  <c r="D77" i="71"/>
  <c r="Q76" i="71"/>
  <c r="P76" i="71"/>
  <c r="O76" i="71"/>
  <c r="N76" i="71"/>
  <c r="F76" i="71"/>
  <c r="V76" i="71" s="1"/>
  <c r="E76" i="71"/>
  <c r="U76" i="71" s="1"/>
  <c r="C76" i="71"/>
  <c r="B76" i="71"/>
  <c r="S76" i="71"/>
  <c r="Q75" i="71"/>
  <c r="P75" i="71"/>
  <c r="O75" i="71"/>
  <c r="N75" i="71"/>
  <c r="B75" i="71"/>
  <c r="B74" i="71" s="1"/>
  <c r="Q74" i="71"/>
  <c r="P74" i="71"/>
  <c r="O74" i="71"/>
  <c r="N74" i="71"/>
  <c r="Q73" i="71"/>
  <c r="P73" i="71"/>
  <c r="O73" i="71"/>
  <c r="N73" i="71"/>
  <c r="D73" i="71"/>
  <c r="Q72" i="71"/>
  <c r="P72" i="71"/>
  <c r="O72" i="71"/>
  <c r="N72" i="71"/>
  <c r="F72" i="71"/>
  <c r="V72" i="71" s="1"/>
  <c r="E72" i="71"/>
  <c r="U72" i="71" s="1"/>
  <c r="C72" i="71"/>
  <c r="T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S68" i="71"/>
  <c r="B67" i="71"/>
  <c r="N67" i="71" s="1"/>
  <c r="D65" i="71"/>
  <c r="Q64" i="71"/>
  <c r="P64" i="71"/>
  <c r="O64" i="71"/>
  <c r="N64" i="71"/>
  <c r="Q63" i="71"/>
  <c r="P63" i="71"/>
  <c r="O63" i="71"/>
  <c r="N63" i="71"/>
  <c r="Q62" i="71"/>
  <c r="P62" i="71"/>
  <c r="O62" i="71"/>
  <c r="C63" i="71" s="1"/>
  <c r="N62" i="71"/>
  <c r="Q61" i="71"/>
  <c r="F62" i="71" s="1"/>
  <c r="F63" i="71" s="1"/>
  <c r="F64" i="71" s="1"/>
  <c r="V64" i="71" s="1"/>
  <c r="P61" i="71"/>
  <c r="E62" i="71"/>
  <c r="E63" i="71" s="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D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N45" i="71"/>
  <c r="B46" i="71" s="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s="1"/>
  <c r="B43" i="71" s="1"/>
  <c r="B44" i="71" s="1"/>
  <c r="S44" i="71" s="1"/>
  <c r="D41" i="71"/>
  <c r="Q40" i="71"/>
  <c r="P40" i="71"/>
  <c r="O40" i="71"/>
  <c r="N40" i="71"/>
  <c r="AB39" i="71"/>
  <c r="Q39" i="71"/>
  <c r="P39" i="71"/>
  <c r="AA39" i="71" s="1"/>
  <c r="O39" i="71"/>
  <c r="N39" i="71"/>
  <c r="X39" i="71"/>
  <c r="Q38" i="71"/>
  <c r="P38" i="71"/>
  <c r="AA38" i="71" s="1"/>
  <c r="O38" i="71"/>
  <c r="N38" i="71"/>
  <c r="Q37" i="71"/>
  <c r="P37" i="71"/>
  <c r="AA37" i="71" s="1"/>
  <c r="O37" i="71"/>
  <c r="Y37" i="71" s="1"/>
  <c r="Z37" i="71" s="1"/>
  <c r="N37" i="71"/>
  <c r="B38" i="71" s="1"/>
  <c r="D37" i="71"/>
  <c r="Q36" i="71"/>
  <c r="P36" i="71"/>
  <c r="O36" i="71"/>
  <c r="N36" i="71"/>
  <c r="Q35" i="71"/>
  <c r="P35" i="71"/>
  <c r="O35" i="71"/>
  <c r="N35" i="71"/>
  <c r="Q34" i="71"/>
  <c r="AB34" i="71" s="1"/>
  <c r="P34" i="71"/>
  <c r="O34" i="71"/>
  <c r="N34" i="71"/>
  <c r="Q33" i="71"/>
  <c r="F34" i="71" s="1"/>
  <c r="P33" i="71"/>
  <c r="O33" i="71"/>
  <c r="C34" i="71" s="1"/>
  <c r="D34" i="71" s="1"/>
  <c r="N33" i="71"/>
  <c r="D33" i="71"/>
  <c r="Q32" i="71"/>
  <c r="P32" i="71"/>
  <c r="O32" i="71"/>
  <c r="N32" i="71"/>
  <c r="Q31" i="71"/>
  <c r="P31" i="71"/>
  <c r="O31" i="71"/>
  <c r="N31" i="71"/>
  <c r="Q30" i="71"/>
  <c r="P30" i="71"/>
  <c r="O30" i="71"/>
  <c r="C31" i="71" s="1"/>
  <c r="D31" i="71" s="1"/>
  <c r="N30" i="71"/>
  <c r="Q29" i="71"/>
  <c r="F30" i="71" s="1"/>
  <c r="P29" i="71"/>
  <c r="O29" i="71"/>
  <c r="N29" i="71"/>
  <c r="X26" i="71" s="1"/>
  <c r="D29" i="71"/>
  <c r="O28" i="71"/>
  <c r="C28" i="71" s="1"/>
  <c r="N28" i="71"/>
  <c r="B30" i="71"/>
  <c r="B31" i="71" s="1"/>
  <c r="B32" i="71" s="1"/>
  <c r="S32" i="71" s="1"/>
  <c r="E30" i="71"/>
  <c r="E31" i="71" s="1"/>
  <c r="E32" i="71" s="1"/>
  <c r="U32" i="71" s="1"/>
  <c r="B34" i="71"/>
  <c r="B35" i="71" s="1"/>
  <c r="B36" i="71" s="1"/>
  <c r="S36" i="71" s="1"/>
  <c r="B39" i="71"/>
  <c r="B40" i="71" s="1"/>
  <c r="S40" i="71" s="1"/>
  <c r="E38" i="71"/>
  <c r="E39" i="71" s="1"/>
  <c r="E40" i="71" s="1"/>
  <c r="U40" i="71" s="1"/>
  <c r="N68" i="71"/>
  <c r="E34" i="71"/>
  <c r="C30" i="71"/>
  <c r="Y29" i="71"/>
  <c r="Z29" i="71" s="1"/>
  <c r="C35" i="71"/>
  <c r="C38" i="71"/>
  <c r="D38" i="71" s="1"/>
  <c r="X38" i="71"/>
  <c r="B28" i="71"/>
  <c r="B27" i="71" s="1"/>
  <c r="B26" i="71"/>
  <c r="D30" i="71"/>
  <c r="C43" i="71"/>
  <c r="C44" i="71" s="1"/>
  <c r="D44" i="71" s="1"/>
  <c r="C51" i="71"/>
  <c r="P28" i="71"/>
  <c r="E28" i="71" s="1"/>
  <c r="E64" i="71"/>
  <c r="U64" i="71" s="1"/>
  <c r="U68" i="71"/>
  <c r="E67" i="71"/>
  <c r="Q28" i="71"/>
  <c r="C59" i="71"/>
  <c r="D58" i="71"/>
  <c r="D62" i="71"/>
  <c r="B66" i="71"/>
  <c r="N65" i="71" s="1"/>
  <c r="D68" i="71"/>
  <c r="Q68" i="71"/>
  <c r="E71" i="71"/>
  <c r="E70" i="71" s="1"/>
  <c r="D72" i="71"/>
  <c r="E75" i="71"/>
  <c r="E74" i="71" s="1"/>
  <c r="E79" i="71"/>
  <c r="E78" i="71" s="1"/>
  <c r="D80" i="71"/>
  <c r="C87" i="71"/>
  <c r="F28" i="71"/>
  <c r="F27" i="71" s="1"/>
  <c r="F26" i="71" s="1"/>
  <c r="AB27" i="71"/>
  <c r="N66" i="71"/>
  <c r="C60" i="71"/>
  <c r="D59" i="71"/>
  <c r="P67" i="71"/>
  <c r="E66" i="71"/>
  <c r="C32"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s="1"/>
  <c r="D66" i="36"/>
  <c r="E66" i="36"/>
  <c r="F66" i="36" s="1"/>
  <c r="G66" i="36" s="1"/>
  <c r="H18" i="36"/>
  <c r="AB18" i="36" s="1"/>
  <c r="F18" i="36"/>
  <c r="AA18" i="36" s="1"/>
  <c r="C18" i="36"/>
  <c r="Q18" i="35"/>
  <c r="Z18" i="35" s="1"/>
  <c r="D68" i="35"/>
  <c r="E68" i="35" s="1"/>
  <c r="F18" i="35"/>
  <c r="S18" i="35" s="1"/>
  <c r="AA18" i="35"/>
  <c r="C18" i="35"/>
  <c r="Z21" i="37"/>
  <c r="Q21" i="37"/>
  <c r="D77" i="37"/>
  <c r="E77" i="37" s="1"/>
  <c r="F77" i="37" s="1"/>
  <c r="G77" i="37" s="1"/>
  <c r="C21" i="37"/>
  <c r="Q21" i="34"/>
  <c r="Z21" i="34" s="1"/>
  <c r="D84" i="34"/>
  <c r="E84" i="34"/>
  <c r="F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77" i="43"/>
  <c r="B57" i="43"/>
  <c r="C29" i="39"/>
  <c r="S25" i="40"/>
  <c r="S18" i="36"/>
  <c r="H25" i="40"/>
  <c r="AB25" i="40" s="1"/>
  <c r="J25" i="40"/>
  <c r="W25" i="40" s="1"/>
  <c r="H29" i="39"/>
  <c r="AB29" i="39" s="1"/>
  <c r="J29" i="39"/>
  <c r="AC29" i="39" s="1"/>
  <c r="J18" i="36"/>
  <c r="AC18" i="36" s="1"/>
  <c r="F68" i="35"/>
  <c r="G68" i="35" s="1"/>
  <c r="H18" i="35"/>
  <c r="AB18" i="35" s="1"/>
  <c r="J18" i="35"/>
  <c r="W18" i="35" s="1"/>
  <c r="H21" i="37"/>
  <c r="F21" i="37"/>
  <c r="AA21" i="37" s="1"/>
  <c r="H21" i="34"/>
  <c r="AB21" i="34" s="1"/>
  <c r="H21" i="33"/>
  <c r="F21" i="33"/>
  <c r="AA21" i="33" s="1"/>
  <c r="E83" i="21"/>
  <c r="F83" i="21" s="1"/>
  <c r="H1" i="69"/>
  <c r="AC25" i="40"/>
  <c r="U29" i="39"/>
  <c r="W29" i="39"/>
  <c r="W18" i="36"/>
  <c r="S21" i="37"/>
  <c r="U21" i="34"/>
  <c r="S21" i="33"/>
  <c r="AC18" i="35"/>
  <c r="J21" i="37"/>
  <c r="W21" i="37" s="1"/>
  <c r="G84" i="34"/>
  <c r="J21" i="34"/>
  <c r="W21" i="34" s="1"/>
  <c r="J21" i="33"/>
  <c r="W21" i="33" s="1"/>
  <c r="H21" i="21"/>
  <c r="U21" i="21" s="1"/>
  <c r="F38" i="69"/>
  <c r="E37" i="69"/>
  <c r="F36" i="69"/>
  <c r="F35" i="69"/>
  <c r="F21" i="69"/>
  <c r="F20" i="69"/>
  <c r="F39" i="69" s="1"/>
  <c r="E10" i="69"/>
  <c r="E9" i="69"/>
  <c r="C7" i="69"/>
  <c r="AC21" i="37"/>
  <c r="AC21" i="33"/>
  <c r="G83" i="21"/>
  <c r="J21" i="21"/>
  <c r="AC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A118" i="9" s="1"/>
  <c r="A13" i="5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F8" i="1" s="1"/>
  <c r="G8" i="1" s="1"/>
  <c r="A7" i="1"/>
  <c r="A8" i="1"/>
  <c r="B8" i="1" s="1"/>
  <c r="E8" i="1" s="1"/>
  <c r="A9" i="1"/>
  <c r="A10" i="1"/>
  <c r="A11" i="1"/>
  <c r="B11" i="1" s="1"/>
  <c r="E11" i="1" s="1"/>
  <c r="A12" i="1"/>
  <c r="A13" i="1"/>
  <c r="A6" i="1"/>
  <c r="F3" i="35"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K108" i="3"/>
  <c r="BJ108" i="3"/>
  <c r="BI108" i="3"/>
  <c r="BH108" i="3"/>
  <c r="BG108" i="3"/>
  <c r="BF108" i="3"/>
  <c r="BE108" i="3"/>
  <c r="BD108" i="3"/>
  <c r="BC108" i="3"/>
  <c r="BA108" i="3" s="1"/>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L106" i="3" s="1"/>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G98" i="3"/>
  <c r="BT97" i="3"/>
  <c r="BS97" i="3"/>
  <c r="BR97" i="3"/>
  <c r="BQ97" i="3"/>
  <c r="BP97" i="3"/>
  <c r="BO97" i="3"/>
  <c r="BN97" i="3"/>
  <c r="BM97" i="3"/>
  <c r="BL97" i="3" s="1"/>
  <c r="BK97" i="3"/>
  <c r="BJ97" i="3"/>
  <c r="BI97" i="3"/>
  <c r="BH97" i="3"/>
  <c r="BG97" i="3"/>
  <c r="BF97" i="3"/>
  <c r="BE97" i="3"/>
  <c r="BD97" i="3"/>
  <c r="BA97" i="3" s="1"/>
  <c r="BC97" i="3"/>
  <c r="BB97" i="3"/>
  <c r="AX97" i="3"/>
  <c r="AW97" i="3"/>
  <c r="AV97" i="3"/>
  <c r="AC97" i="3"/>
  <c r="H97" i="3"/>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A95" i="3" s="1"/>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BA92" i="3" s="1"/>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A89" i="3" s="1"/>
  <c r="BB89" i="3"/>
  <c r="AX89" i="3"/>
  <c r="AW89" i="3"/>
  <c r="AV89" i="3"/>
  <c r="AC89" i="3"/>
  <c r="H89" i="3"/>
  <c r="BT88" i="3"/>
  <c r="BS88" i="3"/>
  <c r="BR88" i="3"/>
  <c r="BQ88" i="3"/>
  <c r="BP88" i="3"/>
  <c r="BO88" i="3"/>
  <c r="BN88" i="3"/>
  <c r="BM88" i="3"/>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L79" i="3" s="1"/>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BA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L76" i="3" s="1"/>
  <c r="BN76" i="3"/>
  <c r="BM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s="1"/>
  <c r="AX75" i="3"/>
  <c r="AW75" i="3"/>
  <c r="AV75" i="3"/>
  <c r="AC75" i="3"/>
  <c r="H75" i="3"/>
  <c r="BT74" i="3"/>
  <c r="BS74" i="3"/>
  <c r="BR74" i="3"/>
  <c r="BQ74" i="3"/>
  <c r="BP74" i="3"/>
  <c r="BO74" i="3"/>
  <c r="BN74" i="3"/>
  <c r="BL74" i="3" s="1"/>
  <c r="BM74" i="3"/>
  <c r="BK74" i="3"/>
  <c r="BJ74" i="3"/>
  <c r="BI74" i="3"/>
  <c r="BH74" i="3"/>
  <c r="BG74" i="3"/>
  <c r="BF74" i="3"/>
  <c r="BE74" i="3"/>
  <c r="BD74" i="3"/>
  <c r="BC74" i="3"/>
  <c r="BB74" i="3"/>
  <c r="BA74" i="3" s="1"/>
  <c r="AX74" i="3"/>
  <c r="AW74" i="3"/>
  <c r="AV74" i="3"/>
  <c r="AC74" i="3"/>
  <c r="H74" i="3"/>
  <c r="BT73" i="3"/>
  <c r="BS73" i="3"/>
  <c r="BR73" i="3"/>
  <c r="BQ73" i="3"/>
  <c r="BP73" i="3"/>
  <c r="BO73" i="3"/>
  <c r="BN73" i="3"/>
  <c r="BL73" i="3" s="1"/>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c r="AX70" i="3"/>
  <c r="AW70" i="3"/>
  <c r="AV70" i="3"/>
  <c r="AC70" i="3"/>
  <c r="H70" i="3"/>
  <c r="BT69" i="3"/>
  <c r="BS69" i="3"/>
  <c r="BR69" i="3"/>
  <c r="BQ69" i="3"/>
  <c r="BP69" i="3"/>
  <c r="BO69" i="3"/>
  <c r="BN69" i="3"/>
  <c r="BM69" i="3"/>
  <c r="BL69" i="3" s="1"/>
  <c r="BK69" i="3"/>
  <c r="BJ69" i="3"/>
  <c r="BI69" i="3"/>
  <c r="BH69" i="3"/>
  <c r="BG69" i="3"/>
  <c r="BF69" i="3"/>
  <c r="BE69" i="3"/>
  <c r="BD69" i="3"/>
  <c r="BC69" i="3"/>
  <c r="BB69" i="3"/>
  <c r="BA69" i="3" s="1"/>
  <c r="AX69" i="3"/>
  <c r="AW69" i="3"/>
  <c r="AV69" i="3"/>
  <c r="AC69" i="3"/>
  <c r="H69" i="3"/>
  <c r="BT68" i="3"/>
  <c r="BS68" i="3"/>
  <c r="BR68" i="3"/>
  <c r="BQ68" i="3"/>
  <c r="BP68" i="3"/>
  <c r="BO68" i="3"/>
  <c r="BN68" i="3"/>
  <c r="BL68" i="3" s="1"/>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BA65" i="3"/>
  <c r="AX65" i="3"/>
  <c r="AW65" i="3"/>
  <c r="AV65" i="3"/>
  <c r="AC65" i="3"/>
  <c r="H65" i="3"/>
  <c r="BT64" i="3"/>
  <c r="BS64" i="3"/>
  <c r="BR64" i="3"/>
  <c r="BQ64" i="3"/>
  <c r="BP64" i="3"/>
  <c r="BO64" i="3"/>
  <c r="BN64" i="3"/>
  <c r="BM64" i="3"/>
  <c r="BL64" i="3" s="1"/>
  <c r="BK64" i="3"/>
  <c r="BJ64" i="3"/>
  <c r="BI64" i="3"/>
  <c r="BH64" i="3"/>
  <c r="BG64" i="3"/>
  <c r="BF64" i="3"/>
  <c r="BE64" i="3"/>
  <c r="BD64" i="3"/>
  <c r="BC64" i="3"/>
  <c r="BB64" i="3"/>
  <c r="BA64" i="3" s="1"/>
  <c r="AX64" i="3"/>
  <c r="AW64" i="3"/>
  <c r="AV64" i="3"/>
  <c r="AC64" i="3"/>
  <c r="G64" i="3" s="1"/>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G58" i="3" s="1"/>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L55" i="3" s="1"/>
  <c r="BK55" i="3"/>
  <c r="BJ55" i="3"/>
  <c r="BI55" i="3"/>
  <c r="BH55" i="3"/>
  <c r="BG55" i="3"/>
  <c r="BF55" i="3"/>
  <c r="BE55" i="3"/>
  <c r="BD55" i="3"/>
  <c r="BA55" i="3" s="1"/>
  <c r="BC55" i="3"/>
  <c r="BB55" i="3"/>
  <c r="AX55" i="3"/>
  <c r="AW55" i="3"/>
  <c r="AV55" i="3"/>
  <c r="AC55" i="3"/>
  <c r="H55" i="3"/>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L52" i="3" s="1"/>
  <c r="BN52" i="3"/>
  <c r="BM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s="1"/>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L48" i="3" s="1"/>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K41" i="3"/>
  <c r="BJ41" i="3"/>
  <c r="BI41" i="3"/>
  <c r="BH41" i="3"/>
  <c r="BG41" i="3"/>
  <c r="BF41" i="3"/>
  <c r="BE41" i="3"/>
  <c r="BD41" i="3"/>
  <c r="BC41" i="3"/>
  <c r="BA41" i="3" s="1"/>
  <c r="BB41" i="3"/>
  <c r="AX41" i="3"/>
  <c r="AW41" i="3"/>
  <c r="AV41" i="3"/>
  <c r="AC41" i="3"/>
  <c r="G41" i="3" s="1"/>
  <c r="H41" i="3"/>
  <c r="BT40" i="3"/>
  <c r="BS40" i="3"/>
  <c r="BR40" i="3"/>
  <c r="BQ40" i="3"/>
  <c r="BP40" i="3"/>
  <c r="BO40" i="3"/>
  <c r="BN40" i="3"/>
  <c r="BM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K30" i="3"/>
  <c r="BJ30" i="3"/>
  <c r="BI30" i="3"/>
  <c r="BH30" i="3"/>
  <c r="BG30" i="3"/>
  <c r="BF30" i="3"/>
  <c r="BE30" i="3"/>
  <c r="BD30" i="3"/>
  <c r="BC30" i="3"/>
  <c r="BB30" i="3"/>
  <c r="BA30" i="3" s="1"/>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BA28" i="3" s="1"/>
  <c r="AX28" i="3"/>
  <c r="AW28" i="3"/>
  <c r="AV28" i="3"/>
  <c r="AC28" i="3"/>
  <c r="H28" i="3"/>
  <c r="BT27" i="3"/>
  <c r="BS27" i="3"/>
  <c r="BR27" i="3"/>
  <c r="BQ27" i="3"/>
  <c r="BP27" i="3"/>
  <c r="BO27" i="3"/>
  <c r="BN27" i="3"/>
  <c r="BL27" i="3" s="1"/>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A22" i="3" s="1"/>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BA19" i="3" s="1"/>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s="1"/>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A194" i="3" s="1"/>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BA182" i="3" s="1"/>
  <c r="AX182" i="3"/>
  <c r="AW182" i="3"/>
  <c r="AV182" i="3"/>
  <c r="AC182" i="3"/>
  <c r="H182" i="3"/>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K177" i="3"/>
  <c r="BJ177" i="3"/>
  <c r="BI177" i="3"/>
  <c r="BH177" i="3"/>
  <c r="BG177" i="3"/>
  <c r="BF177" i="3"/>
  <c r="BE177" i="3"/>
  <c r="BD177" i="3"/>
  <c r="BC177" i="3"/>
  <c r="BB177" i="3"/>
  <c r="BA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L175" i="3" s="1"/>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BT173" i="3"/>
  <c r="BS173" i="3"/>
  <c r="BR173" i="3"/>
  <c r="BQ173" i="3"/>
  <c r="BP173" i="3"/>
  <c r="BO173" i="3"/>
  <c r="BN173" i="3"/>
  <c r="BM173" i="3"/>
  <c r="BL173" i="3" s="1"/>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A162" i="3" s="1"/>
  <c r="BC162" i="3"/>
  <c r="BB162" i="3"/>
  <c r="AX162" i="3"/>
  <c r="AW162" i="3"/>
  <c r="AV162" i="3"/>
  <c r="AC162" i="3"/>
  <c r="H162" i="3"/>
  <c r="G162" i="3" s="1"/>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L158" i="3" s="1"/>
  <c r="BN158" i="3"/>
  <c r="BM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A145" i="3" s="1"/>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L135" i="3" s="1"/>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A133" i="3" s="1"/>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A132" i="3" s="1"/>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BA126" i="3" s="1"/>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L298" i="3" s="1"/>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A288" i="3" s="1"/>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K286" i="3"/>
  <c r="BJ286" i="3"/>
  <c r="BI286" i="3"/>
  <c r="BH286" i="3"/>
  <c r="BG286" i="3"/>
  <c r="BF286" i="3"/>
  <c r="BE286" i="3"/>
  <c r="BD286" i="3"/>
  <c r="BC286" i="3"/>
  <c r="BA286" i="3" s="1"/>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G284" i="3" s="1"/>
  <c r="H284" i="3"/>
  <c r="BT283" i="3"/>
  <c r="BS283" i="3"/>
  <c r="BR283" i="3"/>
  <c r="BQ283" i="3"/>
  <c r="BP283" i="3"/>
  <c r="BO283" i="3"/>
  <c r="BN283" i="3"/>
  <c r="BM283" i="3"/>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L280" i="3" s="1"/>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L278" i="3" s="1"/>
  <c r="BM278" i="3"/>
  <c r="BK278" i="3"/>
  <c r="BJ278" i="3"/>
  <c r="BI278" i="3"/>
  <c r="BH278" i="3"/>
  <c r="BG278" i="3"/>
  <c r="BF278" i="3"/>
  <c r="BE278" i="3"/>
  <c r="BD278" i="3"/>
  <c r="BC278" i="3"/>
  <c r="BB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A275" i="3" s="1"/>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AX273" i="3"/>
  <c r="AW273" i="3"/>
  <c r="AV273" i="3"/>
  <c r="AC273" i="3"/>
  <c r="G273" i="3" s="1"/>
  <c r="H273" i="3"/>
  <c r="BT272" i="3"/>
  <c r="BS272" i="3"/>
  <c r="BR272" i="3"/>
  <c r="BQ272" i="3"/>
  <c r="BP272" i="3"/>
  <c r="BO272" i="3"/>
  <c r="BN272" i="3"/>
  <c r="BM272" i="3"/>
  <c r="BL272" i="3"/>
  <c r="BK272" i="3"/>
  <c r="BJ272" i="3"/>
  <c r="BI272" i="3"/>
  <c r="BH272" i="3"/>
  <c r="BG272" i="3"/>
  <c r="BF272" i="3"/>
  <c r="BE272" i="3"/>
  <c r="BD272" i="3"/>
  <c r="BA272" i="3" s="1"/>
  <c r="AZ272" i="3" s="1"/>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A270" i="3" s="1"/>
  <c r="AZ270" i="3" s="1"/>
  <c r="BB270" i="3"/>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A260" i="3" s="1"/>
  <c r="BC260" i="3"/>
  <c r="BB260" i="3"/>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G255" i="3" s="1"/>
  <c r="BT254" i="3"/>
  <c r="BS254" i="3"/>
  <c r="BR254" i="3"/>
  <c r="BQ254" i="3"/>
  <c r="BP254" i="3"/>
  <c r="BO254" i="3"/>
  <c r="BL254" i="3" s="1"/>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L252" i="3" s="1"/>
  <c r="BM252" i="3"/>
  <c r="BK252" i="3"/>
  <c r="BJ252" i="3"/>
  <c r="BI252" i="3"/>
  <c r="BH252" i="3"/>
  <c r="BG252" i="3"/>
  <c r="BF252" i="3"/>
  <c r="BE252" i="3"/>
  <c r="BD252" i="3"/>
  <c r="BC252" i="3"/>
  <c r="BB252" i="3"/>
  <c r="AX252" i="3"/>
  <c r="AW252" i="3"/>
  <c r="AV252" i="3"/>
  <c r="AC252" i="3"/>
  <c r="H252" i="3"/>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A235" i="3" s="1"/>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A233" i="3" s="1"/>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A231" i="3" s="1"/>
  <c r="BC231" i="3"/>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A220" i="3" s="1"/>
  <c r="BC220" i="3"/>
  <c r="BB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G351" i="3" s="1"/>
  <c r="H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L340" i="3" s="1"/>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BA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L308" i="3" s="1"/>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L488" i="3" s="1"/>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L487" i="3" s="1"/>
  <c r="BN487" i="3"/>
  <c r="BM487" i="3"/>
  <c r="BK487" i="3"/>
  <c r="BJ487" i="3"/>
  <c r="BI487" i="3"/>
  <c r="BH487" i="3"/>
  <c r="BG487" i="3"/>
  <c r="BF487" i="3"/>
  <c r="BE487" i="3"/>
  <c r="BD487" i="3"/>
  <c r="BC487" i="3"/>
  <c r="BB487" i="3"/>
  <c r="BA487" i="3" s="1"/>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BA480" i="3"/>
  <c r="AX480" i="3"/>
  <c r="AW480" i="3"/>
  <c r="AV480" i="3"/>
  <c r="AC480" i="3"/>
  <c r="H480" i="3"/>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A473" i="3" s="1"/>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A470" i="3" s="1"/>
  <c r="BC470" i="3"/>
  <c r="BB470" i="3"/>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BA469" i="3" s="1"/>
  <c r="AX469" i="3"/>
  <c r="AW469" i="3"/>
  <c r="AV469" i="3"/>
  <c r="AC469" i="3"/>
  <c r="G469" i="3" s="1"/>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s="1"/>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L449" i="3" s="1"/>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L445" i="3" s="1"/>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BA443" i="3" s="1"/>
  <c r="AX443" i="3"/>
  <c r="AW443" i="3"/>
  <c r="AV443" i="3"/>
  <c r="AC443" i="3"/>
  <c r="G443" i="3" s="1"/>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L438" i="3" s="1"/>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A431" i="3" s="1"/>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A422" i="3" s="1"/>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K413" i="3"/>
  <c r="BJ413" i="3"/>
  <c r="BI413" i="3"/>
  <c r="BH413" i="3"/>
  <c r="BG413" i="3"/>
  <c r="BF413" i="3"/>
  <c r="BE413" i="3"/>
  <c r="BD413" i="3"/>
  <c r="BC413" i="3"/>
  <c r="BB413" i="3"/>
  <c r="BA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A410" i="3" s="1"/>
  <c r="BC410" i="3"/>
  <c r="BB410" i="3"/>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c r="AX407" i="3"/>
  <c r="AW407" i="3"/>
  <c r="AV407" i="3"/>
  <c r="AC407" i="3"/>
  <c r="H407" i="3"/>
  <c r="G407" i="3" s="1"/>
  <c r="BT406" i="3"/>
  <c r="BS406" i="3"/>
  <c r="BR406" i="3"/>
  <c r="BQ406" i="3"/>
  <c r="BP406" i="3"/>
  <c r="BO406" i="3"/>
  <c r="BL406" i="3" s="1"/>
  <c r="BN406" i="3"/>
  <c r="BM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BA404" i="3" s="1"/>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L402" i="3" s="1"/>
  <c r="BN402" i="3"/>
  <c r="BM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33" i="31"/>
  <c r="S33" i="31" s="1"/>
  <c r="R34" i="31"/>
  <c r="S34" i="31" s="1"/>
  <c r="R35" i="31"/>
  <c r="S35" i="31" s="1"/>
  <c r="R36" i="31"/>
  <c r="S36" i="31" s="1"/>
  <c r="R37" i="31"/>
  <c r="S37" i="31" s="1"/>
  <c r="R38" i="31"/>
  <c r="S38" i="31" s="1"/>
  <c r="R39" i="31"/>
  <c r="R40" i="31"/>
  <c r="S40" i="31" s="1"/>
  <c r="R41" i="31"/>
  <c r="S41" i="31" s="1"/>
  <c r="R42" i="3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R58" i="31"/>
  <c r="R59" i="31"/>
  <c r="R60" i="31"/>
  <c r="S60" i="31" s="1"/>
  <c r="R61" i="31"/>
  <c r="R62" i="31"/>
  <c r="S62" i="31" s="1"/>
  <c r="R63" i="31"/>
  <c r="S63" i="31" s="1"/>
  <c r="R64" i="31"/>
  <c r="S64" i="31" s="1"/>
  <c r="R65" i="31"/>
  <c r="R66" i="31"/>
  <c r="S66" i="31" s="1"/>
  <c r="R67" i="31"/>
  <c r="S67" i="31" s="1"/>
  <c r="R68" i="31"/>
  <c r="S68" i="31" s="1"/>
  <c r="R69" i="31"/>
  <c r="R70" i="31"/>
  <c r="S70" i="31" s="1"/>
  <c r="R71" i="31"/>
  <c r="R72" i="31"/>
  <c r="S72" i="31" s="1"/>
  <c r="R73" i="31"/>
  <c r="R74" i="31"/>
  <c r="S74" i="31" s="1"/>
  <c r="R75" i="31"/>
  <c r="S75" i="31" s="1"/>
  <c r="R76" i="31"/>
  <c r="S76" i="31" s="1"/>
  <c r="R77" i="31"/>
  <c r="R78" i="31"/>
  <c r="S78" i="31" s="1"/>
  <c r="R79" i="31"/>
  <c r="S79" i="31" s="1"/>
  <c r="R80" i="31"/>
  <c r="S80" i="31" s="1"/>
  <c r="R81" i="31"/>
  <c r="R82" i="31"/>
  <c r="S82" i="31" s="1"/>
  <c r="R83" i="31"/>
  <c r="S83" i="31" s="1"/>
  <c r="R84" i="31"/>
  <c r="S84" i="31" s="1"/>
  <c r="R85" i="31"/>
  <c r="R86" i="31"/>
  <c r="S86" i="31" s="1"/>
  <c r="R87" i="31"/>
  <c r="S87" i="31" s="1"/>
  <c r="R88" i="31"/>
  <c r="S88" i="31" s="1"/>
  <c r="R89" i="31"/>
  <c r="R90" i="31"/>
  <c r="S90" i="31" s="1"/>
  <c r="R91" i="31"/>
  <c r="S91" i="31" s="1"/>
  <c r="R92" i="31"/>
  <c r="S92" i="31" s="1"/>
  <c r="R93" i="31"/>
  <c r="R94" i="31"/>
  <c r="S94" i="31" s="1"/>
  <c r="R95" i="31"/>
  <c r="S95" i="31" s="1"/>
  <c r="R96" i="31"/>
  <c r="S96" i="31" s="1"/>
  <c r="R97" i="31"/>
  <c r="R98" i="31"/>
  <c r="R99" i="31"/>
  <c r="S99" i="31" s="1"/>
  <c r="R100" i="31"/>
  <c r="S100" i="31" s="1"/>
  <c r="R101" i="31"/>
  <c r="S101" i="31" s="1"/>
  <c r="R102" i="31"/>
  <c r="S102" i="31" s="1"/>
  <c r="R103" i="31"/>
  <c r="S103" i="31" s="1"/>
  <c r="R104" i="31"/>
  <c r="S104" i="31" s="1"/>
  <c r="R105" i="31"/>
  <c r="S105" i="31" s="1"/>
  <c r="R106" i="31"/>
  <c r="S106" i="31" s="1"/>
  <c r="R107" i="31"/>
  <c r="R108" i="31"/>
  <c r="S108" i="31" s="1"/>
  <c r="R109" i="31"/>
  <c r="S109" i="31" s="1"/>
  <c r="R110" i="31"/>
  <c r="R111" i="31"/>
  <c r="S111" i="31" s="1"/>
  <c r="R112" i="31"/>
  <c r="S112" i="31" s="1"/>
  <c r="R113" i="31"/>
  <c r="R114" i="31"/>
  <c r="S114" i="31" s="1"/>
  <c r="R115" i="31"/>
  <c r="S115" i="31" s="1"/>
  <c r="R116" i="31"/>
  <c r="S116" i="31" s="1"/>
  <c r="R117" i="31"/>
  <c r="R118" i="31"/>
  <c r="S118" i="31" s="1"/>
  <c r="R119" i="31"/>
  <c r="S119" i="31" s="1"/>
  <c r="R120" i="31"/>
  <c r="S120" i="31" s="1"/>
  <c r="R121" i="3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R159" i="31"/>
  <c r="R160" i="31"/>
  <c r="S160" i="31" s="1"/>
  <c r="R161" i="31"/>
  <c r="S161" i="31" s="1"/>
  <c r="R162" i="31"/>
  <c r="S162" i="31" s="1"/>
  <c r="R163" i="31"/>
  <c r="S163" i="31" s="1"/>
  <c r="R164" i="31"/>
  <c r="S164" i="31" s="1"/>
  <c r="R165" i="31"/>
  <c r="S165" i="31" s="1"/>
  <c r="R166" i="31"/>
  <c r="S166" i="31" s="1"/>
  <c r="R167" i="31"/>
  <c r="S167" i="31" s="1"/>
  <c r="R168" i="3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R195" i="3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R219" i="31"/>
  <c r="S219" i="31" s="1"/>
  <c r="R220" i="31"/>
  <c r="S220" i="31" s="1"/>
  <c r="R221" i="31"/>
  <c r="S221" i="31" s="1"/>
  <c r="R222" i="31"/>
  <c r="S222" i="31" s="1"/>
  <c r="R223" i="31"/>
  <c r="S223" i="31" s="1"/>
  <c r="R224" i="31"/>
  <c r="S224" i="31" s="1"/>
  <c r="R225" i="31"/>
  <c r="S225" i="31" s="1"/>
  <c r="R226" i="31"/>
  <c r="R227" i="31"/>
  <c r="S227" i="31" s="1"/>
  <c r="R228" i="31"/>
  <c r="S228" i="31" s="1"/>
  <c r="R229" i="31"/>
  <c r="S229" i="31" s="1"/>
  <c r="R230" i="31"/>
  <c r="S230" i="31" s="1"/>
  <c r="R231" i="31"/>
  <c r="S231" i="31" s="1"/>
  <c r="R232" i="31"/>
  <c r="S232" i="31" s="1"/>
  <c r="R233" i="31"/>
  <c r="S233" i="31" s="1"/>
  <c r="R234" i="31"/>
  <c r="S234" i="31" s="1"/>
  <c r="R235" i="31"/>
  <c r="S235" i="31" s="1"/>
  <c r="R236" i="3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R291" i="31"/>
  <c r="S291" i="31" s="1"/>
  <c r="R292" i="31"/>
  <c r="S292" i="31" s="1"/>
  <c r="R293" i="31"/>
  <c r="S293" i="31" s="1"/>
  <c r="R294" i="31"/>
  <c r="S294" i="31" s="1"/>
  <c r="R295" i="31"/>
  <c r="S295" i="31" s="1"/>
  <c r="R296" i="31"/>
  <c r="S296" i="31" s="1"/>
  <c r="R297" i="31"/>
  <c r="S297" i="31" s="1"/>
  <c r="R298" i="31"/>
  <c r="S298" i="31" s="1"/>
  <c r="R299" i="31"/>
  <c r="S299" i="31" s="1"/>
  <c r="R300" i="31"/>
  <c r="R301" i="31"/>
  <c r="S301" i="31" s="1"/>
  <c r="R302" i="31"/>
  <c r="S302" i="31" s="1"/>
  <c r="R303" i="31"/>
  <c r="S303" i="31" s="1"/>
  <c r="R304" i="31"/>
  <c r="S304" i="31" s="1"/>
  <c r="R305" i="31"/>
  <c r="S305" i="31" s="1"/>
  <c r="R306" i="31"/>
  <c r="S306" i="31" s="1"/>
  <c r="R307" i="31"/>
  <c r="S307" i="31" s="1"/>
  <c r="R308" i="31"/>
  <c r="S308" i="31" s="1"/>
  <c r="R309" i="31"/>
  <c r="S309" i="31" s="1"/>
  <c r="R310" i="31"/>
  <c r="R311" i="31"/>
  <c r="S311" i="31" s="1"/>
  <c r="R312" i="31"/>
  <c r="S312" i="31" s="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R341" i="31"/>
  <c r="S341" i="31" s="1"/>
  <c r="R342" i="31"/>
  <c r="S342" i="31" s="1"/>
  <c r="R343" i="31"/>
  <c r="S343" i="31" s="1"/>
  <c r="R344" i="31"/>
  <c r="S344" i="31" s="1"/>
  <c r="R345" i="31"/>
  <c r="S345" i="31" s="1"/>
  <c r="R346" i="31"/>
  <c r="S346" i="31" s="1"/>
  <c r="R347" i="31"/>
  <c r="S347" i="31" s="1"/>
  <c r="R348" i="31"/>
  <c r="S348" i="31" s="1"/>
  <c r="R349" i="31"/>
  <c r="S349" i="31" s="1"/>
  <c r="R350" i="31"/>
  <c r="R351" i="31"/>
  <c r="S351" i="31" s="1"/>
  <c r="R352" i="31"/>
  <c r="S352" i="31" s="1"/>
  <c r="R353" i="31"/>
  <c r="S353" i="31" s="1"/>
  <c r="R354" i="31"/>
  <c r="S354" i="31" s="1"/>
  <c r="R355" i="31"/>
  <c r="S355" i="31" s="1"/>
  <c r="R356" i="31"/>
  <c r="S356" i="31" s="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R407" i="31"/>
  <c r="S407" i="31" s="1"/>
  <c r="R408" i="3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R426" i="31"/>
  <c r="S426" i="31" s="1"/>
  <c r="R427" i="31"/>
  <c r="S427" i="31" s="1"/>
  <c r="R428" i="31"/>
  <c r="S428" i="31" s="1"/>
  <c r="R429" i="31"/>
  <c r="R430" i="31"/>
  <c r="S430" i="31" s="1"/>
  <c r="R431" i="31"/>
  <c r="S431" i="31" s="1"/>
  <c r="R432" i="31"/>
  <c r="R433" i="31"/>
  <c r="R434" i="31"/>
  <c r="S434" i="31" s="1"/>
  <c r="R435" i="31"/>
  <c r="S435" i="31" s="1"/>
  <c r="R436" i="31"/>
  <c r="S436" i="31" s="1"/>
  <c r="R437" i="31"/>
  <c r="R438" i="31"/>
  <c r="S438" i="31" s="1"/>
  <c r="R439" i="31"/>
  <c r="S439" i="31" s="1"/>
  <c r="R440" i="31"/>
  <c r="R441" i="31"/>
  <c r="R442" i="31"/>
  <c r="S442" i="31" s="1"/>
  <c r="R443" i="31"/>
  <c r="S443" i="31" s="1"/>
  <c r="R444" i="31"/>
  <c r="S444" i="31" s="1"/>
  <c r="R445" i="31"/>
  <c r="R446" i="31"/>
  <c r="S446" i="31" s="1"/>
  <c r="R447" i="31"/>
  <c r="S447" i="31" s="1"/>
  <c r="R448" i="31"/>
  <c r="S448" i="31" s="1"/>
  <c r="R449" i="31"/>
  <c r="R450" i="31"/>
  <c r="R451" i="31"/>
  <c r="S451" i="31" s="1"/>
  <c r="R452" i="31"/>
  <c r="S452" i="31" s="1"/>
  <c r="R453" i="31"/>
  <c r="R454" i="31"/>
  <c r="S454" i="31" s="1"/>
  <c r="R455" i="31"/>
  <c r="S455" i="31" s="1"/>
  <c r="R456" i="31"/>
  <c r="R457" i="31"/>
  <c r="R458" i="31"/>
  <c r="S458" i="31" s="1"/>
  <c r="R459" i="31"/>
  <c r="S459" i="31" s="1"/>
  <c r="R460" i="31"/>
  <c r="S460" i="31" s="1"/>
  <c r="R461" i="31"/>
  <c r="R462" i="31"/>
  <c r="S462" i="31" s="1"/>
  <c r="R463" i="31"/>
  <c r="S463" i="31" s="1"/>
  <c r="R464" i="31"/>
  <c r="S464" i="31" s="1"/>
  <c r="R465" i="31"/>
  <c r="R466" i="31"/>
  <c r="S466" i="31" s="1"/>
  <c r="R467" i="31"/>
  <c r="S467" i="31" s="1"/>
  <c r="R468" i="31"/>
  <c r="S468" i="31" s="1"/>
  <c r="R469" i="31"/>
  <c r="R470" i="31"/>
  <c r="S470" i="31" s="1"/>
  <c r="R471" i="31"/>
  <c r="S471" i="31" s="1"/>
  <c r="R472" i="31"/>
  <c r="S472" i="31" s="1"/>
  <c r="R473" i="31"/>
  <c r="R474" i="31"/>
  <c r="S474" i="31" s="1"/>
  <c r="R475" i="31"/>
  <c r="S475" i="31" s="1"/>
  <c r="R476" i="31"/>
  <c r="R477" i="31"/>
  <c r="R478" i="31"/>
  <c r="S478" i="31" s="1"/>
  <c r="R479" i="31"/>
  <c r="S479" i="31" s="1"/>
  <c r="R480" i="31"/>
  <c r="S480" i="31" s="1"/>
  <c r="R481" i="31"/>
  <c r="R482" i="31"/>
  <c r="S482" i="31" s="1"/>
  <c r="R483" i="31"/>
  <c r="S483" i="31" s="1"/>
  <c r="R484" i="31"/>
  <c r="R485" i="31"/>
  <c r="R486" i="31"/>
  <c r="S486" i="31" s="1"/>
  <c r="R487" i="31"/>
  <c r="S487" i="31" s="1"/>
  <c r="R488" i="31"/>
  <c r="S488" i="31" s="1"/>
  <c r="R489" i="31"/>
  <c r="R490" i="31"/>
  <c r="S490" i="31" s="1"/>
  <c r="R491" i="31"/>
  <c r="S491" i="31" s="1"/>
  <c r="R492" i="31"/>
  <c r="S492" i="31" s="1"/>
  <c r="R493" i="31"/>
  <c r="R494" i="31"/>
  <c r="S494" i="31" s="1"/>
  <c r="R495" i="31"/>
  <c r="S495" i="31" s="1"/>
  <c r="R496" i="31"/>
  <c r="S496" i="31" s="1"/>
  <c r="R497" i="31"/>
  <c r="R498" i="31"/>
  <c r="S498" i="31" s="1"/>
  <c r="R499" i="31"/>
  <c r="S499" i="31" s="1"/>
  <c r="R500" i="31"/>
  <c r="S500" i="31" s="1"/>
  <c r="R501" i="31"/>
  <c r="R502" i="31"/>
  <c r="S502" i="31" s="1"/>
  <c r="R503" i="31"/>
  <c r="S503" i="31" s="1"/>
  <c r="R504" i="31"/>
  <c r="S504" i="31" s="1"/>
  <c r="R505" i="31"/>
  <c r="R506" i="31"/>
  <c r="S506" i="31" s="1"/>
  <c r="R507" i="31"/>
  <c r="S507" i="31" s="1"/>
  <c r="R508" i="31"/>
  <c r="S508" i="31" s="1"/>
  <c r="R509" i="31"/>
  <c r="R510" i="31"/>
  <c r="S510" i="31" s="1"/>
  <c r="R511" i="31"/>
  <c r="S511" i="31" s="1"/>
  <c r="R512" i="31"/>
  <c r="R513" i="31"/>
  <c r="R514" i="31"/>
  <c r="S514" i="31" s="1"/>
  <c r="R515" i="31"/>
  <c r="S515" i="31" s="1"/>
  <c r="R516" i="31"/>
  <c r="S516" i="31" s="1"/>
  <c r="R517" i="31"/>
  <c r="R518" i="31"/>
  <c r="S518" i="31" s="1"/>
  <c r="R519" i="31"/>
  <c r="S519" i="31" s="1"/>
  <c r="R520" i="3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C15" i="4"/>
  <c r="F6" i="1" s="1"/>
  <c r="L21" i="4"/>
  <c r="F19" i="4"/>
  <c r="F2" i="52"/>
  <c r="B50" i="72"/>
  <c r="D2" i="52"/>
  <c r="B46" i="72" s="1"/>
  <c r="B8" i="53"/>
  <c r="B23" i="72" s="1"/>
  <c r="L4" i="9"/>
  <c r="B17"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A13" i="3" s="1"/>
  <c r="BD13" i="3"/>
  <c r="BE13" i="3"/>
  <c r="BF13" i="3"/>
  <c r="BG13" i="3"/>
  <c r="BH13" i="3"/>
  <c r="BI13" i="3"/>
  <c r="BJ13" i="3"/>
  <c r="BK13" i="3"/>
  <c r="BB14" i="3"/>
  <c r="BB5" i="3" s="1"/>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8"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O25" i="31"/>
  <c r="M25" i="31"/>
  <c r="K25" i="31"/>
  <c r="G25" i="31"/>
  <c r="E25" i="31"/>
  <c r="S408" i="31"/>
  <c r="S406" i="31"/>
  <c r="S384" i="31"/>
  <c r="S372" i="31"/>
  <c r="S360" i="31"/>
  <c r="S350" i="31"/>
  <c r="S340" i="31"/>
  <c r="S328" i="31"/>
  <c r="S320" i="31"/>
  <c r="S310" i="31"/>
  <c r="S300" i="31"/>
  <c r="S290" i="31"/>
  <c r="S276" i="31"/>
  <c r="S262" i="31"/>
  <c r="S236" i="31"/>
  <c r="S226" i="31"/>
  <c r="S429" i="31"/>
  <c r="S425" i="31"/>
  <c r="S218" i="31"/>
  <c r="S206" i="31"/>
  <c r="S195" i="31"/>
  <c r="S194" i="31"/>
  <c r="S168" i="31"/>
  <c r="S159" i="31"/>
  <c r="S158" i="31"/>
  <c r="S497" i="31"/>
  <c r="S493" i="31"/>
  <c r="S489" i="31"/>
  <c r="S485" i="31"/>
  <c r="S484" i="31"/>
  <c r="S481" i="31"/>
  <c r="S477" i="31"/>
  <c r="S476" i="31"/>
  <c r="S473" i="31"/>
  <c r="S469" i="31"/>
  <c r="S441" i="31"/>
  <c r="S440" i="31"/>
  <c r="S437" i="31"/>
  <c r="S433" i="31"/>
  <c r="S432" i="31"/>
  <c r="S121" i="31"/>
  <c r="S117" i="31"/>
  <c r="S113" i="31"/>
  <c r="S465" i="31"/>
  <c r="S461" i="31"/>
  <c r="S457" i="31"/>
  <c r="S456" i="31"/>
  <c r="S453" i="31"/>
  <c r="S450" i="31"/>
  <c r="S42" i="31"/>
  <c r="S39" i="31"/>
  <c r="S77" i="31"/>
  <c r="S73" i="31"/>
  <c r="S71" i="31"/>
  <c r="S69" i="31"/>
  <c r="S65" i="31"/>
  <c r="S61" i="31"/>
  <c r="S59" i="31"/>
  <c r="S58" i="31"/>
  <c r="S57" i="31"/>
  <c r="S97" i="31"/>
  <c r="S93" i="31"/>
  <c r="S89" i="31"/>
  <c r="S85" i="31"/>
  <c r="S81" i="31"/>
  <c r="S98" i="31"/>
  <c r="S107" i="31"/>
  <c r="S110" i="31"/>
  <c r="S445" i="31"/>
  <c r="S449" i="31"/>
  <c r="S509" i="31"/>
  <c r="S512" i="31"/>
  <c r="S513" i="31"/>
  <c r="I48" i="37"/>
  <c r="J48" i="37" s="1"/>
  <c r="G48" i="37"/>
  <c r="H48" i="37" s="1"/>
  <c r="E48" i="37"/>
  <c r="F48" i="37" s="1"/>
  <c r="I55" i="34"/>
  <c r="J55" i="34" s="1"/>
  <c r="G55" i="34"/>
  <c r="H55" i="34" s="1"/>
  <c r="E55" i="34"/>
  <c r="F55" i="34" s="1"/>
  <c r="I48" i="40"/>
  <c r="J48" i="40" s="1"/>
  <c r="G48" i="40"/>
  <c r="H48" i="40" s="1"/>
  <c r="E48" i="40"/>
  <c r="F48" i="40" s="1"/>
  <c r="I53" i="39"/>
  <c r="J53" i="39"/>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AC35" i="39" s="1"/>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s="1"/>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J41" i="33"/>
  <c r="D113" i="33"/>
  <c r="F37" i="33"/>
  <c r="D111" i="33"/>
  <c r="E111" i="33"/>
  <c r="F111" i="33" s="1"/>
  <c r="S517" i="31"/>
  <c r="S520" i="31"/>
  <c r="S521"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H38" i="40"/>
  <c r="AB38" i="40" s="1"/>
  <c r="Q37" i="40"/>
  <c r="Z37" i="40" s="1"/>
  <c r="Q36" i="40"/>
  <c r="Z36" i="40" s="1"/>
  <c r="Q35" i="40"/>
  <c r="Z35" i="40" s="1"/>
  <c r="Q34" i="40"/>
  <c r="Z34" i="40" s="1"/>
  <c r="J34" i="40"/>
  <c r="AC34" i="40"/>
  <c r="H34" i="40"/>
  <c r="AB34" i="40" s="1"/>
  <c r="F34" i="40"/>
  <c r="AA34" i="40" s="1"/>
  <c r="Q33" i="40"/>
  <c r="Z33" i="40" s="1"/>
  <c r="Q32" i="40"/>
  <c r="Z32" i="40" s="1"/>
  <c r="Q31" i="40"/>
  <c r="Z31" i="40" s="1"/>
  <c r="Q30" i="40"/>
  <c r="Z30" i="40"/>
  <c r="Q28" i="40"/>
  <c r="Z28" i="40" s="1"/>
  <c r="Q27" i="40"/>
  <c r="Z27" i="40" s="1"/>
  <c r="Q23" i="40"/>
  <c r="Z23" i="40" s="1"/>
  <c r="Q21" i="40"/>
  <c r="Z21" i="40"/>
  <c r="Q19" i="40"/>
  <c r="Z19" i="40" s="1"/>
  <c r="Q17" i="40"/>
  <c r="Z17" i="40" s="1"/>
  <c r="Q15" i="40"/>
  <c r="Z15" i="40" s="1"/>
  <c r="Q14" i="40"/>
  <c r="Z14" i="40" s="1"/>
  <c r="Q13" i="40"/>
  <c r="Z13" i="40" s="1"/>
  <c r="Q12" i="40"/>
  <c r="Z12" i="40"/>
  <c r="Q11" i="40"/>
  <c r="Z11" i="40" s="1"/>
  <c r="Q10" i="40"/>
  <c r="Z10" i="40" s="1"/>
  <c r="Q9" i="40"/>
  <c r="Z9" i="40" s="1"/>
  <c r="J9" i="40"/>
  <c r="W9" i="40" s="1"/>
  <c r="H9" i="40"/>
  <c r="AB9" i="40" s="1"/>
  <c r="F9" i="40"/>
  <c r="S9" i="40"/>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s="1"/>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s="1"/>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s="1"/>
  <c r="Q32" i="37"/>
  <c r="Z32" i="37" s="1"/>
  <c r="Q31" i="37"/>
  <c r="Z31" i="37"/>
  <c r="J31" i="37"/>
  <c r="AC31" i="37" s="1"/>
  <c r="Q30" i="37"/>
  <c r="Z30" i="37" s="1"/>
  <c r="J30" i="37"/>
  <c r="AC30" i="37" s="1"/>
  <c r="H30" i="37"/>
  <c r="AB30" i="37" s="1"/>
  <c r="F30" i="37"/>
  <c r="AA30" i="37" s="1"/>
  <c r="Q29" i="37"/>
  <c r="Z29" i="37"/>
  <c r="H29" i="37"/>
  <c r="AB29" i="37" s="1"/>
  <c r="Q28" i="37"/>
  <c r="Z28" i="37" s="1"/>
  <c r="Q27" i="37"/>
  <c r="Z27" i="37" s="1"/>
  <c r="Q26" i="37"/>
  <c r="Z26" i="37"/>
  <c r="H26" i="37"/>
  <c r="AB26" i="37"/>
  <c r="Q25" i="37"/>
  <c r="Z25" i="37"/>
  <c r="J25" i="37"/>
  <c r="AC25" i="37" s="1"/>
  <c r="F25" i="37"/>
  <c r="AA25" i="37" s="1"/>
  <c r="Q23" i="37"/>
  <c r="Z23" i="37" s="1"/>
  <c r="Q19" i="37"/>
  <c r="Z19" i="37" s="1"/>
  <c r="Q17" i="37"/>
  <c r="Z17" i="37" s="1"/>
  <c r="Q15" i="37"/>
  <c r="Z15" i="37"/>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H23" i="36" s="1"/>
  <c r="AB23" i="36" s="1"/>
  <c r="D70" i="36"/>
  <c r="H22" i="36"/>
  <c r="AB22" i="36" s="1"/>
  <c r="D68" i="36"/>
  <c r="E68" i="36" s="1"/>
  <c r="F68" i="36"/>
  <c r="G68" i="36" s="1"/>
  <c r="D64" i="36"/>
  <c r="E64" i="36" s="1"/>
  <c r="F64" i="36" s="1"/>
  <c r="G64" i="36" s="1"/>
  <c r="J16" i="36"/>
  <c r="W16" i="36" s="1"/>
  <c r="D62" i="36"/>
  <c r="E62" i="36" s="1"/>
  <c r="F62" i="36" s="1"/>
  <c r="G62" i="36" s="1"/>
  <c r="B59" i="36"/>
  <c r="B57" i="36"/>
  <c r="J12" i="36" s="1"/>
  <c r="B55" i="36"/>
  <c r="C51" i="36"/>
  <c r="H9" i="36" s="1"/>
  <c r="AB9" i="36" s="1"/>
  <c r="P37" i="36"/>
  <c r="P36" i="36"/>
  <c r="V35" i="36"/>
  <c r="T35" i="36"/>
  <c r="R35" i="36"/>
  <c r="P35" i="36"/>
  <c r="Q34" i="36"/>
  <c r="Z34" i="36" s="1"/>
  <c r="Q33" i="36"/>
  <c r="Z33" i="36" s="1"/>
  <c r="Q32" i="36"/>
  <c r="Z32" i="36" s="1"/>
  <c r="Q31" i="36"/>
  <c r="Z31" i="36" s="1"/>
  <c r="Q30" i="36"/>
  <c r="Z30" i="36" s="1"/>
  <c r="AC30" i="36"/>
  <c r="Q29" i="36"/>
  <c r="Z29" i="36" s="1"/>
  <c r="Q28" i="36"/>
  <c r="Z28" i="36" s="1"/>
  <c r="J28" i="36"/>
  <c r="AC28" i="36" s="1"/>
  <c r="Q27" i="36"/>
  <c r="Z27" i="36"/>
  <c r="Q26" i="36"/>
  <c r="Z26" i="36" s="1"/>
  <c r="H26" i="36"/>
  <c r="AB26" i="36" s="1"/>
  <c r="Q25" i="36"/>
  <c r="Z25" i="36" s="1"/>
  <c r="Q24" i="36"/>
  <c r="Z24" i="36"/>
  <c r="Q23" i="36"/>
  <c r="Z23" i="36" s="1"/>
  <c r="J23" i="36"/>
  <c r="AC23" i="36" s="1"/>
  <c r="F23" i="36"/>
  <c r="AA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s="1"/>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H12" i="33" s="1"/>
  <c r="U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c r="F64" i="35" s="1"/>
  <c r="G64" i="35" s="1"/>
  <c r="J14" i="35"/>
  <c r="W14" i="35" s="1"/>
  <c r="C53" i="35"/>
  <c r="J9" i="35"/>
  <c r="P39" i="35"/>
  <c r="P38" i="35"/>
  <c r="V37" i="35"/>
  <c r="T37" i="35"/>
  <c r="R37" i="35"/>
  <c r="P37" i="35"/>
  <c r="Q36" i="35"/>
  <c r="Z36" i="35"/>
  <c r="Q35" i="35"/>
  <c r="Z35" i="35" s="1"/>
  <c r="Q34" i="35"/>
  <c r="Z34" i="35" s="1"/>
  <c r="H34" i="35"/>
  <c r="AB34" i="35"/>
  <c r="Q33" i="35"/>
  <c r="Z33" i="35"/>
  <c r="Q32" i="35"/>
  <c r="Z32" i="35"/>
  <c r="H32" i="35"/>
  <c r="AB32" i="35" s="1"/>
  <c r="F32" i="35"/>
  <c r="AA32" i="35" s="1"/>
  <c r="Q31" i="35"/>
  <c r="Z31" i="35"/>
  <c r="AB31" i="35"/>
  <c r="Q30" i="35"/>
  <c r="Z30" i="35" s="1"/>
  <c r="Q29" i="35"/>
  <c r="Z29" i="35" s="1"/>
  <c r="Q28" i="35"/>
  <c r="Z28" i="35"/>
  <c r="J28" i="35"/>
  <c r="AC28" i="35" s="1"/>
  <c r="H28" i="35"/>
  <c r="AB28" i="35" s="1"/>
  <c r="F28" i="35"/>
  <c r="AA28" i="35" s="1"/>
  <c r="Q27" i="35"/>
  <c r="Z27" i="35"/>
  <c r="Q26" i="35"/>
  <c r="Z26" i="35" s="1"/>
  <c r="Q25" i="35"/>
  <c r="Z25" i="35" s="1"/>
  <c r="Q24" i="35"/>
  <c r="Z24" i="35" s="1"/>
  <c r="Q23" i="35"/>
  <c r="Z23" i="35" s="1"/>
  <c r="Q22" i="35"/>
  <c r="Z22" i="35" s="1"/>
  <c r="Q20" i="35"/>
  <c r="Z20" i="35" s="1"/>
  <c r="Q16" i="35"/>
  <c r="Z16" i="35"/>
  <c r="Q14" i="35"/>
  <c r="Z14" i="35" s="1"/>
  <c r="Q13" i="35"/>
  <c r="Z13" i="35" s="1"/>
  <c r="Q12" i="35"/>
  <c r="Z12" i="35" s="1"/>
  <c r="J12" i="35"/>
  <c r="W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C15" i="34"/>
  <c r="D126" i="34"/>
  <c r="E126" i="34"/>
  <c r="F126" i="34" s="1"/>
  <c r="G126" i="34" s="1"/>
  <c r="D124" i="34"/>
  <c r="H43" i="34" s="1"/>
  <c r="AB43" i="34" s="1"/>
  <c r="E124" i="34"/>
  <c r="F124" i="34" s="1"/>
  <c r="G124" i="34" s="1"/>
  <c r="H124" i="34" s="1"/>
  <c r="I124" i="34" s="1"/>
  <c r="J124" i="34" s="1"/>
  <c r="K124" i="34" s="1"/>
  <c r="L124" i="34" s="1"/>
  <c r="M124" i="34" s="1"/>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D88" i="34"/>
  <c r="E88" i="34" s="1"/>
  <c r="F88" i="34" s="1"/>
  <c r="G88" i="34" s="1"/>
  <c r="H88" i="34" s="1"/>
  <c r="I88" i="34" s="1"/>
  <c r="J88" i="34" s="1"/>
  <c r="K88" i="34" s="1"/>
  <c r="L88" i="34" s="1"/>
  <c r="M88" i="34" s="1"/>
  <c r="D86" i="34"/>
  <c r="E86" i="34"/>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s="1"/>
  <c r="Q23" i="34"/>
  <c r="Z23" i="34" s="1"/>
  <c r="C23" i="34"/>
  <c r="Q19" i="34"/>
  <c r="Z19" i="34" s="1"/>
  <c r="C19" i="34"/>
  <c r="Q17" i="34"/>
  <c r="Z17" i="34" s="1"/>
  <c r="C17" i="34"/>
  <c r="Q15" i="34"/>
  <c r="Z15" i="34"/>
  <c r="Q14" i="34"/>
  <c r="Z14" i="34"/>
  <c r="Q13" i="34"/>
  <c r="Z13" i="34"/>
  <c r="Q12" i="34"/>
  <c r="Z12" i="34"/>
  <c r="H12" i="34"/>
  <c r="F12" i="34"/>
  <c r="S12" i="34" s="1"/>
  <c r="Q11" i="34"/>
  <c r="Z11" i="34" s="1"/>
  <c r="Q10" i="34"/>
  <c r="Z10" i="34" s="1"/>
  <c r="F10" i="34"/>
  <c r="AA10" i="34" s="1"/>
  <c r="Q9" i="34"/>
  <c r="Z9" i="34"/>
  <c r="J9" i="34"/>
  <c r="AC9" i="34" s="1"/>
  <c r="H9" i="34"/>
  <c r="J8" i="34"/>
  <c r="AC8" i="34" s="1"/>
  <c r="H8" i="34"/>
  <c r="U8" i="34" s="1"/>
  <c r="F8" i="34"/>
  <c r="AA8" i="34" s="1"/>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H54" i="33"/>
  <c r="F54" i="33"/>
  <c r="P49" i="33"/>
  <c r="P48" i="33"/>
  <c r="V47" i="33"/>
  <c r="T47" i="33"/>
  <c r="R47" i="33"/>
  <c r="P47" i="33"/>
  <c r="Q46" i="33"/>
  <c r="Z46" i="33" s="1"/>
  <c r="Q45" i="33"/>
  <c r="Z45" i="33" s="1"/>
  <c r="Q44" i="33"/>
  <c r="Z44" i="33"/>
  <c r="Q43" i="33"/>
  <c r="Z43" i="33" s="1"/>
  <c r="Q42" i="33"/>
  <c r="Z42" i="33" s="1"/>
  <c r="J42" i="33"/>
  <c r="AC42" i="33" s="1"/>
  <c r="AC41" i="33"/>
  <c r="W41" i="33"/>
  <c r="Q41" i="33"/>
  <c r="Z41" i="33" s="1"/>
  <c r="Q40" i="33"/>
  <c r="Z40" i="33" s="1"/>
  <c r="J40" i="33"/>
  <c r="AC40" i="33" s="1"/>
  <c r="H40" i="33"/>
  <c r="AB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c r="Q28" i="33"/>
  <c r="Z28" i="33" s="1"/>
  <c r="Q27" i="33"/>
  <c r="Z27" i="33" s="1"/>
  <c r="Q26" i="33"/>
  <c r="Z26" i="33" s="1"/>
  <c r="Q25" i="33"/>
  <c r="Z25" i="33"/>
  <c r="Q23" i="33"/>
  <c r="Z23" i="33" s="1"/>
  <c r="Q19" i="33"/>
  <c r="Z19" i="33" s="1"/>
  <c r="Q17" i="33"/>
  <c r="Z17" i="33" s="1"/>
  <c r="Q15" i="33"/>
  <c r="Z15" i="33"/>
  <c r="F15" i="33"/>
  <c r="AA15" i="33" s="1"/>
  <c r="Q14" i="33"/>
  <c r="Z14" i="33" s="1"/>
  <c r="Q13" i="33"/>
  <c r="Z13" i="33" s="1"/>
  <c r="Q12" i="33"/>
  <c r="Z12" i="33"/>
  <c r="Q11" i="33"/>
  <c r="Z11" i="33" s="1"/>
  <c r="Q10" i="33"/>
  <c r="Z10" i="33" s="1"/>
  <c r="Q9" i="33"/>
  <c r="Z9" i="33" s="1"/>
  <c r="J9" i="33"/>
  <c r="AC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c r="G15" i="20"/>
  <c r="B83" i="43" s="1"/>
  <c r="C24" i="20"/>
  <c r="B97" i="43" s="1"/>
  <c r="C21" i="20"/>
  <c r="B99" i="43" s="1"/>
  <c r="C20" i="20"/>
  <c r="B101" i="43" s="1"/>
  <c r="B79" i="43"/>
  <c r="C18" i="20"/>
  <c r="B94" i="43" s="1"/>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s="1"/>
  <c r="G81" i="21" s="1"/>
  <c r="D77" i="21"/>
  <c r="E77" i="21" s="1"/>
  <c r="B130" i="21"/>
  <c r="B128" i="21"/>
  <c r="J45" i="21"/>
  <c r="W45" i="21" s="1"/>
  <c r="B126" i="21"/>
  <c r="B98" i="21"/>
  <c r="H31" i="21" s="1"/>
  <c r="B96" i="21"/>
  <c r="F30" i="21" s="1"/>
  <c r="S30" i="21" s="1"/>
  <c r="B94" i="21"/>
  <c r="J29" i="21"/>
  <c r="AC29" i="21" s="1"/>
  <c r="B92" i="21"/>
  <c r="B90" i="21"/>
  <c r="J27" i="21"/>
  <c r="W27" i="21" s="1"/>
  <c r="B74" i="21"/>
  <c r="H14" i="21" s="1"/>
  <c r="U14" i="21" s="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s="1"/>
  <c r="H34" i="21"/>
  <c r="AB34" i="21" s="1"/>
  <c r="F43" i="21"/>
  <c r="S43" i="21" s="1"/>
  <c r="H38" i="21"/>
  <c r="U38" i="21"/>
  <c r="H43" i="21"/>
  <c r="AB43" i="21" s="1"/>
  <c r="F38" i="21"/>
  <c r="S38" i="21" s="1"/>
  <c r="F36" i="21"/>
  <c r="S36" i="21" s="1"/>
  <c r="F39" i="21"/>
  <c r="AA39" i="21"/>
  <c r="J40" i="21"/>
  <c r="W40" i="21" s="1"/>
  <c r="H35" i="21"/>
  <c r="AB35" i="21" s="1"/>
  <c r="J8" i="21"/>
  <c r="AC8" i="21" s="1"/>
  <c r="H8" i="21"/>
  <c r="U8" i="21" s="1"/>
  <c r="H10" i="21"/>
  <c r="AB10" i="21" s="1"/>
  <c r="H39" i="21"/>
  <c r="U39" i="21"/>
  <c r="J34" i="21"/>
  <c r="W34" i="21"/>
  <c r="H36" i="21"/>
  <c r="U36" i="21"/>
  <c r="F35" i="21"/>
  <c r="AA35" i="21"/>
  <c r="J10" i="21"/>
  <c r="AC10" i="21" s="1"/>
  <c r="H26" i="21"/>
  <c r="AB26" i="21" s="1"/>
  <c r="AB19" i="21"/>
  <c r="J19" i="21"/>
  <c r="W19" i="21" s="1"/>
  <c r="J26" i="21"/>
  <c r="W26" i="21" s="1"/>
  <c r="F26" i="21"/>
  <c r="S26" i="21" s="1"/>
  <c r="AB41" i="21"/>
  <c r="S41" i="21"/>
  <c r="AA41" i="21"/>
  <c r="F45" i="39"/>
  <c r="S45" i="39"/>
  <c r="J45" i="39"/>
  <c r="W45" i="39" s="1"/>
  <c r="F36" i="39"/>
  <c r="S36" i="39" s="1"/>
  <c r="H36" i="39"/>
  <c r="AB36" i="39"/>
  <c r="F35" i="39"/>
  <c r="AA35" i="39" s="1"/>
  <c r="J36" i="39"/>
  <c r="AC36" i="39" s="1"/>
  <c r="U9" i="39"/>
  <c r="W40" i="39"/>
  <c r="W25" i="37"/>
  <c r="U30" i="37"/>
  <c r="W31" i="37"/>
  <c r="E103" i="37"/>
  <c r="F103" i="37" s="1"/>
  <c r="G103" i="37" s="1"/>
  <c r="H103" i="37" s="1"/>
  <c r="I103" i="37" s="1"/>
  <c r="J103" i="37" s="1"/>
  <c r="K103" i="37" s="1"/>
  <c r="L103" i="37" s="1"/>
  <c r="M103" i="37" s="1"/>
  <c r="F29" i="36"/>
  <c r="AA29" i="36" s="1"/>
  <c r="F16" i="36"/>
  <c r="AA16" i="36" s="1"/>
  <c r="U31" i="36"/>
  <c r="J33" i="36"/>
  <c r="AC33" i="36" s="1"/>
  <c r="H22" i="35"/>
  <c r="AB22" i="35" s="1"/>
  <c r="AC27" i="35"/>
  <c r="W28" i="35"/>
  <c r="U31" i="35"/>
  <c r="W22" i="35"/>
  <c r="S31" i="35"/>
  <c r="U34" i="35"/>
  <c r="F36" i="34"/>
  <c r="S36" i="34" s="1"/>
  <c r="J35" i="34"/>
  <c r="W35" i="34" s="1"/>
  <c r="W9" i="34"/>
  <c r="U34" i="34"/>
  <c r="H39" i="33"/>
  <c r="AB39" i="33" s="1"/>
  <c r="U33" i="33"/>
  <c r="S40" i="33"/>
  <c r="W33" i="33"/>
  <c r="W39" i="33"/>
  <c r="S27" i="35"/>
  <c r="F11" i="40"/>
  <c r="AA11" i="40" s="1"/>
  <c r="H11" i="40"/>
  <c r="AB11" i="40" s="1"/>
  <c r="W8" i="40"/>
  <c r="AA9" i="40"/>
  <c r="S34" i="40"/>
  <c r="U38" i="40"/>
  <c r="W31" i="40"/>
  <c r="U34" i="40"/>
  <c r="S38" i="40"/>
  <c r="F42" i="39"/>
  <c r="AA42" i="39" s="1"/>
  <c r="F41" i="39"/>
  <c r="S41" i="39" s="1"/>
  <c r="H40" i="39"/>
  <c r="AB40" i="39" s="1"/>
  <c r="H39" i="39"/>
  <c r="U39" i="39" s="1"/>
  <c r="S38" i="39"/>
  <c r="S34" i="39"/>
  <c r="H34" i="39"/>
  <c r="U34" i="39" s="1"/>
  <c r="E108" i="39"/>
  <c r="F108" i="39" s="1"/>
  <c r="G108" i="39" s="1"/>
  <c r="H108" i="39" s="1"/>
  <c r="I108" i="39" s="1"/>
  <c r="J108" i="39" s="1"/>
  <c r="K108" i="39" s="1"/>
  <c r="L108" i="39" s="1"/>
  <c r="M108" i="39" s="1"/>
  <c r="F31" i="39"/>
  <c r="AA31" i="39" s="1"/>
  <c r="E100" i="39"/>
  <c r="F100" i="39" s="1"/>
  <c r="H19" i="39"/>
  <c r="AB19" i="39" s="1"/>
  <c r="F19" i="39"/>
  <c r="AA19" i="39" s="1"/>
  <c r="H17" i="39"/>
  <c r="AB17" i="39" s="1"/>
  <c r="F17" i="39"/>
  <c r="AA17" i="39" s="1"/>
  <c r="J23" i="40"/>
  <c r="AC23" i="40"/>
  <c r="F21" i="40"/>
  <c r="AA21" i="40"/>
  <c r="J21" i="40"/>
  <c r="W21" i="40"/>
  <c r="H42" i="39"/>
  <c r="AB42" i="39" s="1"/>
  <c r="J34" i="39"/>
  <c r="AC34" i="39" s="1"/>
  <c r="J31"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s="1"/>
  <c r="AB8" i="39"/>
  <c r="AC12" i="34"/>
  <c r="AB12" i="35"/>
  <c r="W32" i="40"/>
  <c r="S44" i="39"/>
  <c r="F37" i="39"/>
  <c r="AA37" i="39" s="1"/>
  <c r="U30" i="36"/>
  <c r="J30" i="35"/>
  <c r="W30" i="35" s="1"/>
  <c r="H30" i="35"/>
  <c r="AB30" i="35" s="1"/>
  <c r="F22" i="35"/>
  <c r="AA22" i="35"/>
  <c r="H10" i="35"/>
  <c r="U10" i="35" s="1"/>
  <c r="F33" i="36"/>
  <c r="AA33" i="36" s="1"/>
  <c r="W30" i="36"/>
  <c r="H16" i="36"/>
  <c r="AB16" i="36"/>
  <c r="E85" i="36"/>
  <c r="F85" i="36"/>
  <c r="G85" i="36" s="1"/>
  <c r="H85" i="36" s="1"/>
  <c r="I85" i="36" s="1"/>
  <c r="J85" i="36"/>
  <c r="K85" i="36" s="1"/>
  <c r="L85" i="36" s="1"/>
  <c r="M85" i="36" s="1"/>
  <c r="J29" i="36"/>
  <c r="AC29" i="36" s="1"/>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s="1"/>
  <c r="L101" i="37" s="1"/>
  <c r="M101" i="37" s="1"/>
  <c r="J34" i="37"/>
  <c r="W34" i="37"/>
  <c r="AB34" i="37"/>
  <c r="J33" i="37"/>
  <c r="AC33" i="37" s="1"/>
  <c r="U42" i="34"/>
  <c r="H40" i="34"/>
  <c r="U40" i="34" s="1"/>
  <c r="H36" i="34"/>
  <c r="U36" i="34" s="1"/>
  <c r="F37" i="34"/>
  <c r="AA37" i="34" s="1"/>
  <c r="F28" i="34"/>
  <c r="AA28" i="34" s="1"/>
  <c r="F25" i="34"/>
  <c r="S25" i="34" s="1"/>
  <c r="H23" i="34"/>
  <c r="AB23" i="34" s="1"/>
  <c r="U23" i="34"/>
  <c r="J23" i="34"/>
  <c r="F19" i="34"/>
  <c r="H17" i="34"/>
  <c r="U17" i="34"/>
  <c r="F15" i="34"/>
  <c r="AA15" i="34" s="1"/>
  <c r="J15" i="34"/>
  <c r="H15" i="34"/>
  <c r="AB15" i="34" s="1"/>
  <c r="J28" i="34"/>
  <c r="W28" i="34"/>
  <c r="F41" i="33"/>
  <c r="S41" i="33" s="1"/>
  <c r="AA41" i="33"/>
  <c r="E113" i="33"/>
  <c r="F32" i="33"/>
  <c r="AA32" i="33" s="1"/>
  <c r="J19" i="33"/>
  <c r="AC19" i="33"/>
  <c r="J15" i="33"/>
  <c r="AC15" i="33" s="1"/>
  <c r="F11" i="33"/>
  <c r="AA11" i="33" s="1"/>
  <c r="U40" i="33"/>
  <c r="W40" i="33"/>
  <c r="F37" i="40"/>
  <c r="AA37" i="40"/>
  <c r="F36" i="40"/>
  <c r="AA36" i="40"/>
  <c r="H28" i="40"/>
  <c r="U28" i="40" s="1"/>
  <c r="F23" i="40"/>
  <c r="AA23" i="40" s="1"/>
  <c r="F17" i="40"/>
  <c r="AA17" i="40" s="1"/>
  <c r="J17" i="40"/>
  <c r="W17" i="40"/>
  <c r="F15" i="40"/>
  <c r="S15" i="40" s="1"/>
  <c r="H15" i="40"/>
  <c r="AB15" i="40" s="1"/>
  <c r="AB30" i="36"/>
  <c r="F29" i="35"/>
  <c r="S29" i="35" s="1"/>
  <c r="H29" i="35"/>
  <c r="AB29" i="35" s="1"/>
  <c r="H33" i="37"/>
  <c r="F33" i="37"/>
  <c r="AA33" i="37" s="1"/>
  <c r="U34" i="37"/>
  <c r="S34" i="37"/>
  <c r="AA34" i="37"/>
  <c r="AB42" i="34"/>
  <c r="J40" i="34"/>
  <c r="AC40" i="34" s="1"/>
  <c r="H38" i="34"/>
  <c r="AB38" i="34" s="1"/>
  <c r="J36" i="34"/>
  <c r="W36" i="34" s="1"/>
  <c r="H37" i="34"/>
  <c r="U37" i="34" s="1"/>
  <c r="H25" i="34"/>
  <c r="AB25" i="34" s="1"/>
  <c r="J25" i="34"/>
  <c r="AC25" i="34" s="1"/>
  <c r="F23" i="34"/>
  <c r="AA23" i="34"/>
  <c r="J19" i="34"/>
  <c r="AC19" i="34" s="1"/>
  <c r="F17" i="34"/>
  <c r="AA17" i="34" s="1"/>
  <c r="J17" i="34"/>
  <c r="W17" i="34" s="1"/>
  <c r="AB17" i="34"/>
  <c r="F113" i="33"/>
  <c r="G113" i="33"/>
  <c r="H113" i="33"/>
  <c r="I113" i="33" s="1"/>
  <c r="J113" i="33" s="1"/>
  <c r="K113" i="33" s="1"/>
  <c r="L113" i="33" s="1"/>
  <c r="M113" i="33" s="1"/>
  <c r="H37" i="33"/>
  <c r="AB37" i="33"/>
  <c r="H15" i="33"/>
  <c r="AB15" i="33" s="1"/>
  <c r="H11" i="33"/>
  <c r="AB11" i="33" s="1"/>
  <c r="F28" i="40"/>
  <c r="AA28" i="40"/>
  <c r="AA42" i="34"/>
  <c r="S42" i="34"/>
  <c r="AC38" i="34"/>
  <c r="AA38" i="34"/>
  <c r="J37" i="34"/>
  <c r="AC37" i="34" s="1"/>
  <c r="J11" i="33"/>
  <c r="W11" i="33" s="1"/>
  <c r="S28" i="34"/>
  <c r="I123" i="21"/>
  <c r="J123" i="21" s="1"/>
  <c r="K123" i="21" s="1"/>
  <c r="L123" i="21" s="1"/>
  <c r="M123" i="21" s="1"/>
  <c r="J42" i="21"/>
  <c r="AC42" i="21"/>
  <c r="H42" i="21"/>
  <c r="U42" i="21" s="1"/>
  <c r="J44" i="34"/>
  <c r="F44" i="34"/>
  <c r="AA44" i="34" s="1"/>
  <c r="J10" i="35"/>
  <c r="AC10" i="35" s="1"/>
  <c r="J14" i="21"/>
  <c r="W14" i="21"/>
  <c r="F14" i="21"/>
  <c r="S14" i="21" s="1"/>
  <c r="H28" i="21"/>
  <c r="AB28" i="21" s="1"/>
  <c r="F28" i="21"/>
  <c r="AA28" i="21" s="1"/>
  <c r="J28" i="21"/>
  <c r="W28" i="21" s="1"/>
  <c r="H30" i="21"/>
  <c r="AB30" i="21" s="1"/>
  <c r="U30" i="21"/>
  <c r="J30" i="21"/>
  <c r="AC30" i="21"/>
  <c r="J44" i="21"/>
  <c r="AC44" i="21" s="1"/>
  <c r="H44" i="21"/>
  <c r="U44" i="21"/>
  <c r="F44" i="21"/>
  <c r="AA44" i="21" s="1"/>
  <c r="H46" i="21"/>
  <c r="U46" i="21" s="1"/>
  <c r="J46" i="21"/>
  <c r="F46" i="21"/>
  <c r="AA46" i="21"/>
  <c r="E119" i="21"/>
  <c r="F119" i="21" s="1"/>
  <c r="G119" i="21" s="1"/>
  <c r="H119" i="21" s="1"/>
  <c r="I119" i="21" s="1"/>
  <c r="J119" i="21" s="1"/>
  <c r="K119" i="21" s="1"/>
  <c r="L119" i="21" s="1"/>
  <c r="M119" i="21" s="1"/>
  <c r="H26" i="33"/>
  <c r="U26" i="33"/>
  <c r="H28" i="33"/>
  <c r="U28" i="33" s="1"/>
  <c r="F28" i="33"/>
  <c r="AA28" i="33"/>
  <c r="J28" i="33"/>
  <c r="W28" i="33" s="1"/>
  <c r="F33" i="35"/>
  <c r="S33" i="35"/>
  <c r="J33" i="35"/>
  <c r="AC33" i="35" s="1"/>
  <c r="F30" i="35"/>
  <c r="S30" i="35" s="1"/>
  <c r="E89" i="35"/>
  <c r="F89" i="35"/>
  <c r="G89" i="35"/>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c r="J31" i="21"/>
  <c r="AC31" i="21" s="1"/>
  <c r="F31" i="21"/>
  <c r="S31" i="21"/>
  <c r="F45" i="21"/>
  <c r="AA45" i="21" s="1"/>
  <c r="F27" i="33"/>
  <c r="AA27" i="33"/>
  <c r="J13" i="33"/>
  <c r="H13" i="33"/>
  <c r="U13" i="33" s="1"/>
  <c r="F13" i="33"/>
  <c r="S13" i="33"/>
  <c r="J29" i="33"/>
  <c r="H29" i="33"/>
  <c r="U29" i="33" s="1"/>
  <c r="F29" i="33"/>
  <c r="S29" i="33" s="1"/>
  <c r="J31" i="33"/>
  <c r="W31" i="33" s="1"/>
  <c r="H31" i="33"/>
  <c r="F31" i="33"/>
  <c r="H45" i="33"/>
  <c r="U45" i="33" s="1"/>
  <c r="J45" i="33"/>
  <c r="W45" i="33" s="1"/>
  <c r="F45" i="33"/>
  <c r="AA45" i="33"/>
  <c r="J14" i="34"/>
  <c r="W14" i="34" s="1"/>
  <c r="F14" i="34"/>
  <c r="S14" i="34"/>
  <c r="H14" i="34"/>
  <c r="H30" i="34"/>
  <c r="F30" i="34"/>
  <c r="S30" i="34"/>
  <c r="J30" i="34"/>
  <c r="H32" i="34"/>
  <c r="F32" i="34"/>
  <c r="J32" i="34"/>
  <c r="W32" i="34" s="1"/>
  <c r="H46" i="34"/>
  <c r="U46" i="34" s="1"/>
  <c r="F46" i="34"/>
  <c r="J46" i="34"/>
  <c r="H11" i="35"/>
  <c r="AB11" i="35" s="1"/>
  <c r="J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s="1"/>
  <c r="G89" i="37" s="1"/>
  <c r="H89" i="37" s="1"/>
  <c r="I89" i="37" s="1"/>
  <c r="J89" i="37" s="1"/>
  <c r="K89" i="37" s="1"/>
  <c r="L89" i="37" s="1"/>
  <c r="M89" i="37" s="1"/>
  <c r="J29" i="37"/>
  <c r="W29" i="37" s="1"/>
  <c r="F29" i="37"/>
  <c r="S29" i="37" s="1"/>
  <c r="F105" i="37"/>
  <c r="G105" i="37" s="1"/>
  <c r="H36" i="37"/>
  <c r="AB36" i="37" s="1"/>
  <c r="F107" i="37"/>
  <c r="J37" i="37"/>
  <c r="AC37" i="37" s="1"/>
  <c r="H37" i="37"/>
  <c r="U37" i="37" s="1"/>
  <c r="H40" i="37"/>
  <c r="U40" i="37" s="1"/>
  <c r="J40" i="37"/>
  <c r="AC40" i="37"/>
  <c r="F40" i="37"/>
  <c r="AA40" i="37" s="1"/>
  <c r="AC12" i="40"/>
  <c r="W12" i="40"/>
  <c r="H14" i="33"/>
  <c r="U14" i="33" s="1"/>
  <c r="F14" i="33"/>
  <c r="S14" i="33" s="1"/>
  <c r="J14" i="33"/>
  <c r="H30" i="33"/>
  <c r="AB30" i="33"/>
  <c r="F30" i="33"/>
  <c r="J30" i="33"/>
  <c r="H44" i="33"/>
  <c r="J44" i="33"/>
  <c r="AC44" i="33" s="1"/>
  <c r="F44" i="33"/>
  <c r="S44" i="33" s="1"/>
  <c r="J46" i="33"/>
  <c r="AC46" i="33" s="1"/>
  <c r="F46" i="33"/>
  <c r="AA46" i="33" s="1"/>
  <c r="H46" i="33"/>
  <c r="AB46" i="33"/>
  <c r="H13" i="34"/>
  <c r="U13" i="34" s="1"/>
  <c r="J13" i="34"/>
  <c r="W13" i="34"/>
  <c r="F13" i="34"/>
  <c r="AA13" i="34" s="1"/>
  <c r="J29" i="34"/>
  <c r="F29" i="34"/>
  <c r="S29" i="34"/>
  <c r="H29" i="34"/>
  <c r="AB29" i="34" s="1"/>
  <c r="J31" i="34"/>
  <c r="AC31" i="34" s="1"/>
  <c r="H31" i="34"/>
  <c r="F31" i="34"/>
  <c r="S31" i="34"/>
  <c r="H45" i="34"/>
  <c r="U45" i="34" s="1"/>
  <c r="J45" i="34"/>
  <c r="W45" i="34" s="1"/>
  <c r="F45" i="34"/>
  <c r="S45" i="34" s="1"/>
  <c r="H47" i="34"/>
  <c r="U47" i="34"/>
  <c r="F47" i="34"/>
  <c r="S47" i="34" s="1"/>
  <c r="J47" i="34"/>
  <c r="AC47" i="34" s="1"/>
  <c r="F13" i="35"/>
  <c r="J13" i="35"/>
  <c r="AC13" i="35" s="1"/>
  <c r="H13" i="35"/>
  <c r="U13" i="35" s="1"/>
  <c r="J25" i="35"/>
  <c r="W25" i="35"/>
  <c r="F25" i="35"/>
  <c r="S25" i="35" s="1"/>
  <c r="H25" i="35"/>
  <c r="AB25" i="35"/>
  <c r="J35" i="35"/>
  <c r="AC35" i="35" s="1"/>
  <c r="F35" i="35"/>
  <c r="AA35" i="35" s="1"/>
  <c r="H35" i="35"/>
  <c r="J25" i="36"/>
  <c r="W25" i="36"/>
  <c r="F25" i="36"/>
  <c r="S25" i="36" s="1"/>
  <c r="H25" i="36"/>
  <c r="AB25" i="36" s="1"/>
  <c r="H13" i="37"/>
  <c r="AB13" i="37" s="1"/>
  <c r="F13" i="37"/>
  <c r="S13" i="37"/>
  <c r="J13" i="37"/>
  <c r="W13" i="37" s="1"/>
  <c r="F28" i="37"/>
  <c r="AA28" i="37" s="1"/>
  <c r="J28" i="37"/>
  <c r="AC28" i="37"/>
  <c r="H28" i="37"/>
  <c r="H38" i="37"/>
  <c r="AB38" i="37" s="1"/>
  <c r="J38" i="37"/>
  <c r="AC38" i="37" s="1"/>
  <c r="F38" i="37"/>
  <c r="S38" i="37" s="1"/>
  <c r="F43" i="39"/>
  <c r="AA43" i="39" s="1"/>
  <c r="H43" i="39"/>
  <c r="J14" i="39"/>
  <c r="AC14" i="39" s="1"/>
  <c r="F14" i="39"/>
  <c r="H14" i="39"/>
  <c r="AB14" i="39"/>
  <c r="F12" i="40"/>
  <c r="S12" i="40" s="1"/>
  <c r="H12" i="40"/>
  <c r="AB12" i="40"/>
  <c r="H30" i="40"/>
  <c r="AB30" i="40" s="1"/>
  <c r="F33" i="40"/>
  <c r="AA33" i="40"/>
  <c r="H33" i="40"/>
  <c r="U33" i="40" s="1"/>
  <c r="J35" i="40"/>
  <c r="AC35" i="40"/>
  <c r="J37" i="40"/>
  <c r="AC37" i="40" s="1"/>
  <c r="H13" i="40"/>
  <c r="U13" i="40"/>
  <c r="J13" i="40"/>
  <c r="W13" i="40" s="1"/>
  <c r="F13" i="40"/>
  <c r="AA13" i="40"/>
  <c r="F14" i="37"/>
  <c r="S14" i="37" s="1"/>
  <c r="F27" i="37"/>
  <c r="AA27" i="37"/>
  <c r="F13" i="39"/>
  <c r="J13" i="39"/>
  <c r="W13" i="39" s="1"/>
  <c r="H13" i="39"/>
  <c r="H14" i="40"/>
  <c r="AB14" i="40"/>
  <c r="J14" i="40"/>
  <c r="W14" i="40" s="1"/>
  <c r="F14" i="40"/>
  <c r="AA14" i="40"/>
  <c r="J14" i="37"/>
  <c r="J27" i="37"/>
  <c r="AC27" i="37" s="1"/>
  <c r="AA44" i="33"/>
  <c r="U46" i="33"/>
  <c r="AA14" i="33"/>
  <c r="J36" i="37"/>
  <c r="AC36" i="37"/>
  <c r="J10" i="36"/>
  <c r="AC10" i="36" s="1"/>
  <c r="AB26" i="33"/>
  <c r="W31" i="34"/>
  <c r="S11" i="36"/>
  <c r="AB46" i="34"/>
  <c r="AA14" i="34"/>
  <c r="S45" i="33"/>
  <c r="AC28" i="21"/>
  <c r="BA586" i="3"/>
  <c r="BA585" i="3"/>
  <c r="F17" i="21"/>
  <c r="AA17" i="21" s="1"/>
  <c r="H17" i="21"/>
  <c r="AB17" i="21" s="1"/>
  <c r="F15" i="21"/>
  <c r="S15" i="21" s="1"/>
  <c r="J41" i="39"/>
  <c r="W41" i="39" s="1"/>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BA576" i="3"/>
  <c r="BA574" i="3"/>
  <c r="AZ574" i="3" s="1"/>
  <c r="BA572" i="3"/>
  <c r="AZ572" i="3" s="1"/>
  <c r="BA570" i="3"/>
  <c r="AZ570" i="3" s="1"/>
  <c r="BA568" i="3"/>
  <c r="BA566" i="3"/>
  <c r="AZ566" i="3" s="1"/>
  <c r="BA564" i="3"/>
  <c r="AZ564" i="3" s="1"/>
  <c r="BA562" i="3"/>
  <c r="BA560" i="3"/>
  <c r="BA558" i="3"/>
  <c r="AZ558" i="3" s="1"/>
  <c r="BA556" i="3"/>
  <c r="AZ556" i="3" s="1"/>
  <c r="BA554" i="3"/>
  <c r="AZ554" i="3" s="1"/>
  <c r="BA552" i="3"/>
  <c r="AZ552" i="3" s="1"/>
  <c r="BA548" i="3"/>
  <c r="BA546" i="3"/>
  <c r="BA544" i="3"/>
  <c r="AZ544" i="3" s="1"/>
  <c r="BA542" i="3"/>
  <c r="AZ542" i="3" s="1"/>
  <c r="BA540" i="3"/>
  <c r="BA538" i="3"/>
  <c r="AZ538" i="3"/>
  <c r="BA536" i="3"/>
  <c r="AZ536" i="3"/>
  <c r="BA534" i="3"/>
  <c r="AZ534" i="3"/>
  <c r="BA532" i="3"/>
  <c r="AZ532" i="3"/>
  <c r="BA530" i="3"/>
  <c r="BA528" i="3"/>
  <c r="AZ528" i="3" s="1"/>
  <c r="BA526" i="3"/>
  <c r="AZ526" i="3" s="1"/>
  <c r="BA524" i="3"/>
  <c r="AZ524" i="3" s="1"/>
  <c r="BA522" i="3"/>
  <c r="BA520" i="3"/>
  <c r="AZ520" i="3" s="1"/>
  <c r="BA518" i="3"/>
  <c r="BA516" i="3"/>
  <c r="AZ516" i="3" s="1"/>
  <c r="BA514" i="3"/>
  <c r="BA512" i="3"/>
  <c r="AZ512" i="3" s="1"/>
  <c r="BA510" i="3"/>
  <c r="AZ510" i="3" s="1"/>
  <c r="BA508" i="3"/>
  <c r="AZ508" i="3" s="1"/>
  <c r="BA506" i="3"/>
  <c r="BA504" i="3"/>
  <c r="AZ504" i="3" s="1"/>
  <c r="BA502" i="3"/>
  <c r="BA500" i="3"/>
  <c r="BA498" i="3"/>
  <c r="AZ498" i="3" s="1"/>
  <c r="BA496" i="3"/>
  <c r="BA494" i="3"/>
  <c r="BA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AZ503" i="3" s="1"/>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BQ581" i="3"/>
  <c r="BL581" i="3" s="1"/>
  <c r="BQ579" i="3"/>
  <c r="BL579" i="3" s="1"/>
  <c r="BQ577" i="3"/>
  <c r="BL577" i="3" s="1"/>
  <c r="AZ577" i="3" s="1"/>
  <c r="BQ575" i="3"/>
  <c r="BL575" i="3"/>
  <c r="BQ573" i="3"/>
  <c r="BL573" i="3" s="1"/>
  <c r="BQ571" i="3"/>
  <c r="BL571" i="3" s="1"/>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BQ537" i="3"/>
  <c r="BL537" i="3" s="1"/>
  <c r="BQ535" i="3"/>
  <c r="BL535" i="3" s="1"/>
  <c r="BQ533" i="3"/>
  <c r="BL533" i="3"/>
  <c r="AZ533" i="3" s="1"/>
  <c r="BQ531" i="3"/>
  <c r="BL531" i="3" s="1"/>
  <c r="BQ529" i="3"/>
  <c r="BL529" i="3" s="1"/>
  <c r="BQ527" i="3"/>
  <c r="BL527" i="3" s="1"/>
  <c r="BQ525" i="3"/>
  <c r="BL525" i="3" s="1"/>
  <c r="AZ525" i="3" s="1"/>
  <c r="BQ523" i="3"/>
  <c r="BL523" i="3" s="1"/>
  <c r="AZ523" i="3" s="1"/>
  <c r="BA521" i="3"/>
  <c r="AC521" i="3"/>
  <c r="G521" i="3" s="1"/>
  <c r="BQ521" i="3"/>
  <c r="BL521" i="3" s="1"/>
  <c r="AZ521" i="3" s="1"/>
  <c r="BL520" i="3"/>
  <c r="G519" i="3"/>
  <c r="G517" i="3"/>
  <c r="G515" i="3"/>
  <c r="G513" i="3"/>
  <c r="G511" i="3"/>
  <c r="BQ519" i="3"/>
  <c r="BL519" i="3" s="1"/>
  <c r="BQ517" i="3"/>
  <c r="BL517" i="3" s="1"/>
  <c r="BQ515" i="3"/>
  <c r="BL515" i="3" s="1"/>
  <c r="AZ515" i="3" s="1"/>
  <c r="BQ513" i="3"/>
  <c r="BL513" i="3"/>
  <c r="BQ511" i="3"/>
  <c r="BL511" i="3" s="1"/>
  <c r="AZ511" i="3" s="1"/>
  <c r="BA509" i="3"/>
  <c r="AC509" i="3"/>
  <c r="BQ509" i="3"/>
  <c r="BL509" i="3" s="1"/>
  <c r="AZ509" i="3" s="1"/>
  <c r="BL508" i="3"/>
  <c r="G507" i="3"/>
  <c r="G505" i="3"/>
  <c r="G503" i="3"/>
  <c r="G501" i="3"/>
  <c r="G499" i="3"/>
  <c r="G497" i="3"/>
  <c r="G495" i="3"/>
  <c r="BQ507" i="3"/>
  <c r="BQ505" i="3"/>
  <c r="BL505" i="3" s="1"/>
  <c r="AZ505" i="3" s="1"/>
  <c r="BQ503" i="3"/>
  <c r="BL503" i="3" s="1"/>
  <c r="BQ501" i="3"/>
  <c r="BL501" i="3" s="1"/>
  <c r="AZ501" i="3" s="1"/>
  <c r="BQ499" i="3"/>
  <c r="BL499" i="3" s="1"/>
  <c r="AZ499" i="3" s="1"/>
  <c r="BQ497" i="3"/>
  <c r="BL497" i="3" s="1"/>
  <c r="AZ497" i="3" s="1"/>
  <c r="BQ495" i="3"/>
  <c r="BL495" i="3" s="1"/>
  <c r="BQ493" i="3"/>
  <c r="S505" i="31"/>
  <c r="S501" i="31"/>
  <c r="O27" i="31"/>
  <c r="O28" i="31"/>
  <c r="O26" i="31"/>
  <c r="M27" i="31"/>
  <c r="M28" i="31"/>
  <c r="M26" i="31"/>
  <c r="I26" i="31"/>
  <c r="I25" i="31"/>
  <c r="K26" i="31"/>
  <c r="I27" i="31"/>
  <c r="K27" i="31"/>
  <c r="I28" i="31"/>
  <c r="K28" i="31"/>
  <c r="AC28" i="34"/>
  <c r="S21" i="40"/>
  <c r="H25" i="21"/>
  <c r="U25" i="21" s="1"/>
  <c r="F25" i="21"/>
  <c r="S25" i="21" s="1"/>
  <c r="J25" i="21"/>
  <c r="AC25" i="21" s="1"/>
  <c r="E125" i="33"/>
  <c r="F125" i="33" s="1"/>
  <c r="G125" i="33" s="1"/>
  <c r="H43" i="33"/>
  <c r="H17" i="37"/>
  <c r="U17" i="37" s="1"/>
  <c r="AB27" i="37"/>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c r="U14" i="40"/>
  <c r="W23" i="35"/>
  <c r="U26" i="37"/>
  <c r="W47" i="34"/>
  <c r="AA13" i="33"/>
  <c r="AC31" i="33"/>
  <c r="AC45"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2" i="39"/>
  <c r="S12" i="39" s="1"/>
  <c r="J42" i="39"/>
  <c r="AC42" i="39" s="1"/>
  <c r="H21" i="40"/>
  <c r="AB21" i="40" s="1"/>
  <c r="AC12" i="37"/>
  <c r="H31" i="37"/>
  <c r="U31" i="37"/>
  <c r="J15" i="37"/>
  <c r="W15" i="37"/>
  <c r="AT6" i="3"/>
  <c r="H5" i="3"/>
  <c r="H19" i="40"/>
  <c r="U19" i="40" s="1"/>
  <c r="F88" i="40"/>
  <c r="G88" i="40" s="1"/>
  <c r="F19" i="40"/>
  <c r="S19" i="40" s="1"/>
  <c r="S14" i="40"/>
  <c r="AC13" i="40"/>
  <c r="AB33" i="40"/>
  <c r="W23" i="39"/>
  <c r="AC43" i="39"/>
  <c r="W43" i="39"/>
  <c r="U45" i="39"/>
  <c r="AB45"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W35" i="40"/>
  <c r="J11" i="39"/>
  <c r="W11" i="39"/>
  <c r="F11" i="39"/>
  <c r="S11" i="39" s="1"/>
  <c r="AA11" i="39"/>
  <c r="G4" i="4"/>
  <c r="I4" i="4"/>
  <c r="F61" i="43"/>
  <c r="H64" i="43" s="1"/>
  <c r="BL549" i="3"/>
  <c r="AZ549" i="3" s="1"/>
  <c r="AZ494" i="3"/>
  <c r="AZ514" i="3"/>
  <c r="AZ522" i="3"/>
  <c r="AZ530" i="3"/>
  <c r="G546" i="3"/>
  <c r="G524" i="3"/>
  <c r="G303" i="3"/>
  <c r="BL304" i="3"/>
  <c r="G305" i="3"/>
  <c r="BL306" i="3"/>
  <c r="BA308" i="3"/>
  <c r="AZ308" i="3" s="1"/>
  <c r="BA309" i="3"/>
  <c r="AZ309" i="3" s="1"/>
  <c r="BL309" i="3"/>
  <c r="G310" i="3"/>
  <c r="BA311" i="3"/>
  <c r="G319" i="3"/>
  <c r="BL320" i="3"/>
  <c r="G321" i="3"/>
  <c r="BL322" i="3"/>
  <c r="BA324" i="3"/>
  <c r="BA325" i="3"/>
  <c r="BL325" i="3"/>
  <c r="AZ325" i="3" s="1"/>
  <c r="G326" i="3"/>
  <c r="BA327" i="3"/>
  <c r="AZ327" i="3" s="1"/>
  <c r="G335" i="3"/>
  <c r="BL336" i="3"/>
  <c r="G337" i="3"/>
  <c r="BL338" i="3"/>
  <c r="BA340" i="3"/>
  <c r="AZ340" i="3" s="1"/>
  <c r="BA341" i="3"/>
  <c r="BL341" i="3"/>
  <c r="BA343" i="3"/>
  <c r="BA345" i="3"/>
  <c r="BL355" i="3"/>
  <c r="G356" i="3"/>
  <c r="BL357" i="3"/>
  <c r="BA359" i="3"/>
  <c r="AZ359" i="3"/>
  <c r="BA360" i="3"/>
  <c r="BL360" i="3"/>
  <c r="G361" i="3"/>
  <c r="BA362" i="3"/>
  <c r="G370" i="3"/>
  <c r="BL371" i="3"/>
  <c r="G372" i="3"/>
  <c r="BL373" i="3"/>
  <c r="BA375" i="3"/>
  <c r="BA376" i="3"/>
  <c r="AZ376" i="3" s="1"/>
  <c r="BL376" i="3"/>
  <c r="G377" i="3"/>
  <c r="BA378" i="3"/>
  <c r="AZ378" i="3"/>
  <c r="BL378" i="3"/>
  <c r="G379" i="3"/>
  <c r="BA380" i="3"/>
  <c r="G388" i="3"/>
  <c r="BL389" i="3"/>
  <c r="G390" i="3"/>
  <c r="BL391" i="3"/>
  <c r="BA393" i="3"/>
  <c r="BA394" i="3"/>
  <c r="BL394" i="3"/>
  <c r="G113" i="3"/>
  <c r="BA115" i="3"/>
  <c r="BL116" i="3"/>
  <c r="AZ116" i="3" s="1"/>
  <c r="G117" i="3"/>
  <c r="BA119" i="3"/>
  <c r="BL120" i="3"/>
  <c r="G121" i="3"/>
  <c r="BA123" i="3"/>
  <c r="BL124" i="3"/>
  <c r="AZ124" i="3" s="1"/>
  <c r="G125" i="3"/>
  <c r="BA127" i="3"/>
  <c r="AZ127" i="3"/>
  <c r="BL128" i="3"/>
  <c r="G129" i="3"/>
  <c r="BA131" i="3"/>
  <c r="BL132" i="3"/>
  <c r="AZ132" i="3" s="1"/>
  <c r="G133" i="3"/>
  <c r="BA135" i="3"/>
  <c r="AZ135" i="3" s="1"/>
  <c r="BL136" i="3"/>
  <c r="G137" i="3"/>
  <c r="BA139" i="3"/>
  <c r="AZ139" i="3" s="1"/>
  <c r="BL140" i="3"/>
  <c r="G141" i="3"/>
  <c r="BA143" i="3"/>
  <c r="AZ143" i="3" s="1"/>
  <c r="BL144" i="3"/>
  <c r="G145" i="3"/>
  <c r="BA147" i="3"/>
  <c r="BL148" i="3"/>
  <c r="AZ148" i="3"/>
  <c r="G149" i="3"/>
  <c r="BA151" i="3"/>
  <c r="BL152" i="3"/>
  <c r="G153" i="3"/>
  <c r="BA155" i="3"/>
  <c r="BL156" i="3"/>
  <c r="AZ156" i="3" s="1"/>
  <c r="G157" i="3"/>
  <c r="BA159" i="3"/>
  <c r="BL160" i="3"/>
  <c r="AZ160" i="3" s="1"/>
  <c r="G161" i="3"/>
  <c r="BA163" i="3"/>
  <c r="AZ163" i="3"/>
  <c r="BL164" i="3"/>
  <c r="G165" i="3"/>
  <c r="BA167" i="3"/>
  <c r="BL168" i="3"/>
  <c r="G169" i="3"/>
  <c r="BA171" i="3"/>
  <c r="BL172" i="3"/>
  <c r="G173" i="3"/>
  <c r="BA175" i="3"/>
  <c r="AZ175" i="3"/>
  <c r="BL176" i="3"/>
  <c r="G177" i="3"/>
  <c r="BA179" i="3"/>
  <c r="AZ179" i="3"/>
  <c r="BL180" i="3"/>
  <c r="G181" i="3"/>
  <c r="BA183" i="3"/>
  <c r="BL184" i="3"/>
  <c r="G185" i="3"/>
  <c r="BA187" i="3"/>
  <c r="BL188" i="3"/>
  <c r="AZ188" i="3" s="1"/>
  <c r="G189" i="3"/>
  <c r="BA191" i="3"/>
  <c r="BL192" i="3"/>
  <c r="G193" i="3"/>
  <c r="BA195" i="3"/>
  <c r="AZ195" i="3" s="1"/>
  <c r="BL196" i="3"/>
  <c r="G197" i="3"/>
  <c r="BA199" i="3"/>
  <c r="BL200" i="3"/>
  <c r="G201" i="3"/>
  <c r="BA203" i="3"/>
  <c r="BL204" i="3"/>
  <c r="AZ55" i="3"/>
  <c r="AZ168" i="3"/>
  <c r="AZ97" i="3"/>
  <c r="AZ120" i="3"/>
  <c r="G534" i="3"/>
  <c r="G530" i="3"/>
  <c r="G522" i="3"/>
  <c r="G516" i="3"/>
  <c r="G512" i="3"/>
  <c r="G506" i="3"/>
  <c r="G498" i="3"/>
  <c r="G494" i="3"/>
  <c r="G16" i="3"/>
  <c r="G15" i="3"/>
  <c r="BA304" i="3"/>
  <c r="BA305" i="3"/>
  <c r="BL305" i="3"/>
  <c r="G306" i="3"/>
  <c r="G309" i="3"/>
  <c r="BL310" i="3"/>
  <c r="BA312" i="3"/>
  <c r="BA313" i="3"/>
  <c r="BL313" i="3"/>
  <c r="G314" i="3"/>
  <c r="G317" i="3"/>
  <c r="BL318" i="3"/>
  <c r="BA320" i="3"/>
  <c r="AZ320" i="3" s="1"/>
  <c r="BA321" i="3"/>
  <c r="BL321" i="3"/>
  <c r="G322" i="3"/>
  <c r="G325" i="3"/>
  <c r="BL326" i="3"/>
  <c r="BA328" i="3"/>
  <c r="BA329" i="3"/>
  <c r="AZ329" i="3" s="1"/>
  <c r="BL329" i="3"/>
  <c r="G330" i="3"/>
  <c r="G333" i="3"/>
  <c r="BL334" i="3"/>
  <c r="BA336" i="3"/>
  <c r="BA337" i="3"/>
  <c r="AZ337" i="3" s="1"/>
  <c r="BL337" i="3"/>
  <c r="G338" i="3"/>
  <c r="G341" i="3"/>
  <c r="BA342" i="3"/>
  <c r="AZ342" i="3" s="1"/>
  <c r="BL342" i="3"/>
  <c r="BA344" i="3"/>
  <c r="AZ344" i="3" s="1"/>
  <c r="BL344" i="3"/>
  <c r="BA346" i="3"/>
  <c r="BA347" i="3"/>
  <c r="BL347" i="3"/>
  <c r="AZ347" i="3" s="1"/>
  <c r="G350" i="3"/>
  <c r="BA351" i="3"/>
  <c r="BL351" i="3"/>
  <c r="G352" i="3"/>
  <c r="G354" i="3"/>
  <c r="BA355" i="3"/>
  <c r="AZ355" i="3" s="1"/>
  <c r="BA356" i="3"/>
  <c r="BL356" i="3"/>
  <c r="G357" i="3"/>
  <c r="G360" i="3"/>
  <c r="BL361" i="3"/>
  <c r="AZ361" i="3" s="1"/>
  <c r="BA363" i="3"/>
  <c r="BA364" i="3"/>
  <c r="AZ364" i="3" s="1"/>
  <c r="BL364" i="3"/>
  <c r="G365" i="3"/>
  <c r="G368" i="3"/>
  <c r="BL369" i="3"/>
  <c r="BA371" i="3"/>
  <c r="BA372" i="3"/>
  <c r="AZ372" i="3" s="1"/>
  <c r="BL372" i="3"/>
  <c r="G373" i="3"/>
  <c r="G376" i="3"/>
  <c r="BL377" i="3"/>
  <c r="AZ377" i="3" s="1"/>
  <c r="BL379" i="3"/>
  <c r="BA381" i="3"/>
  <c r="AZ381" i="3" s="1"/>
  <c r="BA382" i="3"/>
  <c r="BL382" i="3"/>
  <c r="G383" i="3"/>
  <c r="G386" i="3"/>
  <c r="BL387" i="3"/>
  <c r="BA389" i="3"/>
  <c r="AZ389" i="3" s="1"/>
  <c r="BA390" i="3"/>
  <c r="BL390" i="3"/>
  <c r="G391" i="3"/>
  <c r="G394" i="3"/>
  <c r="AZ162" i="3"/>
  <c r="AZ194" i="3"/>
  <c r="AZ198" i="3"/>
  <c r="AZ500" i="3"/>
  <c r="BA16" i="3"/>
  <c r="AZ16" i="3" s="1"/>
  <c r="BL303" i="3"/>
  <c r="AZ303" i="3" s="1"/>
  <c r="G304" i="3"/>
  <c r="BA306" i="3"/>
  <c r="BL307" i="3"/>
  <c r="AZ307" i="3" s="1"/>
  <c r="G308" i="3"/>
  <c r="BA310" i="3"/>
  <c r="AZ310" i="3"/>
  <c r="BL311" i="3"/>
  <c r="AZ311" i="3" s="1"/>
  <c r="G312" i="3"/>
  <c r="BA314" i="3"/>
  <c r="AZ314" i="3"/>
  <c r="BL315" i="3"/>
  <c r="G316" i="3"/>
  <c r="BA318" i="3"/>
  <c r="AZ318" i="3" s="1"/>
  <c r="BL319" i="3"/>
  <c r="AZ319" i="3" s="1"/>
  <c r="G320" i="3"/>
  <c r="BA322" i="3"/>
  <c r="AZ322" i="3" s="1"/>
  <c r="BL323" i="3"/>
  <c r="G324" i="3"/>
  <c r="BA326" i="3"/>
  <c r="AZ326" i="3" s="1"/>
  <c r="BL327" i="3"/>
  <c r="G328" i="3"/>
  <c r="BA330" i="3"/>
  <c r="BL331" i="3"/>
  <c r="AZ331" i="3" s="1"/>
  <c r="G332" i="3"/>
  <c r="BA334" i="3"/>
  <c r="AZ334" i="3" s="1"/>
  <c r="BL335" i="3"/>
  <c r="G336" i="3"/>
  <c r="BA338" i="3"/>
  <c r="BL339" i="3"/>
  <c r="G340" i="3"/>
  <c r="BL343" i="3"/>
  <c r="G344" i="3"/>
  <c r="G348" i="3"/>
  <c r="G355" i="3"/>
  <c r="AZ218" i="3"/>
  <c r="G342" i="3"/>
  <c r="BL345" i="3"/>
  <c r="AZ345" i="3" s="1"/>
  <c r="G346" i="3"/>
  <c r="BL349" i="3"/>
  <c r="BL352" i="3"/>
  <c r="G353" i="3"/>
  <c r="BA357" i="3"/>
  <c r="BL358" i="3"/>
  <c r="G359" i="3"/>
  <c r="BA361" i="3"/>
  <c r="BL362" i="3"/>
  <c r="G363" i="3"/>
  <c r="BA365" i="3"/>
  <c r="BL366" i="3"/>
  <c r="AZ366" i="3" s="1"/>
  <c r="G367" i="3"/>
  <c r="BA369" i="3"/>
  <c r="AZ369" i="3"/>
  <c r="BL370" i="3"/>
  <c r="AZ370" i="3" s="1"/>
  <c r="G371" i="3"/>
  <c r="BA373" i="3"/>
  <c r="AZ373" i="3"/>
  <c r="BL374" i="3"/>
  <c r="G375" i="3"/>
  <c r="BA377" i="3"/>
  <c r="AZ229" i="3"/>
  <c r="AZ233" i="3"/>
  <c r="AZ249" i="3"/>
  <c r="BA379" i="3"/>
  <c r="AZ379" i="3" s="1"/>
  <c r="BL380" i="3"/>
  <c r="AZ380" i="3" s="1"/>
  <c r="G381" i="3"/>
  <c r="BA383" i="3"/>
  <c r="AZ383" i="3" s="1"/>
  <c r="BL384" i="3"/>
  <c r="G385" i="3"/>
  <c r="BA387" i="3"/>
  <c r="BL388" i="3"/>
  <c r="G389" i="3"/>
  <c r="BA391" i="3"/>
  <c r="AZ391" i="3" s="1"/>
  <c r="BL392" i="3"/>
  <c r="G393" i="3"/>
  <c r="BO5" i="3"/>
  <c r="BM5" i="3"/>
  <c r="F29" i="6" s="1"/>
  <c r="BJ5" i="3"/>
  <c r="BH5" i="3"/>
  <c r="BF5" i="3"/>
  <c r="BD5" i="3"/>
  <c r="AZ341" i="3"/>
  <c r="AC5" i="3"/>
  <c r="AZ506" i="3"/>
  <c r="AZ496" i="3"/>
  <c r="G548" i="3"/>
  <c r="G538" i="3"/>
  <c r="G520" i="3"/>
  <c r="G502" i="3"/>
  <c r="BS5" i="3"/>
  <c r="BP5" i="3"/>
  <c r="BN5" i="3"/>
  <c r="G29" i="6" s="1"/>
  <c r="BK5" i="3"/>
  <c r="BI5" i="3"/>
  <c r="BG5" i="3"/>
  <c r="BE5" i="3"/>
  <c r="G17" i="3"/>
  <c r="BA17" i="3"/>
  <c r="BT5" i="3"/>
  <c r="AZ350" i="3"/>
  <c r="AZ356" i="3"/>
  <c r="BA15" i="3"/>
  <c r="BR5" i="3"/>
  <c r="AZ392" i="3"/>
  <c r="G509" i="3"/>
  <c r="BL493" i="3"/>
  <c r="AZ493" i="3"/>
  <c r="U36" i="40"/>
  <c r="F83" i="43"/>
  <c r="H85" i="43" s="1"/>
  <c r="F50" i="43"/>
  <c r="H54" i="43" s="1"/>
  <c r="F72" i="43"/>
  <c r="H75" i="43" s="1"/>
  <c r="U17" i="39"/>
  <c r="S14" i="35"/>
  <c r="U43" i="21"/>
  <c r="U35" i="21"/>
  <c r="AC35" i="21"/>
  <c r="G10" i="1"/>
  <c r="AC11" i="39"/>
  <c r="AZ563" i="3"/>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H44" i="34"/>
  <c r="U44" i="34" s="1"/>
  <c r="AC38" i="39"/>
  <c r="F39" i="39"/>
  <c r="S39" i="39" s="1"/>
  <c r="J39" i="39"/>
  <c r="AC39" i="39" s="1"/>
  <c r="E96" i="39"/>
  <c r="F96" i="39" s="1"/>
  <c r="G96" i="39" s="1"/>
  <c r="AZ386" i="3"/>
  <c r="AZ227" i="3"/>
  <c r="AZ235" i="3"/>
  <c r="AZ251" i="3"/>
  <c r="AZ133" i="3"/>
  <c r="AZ69" i="3"/>
  <c r="AZ74" i="3"/>
  <c r="AZ110" i="3"/>
  <c r="F23" i="39"/>
  <c r="AA23" i="39" s="1"/>
  <c r="H27" i="36"/>
  <c r="U27" i="36" s="1"/>
  <c r="F27" i="36"/>
  <c r="AA27" i="36" s="1"/>
  <c r="H33" i="34"/>
  <c r="U33" i="34" s="1"/>
  <c r="F32" i="37"/>
  <c r="S32" i="37" s="1"/>
  <c r="G96" i="37"/>
  <c r="H96" i="37" s="1"/>
  <c r="I96" i="37" s="1"/>
  <c r="J96" i="37" s="1"/>
  <c r="K96" i="37" s="1"/>
  <c r="L96" i="37" s="1"/>
  <c r="M96" i="37" s="1"/>
  <c r="F20" i="36"/>
  <c r="AA20" i="36" s="1"/>
  <c r="J33" i="34"/>
  <c r="AC33" i="34" s="1"/>
  <c r="H23" i="39"/>
  <c r="U23" i="39" s="1"/>
  <c r="D48" i="9"/>
  <c r="M52" i="9" s="1"/>
  <c r="K9" i="1"/>
  <c r="M9" i="1" s="1"/>
  <c r="D93" i="9"/>
  <c r="K6" i="1"/>
  <c r="AP6" i="1" s="1"/>
  <c r="AC26" i="33"/>
  <c r="W26" i="33"/>
  <c r="AB34" i="36"/>
  <c r="U34" i="36"/>
  <c r="AB33" i="36"/>
  <c r="U33" i="36"/>
  <c r="AC12" i="39"/>
  <c r="W12" i="39"/>
  <c r="AC39" i="40"/>
  <c r="W39" i="40"/>
  <c r="AZ465" i="3"/>
  <c r="AA32" i="36"/>
  <c r="S32" i="36"/>
  <c r="AZ473" i="3"/>
  <c r="BL14" i="3"/>
  <c r="U30" i="33"/>
  <c r="AC13" i="34"/>
  <c r="AA47" i="34"/>
  <c r="W28" i="37"/>
  <c r="S19" i="39"/>
  <c r="F12" i="33"/>
  <c r="H12" i="39"/>
  <c r="U12" i="39" s="1"/>
  <c r="AB12" i="39"/>
  <c r="F39" i="40"/>
  <c r="BA14" i="3"/>
  <c r="AZ14" i="3" s="1"/>
  <c r="AZ367" i="3"/>
  <c r="AZ173" i="3"/>
  <c r="AZ181" i="3"/>
  <c r="B12" i="1"/>
  <c r="E12" i="1" s="1"/>
  <c r="B10" i="1"/>
  <c r="E10" i="1" s="1"/>
  <c r="K12" i="1"/>
  <c r="M12" i="1" s="1"/>
  <c r="S13" i="1"/>
  <c r="AR13" i="1" s="1"/>
  <c r="R13" i="1"/>
  <c r="J51" i="67"/>
  <c r="AC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S23" i="36"/>
  <c r="U13" i="36"/>
  <c r="U26" i="36"/>
  <c r="S33" i="36"/>
  <c r="AA26" i="36"/>
  <c r="AA34" i="36"/>
  <c r="AC26" i="36"/>
  <c r="AA22" i="36"/>
  <c r="W14" i="36"/>
  <c r="AB14" i="36"/>
  <c r="U22" i="36"/>
  <c r="S16" i="36"/>
  <c r="AA25" i="36"/>
  <c r="S24" i="36"/>
  <c r="U23" i="36"/>
  <c r="AB20" i="36"/>
  <c r="U16" i="36"/>
  <c r="S14" i="36"/>
  <c r="AA25" i="35"/>
  <c r="S23" i="35"/>
  <c r="W24" i="35"/>
  <c r="AB13" i="35"/>
  <c r="U29" i="35"/>
  <c r="U28" i="35"/>
  <c r="AB27" i="35"/>
  <c r="U36" i="35"/>
  <c r="U32" i="35"/>
  <c r="AA33" i="35"/>
  <c r="AC30" i="35"/>
  <c r="S32" i="35"/>
  <c r="AA36" i="35"/>
  <c r="S28" i="35"/>
  <c r="AB16" i="35"/>
  <c r="U22" i="35"/>
  <c r="AC20" i="35"/>
  <c r="S22" i="35"/>
  <c r="U14" i="35"/>
  <c r="AA11" i="35"/>
  <c r="AC9" i="35"/>
  <c r="W9" i="35"/>
  <c r="AC12" i="35"/>
  <c r="W13" i="35"/>
  <c r="F9" i="35"/>
  <c r="S9" i="35" s="1"/>
  <c r="H9" i="35"/>
  <c r="U9" i="35" s="1"/>
  <c r="AB40" i="37"/>
  <c r="S25" i="37"/>
  <c r="W27" i="37"/>
  <c r="AC29" i="37"/>
  <c r="U29"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C42" i="34"/>
  <c r="AB35" i="34"/>
  <c r="U39" i="34"/>
  <c r="AA25" i="34"/>
  <c r="U28" i="34"/>
  <c r="S17" i="34"/>
  <c r="AA29"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AC23" i="33" s="1"/>
  <c r="F85" i="33"/>
  <c r="H23" i="33"/>
  <c r="AB23" i="33" s="1"/>
  <c r="F81" i="33"/>
  <c r="F19" i="33"/>
  <c r="S19" i="33" s="1"/>
  <c r="W19" i="33"/>
  <c r="J17" i="33"/>
  <c r="W17" i="33" s="1"/>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s="1"/>
  <c r="F23" i="21"/>
  <c r="S23" i="21"/>
  <c r="E85" i="21"/>
  <c r="AA14" i="21"/>
  <c r="D120" i="9"/>
  <c r="D121" i="9" s="1"/>
  <c r="D7" i="52" s="1"/>
  <c r="BL17" i="3"/>
  <c r="AZ17" i="3" s="1"/>
  <c r="BL13" i="3"/>
  <c r="J56" i="9"/>
  <c r="J57" i="9" s="1"/>
  <c r="J59" i="9" s="1"/>
  <c r="J61" i="9" s="1"/>
  <c r="A24" i="51"/>
  <c r="B18" i="72" s="1"/>
  <c r="U29" i="34"/>
  <c r="E5" i="6"/>
  <c r="E32" i="6"/>
  <c r="E19" i="69"/>
  <c r="E1" i="73"/>
  <c r="G22" i="69"/>
  <c r="G22" i="68"/>
  <c r="G26" i="12"/>
  <c r="G22" i="11"/>
  <c r="C6" i="43"/>
  <c r="B19" i="53"/>
  <c r="B37" i="72" s="1"/>
  <c r="C7" i="33"/>
  <c r="G23" i="43"/>
  <c r="A4" i="51"/>
  <c r="B6" i="72" s="1"/>
  <c r="L20" i="6"/>
  <c r="K11" i="1"/>
  <c r="M11" i="1" s="1"/>
  <c r="O11" i="1" s="1"/>
  <c r="B9" i="1"/>
  <c r="E9" i="1" s="1"/>
  <c r="K7" i="1"/>
  <c r="M7" i="1" s="1"/>
  <c r="O7" i="1" s="1"/>
  <c r="P7" i="1" s="1"/>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U19" i="34"/>
  <c r="W19" i="34"/>
  <c r="AA31" i="34"/>
  <c r="AA30" i="34"/>
  <c r="AB47" i="34"/>
  <c r="U25" i="34"/>
  <c r="AC14" i="34"/>
  <c r="AC32" i="34"/>
  <c r="AC29" i="34"/>
  <c r="W29" i="34"/>
  <c r="W46" i="34"/>
  <c r="AC46" i="34"/>
  <c r="S32" i="34"/>
  <c r="AA32" i="34"/>
  <c r="U30" i="34"/>
  <c r="AB30" i="34"/>
  <c r="AA19" i="34"/>
  <c r="S19" i="34"/>
  <c r="AB9" i="34"/>
  <c r="U9" i="34"/>
  <c r="S46" i="34"/>
  <c r="AA46" i="34"/>
  <c r="U32" i="34"/>
  <c r="AB32" i="34"/>
  <c r="U14" i="34"/>
  <c r="AB14" i="34"/>
  <c r="W2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s="1"/>
  <c r="AC19" i="21"/>
  <c r="W39" i="21"/>
  <c r="AC14" i="21"/>
  <c r="W30" i="21"/>
  <c r="S46" i="21"/>
  <c r="H45" i="21"/>
  <c r="U45" i="21" s="1"/>
  <c r="F29" i="21"/>
  <c r="AA29" i="21" s="1"/>
  <c r="F13" i="21"/>
  <c r="AA13" i="21" s="1"/>
  <c r="AC38" i="21"/>
  <c r="H32" i="21"/>
  <c r="U32" i="21" s="1"/>
  <c r="H9" i="21"/>
  <c r="J9" i="21"/>
  <c r="J32" i="21"/>
  <c r="W32" i="21" s="1"/>
  <c r="F32" i="21"/>
  <c r="S32" i="21" s="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W23" i="37" s="1"/>
  <c r="G79" i="37"/>
  <c r="J10" i="37"/>
  <c r="W10" i="37" s="1"/>
  <c r="G63" i="37"/>
  <c r="H63" i="37" s="1"/>
  <c r="I63" i="37" s="1"/>
  <c r="J63" i="37" s="1"/>
  <c r="K63" i="37" s="1"/>
  <c r="L63" i="37" s="1"/>
  <c r="M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W27" i="33" s="1"/>
  <c r="U25" i="33"/>
  <c r="AB25" i="33"/>
  <c r="S25" i="33"/>
  <c r="AA25" i="33"/>
  <c r="G87" i="33"/>
  <c r="H87" i="33"/>
  <c r="I87" i="33"/>
  <c r="J87" i="33" s="1"/>
  <c r="K87" i="33" s="1"/>
  <c r="L87" i="33" s="1"/>
  <c r="M87" i="33" s="1"/>
  <c r="J25" i="33"/>
  <c r="AC25" i="33" s="1"/>
  <c r="F23" i="33"/>
  <c r="G85" i="33"/>
  <c r="AA19" i="33"/>
  <c r="H19" i="33"/>
  <c r="AB19" i="33" s="1"/>
  <c r="G81" i="33"/>
  <c r="H17" i="33"/>
  <c r="U17" i="33" s="1"/>
  <c r="F17" i="33"/>
  <c r="S17" i="33" s="1"/>
  <c r="AC17" i="33"/>
  <c r="S37" i="21"/>
  <c r="AA23" i="21"/>
  <c r="AB15" i="21"/>
  <c r="J23" i="21"/>
  <c r="W23" i="21" s="1"/>
  <c r="F85" i="21"/>
  <c r="G85" i="21" s="1"/>
  <c r="H23" i="21"/>
  <c r="S13" i="21"/>
  <c r="D6" i="52"/>
  <c r="AP7" i="1"/>
  <c r="AB9" i="21"/>
  <c r="U9" i="21"/>
  <c r="AA32" i="21"/>
  <c r="W9" i="21"/>
  <c r="AC9" i="21"/>
  <c r="AB32" i="21"/>
  <c r="U32" i="39"/>
  <c r="AC32" i="39"/>
  <c r="W32" i="39"/>
  <c r="AC23" i="37"/>
  <c r="J11" i="37"/>
  <c r="AC11" i="37" s="1"/>
  <c r="H70" i="34"/>
  <c r="I70" i="34" s="1"/>
  <c r="J70" i="34" s="1"/>
  <c r="K70" i="34"/>
  <c r="L70" i="34" s="1"/>
  <c r="M70" i="34" s="1"/>
  <c r="J11" i="34"/>
  <c r="W11" i="34" s="1"/>
  <c r="AB36" i="33"/>
  <c r="AC27" i="33"/>
  <c r="W25" i="33"/>
  <c r="U19" i="33"/>
  <c r="AA17" i="33"/>
  <c r="U23" i="21"/>
  <c r="AB23" i="21"/>
  <c r="H112" i="9"/>
  <c r="D21" i="53" s="1"/>
  <c r="B39" i="72" s="1"/>
  <c r="H111" i="9"/>
  <c r="D126" i="9" s="1"/>
  <c r="AD3" i="71"/>
  <c r="J1" i="73"/>
  <c r="H69" i="43"/>
  <c r="D24" i="71"/>
  <c r="U24" i="71" s="1"/>
  <c r="S24" i="71"/>
  <c r="T24" i="71"/>
  <c r="AB22" i="71"/>
  <c r="X20" i="71"/>
  <c r="X19" i="71"/>
  <c r="AA20" i="71"/>
  <c r="AA19" i="71"/>
  <c r="X23" i="71"/>
  <c r="Y19" i="71"/>
  <c r="Z19" i="71" s="1"/>
  <c r="AB20" i="71"/>
  <c r="AB19" i="71"/>
  <c r="F21" i="71"/>
  <c r="F20" i="71" s="1"/>
  <c r="F19" i="71" s="1"/>
  <c r="F18" i="71" s="1"/>
  <c r="F17" i="71" s="1"/>
  <c r="Y20" i="71"/>
  <c r="Z20" i="71" s="1"/>
  <c r="X3" i="71"/>
  <c r="M23" i="67"/>
  <c r="F26" i="67"/>
  <c r="E12" i="76"/>
  <c r="M9" i="67"/>
  <c r="L47" i="67"/>
  <c r="F3" i="73"/>
  <c r="B11" i="76"/>
  <c r="B10" i="76"/>
  <c r="D6" i="73"/>
  <c r="C76" i="67"/>
  <c r="E9" i="76"/>
  <c r="E8" i="76"/>
  <c r="F13" i="67"/>
  <c r="F42" i="67"/>
  <c r="L48" i="67"/>
  <c r="F9" i="67"/>
  <c r="E2" i="68"/>
  <c r="F40" i="67"/>
  <c r="E13" i="76"/>
  <c r="F36" i="67"/>
  <c r="M26" i="67"/>
  <c r="F7" i="73"/>
  <c r="M6" i="67"/>
  <c r="F4" i="73"/>
  <c r="B13" i="76"/>
  <c r="F16" i="67"/>
  <c r="M24" i="67"/>
  <c r="B8" i="76"/>
  <c r="F20" i="31"/>
  <c r="E2" i="69"/>
  <c r="AO13" i="1"/>
  <c r="M8" i="67"/>
  <c r="B7" i="76"/>
  <c r="M22" i="67"/>
  <c r="F7" i="67"/>
  <c r="F6" i="73"/>
  <c r="F6" i="67"/>
  <c r="F37" i="67"/>
  <c r="F43" i="67"/>
  <c r="B9" i="76"/>
  <c r="F38" i="67"/>
  <c r="E7" i="76"/>
  <c r="F8" i="67"/>
  <c r="B12" i="76"/>
  <c r="E10" i="76"/>
  <c r="E11" i="76"/>
  <c r="J15" i="67"/>
  <c r="F5" i="73"/>
  <c r="M28" i="67"/>
  <c r="M29" i="67"/>
  <c r="E90" i="34" l="1"/>
  <c r="D18" i="31"/>
  <c r="J27" i="34"/>
  <c r="AC27" i="34" s="1"/>
  <c r="S8" i="34"/>
  <c r="A4" i="52"/>
  <c r="B41" i="72" s="1"/>
  <c r="A2" i="9"/>
  <c r="C51" i="10"/>
  <c r="A118" i="86"/>
  <c r="A2" i="86"/>
  <c r="B7" i="1"/>
  <c r="E7" i="1" s="1"/>
  <c r="G1" i="85"/>
  <c r="G7" i="1"/>
  <c r="F11" i="1"/>
  <c r="G11" i="1" s="1"/>
  <c r="G44" i="43"/>
  <c r="C7" i="37"/>
  <c r="C52" i="37" s="1"/>
  <c r="D52" i="37" s="1"/>
  <c r="M47" i="86"/>
  <c r="C7" i="84"/>
  <c r="J51" i="85"/>
  <c r="C18" i="9"/>
  <c r="D18" i="9" s="1"/>
  <c r="AC45" i="34"/>
  <c r="AB45" i="34"/>
  <c r="AA45" i="34"/>
  <c r="W27" i="34"/>
  <c r="F43" i="34"/>
  <c r="AA43" i="34" s="1"/>
  <c r="J43" i="34"/>
  <c r="AC43" i="34" s="1"/>
  <c r="AA40" i="34"/>
  <c r="S43" i="34"/>
  <c r="AB41" i="34"/>
  <c r="W41" i="34"/>
  <c r="AA36" i="34"/>
  <c r="S37" i="34"/>
  <c r="U43" i="34"/>
  <c r="W43" i="34"/>
  <c r="W40" i="34"/>
  <c r="AB40" i="34"/>
  <c r="U38" i="34"/>
  <c r="AC36" i="34"/>
  <c r="AB36" i="34"/>
  <c r="AC35" i="34"/>
  <c r="S35" i="34"/>
  <c r="AA33" i="34"/>
  <c r="W33" i="34"/>
  <c r="AB33" i="34"/>
  <c r="U27" i="34"/>
  <c r="AB8" i="34"/>
  <c r="W8" i="34"/>
  <c r="F34" i="67"/>
  <c r="F62" i="67" s="1"/>
  <c r="F34" i="15"/>
  <c r="F62" i="15" s="1"/>
  <c r="M20" i="67"/>
  <c r="C40" i="11"/>
  <c r="C40" i="68"/>
  <c r="C21" i="68"/>
  <c r="E19" i="11"/>
  <c r="D23" i="15"/>
  <c r="K1" i="12"/>
  <c r="G1" i="15"/>
  <c r="B6" i="1"/>
  <c r="E6" i="1" s="1"/>
  <c r="G1" i="68"/>
  <c r="G1" i="69"/>
  <c r="BC5" i="3"/>
  <c r="H109" i="9"/>
  <c r="B16" i="53"/>
  <c r="B33" i="72" s="1"/>
  <c r="M47" i="9"/>
  <c r="C7" i="35"/>
  <c r="C48" i="35" s="1"/>
  <c r="D48" i="35" s="1"/>
  <c r="C7" i="36"/>
  <c r="C46" i="36" s="1"/>
  <c r="D46" i="36" s="1"/>
  <c r="E46" i="36" s="1"/>
  <c r="F46" i="36" s="1"/>
  <c r="G46" i="36" s="1"/>
  <c r="H46" i="36" s="1"/>
  <c r="I46" i="36" s="1"/>
  <c r="C7" i="40"/>
  <c r="C63" i="40" s="1"/>
  <c r="C7" i="39"/>
  <c r="C67" i="39" s="1"/>
  <c r="C42" i="1"/>
  <c r="C7" i="34"/>
  <c r="C7" i="21"/>
  <c r="AA32" i="37"/>
  <c r="AZ387" i="3"/>
  <c r="AZ362" i="3"/>
  <c r="AZ338" i="3"/>
  <c r="AZ390" i="3"/>
  <c r="AZ371" i="3"/>
  <c r="AZ351" i="3"/>
  <c r="AZ336" i="3"/>
  <c r="AZ305" i="3"/>
  <c r="AZ360" i="3"/>
  <c r="AZ539" i="3"/>
  <c r="AZ529" i="3"/>
  <c r="AZ537" i="3"/>
  <c r="AZ518" i="3"/>
  <c r="AZ546" i="3"/>
  <c r="AZ585" i="3"/>
  <c r="AB45" i="33"/>
  <c r="W11" i="35"/>
  <c r="AC11" i="35"/>
  <c r="AA29" i="35"/>
  <c r="AC11" i="40"/>
  <c r="AC23" i="21"/>
  <c r="U23" i="33"/>
  <c r="W17" i="21"/>
  <c r="AZ304" i="3"/>
  <c r="AZ306" i="3"/>
  <c r="AZ535" i="3"/>
  <c r="AZ557" i="3"/>
  <c r="AZ513" i="3"/>
  <c r="AZ575" i="3"/>
  <c r="AZ540" i="3"/>
  <c r="AZ502" i="3"/>
  <c r="AB45" i="21"/>
  <c r="AC39" i="34"/>
  <c r="S20" i="35"/>
  <c r="AA34" i="33"/>
  <c r="AZ357" i="3"/>
  <c r="AZ328" i="3"/>
  <c r="AZ313" i="3"/>
  <c r="AZ394" i="3"/>
  <c r="AA25" i="21"/>
  <c r="W44" i="33"/>
  <c r="AZ519" i="3"/>
  <c r="AZ531" i="3"/>
  <c r="AZ573" i="3"/>
  <c r="AZ583" i="3"/>
  <c r="AZ568" i="3"/>
  <c r="AZ576" i="3"/>
  <c r="S44" i="34"/>
  <c r="AA14" i="37"/>
  <c r="AZ571" i="3"/>
  <c r="AZ579" i="3"/>
  <c r="AZ443" i="3"/>
  <c r="U9" i="40"/>
  <c r="BL587" i="3"/>
  <c r="AZ587" i="3" s="1"/>
  <c r="BL586" i="3"/>
  <c r="AZ586" i="3" s="1"/>
  <c r="J36" i="35"/>
  <c r="AC36" i="35" s="1"/>
  <c r="J12" i="33"/>
  <c r="G574" i="3"/>
  <c r="BL15" i="3"/>
  <c r="AZ15" i="3" s="1"/>
  <c r="BA398" i="3"/>
  <c r="AZ398" i="3" s="1"/>
  <c r="BA399" i="3"/>
  <c r="AZ399" i="3" s="1"/>
  <c r="BL401" i="3"/>
  <c r="AZ401" i="3" s="1"/>
  <c r="BL404" i="3"/>
  <c r="BL405" i="3"/>
  <c r="AZ405" i="3" s="1"/>
  <c r="BL407" i="3"/>
  <c r="BA412" i="3"/>
  <c r="AZ412" i="3" s="1"/>
  <c r="BA414" i="3"/>
  <c r="BA415" i="3"/>
  <c r="AZ415" i="3" s="1"/>
  <c r="BA416" i="3"/>
  <c r="AZ416" i="3" s="1"/>
  <c r="BA418" i="3"/>
  <c r="BA421" i="3"/>
  <c r="BA423" i="3"/>
  <c r="AZ423" i="3" s="1"/>
  <c r="BA425" i="3"/>
  <c r="BA426" i="3"/>
  <c r="BA427" i="3"/>
  <c r="AZ427" i="3" s="1"/>
  <c r="BA433" i="3"/>
  <c r="AZ433" i="3" s="1"/>
  <c r="BA435" i="3"/>
  <c r="BL437" i="3"/>
  <c r="AZ437" i="3" s="1"/>
  <c r="G439" i="3"/>
  <c r="BL441" i="3"/>
  <c r="AZ441" i="3" s="1"/>
  <c r="BL442" i="3"/>
  <c r="BL444" i="3"/>
  <c r="G446" i="3"/>
  <c r="BL448" i="3"/>
  <c r="AZ448" i="3" s="1"/>
  <c r="G450" i="3"/>
  <c r="BA454" i="3"/>
  <c r="BL456" i="3"/>
  <c r="G466" i="3"/>
  <c r="G467" i="3"/>
  <c r="BL467" i="3"/>
  <c r="BL468" i="3"/>
  <c r="AZ217" i="3"/>
  <c r="F26" i="33"/>
  <c r="F39" i="37"/>
  <c r="S39" i="37" s="1"/>
  <c r="J44" i="39"/>
  <c r="H12" i="36"/>
  <c r="BA551" i="3"/>
  <c r="AZ551" i="3" s="1"/>
  <c r="BA550" i="3"/>
  <c r="BL548" i="3"/>
  <c r="AZ548" i="3" s="1"/>
  <c r="AZ404" i="3"/>
  <c r="AZ407" i="3"/>
  <c r="AZ419" i="3"/>
  <c r="AZ444" i="3"/>
  <c r="AZ458" i="3"/>
  <c r="AZ462" i="3"/>
  <c r="S38" i="33"/>
  <c r="F12" i="36"/>
  <c r="J34" i="36"/>
  <c r="W34" i="36" s="1"/>
  <c r="AB39" i="40"/>
  <c r="H39" i="37"/>
  <c r="U35" i="33"/>
  <c r="W28" i="36"/>
  <c r="BL585" i="3"/>
  <c r="B75" i="43"/>
  <c r="AC31" i="35"/>
  <c r="H24" i="36"/>
  <c r="G558" i="3"/>
  <c r="G399" i="3"/>
  <c r="BL400" i="3"/>
  <c r="AZ400" i="3" s="1"/>
  <c r="BL408" i="3"/>
  <c r="BL411" i="3"/>
  <c r="BL413" i="3"/>
  <c r="AZ413" i="3" s="1"/>
  <c r="G416" i="3"/>
  <c r="BL417" i="3"/>
  <c r="BL418" i="3"/>
  <c r="BL420" i="3"/>
  <c r="G423" i="3"/>
  <c r="BL424" i="3"/>
  <c r="G427" i="3"/>
  <c r="BL428" i="3"/>
  <c r="BL429" i="3"/>
  <c r="BL432" i="3"/>
  <c r="BL435" i="3"/>
  <c r="BL436" i="3"/>
  <c r="BA439" i="3"/>
  <c r="BA440" i="3"/>
  <c r="AZ440" i="3" s="1"/>
  <c r="BA442" i="3"/>
  <c r="BA445" i="3"/>
  <c r="BA447" i="3"/>
  <c r="AZ447" i="3" s="1"/>
  <c r="BA449" i="3"/>
  <c r="BL453" i="3"/>
  <c r="BL454" i="3"/>
  <c r="BA464" i="3"/>
  <c r="AZ464" i="3" s="1"/>
  <c r="BL550" i="3"/>
  <c r="BL398" i="3"/>
  <c r="G402" i="3"/>
  <c r="BL403" i="3"/>
  <c r="AZ403" i="3" s="1"/>
  <c r="G406" i="3"/>
  <c r="BA408" i="3"/>
  <c r="BA409" i="3"/>
  <c r="AZ409" i="3" s="1"/>
  <c r="BA411" i="3"/>
  <c r="AZ411" i="3" s="1"/>
  <c r="BL414" i="3"/>
  <c r="BL415" i="3"/>
  <c r="BA417" i="3"/>
  <c r="BL421" i="3"/>
  <c r="BL422" i="3"/>
  <c r="AZ422" i="3" s="1"/>
  <c r="BL425" i="3"/>
  <c r="BL426" i="3"/>
  <c r="BA428" i="3"/>
  <c r="AZ428" i="3" s="1"/>
  <c r="BA429" i="3"/>
  <c r="AZ429" i="3" s="1"/>
  <c r="BA430" i="3"/>
  <c r="AZ430" i="3" s="1"/>
  <c r="BA432" i="3"/>
  <c r="BA434" i="3"/>
  <c r="BA436" i="3"/>
  <c r="BA438" i="3"/>
  <c r="G442" i="3"/>
  <c r="BA446" i="3"/>
  <c r="BA450" i="3"/>
  <c r="BL455" i="3"/>
  <c r="BA457" i="3"/>
  <c r="BA459" i="3"/>
  <c r="AZ459" i="3" s="1"/>
  <c r="BA460" i="3"/>
  <c r="AZ460" i="3" s="1"/>
  <c r="BA461" i="3"/>
  <c r="BA463" i="3"/>
  <c r="AZ469" i="3"/>
  <c r="AZ228" i="3"/>
  <c r="BL471" i="3"/>
  <c r="BL475" i="3"/>
  <c r="BA477" i="3"/>
  <c r="BA478" i="3"/>
  <c r="BA481" i="3"/>
  <c r="BA488" i="3"/>
  <c r="AZ488" i="3" s="1"/>
  <c r="BA491" i="3"/>
  <c r="BL324" i="3"/>
  <c r="AZ324" i="3" s="1"/>
  <c r="BL328" i="3"/>
  <c r="BA335" i="3"/>
  <c r="AZ335" i="3" s="1"/>
  <c r="BA339" i="3"/>
  <c r="AZ339" i="3" s="1"/>
  <c r="BA348" i="3"/>
  <c r="BL375" i="3"/>
  <c r="AZ375" i="3" s="1"/>
  <c r="BL385" i="3"/>
  <c r="BA397" i="3"/>
  <c r="AZ397" i="3" s="1"/>
  <c r="BL397" i="3"/>
  <c r="BA210" i="3"/>
  <c r="BL210" i="3"/>
  <c r="BL212" i="3"/>
  <c r="BL214" i="3"/>
  <c r="AZ214" i="3" s="1"/>
  <c r="BL225" i="3"/>
  <c r="BL226" i="3"/>
  <c r="BA239" i="3"/>
  <c r="AZ239" i="3" s="1"/>
  <c r="BL239" i="3"/>
  <c r="BA241" i="3"/>
  <c r="BL241" i="3"/>
  <c r="BA244" i="3"/>
  <c r="AZ244" i="3" s="1"/>
  <c r="BL244" i="3"/>
  <c r="BA246" i="3"/>
  <c r="BA252" i="3"/>
  <c r="AZ252" i="3" s="1"/>
  <c r="BA254" i="3"/>
  <c r="AZ254" i="3" s="1"/>
  <c r="BA256" i="3"/>
  <c r="AZ256" i="3" s="1"/>
  <c r="BL256" i="3"/>
  <c r="BA258" i="3"/>
  <c r="BL264" i="3"/>
  <c r="BL266" i="3"/>
  <c r="BA268" i="3"/>
  <c r="BL273" i="3"/>
  <c r="BA276" i="3"/>
  <c r="BA278" i="3"/>
  <c r="AZ278" i="3" s="1"/>
  <c r="BA281" i="3"/>
  <c r="C55" i="71"/>
  <c r="D54" i="71"/>
  <c r="BA453" i="3"/>
  <c r="AZ453" i="3" s="1"/>
  <c r="BA455" i="3"/>
  <c r="AZ455" i="3" s="1"/>
  <c r="BL457" i="3"/>
  <c r="BL460" i="3"/>
  <c r="BL461" i="3"/>
  <c r="BL463" i="3"/>
  <c r="G465" i="3"/>
  <c r="BA471" i="3"/>
  <c r="AZ471" i="3" s="1"/>
  <c r="G486" i="3"/>
  <c r="G488" i="3"/>
  <c r="BL317" i="3"/>
  <c r="G318" i="3"/>
  <c r="BA349" i="3"/>
  <c r="AZ349" i="3" s="1"/>
  <c r="BA353" i="3"/>
  <c r="AZ353" i="3" s="1"/>
  <c r="BL353" i="3"/>
  <c r="BA358" i="3"/>
  <c r="AZ358" i="3" s="1"/>
  <c r="BL365" i="3"/>
  <c r="AZ365" i="3" s="1"/>
  <c r="BA368" i="3"/>
  <c r="AZ368" i="3" s="1"/>
  <c r="BL368" i="3"/>
  <c r="BA374" i="3"/>
  <c r="AZ374" i="3" s="1"/>
  <c r="BA388" i="3"/>
  <c r="AZ388" i="3" s="1"/>
  <c r="BA396" i="3"/>
  <c r="BA209" i="3"/>
  <c r="BL217" i="3"/>
  <c r="BA219" i="3"/>
  <c r="AZ219" i="3" s="1"/>
  <c r="BA221" i="3"/>
  <c r="BA223" i="3"/>
  <c r="AZ223" i="3" s="1"/>
  <c r="BL228" i="3"/>
  <c r="BA230" i="3"/>
  <c r="AZ230" i="3" s="1"/>
  <c r="BL232" i="3"/>
  <c r="BL234" i="3"/>
  <c r="BA236" i="3"/>
  <c r="BA238" i="3"/>
  <c r="AZ238" i="3" s="1"/>
  <c r="BA243" i="3"/>
  <c r="AZ243" i="3" s="1"/>
  <c r="BL248" i="3"/>
  <c r="AZ248" i="3" s="1"/>
  <c r="G250" i="3"/>
  <c r="BL250" i="3"/>
  <c r="AZ250" i="3" s="1"/>
  <c r="G252" i="3"/>
  <c r="G254" i="3"/>
  <c r="BA259" i="3"/>
  <c r="AZ259" i="3" s="1"/>
  <c r="BL261" i="3"/>
  <c r="BA263" i="3"/>
  <c r="AZ263" i="3" s="1"/>
  <c r="BA267" i="3"/>
  <c r="AZ267" i="3" s="1"/>
  <c r="BA269" i="3"/>
  <c r="AZ269" i="3" s="1"/>
  <c r="BA271" i="3"/>
  <c r="BL271" i="3"/>
  <c r="BA274" i="3"/>
  <c r="AZ274" i="3" s="1"/>
  <c r="BL274" i="3"/>
  <c r="G279" i="3"/>
  <c r="BA284" i="3"/>
  <c r="BL286" i="3"/>
  <c r="AZ286" i="3" s="1"/>
  <c r="BL464" i="3"/>
  <c r="BL466" i="3"/>
  <c r="AZ466" i="3" s="1"/>
  <c r="G468" i="3"/>
  <c r="BL476" i="3"/>
  <c r="AZ476" i="3" s="1"/>
  <c r="BL477" i="3"/>
  <c r="BL478" i="3"/>
  <c r="G479" i="3"/>
  <c r="G480" i="3"/>
  <c r="BL480" i="3"/>
  <c r="G482" i="3"/>
  <c r="BA483" i="3"/>
  <c r="BL483" i="3"/>
  <c r="BA486" i="3"/>
  <c r="BL489" i="3"/>
  <c r="BL491" i="3"/>
  <c r="BL492" i="3"/>
  <c r="G307" i="3"/>
  <c r="BA315" i="3"/>
  <c r="AZ315" i="3" s="1"/>
  <c r="BA333" i="3"/>
  <c r="BL346" i="3"/>
  <c r="AZ346" i="3" s="1"/>
  <c r="G349" i="3"/>
  <c r="G374" i="3"/>
  <c r="BA384" i="3"/>
  <c r="AZ384" i="3" s="1"/>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G247" i="3"/>
  <c r="BL255" i="3"/>
  <c r="G257" i="3"/>
  <c r="BL257" i="3"/>
  <c r="AZ257" i="3" s="1"/>
  <c r="BL258" i="3"/>
  <c r="G259" i="3"/>
  <c r="BA262" i="3"/>
  <c r="AZ262" i="3" s="1"/>
  <c r="G265" i="3"/>
  <c r="BL265" i="3"/>
  <c r="AZ265" i="3" s="1"/>
  <c r="G267" i="3"/>
  <c r="G269" i="3"/>
  <c r="BA273" i="3"/>
  <c r="AZ273" i="3" s="1"/>
  <c r="AZ480" i="3"/>
  <c r="AZ332" i="3"/>
  <c r="BL332" i="3"/>
  <c r="BL275" i="3"/>
  <c r="AZ275" i="3" s="1"/>
  <c r="G277" i="3"/>
  <c r="G280" i="3"/>
  <c r="G282" i="3"/>
  <c r="BL285" i="3"/>
  <c r="BL287" i="3"/>
  <c r="BA290" i="3"/>
  <c r="G297" i="3"/>
  <c r="BL299" i="3"/>
  <c r="G300" i="3"/>
  <c r="BL113" i="3"/>
  <c r="BL115" i="3"/>
  <c r="AZ115" i="3" s="1"/>
  <c r="BA118" i="3"/>
  <c r="BL118" i="3"/>
  <c r="BA122" i="3"/>
  <c r="AZ122" i="3" s="1"/>
  <c r="BL125" i="3"/>
  <c r="AZ125" i="3" s="1"/>
  <c r="BL126" i="3"/>
  <c r="G130" i="3"/>
  <c r="BA144" i="3"/>
  <c r="AZ144" i="3" s="1"/>
  <c r="G152" i="3"/>
  <c r="BA153" i="3"/>
  <c r="BL155" i="3"/>
  <c r="AZ155" i="3" s="1"/>
  <c r="BA164" i="3"/>
  <c r="AZ164" i="3" s="1"/>
  <c r="BA166" i="3"/>
  <c r="AZ166" i="3" s="1"/>
  <c r="BA169" i="3"/>
  <c r="AZ169" i="3" s="1"/>
  <c r="BL171" i="3"/>
  <c r="AZ171" i="3" s="1"/>
  <c r="G174" i="3"/>
  <c r="BA176" i="3"/>
  <c r="AZ176" i="3" s="1"/>
  <c r="BA178" i="3"/>
  <c r="G182" i="3"/>
  <c r="BA184" i="3"/>
  <c r="AZ184" i="3" s="1"/>
  <c r="BL187" i="3"/>
  <c r="AZ187" i="3" s="1"/>
  <c r="G188" i="3"/>
  <c r="BL189" i="3"/>
  <c r="AZ189" i="3" s="1"/>
  <c r="BL190" i="3"/>
  <c r="G191" i="3"/>
  <c r="BA192" i="3"/>
  <c r="AZ192" i="3" s="1"/>
  <c r="BL197" i="3"/>
  <c r="G198" i="3"/>
  <c r="BL199" i="3"/>
  <c r="AZ199" i="3" s="1"/>
  <c r="BA200" i="3"/>
  <c r="AZ200" i="3" s="1"/>
  <c r="BA202" i="3"/>
  <c r="BL207" i="3"/>
  <c r="BL18" i="3"/>
  <c r="G19" i="3"/>
  <c r="BL19" i="3"/>
  <c r="AZ19" i="3" s="1"/>
  <c r="BA20" i="3"/>
  <c r="AZ64" i="3"/>
  <c r="BA86" i="3"/>
  <c r="G89" i="3"/>
  <c r="G103" i="3"/>
  <c r="BA103" i="3"/>
  <c r="B13" i="1"/>
  <c r="E13" i="1" s="1"/>
  <c r="K13" i="1"/>
  <c r="M13" i="1" s="1"/>
  <c r="O13" i="1" s="1"/>
  <c r="P13" i="1" s="1"/>
  <c r="T32" i="71"/>
  <c r="D32" i="71"/>
  <c r="C47" i="71"/>
  <c r="D47" i="71" s="1"/>
  <c r="D46" i="71"/>
  <c r="C67" i="71"/>
  <c r="T68" i="71"/>
  <c r="O68" i="71"/>
  <c r="T76" i="71"/>
  <c r="D76" i="71"/>
  <c r="C75" i="71"/>
  <c r="Y27" i="71"/>
  <c r="Z27" i="71" s="1"/>
  <c r="Y26" i="71"/>
  <c r="Z26" i="71" s="1"/>
  <c r="AA3" i="71"/>
  <c r="BL291" i="3"/>
  <c r="AZ291" i="3" s="1"/>
  <c r="BL293" i="3"/>
  <c r="BL294" i="3"/>
  <c r="BA297" i="3"/>
  <c r="AZ297" i="3" s="1"/>
  <c r="BL297" i="3"/>
  <c r="BL300" i="3"/>
  <c r="BA302" i="3"/>
  <c r="AZ302" i="3" s="1"/>
  <c r="G115" i="3"/>
  <c r="BA117" i="3"/>
  <c r="BA130" i="3"/>
  <c r="BL130" i="3"/>
  <c r="BA137" i="3"/>
  <c r="BL138" i="3"/>
  <c r="BA140" i="3"/>
  <c r="AZ140" i="3" s="1"/>
  <c r="BA142" i="3"/>
  <c r="BL149" i="3"/>
  <c r="AZ149" i="3" s="1"/>
  <c r="BL150" i="3"/>
  <c r="G151" i="3"/>
  <c r="BA152" i="3"/>
  <c r="AZ152" i="3" s="1"/>
  <c r="BA154" i="3"/>
  <c r="AZ154" i="3" s="1"/>
  <c r="G27" i="3"/>
  <c r="BA27" i="3"/>
  <c r="AZ27" i="3" s="1"/>
  <c r="BL30" i="3"/>
  <c r="BL31" i="3"/>
  <c r="AZ31" i="3" s="1"/>
  <c r="G37" i="3"/>
  <c r="BL40" i="3"/>
  <c r="BL41" i="3"/>
  <c r="AZ41" i="3" s="1"/>
  <c r="BL45" i="3"/>
  <c r="BA48" i="3"/>
  <c r="BA49" i="3"/>
  <c r="BA51" i="3"/>
  <c r="AZ51" i="3" s="1"/>
  <c r="G55" i="3"/>
  <c r="BL56" i="3"/>
  <c r="BA58" i="3"/>
  <c r="BL59" i="3"/>
  <c r="AZ59" i="3" s="1"/>
  <c r="BL60" i="3"/>
  <c r="BA61" i="3"/>
  <c r="AZ61" i="3" s="1"/>
  <c r="BA68" i="3"/>
  <c r="BA73" i="3"/>
  <c r="BA80" i="3"/>
  <c r="BL84" i="3"/>
  <c r="BL111" i="3"/>
  <c r="F40" i="69"/>
  <c r="C40" i="69"/>
  <c r="AB21" i="37"/>
  <c r="U21" i="37"/>
  <c r="D43" i="71"/>
  <c r="C86" i="71"/>
  <c r="D86" i="71" s="1"/>
  <c r="D87" i="71"/>
  <c r="AB25" i="71"/>
  <c r="AB28" i="71"/>
  <c r="AB26" i="71"/>
  <c r="AA35" i="71"/>
  <c r="T28" i="71"/>
  <c r="D28" i="71"/>
  <c r="U28" i="71" s="1"/>
  <c r="C27" i="71"/>
  <c r="X33" i="71"/>
  <c r="X31" i="71"/>
  <c r="X34" i="71"/>
  <c r="X36" i="71"/>
  <c r="X35" i="71"/>
  <c r="AB37" i="71"/>
  <c r="AB35" i="71"/>
  <c r="F38" i="71"/>
  <c r="F39" i="71" s="1"/>
  <c r="F40" i="71" s="1"/>
  <c r="V40" i="71" s="1"/>
  <c r="E59" i="71"/>
  <c r="E60" i="71" s="1"/>
  <c r="U60" i="71" s="1"/>
  <c r="C64" i="71"/>
  <c r="D63" i="71"/>
  <c r="C23" i="71"/>
  <c r="B22" i="71"/>
  <c r="B21" i="71" s="1"/>
  <c r="B20" i="71" s="1"/>
  <c r="AZ126" i="3"/>
  <c r="BL157" i="3"/>
  <c r="AZ157" i="3" s="1"/>
  <c r="BL159" i="3"/>
  <c r="AZ159" i="3" s="1"/>
  <c r="BL177" i="3"/>
  <c r="AZ177" i="3" s="1"/>
  <c r="BL183" i="3"/>
  <c r="AZ183" i="3" s="1"/>
  <c r="BA186" i="3"/>
  <c r="AZ186" i="3" s="1"/>
  <c r="BA190" i="3"/>
  <c r="AZ190" i="3" s="1"/>
  <c r="BA197" i="3"/>
  <c r="AZ197" i="3" s="1"/>
  <c r="BL201" i="3"/>
  <c r="AZ201" i="3" s="1"/>
  <c r="BL203" i="3"/>
  <c r="AZ203" i="3" s="1"/>
  <c r="BA204" i="3"/>
  <c r="AZ204" i="3" s="1"/>
  <c r="BA18" i="3"/>
  <c r="BL21" i="3"/>
  <c r="G23" i="3"/>
  <c r="BL29" i="3"/>
  <c r="G33" i="3"/>
  <c r="G34" i="3"/>
  <c r="BA37" i="3"/>
  <c r="G39" i="3"/>
  <c r="BL39" i="3"/>
  <c r="G43" i="3"/>
  <c r="G44" i="3"/>
  <c r="BA45" i="3"/>
  <c r="BA46" i="3"/>
  <c r="BL49" i="3"/>
  <c r="BL50" i="3"/>
  <c r="AZ50" i="3" s="1"/>
  <c r="BL51" i="3"/>
  <c r="G53" i="3"/>
  <c r="BL53" i="3"/>
  <c r="BA56" i="3"/>
  <c r="BA57" i="3"/>
  <c r="BL58" i="3"/>
  <c r="G60" i="3"/>
  <c r="BA60" i="3"/>
  <c r="BA63" i="3"/>
  <c r="BA66" i="3"/>
  <c r="AZ66" i="3" s="1"/>
  <c r="BA71" i="3"/>
  <c r="AZ71" i="3" s="1"/>
  <c r="BA98" i="3"/>
  <c r="BL103" i="3"/>
  <c r="G104" i="3"/>
  <c r="BA106" i="3"/>
  <c r="BL108" i="3"/>
  <c r="AZ108" i="3" s="1"/>
  <c r="W21" i="21"/>
  <c r="U21" i="33"/>
  <c r="AB21" i="33"/>
  <c r="T44" i="71"/>
  <c r="P65" i="71"/>
  <c r="P66" i="71"/>
  <c r="AA28" i="71"/>
  <c r="Y25" i="71"/>
  <c r="Z25" i="71" s="1"/>
  <c r="C36" i="71"/>
  <c r="D35" i="71"/>
  <c r="AB32" i="71"/>
  <c r="Y35" i="71"/>
  <c r="Z35" i="71" s="1"/>
  <c r="S80" i="71"/>
  <c r="B79" i="71"/>
  <c r="B78" i="71" s="1"/>
  <c r="BA280" i="3"/>
  <c r="AZ280" i="3" s="1"/>
  <c r="BL283" i="3"/>
  <c r="AZ283" i="3" s="1"/>
  <c r="BL284" i="3"/>
  <c r="G288" i="3"/>
  <c r="BL292" i="3"/>
  <c r="BA294" i="3"/>
  <c r="BL295" i="3"/>
  <c r="BA298" i="3"/>
  <c r="AZ298" i="3" s="1"/>
  <c r="BL301" i="3"/>
  <c r="AZ301" i="3" s="1"/>
  <c r="BL302" i="3"/>
  <c r="BA114" i="3"/>
  <c r="BL123" i="3"/>
  <c r="AZ123" i="3" s="1"/>
  <c r="BA128" i="3"/>
  <c r="AZ128" i="3" s="1"/>
  <c r="BL134" i="3"/>
  <c r="BL137" i="3"/>
  <c r="BA146" i="3"/>
  <c r="AZ146" i="3" s="1"/>
  <c r="BA150" i="3"/>
  <c r="AZ150" i="3" s="1"/>
  <c r="G159" i="3"/>
  <c r="BL167" i="3"/>
  <c r="AZ167" i="3" s="1"/>
  <c r="G175" i="3"/>
  <c r="G176" i="3"/>
  <c r="BL178" i="3"/>
  <c r="BA180" i="3"/>
  <c r="AZ180" i="3" s="1"/>
  <c r="BL182" i="3"/>
  <c r="AZ182" i="3" s="1"/>
  <c r="G183" i="3"/>
  <c r="BA185" i="3"/>
  <c r="BL191" i="3"/>
  <c r="AZ191" i="3" s="1"/>
  <c r="G192" i="3"/>
  <c r="BA193" i="3"/>
  <c r="BA196" i="3"/>
  <c r="AZ196" i="3" s="1"/>
  <c r="G203" i="3"/>
  <c r="BA205" i="3"/>
  <c r="AZ205" i="3" s="1"/>
  <c r="G20" i="3"/>
  <c r="BL20" i="3"/>
  <c r="BA21" i="3"/>
  <c r="BA25" i="3"/>
  <c r="AZ25" i="3" s="1"/>
  <c r="BA26" i="3"/>
  <c r="G28" i="3"/>
  <c r="BL28" i="3"/>
  <c r="AZ28" i="3" s="1"/>
  <c r="BA29" i="3"/>
  <c r="AZ29" i="3" s="1"/>
  <c r="BA36" i="3"/>
  <c r="BL38" i="3"/>
  <c r="AZ38" i="3" s="1"/>
  <c r="BA39" i="3"/>
  <c r="BL47" i="3"/>
  <c r="AZ47" i="3" s="1"/>
  <c r="G49" i="3"/>
  <c r="BA52" i="3"/>
  <c r="AZ52" i="3" s="1"/>
  <c r="BA53" i="3"/>
  <c r="BA54" i="3"/>
  <c r="BL57" i="3"/>
  <c r="G62" i="3"/>
  <c r="BL62" i="3"/>
  <c r="AZ62" i="3" s="1"/>
  <c r="BL63" i="3"/>
  <c r="G65" i="3"/>
  <c r="BL65" i="3"/>
  <c r="AZ65" i="3" s="1"/>
  <c r="BL66" i="3"/>
  <c r="BL67" i="3"/>
  <c r="AZ67" i="3" s="1"/>
  <c r="G69" i="3"/>
  <c r="G70" i="3"/>
  <c r="BL70" i="3"/>
  <c r="AZ70" i="3" s="1"/>
  <c r="BL71" i="3"/>
  <c r="BL72" i="3"/>
  <c r="AZ72" i="3" s="1"/>
  <c r="G74" i="3"/>
  <c r="G75" i="3"/>
  <c r="BL75" i="3"/>
  <c r="AZ75" i="3" s="1"/>
  <c r="BA77" i="3"/>
  <c r="AZ77" i="3" s="1"/>
  <c r="BL86" i="3"/>
  <c r="BA87" i="3"/>
  <c r="C52" i="71"/>
  <c r="D51" i="71"/>
  <c r="F66" i="71"/>
  <c r="Q67" i="71"/>
  <c r="X25" i="71"/>
  <c r="V24" i="71"/>
  <c r="E23" i="71"/>
  <c r="E22" i="71" s="1"/>
  <c r="E21" i="71" s="1"/>
  <c r="E20" i="71" s="1"/>
  <c r="AA27" i="71"/>
  <c r="S28" i="71"/>
  <c r="C83" i="71"/>
  <c r="C79" i="71"/>
  <c r="C71" i="71"/>
  <c r="C39" i="71"/>
  <c r="Y28" i="71"/>
  <c r="Z28" i="71" s="1"/>
  <c r="Y30" i="71"/>
  <c r="Z30" i="71" s="1"/>
  <c r="X28" i="71"/>
  <c r="X32" i="71"/>
  <c r="AB38" i="71"/>
  <c r="F75" i="71"/>
  <c r="F74" i="71" s="1"/>
  <c r="BL77" i="3"/>
  <c r="BA79" i="3"/>
  <c r="AZ79" i="3" s="1"/>
  <c r="BA84" i="3"/>
  <c r="AZ84" i="3" s="1"/>
  <c r="BL88" i="3"/>
  <c r="AZ88" i="3" s="1"/>
  <c r="G90" i="3"/>
  <c r="BL90" i="3"/>
  <c r="BL92" i="3"/>
  <c r="G101" i="3"/>
  <c r="BA101" i="3"/>
  <c r="AZ101" i="3" s="1"/>
  <c r="G108" i="3"/>
  <c r="G109" i="3"/>
  <c r="BL112" i="3"/>
  <c r="U25" i="40"/>
  <c r="S21" i="34"/>
  <c r="B68" i="43"/>
  <c r="B88" i="43"/>
  <c r="F35" i="71"/>
  <c r="F36" i="71" s="1"/>
  <c r="V36" i="71" s="1"/>
  <c r="AA34" i="71"/>
  <c r="G79" i="3"/>
  <c r="BL81" i="3"/>
  <c r="BA82" i="3"/>
  <c r="AZ82" i="3" s="1"/>
  <c r="BL83" i="3"/>
  <c r="G86" i="3"/>
  <c r="G87" i="3"/>
  <c r="G88" i="3"/>
  <c r="BA90" i="3"/>
  <c r="BL94" i="3"/>
  <c r="AZ94" i="3" s="1"/>
  <c r="BA100" i="3"/>
  <c r="AZ100" i="3" s="1"/>
  <c r="BA102" i="3"/>
  <c r="AZ102" i="3" s="1"/>
  <c r="BL105" i="3"/>
  <c r="AZ105" i="3" s="1"/>
  <c r="G107" i="3"/>
  <c r="BL107" i="3"/>
  <c r="BA111" i="3"/>
  <c r="AB33" i="71"/>
  <c r="AA30" i="71"/>
  <c r="E35" i="71"/>
  <c r="E36" i="71" s="1"/>
  <c r="U36" i="71" s="1"/>
  <c r="F31" i="71"/>
  <c r="F32" i="71" s="1"/>
  <c r="V32" i="71" s="1"/>
  <c r="AB31" i="71"/>
  <c r="AB36" i="71"/>
  <c r="AA36" i="71"/>
  <c r="Y38" i="71"/>
  <c r="Z38" i="71" s="1"/>
  <c r="B47" i="71"/>
  <c r="B48" i="71" s="1"/>
  <c r="S48" i="71" s="1"/>
  <c r="E47" i="71"/>
  <c r="E48" i="71" s="1"/>
  <c r="U48" i="71" s="1"/>
  <c r="S23" i="33"/>
  <c r="AA23" i="33"/>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G30" i="6" s="1"/>
  <c r="G31" i="6" s="1"/>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0" i="3"/>
  <c r="AZ92" i="3"/>
  <c r="BL78" i="3"/>
  <c r="AZ78" i="3" s="1"/>
  <c r="BA83" i="3"/>
  <c r="AZ83" i="3" s="1"/>
  <c r="G91" i="3"/>
  <c r="BL95" i="3"/>
  <c r="AZ95" i="3" s="1"/>
  <c r="BL98" i="3"/>
  <c r="AZ98" i="3" s="1"/>
  <c r="BL109" i="3"/>
  <c r="AZ109" i="3" s="1"/>
  <c r="AB21" i="21"/>
  <c r="D36" i="71"/>
  <c r="T36" i="71"/>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H26" i="43" s="1"/>
  <c r="E29" i="6"/>
  <c r="K15" i="1" s="1"/>
  <c r="E28" i="6"/>
  <c r="L19" i="6"/>
  <c r="L27" i="6" s="1"/>
  <c r="M6" i="1"/>
  <c r="O6" i="1" s="1"/>
  <c r="T13" i="1"/>
  <c r="C58" i="21"/>
  <c r="D58" i="21" s="1"/>
  <c r="C58" i="33"/>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K14"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C6" i="67"/>
  <c r="I1" i="73"/>
  <c r="B39" i="1" s="1"/>
  <c r="F51" i="67"/>
  <c r="F65" i="67"/>
  <c r="J53" i="67"/>
  <c r="J57" i="67"/>
  <c r="J55" i="67" s="1"/>
  <c r="J58" i="67" s="1"/>
  <c r="Q50" i="67" s="1"/>
  <c r="L56" i="67"/>
  <c r="I54" i="67"/>
  <c r="F66" i="67"/>
  <c r="Q71" i="67"/>
  <c r="C27" i="67"/>
  <c r="F71" i="67"/>
  <c r="N59" i="67"/>
  <c r="L59" i="67"/>
  <c r="L58" i="67"/>
  <c r="M59" i="67"/>
  <c r="B13" i="70"/>
  <c r="M7" i="67"/>
  <c r="J6" i="67" s="1"/>
  <c r="F50" i="67"/>
  <c r="F68" i="67"/>
  <c r="F64" i="67"/>
  <c r="D9" i="69"/>
  <c r="C36" i="69"/>
  <c r="L48" i="85"/>
  <c r="F13" i="15"/>
  <c r="F8" i="85"/>
  <c r="D5" i="73"/>
  <c r="F36" i="85"/>
  <c r="J15" i="85"/>
  <c r="M26" i="15"/>
  <c r="C76" i="85"/>
  <c r="F9" i="15"/>
  <c r="M24" i="85"/>
  <c r="C36" i="68"/>
  <c r="M24" i="15"/>
  <c r="M27" i="85"/>
  <c r="C76" i="15"/>
  <c r="F16" i="15"/>
  <c r="D3" i="73"/>
  <c r="F37" i="15"/>
  <c r="M8" i="15"/>
  <c r="F16" i="85"/>
  <c r="F36" i="15"/>
  <c r="F26" i="85"/>
  <c r="F40" i="15"/>
  <c r="M29" i="85"/>
  <c r="F42" i="15"/>
  <c r="M29" i="15"/>
  <c r="D7" i="73"/>
  <c r="M28" i="15"/>
  <c r="D9" i="68"/>
  <c r="M23" i="15"/>
  <c r="M9" i="85"/>
  <c r="L48" i="15"/>
  <c r="L47" i="15"/>
  <c r="F9" i="85"/>
  <c r="F38" i="85"/>
  <c r="F8" i="15"/>
  <c r="C14" i="85"/>
  <c r="L47" i="85"/>
  <c r="M6" i="85"/>
  <c r="F7" i="85"/>
  <c r="M26" i="85"/>
  <c r="M6" i="15"/>
  <c r="M8" i="85"/>
  <c r="M28" i="85"/>
  <c r="F40" i="85"/>
  <c r="D4" i="73"/>
  <c r="M22" i="15"/>
  <c r="F26" i="15"/>
  <c r="M9" i="15"/>
  <c r="F7" i="15"/>
  <c r="F6" i="85"/>
  <c r="C16" i="67"/>
  <c r="F13" i="85"/>
  <c r="F43" i="15"/>
  <c r="F43" i="85"/>
  <c r="M23" i="85"/>
  <c r="F37" i="85"/>
  <c r="M22" i="85"/>
  <c r="J15" i="15"/>
  <c r="F38" i="15"/>
  <c r="F42" i="85"/>
  <c r="Q35" i="31" l="1"/>
  <c r="Q39" i="31"/>
  <c r="Q43" i="31"/>
  <c r="Q47" i="31"/>
  <c r="Q51" i="31"/>
  <c r="Q55" i="31"/>
  <c r="Q59" i="31"/>
  <c r="Q63" i="31"/>
  <c r="Q67" i="31"/>
  <c r="Q71" i="31"/>
  <c r="Q75" i="31"/>
  <c r="Q79" i="31"/>
  <c r="Q83" i="31"/>
  <c r="Q87" i="31"/>
  <c r="Q91" i="31"/>
  <c r="Q95" i="31"/>
  <c r="Q99" i="31"/>
  <c r="Q103" i="31"/>
  <c r="Q107" i="31"/>
  <c r="Q111" i="31"/>
  <c r="Q115" i="31"/>
  <c r="Q119" i="31"/>
  <c r="Q123" i="31"/>
  <c r="Q127" i="31"/>
  <c r="Q131" i="31"/>
  <c r="Q135" i="31"/>
  <c r="Q139" i="31"/>
  <c r="Q143" i="31"/>
  <c r="Q147" i="31"/>
  <c r="Q151" i="31"/>
  <c r="Q155" i="31"/>
  <c r="Q159" i="31"/>
  <c r="Q163" i="31"/>
  <c r="Q167" i="31"/>
  <c r="Q171" i="31"/>
  <c r="Q175" i="31"/>
  <c r="Q179" i="31"/>
  <c r="Q183" i="31"/>
  <c r="Q187" i="31"/>
  <c r="Q191" i="31"/>
  <c r="Q195" i="31"/>
  <c r="Q199" i="31"/>
  <c r="Q203" i="31"/>
  <c r="Q207" i="31"/>
  <c r="Q211" i="31"/>
  <c r="Q215" i="31"/>
  <c r="Q219" i="31"/>
  <c r="Q223" i="31"/>
  <c r="Q227" i="31"/>
  <c r="Q231" i="31"/>
  <c r="Q235" i="31"/>
  <c r="Q239" i="31"/>
  <c r="Q243" i="31"/>
  <c r="Q247" i="31"/>
  <c r="Q36" i="31"/>
  <c r="Q40" i="31"/>
  <c r="Q44" i="31"/>
  <c r="Q48" i="31"/>
  <c r="Q52" i="31"/>
  <c r="Q56" i="31"/>
  <c r="Q60" i="31"/>
  <c r="Q64" i="31"/>
  <c r="Q68" i="31"/>
  <c r="Q72" i="31"/>
  <c r="Q76" i="31"/>
  <c r="Q80" i="31"/>
  <c r="Q84" i="31"/>
  <c r="Q88" i="31"/>
  <c r="Q92" i="31"/>
  <c r="Q96" i="31"/>
  <c r="Q100" i="31"/>
  <c r="Q104" i="31"/>
  <c r="Q108" i="31"/>
  <c r="Q112" i="31"/>
  <c r="Q116" i="31"/>
  <c r="Q120" i="31"/>
  <c r="Q124" i="31"/>
  <c r="Q128" i="31"/>
  <c r="Q132" i="31"/>
  <c r="Q136" i="31"/>
  <c r="Q140" i="31"/>
  <c r="Q144" i="31"/>
  <c r="Q148" i="31"/>
  <c r="Q152" i="31"/>
  <c r="Q156" i="31"/>
  <c r="Q160" i="31"/>
  <c r="Q164" i="31"/>
  <c r="Q168" i="31"/>
  <c r="Q172" i="31"/>
  <c r="Q176" i="31"/>
  <c r="Q180" i="31"/>
  <c r="Q184" i="31"/>
  <c r="Q188" i="31"/>
  <c r="Q192" i="31"/>
  <c r="Q196" i="31"/>
  <c r="Q200" i="31"/>
  <c r="Q204" i="31"/>
  <c r="Q208" i="31"/>
  <c r="Q212" i="31"/>
  <c r="Q216" i="31"/>
  <c r="Q220" i="31"/>
  <c r="Q224" i="31"/>
  <c r="Q228" i="31"/>
  <c r="Q232" i="31"/>
  <c r="Q236" i="31"/>
  <c r="Q240" i="31"/>
  <c r="Q244" i="31"/>
  <c r="Q248" i="31"/>
  <c r="Q252" i="31"/>
  <c r="Q256" i="31"/>
  <c r="Q260" i="31"/>
  <c r="Q264" i="31"/>
  <c r="Q268" i="31"/>
  <c r="Q272" i="31"/>
  <c r="Q276" i="31"/>
  <c r="Q280" i="31"/>
  <c r="Q284" i="31"/>
  <c r="Q288" i="31"/>
  <c r="Q292" i="31"/>
  <c r="Q296" i="31"/>
  <c r="Q300" i="31"/>
  <c r="Q304" i="31"/>
  <c r="Q308" i="31"/>
  <c r="Q312" i="31"/>
  <c r="Q316" i="31"/>
  <c r="Q320" i="31"/>
  <c r="Q324" i="31"/>
  <c r="Q328" i="31"/>
  <c r="Q332" i="31"/>
  <c r="Q336" i="31"/>
  <c r="Q340" i="31"/>
  <c r="Q344" i="31"/>
  <c r="Q348" i="31"/>
  <c r="Q352" i="31"/>
  <c r="Q356" i="31"/>
  <c r="Q360" i="31"/>
  <c r="Q364" i="31"/>
  <c r="Q368" i="31"/>
  <c r="Q33" i="31"/>
  <c r="Q37" i="31"/>
  <c r="Q41" i="31"/>
  <c r="Q45" i="31"/>
  <c r="Q49" i="31"/>
  <c r="Q53" i="31"/>
  <c r="Q57" i="31"/>
  <c r="Q61" i="31"/>
  <c r="Q65" i="31"/>
  <c r="Q69" i="31"/>
  <c r="Q73" i="31"/>
  <c r="Q77" i="31"/>
  <c r="Q81" i="31"/>
  <c r="Q85" i="31"/>
  <c r="Q89" i="31"/>
  <c r="Q93" i="31"/>
  <c r="Q97" i="31"/>
  <c r="Q101" i="31"/>
  <c r="Q105" i="31"/>
  <c r="Q109" i="31"/>
  <c r="Q113" i="31"/>
  <c r="Q117" i="31"/>
  <c r="Q121" i="31"/>
  <c r="Q125" i="31"/>
  <c r="Q129" i="31"/>
  <c r="Q133" i="31"/>
  <c r="Q137" i="31"/>
  <c r="Q141" i="31"/>
  <c r="Q145" i="31"/>
  <c r="Q149" i="31"/>
  <c r="Q153" i="31"/>
  <c r="Q157" i="31"/>
  <c r="Q161" i="31"/>
  <c r="Q165" i="31"/>
  <c r="Q169" i="31"/>
  <c r="Q173" i="31"/>
  <c r="Q177" i="31"/>
  <c r="Q181" i="31"/>
  <c r="Q185" i="31"/>
  <c r="Q189" i="31"/>
  <c r="Q193" i="31"/>
  <c r="Q197" i="31"/>
  <c r="Q201" i="31"/>
  <c r="Q205" i="31"/>
  <c r="Q209" i="31"/>
  <c r="Q213" i="31"/>
  <c r="Q217" i="31"/>
  <c r="Q221" i="31"/>
  <c r="Q225" i="31"/>
  <c r="Q229" i="31"/>
  <c r="Q233" i="31"/>
  <c r="Q237" i="31"/>
  <c r="Q241" i="31"/>
  <c r="Q245" i="31"/>
  <c r="Q249" i="31"/>
  <c r="Q253" i="31"/>
  <c r="Q257" i="31"/>
  <c r="Q261" i="31"/>
  <c r="Q265" i="31"/>
  <c r="Q269" i="31"/>
  <c r="Q273" i="31"/>
  <c r="Q277" i="31"/>
  <c r="Q281" i="31"/>
  <c r="Q285" i="31"/>
  <c r="Q289" i="31"/>
  <c r="Q293" i="31"/>
  <c r="Q297" i="31"/>
  <c r="Q301" i="31"/>
  <c r="Q305" i="31"/>
  <c r="Q309" i="31"/>
  <c r="Q313" i="31"/>
  <c r="Q317" i="31"/>
  <c r="Q321" i="31"/>
  <c r="Q325" i="31"/>
  <c r="Q329" i="31"/>
  <c r="Q333" i="31"/>
  <c r="Q337" i="31"/>
  <c r="Q341" i="31"/>
  <c r="Q345" i="31"/>
  <c r="Q349" i="31"/>
  <c r="Q353" i="31"/>
  <c r="Q38" i="31"/>
  <c r="Q54" i="31"/>
  <c r="Q70" i="31"/>
  <c r="Q86" i="31"/>
  <c r="Q102" i="31"/>
  <c r="Q118" i="31"/>
  <c r="Q134" i="31"/>
  <c r="Q150" i="31"/>
  <c r="Q166" i="31"/>
  <c r="Q182" i="31"/>
  <c r="Q198" i="31"/>
  <c r="Q214" i="31"/>
  <c r="Q230" i="31"/>
  <c r="Q246" i="31"/>
  <c r="Q255" i="31"/>
  <c r="Q263" i="31"/>
  <c r="Q271" i="31"/>
  <c r="Q279" i="31"/>
  <c r="Q287" i="31"/>
  <c r="Q295" i="31"/>
  <c r="Q303" i="31"/>
  <c r="Q311" i="31"/>
  <c r="Q319" i="31"/>
  <c r="Q327" i="31"/>
  <c r="Q335" i="31"/>
  <c r="Q343" i="31"/>
  <c r="Q351" i="31"/>
  <c r="Q358" i="31"/>
  <c r="Q363" i="31"/>
  <c r="Q369" i="31"/>
  <c r="Q373" i="31"/>
  <c r="Q377" i="31"/>
  <c r="Q381" i="31"/>
  <c r="Q385" i="31"/>
  <c r="Q389" i="31"/>
  <c r="Q393" i="31"/>
  <c r="Q397" i="31"/>
  <c r="Q401" i="31"/>
  <c r="Q405" i="31"/>
  <c r="Q409" i="31"/>
  <c r="Q413" i="31"/>
  <c r="Q417" i="31"/>
  <c r="Q421" i="31"/>
  <c r="Q425" i="31"/>
  <c r="Q429" i="31"/>
  <c r="Q433" i="31"/>
  <c r="Q437" i="31"/>
  <c r="Q441" i="31"/>
  <c r="Q445" i="31"/>
  <c r="Q449" i="31"/>
  <c r="Q453" i="31"/>
  <c r="Q457" i="31"/>
  <c r="Q461" i="31"/>
  <c r="Q465" i="31"/>
  <c r="Q469" i="31"/>
  <c r="Q473" i="31"/>
  <c r="Q477" i="31"/>
  <c r="Q481" i="31"/>
  <c r="Q485" i="31"/>
  <c r="Q489" i="31"/>
  <c r="Q493" i="31"/>
  <c r="Q497" i="31"/>
  <c r="Q501" i="31"/>
  <c r="Q505" i="31"/>
  <c r="Q509" i="31"/>
  <c r="Q513" i="31"/>
  <c r="Q517" i="31"/>
  <c r="Q521" i="31"/>
  <c r="Q25" i="31"/>
  <c r="Q27" i="31"/>
  <c r="Q476" i="31"/>
  <c r="Q496" i="31"/>
  <c r="Q512" i="31"/>
  <c r="Q28" i="31"/>
  <c r="Q42" i="31"/>
  <c r="Q58" i="31"/>
  <c r="Q74" i="31"/>
  <c r="Q90" i="31"/>
  <c r="Q106" i="31"/>
  <c r="Q122" i="31"/>
  <c r="Q138" i="31"/>
  <c r="Q154" i="31"/>
  <c r="Q170" i="31"/>
  <c r="Q186" i="31"/>
  <c r="Q202" i="31"/>
  <c r="Q218" i="31"/>
  <c r="Q234" i="31"/>
  <c r="Q250" i="31"/>
  <c r="Q258" i="31"/>
  <c r="Q266" i="31"/>
  <c r="Q274" i="31"/>
  <c r="Q282" i="31"/>
  <c r="Q290" i="31"/>
  <c r="Q298" i="31"/>
  <c r="Q306" i="31"/>
  <c r="Q314" i="31"/>
  <c r="Q322" i="31"/>
  <c r="Q330" i="31"/>
  <c r="Q338" i="31"/>
  <c r="Q346" i="31"/>
  <c r="Q354" i="31"/>
  <c r="Q359" i="31"/>
  <c r="Q365" i="31"/>
  <c r="Q370" i="31"/>
  <c r="Q374" i="31"/>
  <c r="Q378" i="31"/>
  <c r="Q382" i="31"/>
  <c r="Q386" i="31"/>
  <c r="Q390" i="31"/>
  <c r="Q394" i="31"/>
  <c r="Q398" i="31"/>
  <c r="Q402" i="31"/>
  <c r="Q406" i="31"/>
  <c r="Q410" i="31"/>
  <c r="Q414" i="31"/>
  <c r="Q418" i="31"/>
  <c r="Q422" i="31"/>
  <c r="Q426" i="31"/>
  <c r="Q430" i="31"/>
  <c r="Q434" i="31"/>
  <c r="Q438" i="31"/>
  <c r="Q442" i="31"/>
  <c r="Q446" i="31"/>
  <c r="Q450" i="31"/>
  <c r="Q454" i="31"/>
  <c r="Q458" i="31"/>
  <c r="Q462" i="31"/>
  <c r="Q466" i="31"/>
  <c r="Q470" i="31"/>
  <c r="Q474" i="31"/>
  <c r="Q478" i="31"/>
  <c r="Q482" i="31"/>
  <c r="Q486" i="31"/>
  <c r="Q490" i="31"/>
  <c r="Q494" i="31"/>
  <c r="Q498" i="31"/>
  <c r="Q502" i="31"/>
  <c r="Q506" i="31"/>
  <c r="Q510" i="31"/>
  <c r="Q514" i="31"/>
  <c r="Q518" i="31"/>
  <c r="Q522" i="31"/>
  <c r="Q26" i="31"/>
  <c r="Q484" i="31"/>
  <c r="Q504" i="31"/>
  <c r="Q520" i="31"/>
  <c r="Q46" i="31"/>
  <c r="Q62" i="31"/>
  <c r="Q78" i="31"/>
  <c r="Q94" i="31"/>
  <c r="Q110" i="31"/>
  <c r="Q126" i="31"/>
  <c r="Q142" i="31"/>
  <c r="Q158" i="31"/>
  <c r="Q174" i="31"/>
  <c r="Q190" i="31"/>
  <c r="Q206" i="31"/>
  <c r="Q222" i="31"/>
  <c r="Q238" i="31"/>
  <c r="Q251" i="31"/>
  <c r="Q259" i="31"/>
  <c r="Q267" i="31"/>
  <c r="Q275" i="31"/>
  <c r="Q283" i="31"/>
  <c r="Q291" i="31"/>
  <c r="Q299" i="31"/>
  <c r="Q307" i="31"/>
  <c r="Q315" i="31"/>
  <c r="Q323" i="31"/>
  <c r="Q331" i="31"/>
  <c r="Q339" i="31"/>
  <c r="Q347" i="31"/>
  <c r="Q355" i="31"/>
  <c r="Q361" i="31"/>
  <c r="Q366" i="31"/>
  <c r="Q371" i="31"/>
  <c r="Q375" i="31"/>
  <c r="Q379" i="31"/>
  <c r="Q383" i="31"/>
  <c r="Q387" i="31"/>
  <c r="Q391" i="31"/>
  <c r="Q395" i="31"/>
  <c r="Q399" i="31"/>
  <c r="Q403" i="31"/>
  <c r="Q407" i="31"/>
  <c r="Q411" i="31"/>
  <c r="Q415" i="31"/>
  <c r="Q419" i="31"/>
  <c r="Q423" i="31"/>
  <c r="Q427" i="31"/>
  <c r="Q431" i="31"/>
  <c r="Q435" i="31"/>
  <c r="Q439" i="31"/>
  <c r="Q443" i="31"/>
  <c r="Q447" i="31"/>
  <c r="Q451" i="31"/>
  <c r="Q455" i="31"/>
  <c r="Q459" i="31"/>
  <c r="Q463" i="31"/>
  <c r="Q467" i="31"/>
  <c r="Q471" i="31"/>
  <c r="Q475" i="31"/>
  <c r="Q479" i="31"/>
  <c r="Q483" i="31"/>
  <c r="Q487" i="31"/>
  <c r="Q491" i="31"/>
  <c r="Q495" i="31"/>
  <c r="Q499" i="31"/>
  <c r="Q503" i="31"/>
  <c r="Q507" i="31"/>
  <c r="Q511" i="31"/>
  <c r="Q515" i="31"/>
  <c r="Q519" i="31"/>
  <c r="Q523" i="31"/>
  <c r="Q480" i="31"/>
  <c r="Q500" i="31"/>
  <c r="Q516" i="31"/>
  <c r="Q34" i="31"/>
  <c r="Q50" i="31"/>
  <c r="Q66" i="31"/>
  <c r="Q82" i="31"/>
  <c r="Q98" i="31"/>
  <c r="Q114" i="31"/>
  <c r="Q130" i="31"/>
  <c r="Q146" i="31"/>
  <c r="Q162" i="31"/>
  <c r="Q178" i="31"/>
  <c r="Q194" i="31"/>
  <c r="Q210" i="31"/>
  <c r="Q226" i="31"/>
  <c r="Q242" i="31"/>
  <c r="Q254" i="31"/>
  <c r="Q262" i="31"/>
  <c r="Q270" i="31"/>
  <c r="Q278" i="31"/>
  <c r="Q286" i="31"/>
  <c r="Q294" i="31"/>
  <c r="Q302" i="31"/>
  <c r="Q310" i="31"/>
  <c r="Q318" i="31"/>
  <c r="Q326" i="31"/>
  <c r="Q334" i="31"/>
  <c r="Q342" i="31"/>
  <c r="Q350" i="31"/>
  <c r="Q357" i="31"/>
  <c r="Q362" i="31"/>
  <c r="Q367" i="31"/>
  <c r="Q372" i="31"/>
  <c r="Q376" i="31"/>
  <c r="Q380" i="31"/>
  <c r="Q384" i="31"/>
  <c r="Q388" i="31"/>
  <c r="Q392" i="31"/>
  <c r="Q396" i="31"/>
  <c r="Q400" i="31"/>
  <c r="Q404" i="31"/>
  <c r="Q408" i="31"/>
  <c r="Q412" i="31"/>
  <c r="Q416" i="31"/>
  <c r="Q420" i="31"/>
  <c r="Q424" i="31"/>
  <c r="Q428" i="31"/>
  <c r="Q432" i="31"/>
  <c r="Q436" i="31"/>
  <c r="Q440" i="31"/>
  <c r="Q444" i="31"/>
  <c r="Q448" i="31"/>
  <c r="Q452" i="31"/>
  <c r="Q456" i="31"/>
  <c r="Q460" i="31"/>
  <c r="Q464" i="31"/>
  <c r="Q468" i="31"/>
  <c r="Q472" i="31"/>
  <c r="Q488" i="31"/>
  <c r="Q492" i="31"/>
  <c r="Q508" i="31"/>
  <c r="Q524" i="31"/>
  <c r="F90" i="34"/>
  <c r="G90" i="34" s="1"/>
  <c r="H90" i="34" s="1"/>
  <c r="I90" i="34" s="1"/>
  <c r="J90" i="34" s="1"/>
  <c r="K90" i="34" s="1"/>
  <c r="L90" i="34" s="1"/>
  <c r="M90" i="34" s="1"/>
  <c r="E18" i="31"/>
  <c r="F65" i="85"/>
  <c r="Q71" i="85"/>
  <c r="F51" i="85"/>
  <c r="C6" i="85"/>
  <c r="C32" i="85" s="1"/>
  <c r="F50" i="85"/>
  <c r="M7" i="85"/>
  <c r="J6" i="85" s="1"/>
  <c r="J19" i="85" s="1"/>
  <c r="C27" i="85"/>
  <c r="C18" i="85"/>
  <c r="C15" i="85"/>
  <c r="F71" i="85"/>
  <c r="F66" i="85"/>
  <c r="F68" i="85"/>
  <c r="L58" i="85"/>
  <c r="Q60" i="85" s="1"/>
  <c r="F64" i="85"/>
  <c r="L60" i="85"/>
  <c r="Q66" i="85" s="1"/>
  <c r="M59" i="85"/>
  <c r="J57" i="85"/>
  <c r="J55" i="85" s="1"/>
  <c r="J58" i="85" s="1"/>
  <c r="Q50" i="85" s="1"/>
  <c r="N59" i="85"/>
  <c r="I54" i="85"/>
  <c r="L59" i="85"/>
  <c r="J53" i="85"/>
  <c r="G7" i="34"/>
  <c r="E7" i="34"/>
  <c r="I7" i="34"/>
  <c r="C59" i="84"/>
  <c r="D59" i="84" s="1"/>
  <c r="E59" i="84" s="1"/>
  <c r="F59" i="84" s="1"/>
  <c r="G59" i="84" s="1"/>
  <c r="H59" i="84" s="1"/>
  <c r="I59" i="84" s="1"/>
  <c r="J59" i="84" s="1"/>
  <c r="K59" i="84" s="1"/>
  <c r="L59" i="84" s="1"/>
  <c r="M59" i="84" s="1"/>
  <c r="N59" i="84" s="1"/>
  <c r="O59" i="84" s="1"/>
  <c r="I7" i="84"/>
  <c r="J7" i="84" s="1"/>
  <c r="G7" i="84"/>
  <c r="E7" i="84"/>
  <c r="L57" i="85"/>
  <c r="C59" i="34"/>
  <c r="D59" i="34" s="1"/>
  <c r="E59" i="34" s="1"/>
  <c r="F59" i="34" s="1"/>
  <c r="G59" i="34" s="1"/>
  <c r="H59" i="34" s="1"/>
  <c r="I59" i="34" s="1"/>
  <c r="J59" i="34" s="1"/>
  <c r="K59" i="34" s="1"/>
  <c r="L59" i="34" s="1"/>
  <c r="M59" i="34" s="1"/>
  <c r="N59" i="34" s="1"/>
  <c r="O59" i="34" s="1"/>
  <c r="C24" i="12"/>
  <c r="C77" i="86"/>
  <c r="C74" i="86" s="1"/>
  <c r="C28" i="85"/>
  <c r="L56" i="85"/>
  <c r="M11" i="85"/>
  <c r="J10" i="85" s="1"/>
  <c r="F11" i="85"/>
  <c r="N94" i="46"/>
  <c r="E26" i="43"/>
  <c r="G26" i="43"/>
  <c r="J26" i="43"/>
  <c r="Q16" i="1"/>
  <c r="C27" i="15"/>
  <c r="F71" i="15"/>
  <c r="Q71" i="15"/>
  <c r="L58" i="15"/>
  <c r="Q60" i="15" s="1"/>
  <c r="L59" i="15"/>
  <c r="Q61" i="15" s="1"/>
  <c r="M59" i="15"/>
  <c r="N59" i="15"/>
  <c r="M7" i="15"/>
  <c r="J6" i="15" s="1"/>
  <c r="J18" i="15" s="1"/>
  <c r="F50" i="15"/>
  <c r="F68" i="15"/>
  <c r="F51" i="15"/>
  <c r="F64" i="15"/>
  <c r="F65" i="15"/>
  <c r="F66" i="15"/>
  <c r="J57" i="15"/>
  <c r="J55" i="15" s="1"/>
  <c r="J58" i="15" s="1"/>
  <c r="Q50" i="15" s="1"/>
  <c r="J53" i="15"/>
  <c r="L56" i="15" s="1"/>
  <c r="I54" i="15"/>
  <c r="H16" i="1"/>
  <c r="P6" i="1"/>
  <c r="C13" i="12" s="1"/>
  <c r="K16" i="1"/>
  <c r="N370" i="46"/>
  <c r="F26" i="43"/>
  <c r="D26" i="43" s="1"/>
  <c r="C25" i="43" s="1"/>
  <c r="E59" i="40"/>
  <c r="G16" i="1"/>
  <c r="F10" i="39" s="1"/>
  <c r="S10" i="39" s="1"/>
  <c r="AZ111" i="3"/>
  <c r="C70" i="71"/>
  <c r="D70" i="71" s="1"/>
  <c r="D71" i="71"/>
  <c r="AZ53" i="3"/>
  <c r="AZ39" i="3"/>
  <c r="AZ21" i="3"/>
  <c r="AZ63" i="3"/>
  <c r="AZ57" i="3"/>
  <c r="AZ45" i="3"/>
  <c r="C22" i="71"/>
  <c r="D23" i="71"/>
  <c r="C26" i="71"/>
  <c r="D26" i="71" s="1"/>
  <c r="D27" i="71"/>
  <c r="D75" i="71"/>
  <c r="C74" i="71"/>
  <c r="D74" i="71" s="1"/>
  <c r="AZ103" i="3"/>
  <c r="AZ241" i="3"/>
  <c r="AZ210" i="3"/>
  <c r="AZ461" i="3"/>
  <c r="AZ408" i="3"/>
  <c r="AZ550" i="3"/>
  <c r="AZ454" i="3"/>
  <c r="AZ418" i="3"/>
  <c r="J7" i="36"/>
  <c r="AC7" i="36" s="1"/>
  <c r="V36" i="36" s="1"/>
  <c r="I36" i="36" s="1"/>
  <c r="D79" i="71"/>
  <c r="C78" i="71"/>
  <c r="D78" i="71" s="1"/>
  <c r="AZ294" i="3"/>
  <c r="AZ137" i="3"/>
  <c r="D67" i="71"/>
  <c r="C66" i="71"/>
  <c r="O67" i="71"/>
  <c r="AZ20" i="3"/>
  <c r="AZ483" i="3"/>
  <c r="C56" i="71"/>
  <c r="D55" i="71"/>
  <c r="AB24" i="36"/>
  <c r="U24" i="36"/>
  <c r="S26" i="33"/>
  <c r="AA26" i="33"/>
  <c r="AZ435" i="3"/>
  <c r="AZ425" i="3"/>
  <c r="W12" i="33"/>
  <c r="AC12" i="33"/>
  <c r="J7" i="37"/>
  <c r="W7" i="37" s="1"/>
  <c r="G5" i="3"/>
  <c r="B3" i="3" s="1"/>
  <c r="R6" i="3" s="1"/>
  <c r="D83" i="71"/>
  <c r="C82" i="71"/>
  <c r="D82" i="71" s="1"/>
  <c r="AZ284" i="3"/>
  <c r="AZ491" i="3"/>
  <c r="AA12" i="36"/>
  <c r="S12" i="36"/>
  <c r="AB12" i="36"/>
  <c r="U12" i="36"/>
  <c r="C40" i="71"/>
  <c r="D39" i="71"/>
  <c r="T52" i="71"/>
  <c r="D52" i="71"/>
  <c r="B19" i="71"/>
  <c r="B18" i="71" s="1"/>
  <c r="B17" i="71" s="1"/>
  <c r="B16" i="71" s="1"/>
  <c r="S20" i="71"/>
  <c r="AZ58" i="3"/>
  <c r="AZ49" i="3"/>
  <c r="AZ130" i="3"/>
  <c r="AZ86" i="3"/>
  <c r="AZ178" i="3"/>
  <c r="AZ118" i="3"/>
  <c r="AZ271" i="3"/>
  <c r="AZ457" i="3"/>
  <c r="AZ432" i="3"/>
  <c r="AZ417" i="3"/>
  <c r="AB39" i="37"/>
  <c r="U39" i="37"/>
  <c r="AC44" i="39"/>
  <c r="W44" i="39"/>
  <c r="AZ421" i="3"/>
  <c r="AZ414" i="3"/>
  <c r="K1" i="73"/>
  <c r="E510" i="3"/>
  <c r="E160" i="3"/>
  <c r="E251" i="3"/>
  <c r="E420" i="3"/>
  <c r="E326" i="3"/>
  <c r="E498" i="3"/>
  <c r="E38" i="3"/>
  <c r="E176" i="3"/>
  <c r="E51" i="3"/>
  <c r="E297" i="3"/>
  <c r="E154" i="3"/>
  <c r="E288" i="3"/>
  <c r="E547" i="3"/>
  <c r="E328" i="3"/>
  <c r="E418" i="3"/>
  <c r="E221" i="3"/>
  <c r="E434" i="3"/>
  <c r="E344" i="3"/>
  <c r="E394" i="3"/>
  <c r="AG6" i="3"/>
  <c r="E88" i="3"/>
  <c r="E125" i="3"/>
  <c r="E396" i="3"/>
  <c r="E320" i="3"/>
  <c r="E415" i="3"/>
  <c r="E117" i="3"/>
  <c r="E382" i="3"/>
  <c r="E336" i="3"/>
  <c r="E85" i="3"/>
  <c r="E45" i="3"/>
  <c r="E458" i="3"/>
  <c r="E571" i="3"/>
  <c r="E111" i="3"/>
  <c r="E318" i="3"/>
  <c r="E269" i="3"/>
  <c r="E515" i="3"/>
  <c r="E505" i="3"/>
  <c r="E27" i="3"/>
  <c r="E331" i="3"/>
  <c r="E175" i="3"/>
  <c r="E508" i="3"/>
  <c r="E337" i="3"/>
  <c r="AR6" i="3"/>
  <c r="E380" i="3"/>
  <c r="E261" i="3"/>
  <c r="E503" i="3"/>
  <c r="E301" i="3"/>
  <c r="E124" i="3"/>
  <c r="E568" i="3"/>
  <c r="E228" i="3"/>
  <c r="E560" i="3"/>
  <c r="E587" i="3"/>
  <c r="E106" i="3"/>
  <c r="E315" i="3"/>
  <c r="E368" i="3"/>
  <c r="Z6" i="3"/>
  <c r="E345" i="3"/>
  <c r="E28" i="3"/>
  <c r="E273" i="3"/>
  <c r="E217" i="3"/>
  <c r="AJ6" i="3"/>
  <c r="E247" i="3"/>
  <c r="E570" i="3"/>
  <c r="E335" i="3"/>
  <c r="E278" i="3"/>
  <c r="E535" i="3"/>
  <c r="E263" i="3"/>
  <c r="E246" i="3"/>
  <c r="E148" i="3"/>
  <c r="E275" i="3"/>
  <c r="AA26" i="37"/>
  <c r="S26" i="37"/>
  <c r="BA5" i="3"/>
  <c r="E27" i="6" s="1"/>
  <c r="K26" i="6" s="1"/>
  <c r="M26" i="6" s="1"/>
  <c r="I26" i="6" s="1"/>
  <c r="S26" i="6" s="1"/>
  <c r="AZ5" i="3"/>
  <c r="AY6" i="3" s="1"/>
  <c r="E487" i="3"/>
  <c r="E219" i="3"/>
  <c r="W40" i="40"/>
  <c r="AC40" i="40"/>
  <c r="AC12" i="21"/>
  <c r="W12" i="21"/>
  <c r="AB12" i="21"/>
  <c r="U12" i="21"/>
  <c r="AA27" i="34"/>
  <c r="S27" i="34"/>
  <c r="AC26" i="37"/>
  <c r="W26" i="37"/>
  <c r="BL5" i="3"/>
  <c r="B15" i="71"/>
  <c r="B14" i="71" s="1"/>
  <c r="B13" i="71" s="1"/>
  <c r="B12" i="71" s="1"/>
  <c r="S16" i="71"/>
  <c r="F7" i="36"/>
  <c r="AA7" i="36" s="1"/>
  <c r="R36" i="36" s="1"/>
  <c r="H7" i="36"/>
  <c r="U7" i="36" s="1"/>
  <c r="E94" i="3"/>
  <c r="E131"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AA26" i="35"/>
  <c r="S26" i="35"/>
  <c r="AC26" i="35"/>
  <c r="W26" i="35"/>
  <c r="AB26" i="35"/>
  <c r="U26" i="35"/>
  <c r="E61" i="39"/>
  <c r="E56" i="40"/>
  <c r="C9" i="69"/>
  <c r="C9" i="68"/>
  <c r="E72" i="43"/>
  <c r="B70" i="43" s="1"/>
  <c r="E60" i="40"/>
  <c r="F31" i="6"/>
  <c r="E51" i="40"/>
  <c r="E16" i="6"/>
  <c r="E58" i="40"/>
  <c r="E62" i="39"/>
  <c r="M14" i="1"/>
  <c r="D5" i="43"/>
  <c r="J10" i="40"/>
  <c r="AC10" i="40" s="1"/>
  <c r="H10" i="40"/>
  <c r="AB10" i="40" s="1"/>
  <c r="C7" i="43"/>
  <c r="C5" i="43" s="1"/>
  <c r="D10" i="52"/>
  <c r="D125" i="9"/>
  <c r="D11" i="52" s="1"/>
  <c r="B7" i="74"/>
  <c r="C7" i="74" s="1"/>
  <c r="F59" i="67"/>
  <c r="H7" i="37"/>
  <c r="AB7" i="37" s="1"/>
  <c r="T42" i="37" s="1"/>
  <c r="G42" i="37" s="1"/>
  <c r="H7" i="33"/>
  <c r="J7" i="33"/>
  <c r="D65" i="40"/>
  <c r="E63" i="40"/>
  <c r="F48" i="35"/>
  <c r="AB7" i="36"/>
  <c r="T36" i="36" s="1"/>
  <c r="G36" i="36" s="1"/>
  <c r="F7" i="33"/>
  <c r="E58" i="21"/>
  <c r="W7" i="36"/>
  <c r="F7" i="37"/>
  <c r="M17" i="67"/>
  <c r="M17" i="15"/>
  <c r="F59" i="15"/>
  <c r="P28" i="43"/>
  <c r="B66" i="40" s="1"/>
  <c r="P25" i="43"/>
  <c r="C49" i="67"/>
  <c r="P29" i="43"/>
  <c r="P27" i="43"/>
  <c r="B70" i="39" s="1"/>
  <c r="C32" i="67"/>
  <c r="Q60" i="67"/>
  <c r="Q73" i="67"/>
  <c r="M11" i="67"/>
  <c r="J10" i="67" s="1"/>
  <c r="J5" i="67" s="1"/>
  <c r="F11" i="15"/>
  <c r="M11" i="15"/>
  <c r="J10" i="15" s="1"/>
  <c r="F11" i="67"/>
  <c r="J18" i="67"/>
  <c r="F1" i="67"/>
  <c r="Q52" i="67"/>
  <c r="Q61" i="67"/>
  <c r="Q74" i="67"/>
  <c r="AE11" i="1"/>
  <c r="AE9" i="1"/>
  <c r="AE8" i="1"/>
  <c r="AE12" i="1"/>
  <c r="AE10" i="1"/>
  <c r="G1" i="73"/>
  <c r="C16" i="85"/>
  <c r="C17" i="85"/>
  <c r="F41" i="67"/>
  <c r="C16" i="15"/>
  <c r="Q31" i="31" l="1"/>
  <c r="Q32" i="31"/>
  <c r="Q29" i="31"/>
  <c r="Q30" i="31"/>
  <c r="C33" i="85"/>
  <c r="C19" i="85"/>
  <c r="C20" i="85" s="1"/>
  <c r="C26" i="85" s="1"/>
  <c r="Q73" i="85"/>
  <c r="J18" i="85"/>
  <c r="J5" i="85"/>
  <c r="J24" i="85" s="1"/>
  <c r="Q57" i="85"/>
  <c r="C49" i="85"/>
  <c r="C61" i="85" s="1"/>
  <c r="AC7" i="37"/>
  <c r="F67" i="39"/>
  <c r="S7" i="36"/>
  <c r="J7" i="34"/>
  <c r="W7" i="34" s="1"/>
  <c r="H7" i="84"/>
  <c r="F1" i="85"/>
  <c r="Q52" i="85"/>
  <c r="W7" i="84"/>
  <c r="AC7" i="84"/>
  <c r="V49" i="84" s="1"/>
  <c r="I49" i="84" s="1"/>
  <c r="Q74" i="85"/>
  <c r="Q61" i="85"/>
  <c r="F7" i="34"/>
  <c r="S7" i="34" s="1"/>
  <c r="F7" i="84"/>
  <c r="C53" i="85"/>
  <c r="C10" i="85"/>
  <c r="C5" i="85" s="1"/>
  <c r="F27" i="69"/>
  <c r="C47" i="69" s="1"/>
  <c r="D45" i="69" s="1"/>
  <c r="Q18" i="1"/>
  <c r="Q74" i="15"/>
  <c r="Q52" i="15"/>
  <c r="F1" i="15"/>
  <c r="C49" i="15"/>
  <c r="F28" i="12"/>
  <c r="C29" i="12" s="1"/>
  <c r="D28" i="12" s="1"/>
  <c r="Q73" i="15"/>
  <c r="F27" i="11"/>
  <c r="C29" i="11" s="1"/>
  <c r="D27" i="11" s="1"/>
  <c r="J5" i="15"/>
  <c r="J24" i="15" s="1"/>
  <c r="E242" i="3"/>
  <c r="E119" i="3"/>
  <c r="X6" i="3"/>
  <c r="E423" i="3"/>
  <c r="E161" i="3"/>
  <c r="E563" i="3"/>
  <c r="E215" i="3"/>
  <c r="M6" i="3"/>
  <c r="E201" i="3"/>
  <c r="E509" i="3"/>
  <c r="E526" i="3"/>
  <c r="E377" i="3"/>
  <c r="E70" i="3"/>
  <c r="E557" i="3"/>
  <c r="AO6" i="3"/>
  <c r="E89" i="3"/>
  <c r="E362" i="3"/>
  <c r="E146" i="3"/>
  <c r="E577" i="3"/>
  <c r="E472" i="3"/>
  <c r="E277" i="3"/>
  <c r="E181" i="3"/>
  <c r="E399" i="3"/>
  <c r="E350" i="3"/>
  <c r="E180" i="3"/>
  <c r="E528" i="3"/>
  <c r="E231" i="3"/>
  <c r="E561" i="3"/>
  <c r="E143" i="3"/>
  <c r="E388" i="3"/>
  <c r="E530" i="3"/>
  <c r="E384" i="3"/>
  <c r="E162" i="3"/>
  <c r="AS6" i="3"/>
  <c r="E478" i="3"/>
  <c r="E271" i="3"/>
  <c r="E31" i="3"/>
  <c r="E150" i="3"/>
  <c r="E450" i="3"/>
  <c r="E527" i="3"/>
  <c r="E193" i="3"/>
  <c r="E314" i="3"/>
  <c r="E583" i="3"/>
  <c r="E578" i="3"/>
  <c r="E290" i="3"/>
  <c r="E395" i="3"/>
  <c r="E294" i="3"/>
  <c r="E229" i="3"/>
  <c r="E366" i="3"/>
  <c r="E121" i="3"/>
  <c r="E448" i="3"/>
  <c r="E580" i="3"/>
  <c r="E429" i="3"/>
  <c r="E128" i="3"/>
  <c r="E254" i="3"/>
  <c r="E321" i="3"/>
  <c r="O6" i="3"/>
  <c r="E126" i="3"/>
  <c r="E168" i="3"/>
  <c r="E98" i="3"/>
  <c r="E341" i="3"/>
  <c r="E500" i="3"/>
  <c r="E101" i="3"/>
  <c r="E299" i="3"/>
  <c r="E108" i="3"/>
  <c r="E223" i="3"/>
  <c r="E225" i="3"/>
  <c r="E197" i="3"/>
  <c r="E144" i="3"/>
  <c r="E430" i="3"/>
  <c r="E142" i="3"/>
  <c r="E240" i="3"/>
  <c r="E296" i="3"/>
  <c r="E200" i="3"/>
  <c r="E385" i="3"/>
  <c r="E191" i="3"/>
  <c r="E445" i="3"/>
  <c r="E69" i="3"/>
  <c r="E387" i="3"/>
  <c r="E514" i="3"/>
  <c r="E431" i="3"/>
  <c r="E322" i="3"/>
  <c r="E109" i="3"/>
  <c r="E211" i="3"/>
  <c r="E489" i="3"/>
  <c r="E400" i="3"/>
  <c r="E327" i="3"/>
  <c r="E227" i="3"/>
  <c r="E214" i="3"/>
  <c r="E454" i="3"/>
  <c r="E465" i="3"/>
  <c r="K6" i="3"/>
  <c r="AK6" i="3"/>
  <c r="E77" i="3"/>
  <c r="E495" i="3"/>
  <c r="E134" i="3"/>
  <c r="E361" i="3"/>
  <c r="E185" i="3"/>
  <c r="E439" i="3"/>
  <c r="E533" i="3"/>
  <c r="E410" i="3"/>
  <c r="E305" i="3"/>
  <c r="E441" i="3"/>
  <c r="E210" i="3"/>
  <c r="E447" i="3"/>
  <c r="E477" i="3"/>
  <c r="E585" i="3"/>
  <c r="E549" i="3"/>
  <c r="E351" i="3"/>
  <c r="E72" i="3"/>
  <c r="E562" i="3"/>
  <c r="E573" i="3"/>
  <c r="E99" i="3"/>
  <c r="E453" i="3"/>
  <c r="E293" i="3"/>
  <c r="E245" i="3"/>
  <c r="E550" i="3"/>
  <c r="E114" i="3"/>
  <c r="E551" i="3"/>
  <c r="E239" i="3"/>
  <c r="E334" i="3"/>
  <c r="E581" i="3"/>
  <c r="E252" i="3"/>
  <c r="E203" i="3"/>
  <c r="Q6" i="3"/>
  <c r="E280" i="3"/>
  <c r="E565" i="3"/>
  <c r="E390" i="3"/>
  <c r="E319" i="3"/>
  <c r="E379" i="3"/>
  <c r="E313" i="3"/>
  <c r="AD6" i="3"/>
  <c r="E19" i="3"/>
  <c r="E521" i="3"/>
  <c r="E340" i="3"/>
  <c r="E43" i="3"/>
  <c r="E440" i="3"/>
  <c r="E49" i="3"/>
  <c r="E360" i="3"/>
  <c r="E482" i="3"/>
  <c r="E544" i="3"/>
  <c r="E483" i="3"/>
  <c r="E132" i="3"/>
  <c r="E100" i="3"/>
  <c r="AI6" i="3"/>
  <c r="E135" i="3"/>
  <c r="E172" i="3"/>
  <c r="E189" i="3"/>
  <c r="AB6" i="3"/>
  <c r="E311" i="3"/>
  <c r="E579" i="3"/>
  <c r="E268" i="3"/>
  <c r="E572" i="3"/>
  <c r="E182" i="3"/>
  <c r="E531" i="3"/>
  <c r="E485" i="3"/>
  <c r="E204" i="3"/>
  <c r="E74" i="3"/>
  <c r="E171" i="3"/>
  <c r="E468" i="3"/>
  <c r="E406" i="3"/>
  <c r="E133" i="3"/>
  <c r="E545" i="3"/>
  <c r="E347" i="3"/>
  <c r="E586" i="3"/>
  <c r="E91" i="3"/>
  <c r="E183" i="3"/>
  <c r="E216" i="3"/>
  <c r="E538" i="3"/>
  <c r="E270" i="3"/>
  <c r="E555" i="3"/>
  <c r="E343" i="3"/>
  <c r="E44" i="3"/>
  <c r="E186" i="3"/>
  <c r="E476" i="3"/>
  <c r="E414" i="3"/>
  <c r="E107" i="3"/>
  <c r="E567" i="3"/>
  <c r="E279" i="3"/>
  <c r="E433" i="3"/>
  <c r="E457" i="3"/>
  <c r="E519" i="3"/>
  <c r="E511" i="3"/>
  <c r="E253" i="3"/>
  <c r="E518" i="3"/>
  <c r="E61" i="3"/>
  <c r="E260" i="3"/>
  <c r="E130" i="3"/>
  <c r="E559" i="3"/>
  <c r="N6" i="3"/>
  <c r="E316" i="3"/>
  <c r="E558" i="3"/>
  <c r="E236" i="3"/>
  <c r="E73" i="3"/>
  <c r="E330" i="3"/>
  <c r="AN6" i="3"/>
  <c r="E304" i="3"/>
  <c r="E97" i="3"/>
  <c r="E29" i="3"/>
  <c r="E93" i="3"/>
  <c r="E136" i="3"/>
  <c r="E259" i="3"/>
  <c r="E138" i="3"/>
  <c r="E460" i="3"/>
  <c r="E52" i="3"/>
  <c r="E346" i="3"/>
  <c r="E543" i="3"/>
  <c r="E78" i="3"/>
  <c r="E456" i="3"/>
  <c r="E513" i="3"/>
  <c r="E56" i="3"/>
  <c r="E272" i="3"/>
  <c r="E403" i="3"/>
  <c r="E411" i="3"/>
  <c r="E397" i="3"/>
  <c r="E208" i="3"/>
  <c r="E537" i="3"/>
  <c r="E532" i="3"/>
  <c r="E352" i="3"/>
  <c r="E127" i="3"/>
  <c r="E167" i="3"/>
  <c r="E459" i="3"/>
  <c r="E163" i="3"/>
  <c r="E373" i="3"/>
  <c r="E375" i="3"/>
  <c r="E149" i="3"/>
  <c r="E209" i="3"/>
  <c r="E520" i="3"/>
  <c r="E244" i="3"/>
  <c r="E65" i="3"/>
  <c r="E90" i="3"/>
  <c r="E141" i="3"/>
  <c r="E218" i="3"/>
  <c r="E364" i="3"/>
  <c r="E112" i="3"/>
  <c r="E339" i="3"/>
  <c r="E170" i="3"/>
  <c r="E473" i="3"/>
  <c r="E333" i="3"/>
  <c r="E178" i="3"/>
  <c r="E401" i="3"/>
  <c r="E490" i="3"/>
  <c r="E427" i="3"/>
  <c r="E105" i="3"/>
  <c r="E83" i="3"/>
  <c r="E232" i="3"/>
  <c r="E220" i="3"/>
  <c r="E243" i="3"/>
  <c r="E26" i="3"/>
  <c r="E497" i="3"/>
  <c r="E469" i="3"/>
  <c r="E525" i="3"/>
  <c r="E287" i="3"/>
  <c r="E174" i="3"/>
  <c r="E281" i="3"/>
  <c r="E381" i="3"/>
  <c r="E371" i="3"/>
  <c r="E484" i="3"/>
  <c r="E192" i="3"/>
  <c r="AP6" i="3"/>
  <c r="E499" i="3"/>
  <c r="E407" i="3"/>
  <c r="E358" i="3"/>
  <c r="E569" i="3"/>
  <c r="E282" i="3"/>
  <c r="E480" i="3"/>
  <c r="E295" i="3"/>
  <c r="E404" i="3"/>
  <c r="E443" i="3"/>
  <c r="E576" i="3"/>
  <c r="I6" i="3"/>
  <c r="E274" i="3"/>
  <c r="E55" i="3"/>
  <c r="E424" i="3"/>
  <c r="E177" i="3"/>
  <c r="E156" i="3"/>
  <c r="E402" i="3"/>
  <c r="E302" i="3"/>
  <c r="E169" i="3"/>
  <c r="E506" i="3"/>
  <c r="E285" i="3"/>
  <c r="E153" i="3"/>
  <c r="AM6" i="3"/>
  <c r="E92" i="3"/>
  <c r="E432" i="3"/>
  <c r="E145" i="3"/>
  <c r="E14" i="3"/>
  <c r="E475" i="3"/>
  <c r="E438" i="3"/>
  <c r="E224" i="3"/>
  <c r="E122" i="3"/>
  <c r="E504" i="3"/>
  <c r="E87" i="3"/>
  <c r="Y6" i="3"/>
  <c r="E39" i="3"/>
  <c r="E584" i="3"/>
  <c r="E582" i="3"/>
  <c r="E284" i="3"/>
  <c r="E446" i="3"/>
  <c r="E421" i="3"/>
  <c r="E250" i="3"/>
  <c r="E58" i="3"/>
  <c r="E398" i="3"/>
  <c r="E524" i="3"/>
  <c r="E62" i="3"/>
  <c r="E147" i="3"/>
  <c r="AQ6" i="3"/>
  <c r="E234" i="3"/>
  <c r="E455" i="3"/>
  <c r="E60" i="3"/>
  <c r="E276" i="3"/>
  <c r="E40" i="3"/>
  <c r="J6" i="3"/>
  <c r="E422" i="3"/>
  <c r="E493" i="3"/>
  <c r="E188" i="3"/>
  <c r="E158" i="3"/>
  <c r="E342" i="3"/>
  <c r="E412" i="3"/>
  <c r="E115" i="3"/>
  <c r="E452" i="3"/>
  <c r="E451" i="3"/>
  <c r="E405" i="3"/>
  <c r="E205" i="3"/>
  <c r="E206" i="3"/>
  <c r="E75" i="3"/>
  <c r="E283" i="3"/>
  <c r="E33" i="3"/>
  <c r="E103" i="3"/>
  <c r="E349" i="3"/>
  <c r="E479" i="3"/>
  <c r="E541" i="3"/>
  <c r="E230" i="3"/>
  <c r="V6" i="3"/>
  <c r="E151" i="3"/>
  <c r="E516" i="3"/>
  <c r="E553" i="3"/>
  <c r="E30" i="3"/>
  <c r="E166" i="3"/>
  <c r="E444" i="3"/>
  <c r="P6" i="3"/>
  <c r="E164" i="3"/>
  <c r="E32" i="3"/>
  <c r="E256" i="3"/>
  <c r="E496" i="3"/>
  <c r="E481" i="3"/>
  <c r="E262" i="3"/>
  <c r="AA6" i="3"/>
  <c r="E303" i="3"/>
  <c r="E213" i="3"/>
  <c r="E298" i="3"/>
  <c r="E523" i="3"/>
  <c r="E574" i="3"/>
  <c r="E501" i="3"/>
  <c r="E317" i="3"/>
  <c r="E546" i="3"/>
  <c r="E548" i="3"/>
  <c r="E207" i="3"/>
  <c r="E257" i="3"/>
  <c r="E471" i="3"/>
  <c r="E474" i="3"/>
  <c r="E306" i="3"/>
  <c r="E82" i="3"/>
  <c r="E187" i="3"/>
  <c r="E488" i="3"/>
  <c r="E66" i="3"/>
  <c r="E374" i="3"/>
  <c r="E47" i="3"/>
  <c r="E464" i="3"/>
  <c r="E48" i="3"/>
  <c r="E57" i="3"/>
  <c r="E312" i="3"/>
  <c r="E24" i="3"/>
  <c r="E155" i="3"/>
  <c r="E552" i="3"/>
  <c r="E365" i="3"/>
  <c r="E50" i="3"/>
  <c r="E123" i="3"/>
  <c r="E392" i="3"/>
  <c r="E137" i="3"/>
  <c r="E15" i="3"/>
  <c r="L6" i="3"/>
  <c r="E202" i="3"/>
  <c r="E463" i="3"/>
  <c r="AH6" i="3"/>
  <c r="E486" i="3"/>
  <c r="E393" i="3"/>
  <c r="E16" i="3"/>
  <c r="E370" i="3"/>
  <c r="E324" i="3"/>
  <c r="E428" i="3"/>
  <c r="E104" i="3"/>
  <c r="E13" i="3"/>
  <c r="E408" i="3"/>
  <c r="E534" i="3"/>
  <c r="E308" i="3"/>
  <c r="E383" i="3"/>
  <c r="E332" i="3"/>
  <c r="E68" i="3"/>
  <c r="E492" i="3"/>
  <c r="E425" i="3"/>
  <c r="E258" i="3"/>
  <c r="E517" i="3"/>
  <c r="J10" i="39"/>
  <c r="W10" i="39" s="1"/>
  <c r="AA10" i="39"/>
  <c r="F10" i="40"/>
  <c r="S10" i="40" s="1"/>
  <c r="H10" i="39"/>
  <c r="U10" i="39" s="1"/>
  <c r="E539" i="3"/>
  <c r="E212" i="3"/>
  <c r="E502" i="3"/>
  <c r="E255" i="3"/>
  <c r="E435" i="3"/>
  <c r="E37" i="3"/>
  <c r="E292" i="3"/>
  <c r="E76" i="3"/>
  <c r="E467" i="3"/>
  <c r="E249" i="3"/>
  <c r="E23" i="3"/>
  <c r="E184" i="3"/>
  <c r="E81" i="3"/>
  <c r="E21" i="3"/>
  <c r="E391" i="3"/>
  <c r="E96" i="3"/>
  <c r="E522" i="3"/>
  <c r="AF6" i="3"/>
  <c r="E199" i="3"/>
  <c r="E466" i="3"/>
  <c r="I3" i="6"/>
  <c r="E491" i="3"/>
  <c r="E152" i="3"/>
  <c r="E363" i="3"/>
  <c r="E59" i="3"/>
  <c r="E46" i="3"/>
  <c r="E300" i="3"/>
  <c r="E84" i="3"/>
  <c r="E355" i="3"/>
  <c r="E264" i="3"/>
  <c r="E494" i="3"/>
  <c r="E42" i="3"/>
  <c r="E129" i="3"/>
  <c r="E86" i="3"/>
  <c r="E113" i="3"/>
  <c r="E140" i="3"/>
  <c r="T6" i="3"/>
  <c r="E512" i="3"/>
  <c r="E556" i="3"/>
  <c r="E470" i="3"/>
  <c r="E41" i="3"/>
  <c r="E356" i="3"/>
  <c r="E190" i="3"/>
  <c r="E35" i="3"/>
  <c r="E80" i="3"/>
  <c r="E329" i="3"/>
  <c r="E116" i="3"/>
  <c r="E564" i="3"/>
  <c r="E507" i="3"/>
  <c r="E376" i="3"/>
  <c r="E419" i="3"/>
  <c r="E25" i="3"/>
  <c r="E226" i="3"/>
  <c r="E372" i="3"/>
  <c r="E540" i="3"/>
  <c r="E79" i="3"/>
  <c r="E194" i="3"/>
  <c r="E325" i="3"/>
  <c r="E36" i="3"/>
  <c r="E289" i="3"/>
  <c r="E20" i="3"/>
  <c r="E265"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3" i="6"/>
  <c r="E173" i="3"/>
  <c r="E22" i="3"/>
  <c r="E102" i="3"/>
  <c r="E34" i="3"/>
  <c r="E235" i="3"/>
  <c r="E18" i="3"/>
  <c r="AL6" i="3"/>
  <c r="E198" i="3"/>
  <c r="E309" i="3"/>
  <c r="E63" i="3"/>
  <c r="E233" i="3"/>
  <c r="E67" i="3"/>
  <c r="E310" i="3"/>
  <c r="E267" i="3"/>
  <c r="E64" i="3"/>
  <c r="E409" i="3"/>
  <c r="E389" i="3"/>
  <c r="E241" i="3"/>
  <c r="E95" i="3"/>
  <c r="E417" i="3"/>
  <c r="E554" i="3"/>
  <c r="E449" i="3"/>
  <c r="E442" i="3"/>
  <c r="E575" i="3"/>
  <c r="E536" i="3"/>
  <c r="E286" i="3"/>
  <c r="T40" i="71"/>
  <c r="D40" i="71"/>
  <c r="D56" i="71"/>
  <c r="T56" i="71"/>
  <c r="O65" i="71"/>
  <c r="D66" i="71"/>
  <c r="O66" i="71"/>
  <c r="C21" i="71"/>
  <c r="D22" i="71"/>
  <c r="B40" i="1"/>
  <c r="V42" i="37"/>
  <c r="I42" i="37" s="1"/>
  <c r="G47" i="37" s="1"/>
  <c r="H47" i="37" s="1"/>
  <c r="B11" i="71"/>
  <c r="B10" i="71" s="1"/>
  <c r="B9" i="71" s="1"/>
  <c r="B8" i="71" s="1"/>
  <c r="B7" i="71" s="1"/>
  <c r="B6" i="71" s="1"/>
  <c r="B5" i="71" s="1"/>
  <c r="S12" i="71"/>
  <c r="E65" i="39"/>
  <c r="E11" i="71"/>
  <c r="E10" i="71" s="1"/>
  <c r="E9" i="71" s="1"/>
  <c r="E8" i="71" s="1"/>
  <c r="E7" i="71" s="1"/>
  <c r="E6" i="71" s="1"/>
  <c r="E5" i="71" s="1"/>
  <c r="V12" i="71"/>
  <c r="U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E42" i="43" s="1"/>
  <c r="C38" i="43"/>
  <c r="AA10" i="40"/>
  <c r="U10" i="40"/>
  <c r="W10" i="40"/>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I46" i="37"/>
  <c r="J46" i="37" s="1"/>
  <c r="G48" i="35"/>
  <c r="U7" i="33"/>
  <c r="AB7" i="33"/>
  <c r="T48" i="33" s="1"/>
  <c r="G48" i="33" s="1"/>
  <c r="J24" i="67"/>
  <c r="C53" i="67"/>
  <c r="C48" i="67" s="1"/>
  <c r="C10" i="67"/>
  <c r="C5" i="67" s="1"/>
  <c r="C38" i="67" s="1"/>
  <c r="C53" i="15"/>
  <c r="AE6" i="1"/>
  <c r="M27" i="15"/>
  <c r="F27" i="68"/>
  <c r="AE7" i="1"/>
  <c r="M27" i="67"/>
  <c r="J26" i="85" l="1"/>
  <c r="C48" i="85"/>
  <c r="C60" i="85" s="1"/>
  <c r="F45" i="68"/>
  <c r="AA7" i="34"/>
  <c r="R49" i="34" s="1"/>
  <c r="AC7" i="34"/>
  <c r="V49" i="34" s="1"/>
  <c r="I49" i="34" s="1"/>
  <c r="AA7" i="84"/>
  <c r="R49" i="84" s="1"/>
  <c r="S7" i="84"/>
  <c r="I53" i="84"/>
  <c r="J53" i="84" s="1"/>
  <c r="AB7" i="84"/>
  <c r="T49" i="84" s="1"/>
  <c r="G49" i="84" s="1"/>
  <c r="U7" i="84"/>
  <c r="L36" i="43"/>
  <c r="L37" i="43" s="1"/>
  <c r="O37" i="43" s="1"/>
  <c r="F24" i="85"/>
  <c r="C38" i="85"/>
  <c r="F45" i="69"/>
  <c r="C29" i="69"/>
  <c r="D27" i="69" s="1"/>
  <c r="E49" i="34"/>
  <c r="E53" i="34" s="1"/>
  <c r="F53" i="34" s="1"/>
  <c r="C48" i="15"/>
  <c r="C66" i="15" s="1"/>
  <c r="C29" i="68"/>
  <c r="D27" i="68" s="1"/>
  <c r="AC10" i="39"/>
  <c r="C47" i="68"/>
  <c r="D45" i="68" s="1"/>
  <c r="H6" i="3"/>
  <c r="C47" i="11"/>
  <c r="D45" i="11" s="1"/>
  <c r="AB10" i="39"/>
  <c r="F25" i="12"/>
  <c r="C26" i="12" s="1"/>
  <c r="D25" i="12" s="1"/>
  <c r="AC6" i="3"/>
  <c r="E6" i="3" s="1"/>
  <c r="F22" i="68"/>
  <c r="C44" i="68" s="1"/>
  <c r="D41" i="68" s="1"/>
  <c r="F24" i="67"/>
  <c r="C24" i="67" s="1"/>
  <c r="F22" i="11"/>
  <c r="F24" i="15"/>
  <c r="C24" i="15" s="1"/>
  <c r="F22" i="69"/>
  <c r="F41" i="69" s="1"/>
  <c r="D116" i="43"/>
  <c r="D21" i="71"/>
  <c r="C20" i="71"/>
  <c r="M21" i="6"/>
  <c r="I21" i="6" s="1"/>
  <c r="S21" i="6" s="1"/>
  <c r="E6" i="70"/>
  <c r="C34" i="43"/>
  <c r="E34" i="43" s="1"/>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C6" i="68" s="1"/>
  <c r="C7" i="68" s="1"/>
  <c r="C5" i="68" s="1"/>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6" i="67"/>
  <c r="C60" i="67"/>
  <c r="D10" i="69"/>
  <c r="C34" i="69"/>
  <c r="F41" i="15"/>
  <c r="C14" i="67"/>
  <c r="D10" i="68"/>
  <c r="F41" i="85"/>
  <c r="C17" i="15"/>
  <c r="C17" i="67"/>
  <c r="R50" i="34" l="1"/>
  <c r="C50" i="34" s="1"/>
  <c r="W20" i="1" s="1"/>
  <c r="C66" i="85"/>
  <c r="J29" i="85"/>
  <c r="F69" i="85"/>
  <c r="F69" i="15"/>
  <c r="E49" i="84"/>
  <c r="R50" i="84"/>
  <c r="G54" i="34"/>
  <c r="H54" i="34" s="1"/>
  <c r="I53" i="34"/>
  <c r="J53" i="34" s="1"/>
  <c r="E54" i="34"/>
  <c r="F54" i="34" s="1"/>
  <c r="G54" i="84"/>
  <c r="H54" i="84" s="1"/>
  <c r="G53" i="84"/>
  <c r="H53" i="84" s="1"/>
  <c r="P37" i="43"/>
  <c r="N37" i="43"/>
  <c r="Q36" i="43"/>
  <c r="Q37" i="43"/>
  <c r="M36" i="43"/>
  <c r="M37" i="43"/>
  <c r="N36" i="43"/>
  <c r="P36" i="43"/>
  <c r="O36" i="43"/>
  <c r="C24" i="85"/>
  <c r="C23" i="85"/>
  <c r="C60" i="15"/>
  <c r="I54" i="34"/>
  <c r="J54" i="34" s="1"/>
  <c r="C25" i="11"/>
  <c r="C26" i="68"/>
  <c r="D22" i="68" s="1"/>
  <c r="F41" i="68"/>
  <c r="C23" i="68"/>
  <c r="C24" i="11"/>
  <c r="C23" i="11"/>
  <c r="C26" i="11"/>
  <c r="D22" i="11" s="1"/>
  <c r="C44" i="11"/>
  <c r="D41" i="11" s="1"/>
  <c r="C44" i="69"/>
  <c r="D41" i="69" s="1"/>
  <c r="C26" i="69"/>
  <c r="D22" i="69" s="1"/>
  <c r="C19" i="71"/>
  <c r="T20" i="71"/>
  <c r="D20" i="71"/>
  <c r="U20" i="71" s="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B29" i="1" s="1"/>
  <c r="C18" i="12" s="1"/>
  <c r="D19" i="68"/>
  <c r="H69" i="39"/>
  <c r="I67" i="39"/>
  <c r="G65" i="40"/>
  <c r="H63" i="40"/>
  <c r="C43" i="37"/>
  <c r="C42" i="37"/>
  <c r="I48" i="35"/>
  <c r="C48" i="33"/>
  <c r="C49" i="33"/>
  <c r="H58" i="21"/>
  <c r="E47" i="37"/>
  <c r="F47" i="37" s="1"/>
  <c r="E46" i="37"/>
  <c r="F46" i="37" s="1"/>
  <c r="I47" i="37"/>
  <c r="J47" i="37" s="1"/>
  <c r="E53" i="33"/>
  <c r="F53" i="33" s="1"/>
  <c r="E52" i="33"/>
  <c r="F52" i="33" s="1"/>
  <c r="C33" i="67"/>
  <c r="J19" i="67"/>
  <c r="B6" i="76"/>
  <c r="C14" i="15"/>
  <c r="E6" i="76"/>
  <c r="C34" i="68"/>
  <c r="C49" i="34" l="1"/>
  <c r="C50" i="84"/>
  <c r="C49" i="84"/>
  <c r="E53" i="84"/>
  <c r="F53" i="84" s="1"/>
  <c r="E54" i="84"/>
  <c r="F54" i="84" s="1"/>
  <c r="I54" i="84"/>
  <c r="J54" i="84" s="1"/>
  <c r="C29" i="85"/>
  <c r="J14" i="85" s="1"/>
  <c r="C22" i="11"/>
  <c r="C31" i="11" s="1"/>
  <c r="C18" i="71"/>
  <c r="D19"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B3" i="84" l="1"/>
  <c r="B2" i="84"/>
  <c r="J59" i="85"/>
  <c r="J60" i="85" s="1"/>
  <c r="Q48" i="85" s="1"/>
  <c r="C57" i="85"/>
  <c r="C64" i="85" s="1"/>
  <c r="C13" i="85"/>
  <c r="C56" i="85" s="1"/>
  <c r="C65" i="85" s="1"/>
  <c r="Q49" i="85"/>
  <c r="C36" i="85"/>
  <c r="J13" i="85"/>
  <c r="J23" i="85" s="1"/>
  <c r="J22" i="85"/>
  <c r="C17" i="71"/>
  <c r="D18"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F6" i="15"/>
  <c r="C6" i="15" l="1"/>
  <c r="U20" i="1"/>
  <c r="W21" i="1" s="1"/>
  <c r="L46" i="85"/>
  <c r="C37" i="85"/>
  <c r="Q70" i="85"/>
  <c r="C75" i="85"/>
  <c r="C16" i="71"/>
  <c r="D17" i="71"/>
  <c r="W7" i="21"/>
  <c r="AA7" i="21"/>
  <c r="R48"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M21" i="85"/>
  <c r="F35" i="15"/>
  <c r="F35" i="85"/>
  <c r="F35" i="67"/>
  <c r="M21" i="67"/>
  <c r="M21" i="15"/>
  <c r="C32" i="15" l="1"/>
  <c r="C10" i="15"/>
  <c r="C5" i="15" s="1"/>
  <c r="C38" i="15" s="1"/>
  <c r="C33" i="15"/>
  <c r="F63" i="85"/>
  <c r="C62" i="85" s="1"/>
  <c r="C59" i="85" s="1"/>
  <c r="C58" i="85" s="1"/>
  <c r="C67" i="85" s="1"/>
  <c r="C68" i="85" s="1"/>
  <c r="C34" i="85"/>
  <c r="C31" i="85" s="1"/>
  <c r="C30" i="85" s="1"/>
  <c r="C39" i="85" s="1"/>
  <c r="I39" i="85" s="1"/>
  <c r="J20" i="85"/>
  <c r="J17" i="85" s="1"/>
  <c r="J16" i="85" s="1"/>
  <c r="J25" i="85" s="1"/>
  <c r="D16" i="71"/>
  <c r="U16" i="71" s="1"/>
  <c r="C15" i="71"/>
  <c r="T16" i="71"/>
  <c r="AC7" i="35"/>
  <c r="V38" i="35" s="1"/>
  <c r="I38" i="35" s="1"/>
  <c r="G43" i="35" s="1"/>
  <c r="H43" i="35"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B3" i="68"/>
  <c r="I42" i="35" l="1"/>
  <c r="J42" i="35" s="1"/>
  <c r="C71" i="85"/>
  <c r="C40" i="85"/>
  <c r="H43" i="85" s="1"/>
  <c r="Q69" i="85"/>
  <c r="Q68" i="85" s="1"/>
  <c r="C80" i="85"/>
  <c r="C79" i="85" s="1"/>
  <c r="C14" i="71"/>
  <c r="D15"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L51" i="85"/>
  <c r="D2" i="21"/>
  <c r="Q67" i="85" l="1"/>
  <c r="Q65" i="85"/>
  <c r="Q75" i="85" s="1"/>
  <c r="C43" i="85"/>
  <c r="Q47" i="85"/>
  <c r="Q53" i="85" s="1"/>
  <c r="B2" i="85"/>
  <c r="B3" i="85" s="1"/>
  <c r="Q56" i="85"/>
  <c r="Q62" i="85" s="1"/>
  <c r="C83" i="85"/>
  <c r="C82" i="85" s="1"/>
  <c r="C46" i="85"/>
  <c r="D14" i="71"/>
  <c r="C13" i="71"/>
  <c r="C80" i="67"/>
  <c r="C79" i="67" s="1"/>
  <c r="C40" i="67"/>
  <c r="C45" i="67" s="1"/>
  <c r="C56" i="11"/>
  <c r="C57" i="11" s="1"/>
  <c r="B2" i="21"/>
  <c r="B3" i="21" s="1"/>
  <c r="J16" i="15"/>
  <c r="J25" i="15" s="1"/>
  <c r="J26" i="15" s="1"/>
  <c r="J29" i="15" s="1"/>
  <c r="C58" i="15"/>
  <c r="C67" i="15" s="1"/>
  <c r="C68" i="15" s="1"/>
  <c r="C71" i="15" s="1"/>
  <c r="C30" i="15"/>
  <c r="C39" i="15" s="1"/>
  <c r="O67" i="39"/>
  <c r="O69" i="39" s="1"/>
  <c r="N69" i="39"/>
  <c r="F7" i="39" s="1"/>
  <c r="C39" i="35"/>
  <c r="C38" i="35"/>
  <c r="N63" i="40"/>
  <c r="M65" i="40"/>
  <c r="E43" i="35"/>
  <c r="F43" i="35" s="1"/>
  <c r="E42" i="35"/>
  <c r="F42" i="35" s="1"/>
  <c r="I43" i="35"/>
  <c r="J43" i="35" s="1"/>
  <c r="L51" i="67"/>
  <c r="D2" i="33"/>
  <c r="Q69" i="15" l="1"/>
  <c r="Q68" i="15" s="1"/>
  <c r="I39" i="15"/>
  <c r="C12" i="71"/>
  <c r="D13"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6"/>
  <c r="D2" i="35"/>
  <c r="D2" i="37"/>
  <c r="L51" i="15"/>
  <c r="D2" i="34"/>
  <c r="C11" i="71" l="1"/>
  <c r="T12" i="71"/>
  <c r="D12" i="71"/>
  <c r="U12" i="71" s="1"/>
  <c r="Q57" i="67"/>
  <c r="Q62" i="67" s="1"/>
  <c r="Q66" i="67"/>
  <c r="Q75" i="67" s="1"/>
  <c r="B3" i="67"/>
  <c r="L57" i="15"/>
  <c r="L60" i="15" s="1"/>
  <c r="Q57" i="15" s="1"/>
  <c r="Q67" i="15"/>
  <c r="B2" i="36"/>
  <c r="B3" i="36" s="1"/>
  <c r="B2" i="35"/>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C19" i="9"/>
  <c r="AO9" i="1"/>
  <c r="AO10" i="1"/>
  <c r="AO8" i="1"/>
  <c r="C19" i="86"/>
  <c r="AO12" i="1"/>
  <c r="AO11" i="1"/>
  <c r="C102" i="9" l="1"/>
  <c r="C21" i="9"/>
  <c r="B3" i="34"/>
  <c r="C102" i="86"/>
  <c r="C21" i="86"/>
  <c r="B3" i="35"/>
  <c r="C10" i="71"/>
  <c r="D11" i="71"/>
  <c r="L46" i="15"/>
  <c r="B2" i="15" s="1"/>
  <c r="Q66" i="15"/>
  <c r="Q75" i="15" s="1"/>
  <c r="Q62" i="15"/>
  <c r="B9" i="70"/>
  <c r="B11"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AO6" i="1"/>
  <c r="D19" i="9"/>
  <c r="D19" i="86"/>
  <c r="AO7" i="1"/>
  <c r="C20" i="86"/>
  <c r="C103" i="9" l="1"/>
  <c r="C103" i="86"/>
  <c r="B7" i="70"/>
  <c r="D21" i="86"/>
  <c r="D102" i="86"/>
  <c r="D22" i="86"/>
  <c r="G19" i="86"/>
  <c r="K21" i="86" s="1"/>
  <c r="G19" i="9"/>
  <c r="G21" i="9" s="1"/>
  <c r="D102" i="9"/>
  <c r="D22" i="9"/>
  <c r="D21" i="9"/>
  <c r="B6" i="70"/>
  <c r="B3" i="15"/>
  <c r="D10" i="71"/>
  <c r="C9"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86"/>
  <c r="D35" i="9"/>
  <c r="D34" i="86"/>
  <c r="D34" i="9"/>
  <c r="D35" i="86"/>
  <c r="D20" i="9"/>
  <c r="G21" i="86" l="1"/>
  <c r="D15" i="74"/>
  <c r="B2" i="70"/>
  <c r="B3" i="70" s="1"/>
  <c r="D103" i="86"/>
  <c r="G20" i="86"/>
  <c r="D103" i="9"/>
  <c r="G20" i="9"/>
  <c r="D9" i="71"/>
  <c r="C8" i="71"/>
  <c r="C42" i="40"/>
  <c r="C43" i="40"/>
  <c r="E47" i="40"/>
  <c r="F47" i="40" s="1"/>
  <c r="E46" i="40"/>
  <c r="F46" i="40" s="1"/>
  <c r="I47" i="40"/>
  <c r="J47" i="40" s="1"/>
  <c r="C32" i="86" l="1"/>
  <c r="I118" i="86" s="1"/>
  <c r="C32" i="9"/>
  <c r="C35" i="9" s="1"/>
  <c r="C34" i="9" s="1"/>
  <c r="R24" i="31"/>
  <c r="C7" i="71"/>
  <c r="D8" i="71"/>
  <c r="B58" i="40"/>
  <c r="F58" i="40" s="1"/>
  <c r="B54" i="40"/>
  <c r="F54" i="40" s="1"/>
  <c r="B53" i="40"/>
  <c r="F53" i="40" s="1"/>
  <c r="B59" i="40"/>
  <c r="F59" i="40" s="1"/>
  <c r="B52" i="40"/>
  <c r="F52" i="40" s="1"/>
  <c r="B56" i="40"/>
  <c r="F56" i="40" s="1"/>
  <c r="B60" i="40"/>
  <c r="F60" i="40" s="1"/>
  <c r="B57" i="40"/>
  <c r="F57" i="40" s="1"/>
  <c r="B51" i="40"/>
  <c r="F51" i="40" s="1"/>
  <c r="F61" i="40"/>
  <c r="B2" i="40" s="1"/>
  <c r="B3" i="40" s="1"/>
  <c r="C35" i="86" l="1"/>
  <c r="G118" i="86" s="1"/>
  <c r="F118" i="86" s="1"/>
  <c r="F119" i="86" s="1"/>
  <c r="C105" i="86"/>
  <c r="H118" i="86"/>
  <c r="H102" i="86"/>
  <c r="S24" i="31"/>
  <c r="R30" i="31"/>
  <c r="S30" i="31" s="1"/>
  <c r="R31" i="31"/>
  <c r="S31" i="31" s="1"/>
  <c r="R32" i="31"/>
  <c r="S32" i="31" s="1"/>
  <c r="R27" i="31"/>
  <c r="S27" i="31" s="1"/>
  <c r="R28" i="31"/>
  <c r="S28" i="31" s="1"/>
  <c r="R29" i="31"/>
  <c r="S29" i="31" s="1"/>
  <c r="R26" i="31"/>
  <c r="S26" i="31" s="1"/>
  <c r="R25" i="31"/>
  <c r="S25" i="31" s="1"/>
  <c r="D7" i="71"/>
  <c r="C6" i="71"/>
  <c r="E118" i="86" l="1"/>
  <c r="D118" i="86" s="1"/>
  <c r="D119" i="86" s="1"/>
  <c r="C34" i="86"/>
  <c r="H119" i="86"/>
  <c r="H101" i="86"/>
  <c r="G15" i="74" s="1"/>
  <c r="C104" i="86"/>
  <c r="S22" i="31"/>
  <c r="D14" i="74" s="1"/>
  <c r="G14" i="74" s="1"/>
  <c r="D6" i="71"/>
  <c r="C5" i="71"/>
  <c r="D5" i="71" s="1"/>
  <c r="M24" i="43" s="1"/>
  <c r="B6" i="74" l="1"/>
  <c r="D6" i="74" s="1"/>
  <c r="E15" i="74"/>
  <c r="F15" i="74"/>
  <c r="E14" i="74"/>
  <c r="F14" i="74"/>
  <c r="B5" i="74"/>
  <c r="D5" i="74" s="1"/>
  <c r="M48" i="86"/>
  <c r="D45" i="86"/>
  <c r="H107" i="86"/>
  <c r="R22" i="31"/>
  <c r="B20" i="31"/>
  <c r="B21" i="31" s="1"/>
  <c r="G118" i="9"/>
  <c r="G4" i="52" s="1"/>
  <c r="B52" i="72" s="1"/>
  <c r="I118" i="9"/>
  <c r="H102" i="9" s="1"/>
  <c r="C72" i="86" l="1"/>
  <c r="C64" i="86"/>
  <c r="C63" i="86" s="1"/>
  <c r="C67" i="86" s="1"/>
  <c r="D53" i="86"/>
  <c r="C78" i="86"/>
  <c r="C73" i="86" s="1"/>
  <c r="D52" i="86"/>
  <c r="C93" i="86"/>
  <c r="C86" i="86" s="1"/>
  <c r="C85" i="86"/>
  <c r="D55" i="86"/>
  <c r="M53" i="86" s="1"/>
  <c r="D122" i="86"/>
  <c r="D123" i="86" s="1"/>
  <c r="H108" i="86"/>
  <c r="M49" i="86"/>
  <c r="D7" i="53"/>
  <c r="B21" i="72" s="1"/>
  <c r="C5" i="74"/>
  <c r="E118" i="9"/>
  <c r="C105" i="9"/>
  <c r="F118" i="9"/>
  <c r="I4" i="52"/>
  <c r="H118" i="9"/>
  <c r="C95" i="86" l="1"/>
  <c r="C96" i="86" s="1"/>
  <c r="E96" i="86" s="1"/>
  <c r="E97" i="86" s="1"/>
  <c r="C79" i="86"/>
  <c r="C80" i="86" s="1"/>
  <c r="E80" i="86" s="1"/>
  <c r="E81" i="86" s="1"/>
  <c r="D59" i="86"/>
  <c r="M55" i="86" s="1"/>
  <c r="C68" i="86"/>
  <c r="D54" i="86" s="1"/>
  <c r="L66" i="86"/>
  <c r="M66" i="86" s="1"/>
  <c r="L64" i="86"/>
  <c r="M64" i="86" s="1"/>
  <c r="L68" i="86"/>
  <c r="M68" i="86" s="1"/>
  <c r="L67" i="86"/>
  <c r="M67" i="86" s="1"/>
  <c r="L65" i="86"/>
  <c r="M65" i="86" s="1"/>
  <c r="L63" i="86"/>
  <c r="M63" i="86" s="1"/>
  <c r="F119" i="9"/>
  <c r="F5" i="52" s="1"/>
  <c r="B53" i="72" s="1"/>
  <c r="F4" i="52"/>
  <c r="B51" i="72" s="1"/>
  <c r="H119" i="9"/>
  <c r="H5" i="52" s="1"/>
  <c r="C104" i="9"/>
  <c r="H4" i="52"/>
  <c r="H101" i="9"/>
  <c r="D118" i="9"/>
  <c r="E4" i="52"/>
  <c r="B48" i="72" s="1"/>
  <c r="M69" i="86" l="1"/>
  <c r="N69" i="86" s="1"/>
  <c r="C81" i="86"/>
  <c r="C97" i="86"/>
  <c r="D58" i="86" s="1"/>
  <c r="D56" i="86" s="1"/>
  <c r="M54" i="86" s="1"/>
  <c r="N57" i="86" s="1"/>
  <c r="D4" i="52"/>
  <c r="B47" i="72" s="1"/>
  <c r="D119" i="9"/>
  <c r="D5" i="52" s="1"/>
  <c r="B49" i="72" s="1"/>
  <c r="M48" i="9"/>
  <c r="D5" i="53"/>
  <c r="H107" i="9"/>
  <c r="D45" i="9"/>
  <c r="N58" i="86" l="1"/>
  <c r="P57" i="86"/>
  <c r="N59" i="86"/>
  <c r="C78" i="9"/>
  <c r="C73" i="9" s="1"/>
  <c r="C64" i="9"/>
  <c r="C63" i="9" s="1"/>
  <c r="C67" i="9" s="1"/>
  <c r="C72" i="9"/>
  <c r="D55" i="9"/>
  <c r="M53" i="9" s="1"/>
  <c r="C93" i="9"/>
  <c r="C86" i="9" s="1"/>
  <c r="D52" i="9"/>
  <c r="D53" i="9"/>
  <c r="C85" i="9"/>
  <c r="B20" i="72"/>
  <c r="D6" i="53"/>
  <c r="B22" i="72" s="1"/>
  <c r="D122" i="9"/>
  <c r="D13" i="53"/>
  <c r="M49" i="9"/>
  <c r="H108" i="9"/>
  <c r="N61" i="86" l="1"/>
  <c r="N60" i="86"/>
  <c r="C79" i="9"/>
  <c r="C80" i="9" s="1"/>
  <c r="E80" i="9" s="1"/>
  <c r="E81" i="9" s="1"/>
  <c r="C95" i="9"/>
  <c r="C96" i="9" s="1"/>
  <c r="E96" i="9" s="1"/>
  <c r="E97" i="9" s="1"/>
  <c r="D15" i="53"/>
  <c r="B31" i="72" s="1"/>
  <c r="C6" i="74"/>
  <c r="B30" i="72"/>
  <c r="D14" i="53"/>
  <c r="B32" i="72" s="1"/>
  <c r="D8" i="52"/>
  <c r="D123" i="9"/>
  <c r="D9" i="52" s="1"/>
  <c r="C68" i="9"/>
  <c r="D54" i="9" s="1"/>
  <c r="D59" i="9"/>
  <c r="M55" i="9" s="1"/>
  <c r="L65" i="9"/>
  <c r="M65" i="9" s="1"/>
  <c r="L64" i="9"/>
  <c r="M64" i="9" s="1"/>
  <c r="L67" i="9"/>
  <c r="M67" i="9" s="1"/>
  <c r="L68" i="9"/>
  <c r="M68" i="9" s="1"/>
  <c r="L66" i="9"/>
  <c r="M66" i="9" s="1"/>
  <c r="L63" i="9"/>
  <c r="M63" i="9" s="1"/>
  <c r="M69" i="9" l="1"/>
  <c r="N69" i="9" s="1"/>
  <c r="C81" i="9"/>
  <c r="C97" i="9"/>
  <c r="D58" i="9" s="1"/>
  <c r="D56" i="9" s="1"/>
  <c r="M54" i="9" s="1"/>
  <c r="N57" i="9" s="1"/>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64001</author>
    <author>HL</author>
    <author>作者</author>
    <author>hl82</author>
    <author>HL50</author>
    <author>Dell</author>
    <author>Sky123.Org</author>
    <author>coocaa</author>
  </authors>
  <commentList>
    <comment ref="H4" authorId="0">
      <text>
        <r>
          <rPr>
            <b/>
            <sz val="9"/>
            <rFont val="宋体"/>
            <family val="3"/>
            <charset val="134"/>
          </rPr>
          <t>64001:</t>
        </r>
        <r>
          <rPr>
            <sz val="9"/>
            <rFont val="宋体"/>
            <family val="3"/>
            <charset val="134"/>
          </rPr>
          <t xml:space="preserve">
YW-2022-CX*0405 2022.09.30签署补充协议，缩减面积，自2022.10.11开始</t>
        </r>
      </text>
    </comment>
    <comment ref="EV5" authorId="1">
      <text>
        <r>
          <rPr>
            <b/>
            <sz val="9"/>
            <rFont val="宋体"/>
            <family val="3"/>
            <charset val="134"/>
          </rPr>
          <t>HL:</t>
        </r>
        <r>
          <rPr>
            <sz val="9"/>
            <rFont val="宋体"/>
            <family val="3"/>
            <charset val="134"/>
          </rPr>
          <t xml:space="preserve">
2024.01.16-01.31</t>
        </r>
      </text>
    </comment>
    <comment ref="EZ5" authorId="1">
      <text>
        <r>
          <rPr>
            <b/>
            <sz val="9"/>
            <rFont val="宋体"/>
            <family val="3"/>
            <charset val="134"/>
          </rPr>
          <t>HL:</t>
        </r>
        <r>
          <rPr>
            <sz val="9"/>
            <rFont val="宋体"/>
            <family val="3"/>
            <charset val="134"/>
          </rPr>
          <t xml:space="preserve">
18675：2024.01.01-01.15物业费
2024.01.16-01.31物业费</t>
        </r>
      </text>
    </comment>
    <comment ref="FP5" authorId="1">
      <text>
        <r>
          <rPr>
            <b/>
            <sz val="9"/>
            <rFont val="宋体"/>
            <family val="3"/>
            <charset val="134"/>
          </rPr>
          <t>HL:</t>
        </r>
        <r>
          <rPr>
            <sz val="9"/>
            <rFont val="宋体"/>
            <family val="3"/>
            <charset val="134"/>
          </rPr>
          <t xml:space="preserve">
更正1月权责物业费收入</t>
        </r>
      </text>
    </comment>
    <comment ref="FT5" authorId="1">
      <text>
        <r>
          <rPr>
            <b/>
            <sz val="9"/>
            <rFont val="宋体"/>
            <family val="3"/>
            <charset val="134"/>
          </rPr>
          <t>HL:</t>
        </r>
        <r>
          <rPr>
            <sz val="9"/>
            <rFont val="宋体"/>
            <family val="3"/>
            <charset val="134"/>
          </rPr>
          <t xml:space="preserve">
2024.04.01-04.15
2024.04.16-04.30</t>
        </r>
      </text>
    </comment>
    <comment ref="FX5" authorId="1">
      <text>
        <r>
          <rPr>
            <b/>
            <sz val="9"/>
            <rFont val="宋体"/>
            <family val="3"/>
            <charset val="134"/>
          </rPr>
          <t>HL:</t>
        </r>
        <r>
          <rPr>
            <sz val="9"/>
            <rFont val="宋体"/>
            <family val="3"/>
            <charset val="134"/>
          </rPr>
          <t xml:space="preserve">
2024.04.01-04.15
2024.04.16-04.30</t>
        </r>
      </text>
    </comment>
    <comment ref="GR5" authorId="1">
      <text>
        <r>
          <rPr>
            <b/>
            <sz val="9"/>
            <rFont val="宋体"/>
            <family val="3"/>
            <charset val="134"/>
          </rPr>
          <t>HL:</t>
        </r>
        <r>
          <rPr>
            <sz val="9"/>
            <rFont val="宋体"/>
            <family val="3"/>
            <charset val="134"/>
          </rPr>
          <t xml:space="preserve">
2024.07.01-07.15
2024.07.16-07.31</t>
        </r>
      </text>
    </comment>
    <comment ref="GV5" authorId="1">
      <text>
        <r>
          <rPr>
            <b/>
            <sz val="9"/>
            <rFont val="宋体"/>
            <family val="3"/>
            <charset val="134"/>
          </rPr>
          <t>HL:</t>
        </r>
        <r>
          <rPr>
            <sz val="9"/>
            <rFont val="宋体"/>
            <family val="3"/>
            <charset val="134"/>
          </rPr>
          <t xml:space="preserve">
2024.07.01-07.15
2024.07.16-07.31</t>
        </r>
      </text>
    </comment>
    <comment ref="HP5" authorId="1">
      <text>
        <r>
          <rPr>
            <b/>
            <sz val="9"/>
            <rFont val="宋体"/>
            <family val="3"/>
            <charset val="134"/>
          </rPr>
          <t>HL:</t>
        </r>
        <r>
          <rPr>
            <sz val="9"/>
            <rFont val="宋体"/>
            <family val="3"/>
            <charset val="134"/>
          </rPr>
          <t xml:space="preserve">
2024.10.01-10.15</t>
        </r>
      </text>
    </comment>
    <comment ref="HT5" authorId="1">
      <text>
        <r>
          <rPr>
            <b/>
            <sz val="9"/>
            <rFont val="宋体"/>
            <family val="3"/>
            <charset val="134"/>
          </rPr>
          <t>HL:</t>
        </r>
        <r>
          <rPr>
            <sz val="9"/>
            <rFont val="宋体"/>
            <family val="3"/>
            <charset val="134"/>
          </rPr>
          <t xml:space="preserve">
2024.10.01-10.15</t>
        </r>
      </text>
    </comment>
    <comment ref="JP5" authorId="1">
      <text>
        <r>
          <rPr>
            <b/>
            <sz val="9"/>
            <rFont val="宋体"/>
            <family val="3"/>
            <charset val="134"/>
          </rPr>
          <t>HL:</t>
        </r>
        <r>
          <rPr>
            <sz val="9"/>
            <rFont val="宋体"/>
            <family val="3"/>
            <charset val="134"/>
          </rPr>
          <t xml:space="preserve">
租期内免租期，自2023年12月16日起至2024年01月15日止</t>
        </r>
      </text>
    </comment>
    <comment ref="JQ5" authorId="1">
      <text>
        <r>
          <rPr>
            <b/>
            <sz val="9"/>
            <rFont val="宋体"/>
            <family val="3"/>
            <charset val="134"/>
          </rPr>
          <t>HL:</t>
        </r>
        <r>
          <rPr>
            <sz val="9"/>
            <rFont val="宋体"/>
            <family val="3"/>
            <charset val="134"/>
          </rPr>
          <t xml:space="preserve">
2023年01月16日至 2024年01月15日，该房屋租金的日单价为 5.97元；
月租金272381.25
2024年01月16日至 2025 年01月15日，该房屋租金的日单价为 6.31元；
月租金287893.75
租期内免租期，自2023年12月16日起至2024年01月15日止
本期收涨租后 2024.01.16-03.31
2023.12.16-2024.01.15 免租
降租 2024.01.15合同解除</t>
        </r>
      </text>
    </comment>
    <comment ref="JR5" authorId="1">
      <text>
        <r>
          <rPr>
            <b/>
            <sz val="9"/>
            <rFont val="宋体"/>
            <family val="3"/>
            <charset val="134"/>
          </rPr>
          <t>HL:</t>
        </r>
        <r>
          <rPr>
            <sz val="9"/>
            <rFont val="宋体"/>
            <family val="3"/>
            <charset val="134"/>
          </rPr>
          <t xml:space="preserve">
物业费欠费
2024.01.01-01.15</t>
        </r>
      </text>
    </comment>
    <comment ref="JT5" authorId="1">
      <text>
        <r>
          <rPr>
            <b/>
            <sz val="9"/>
            <rFont val="宋体"/>
            <family val="3"/>
            <charset val="134"/>
          </rPr>
          <t>HL:</t>
        </r>
        <r>
          <rPr>
            <sz val="9"/>
            <rFont val="宋体"/>
            <family val="3"/>
            <charset val="134"/>
          </rPr>
          <t xml:space="preserve">
上年物业费欠费2024.01.01-01.15</t>
        </r>
      </text>
    </comment>
    <comment ref="KN5" authorId="1">
      <text>
        <r>
          <rPr>
            <b/>
            <sz val="9"/>
            <rFont val="宋体"/>
            <family val="3"/>
            <charset val="134"/>
          </rPr>
          <t>HL:</t>
        </r>
        <r>
          <rPr>
            <sz val="9"/>
            <rFont val="宋体"/>
            <family val="3"/>
            <charset val="134"/>
          </rPr>
          <t xml:space="preserve">
89357.14：云迹免租2024.01.01-01.15
1174.53：云迹1月物业费差异</t>
        </r>
      </text>
    </comment>
    <comment ref="KP5" authorId="1">
      <text>
        <r>
          <rPr>
            <b/>
            <sz val="9"/>
            <rFont val="宋体"/>
            <family val="3"/>
            <charset val="134"/>
          </rPr>
          <t>HL:</t>
        </r>
        <r>
          <rPr>
            <sz val="9"/>
            <rFont val="宋体"/>
            <family val="3"/>
            <charset val="134"/>
          </rPr>
          <t xml:space="preserve">
1174.53：云迹1月物业费差异</t>
        </r>
      </text>
    </comment>
    <comment ref="J6" authorId="1">
      <text>
        <r>
          <rPr>
            <b/>
            <sz val="9"/>
            <rFont val="宋体"/>
            <family val="3"/>
            <charset val="134"/>
          </rPr>
          <t>HL:</t>
        </r>
        <r>
          <rPr>
            <sz val="9"/>
            <rFont val="宋体"/>
            <family val="3"/>
            <charset val="134"/>
          </rPr>
          <t xml:space="preserve">
租期内含免租期为壹个月，即2024年07月06日至2024年08月05日，免租期间内乙方免交租金，但须交纳水费、电费及其他应缴费用。</t>
        </r>
      </text>
    </comment>
    <comment ref="BL6" authorId="0">
      <text>
        <r>
          <rPr>
            <b/>
            <sz val="9"/>
            <rFont val="宋体"/>
            <family val="3"/>
            <charset val="134"/>
          </rPr>
          <t>64001:</t>
        </r>
        <r>
          <rPr>
            <sz val="9"/>
            <rFont val="宋体"/>
            <family val="3"/>
            <charset val="134"/>
          </rPr>
          <t xml:space="preserve">
2024.05.01-05.05</t>
        </r>
      </text>
    </comment>
    <comment ref="CA6" authorId="1">
      <text>
        <r>
          <rPr>
            <b/>
            <sz val="9"/>
            <rFont val="宋体"/>
            <family val="3"/>
            <charset val="134"/>
          </rPr>
          <t>HL:</t>
        </r>
        <r>
          <rPr>
            <sz val="9"/>
            <rFont val="宋体"/>
            <family val="3"/>
            <charset val="134"/>
          </rPr>
          <t xml:space="preserve">
2024年07月06日至2024年08月05日免租
本月收2024.06.06-07.05</t>
        </r>
      </text>
    </comment>
    <comment ref="CB6" authorId="1">
      <text>
        <r>
          <rPr>
            <b/>
            <sz val="9"/>
            <rFont val="宋体"/>
            <family val="3"/>
            <charset val="134"/>
          </rPr>
          <t>HL:</t>
        </r>
        <r>
          <rPr>
            <sz val="9"/>
            <rFont val="宋体"/>
            <family val="3"/>
            <charset val="134"/>
          </rPr>
          <t xml:space="preserve">
2024年07月06日至2024年08月05日免租
本月收2024.06.06-07.05</t>
        </r>
      </text>
    </comment>
    <comment ref="GA6" authorId="1">
      <text>
        <r>
          <rPr>
            <b/>
            <sz val="9"/>
            <rFont val="宋体"/>
            <family val="3"/>
            <charset val="134"/>
          </rPr>
          <t>HL:</t>
        </r>
        <r>
          <rPr>
            <sz val="9"/>
            <rFont val="宋体"/>
            <family val="3"/>
            <charset val="134"/>
          </rPr>
          <t xml:space="preserve">
2024.05.01-05.05</t>
        </r>
      </text>
    </comment>
    <comment ref="GB6" authorId="1">
      <text>
        <r>
          <rPr>
            <b/>
            <sz val="9"/>
            <rFont val="宋体"/>
            <family val="3"/>
            <charset val="134"/>
          </rPr>
          <t>HL:</t>
        </r>
        <r>
          <rPr>
            <sz val="9"/>
            <rFont val="宋体"/>
            <family val="3"/>
            <charset val="134"/>
          </rPr>
          <t xml:space="preserve">
2024.05.01-05.05</t>
        </r>
      </text>
    </comment>
    <comment ref="GE6" authorId="1">
      <text>
        <r>
          <rPr>
            <b/>
            <sz val="9"/>
            <rFont val="宋体"/>
            <family val="3"/>
            <charset val="134"/>
          </rPr>
          <t>HL:</t>
        </r>
        <r>
          <rPr>
            <sz val="9"/>
            <rFont val="宋体"/>
            <family val="3"/>
            <charset val="134"/>
          </rPr>
          <t xml:space="preserve">
2024.05.01-05.05
</t>
        </r>
      </text>
    </comment>
    <comment ref="GF6" authorId="1">
      <text>
        <r>
          <rPr>
            <b/>
            <sz val="9"/>
            <rFont val="宋体"/>
            <family val="3"/>
            <charset val="134"/>
          </rPr>
          <t>HL:</t>
        </r>
        <r>
          <rPr>
            <sz val="9"/>
            <rFont val="宋体"/>
            <family val="3"/>
            <charset val="134"/>
          </rPr>
          <t xml:space="preserve">
2024.05.01-05.05</t>
        </r>
      </text>
    </comment>
    <comment ref="GI6" authorId="1">
      <text>
        <r>
          <rPr>
            <b/>
            <sz val="9"/>
            <rFont val="宋体"/>
            <family val="3"/>
            <charset val="134"/>
          </rPr>
          <t>HL:</t>
        </r>
        <r>
          <rPr>
            <sz val="9"/>
            <rFont val="宋体"/>
            <family val="3"/>
            <charset val="134"/>
          </rPr>
          <t xml:space="preserve">
2024年07月06日至2024年08月05日免租
本月收2024.06.06-06.30</t>
        </r>
      </text>
    </comment>
    <comment ref="GJ6" authorId="1">
      <text>
        <r>
          <rPr>
            <b/>
            <sz val="9"/>
            <rFont val="宋体"/>
            <family val="3"/>
            <charset val="134"/>
          </rPr>
          <t>HL:</t>
        </r>
        <r>
          <rPr>
            <sz val="9"/>
            <rFont val="宋体"/>
            <family val="3"/>
            <charset val="134"/>
          </rPr>
          <t xml:space="preserve">
2024年07月06日至2024年08月05日免租
本月收2024.06.06-06.30</t>
        </r>
      </text>
    </comment>
    <comment ref="GM6" authorId="1">
      <text>
        <r>
          <rPr>
            <b/>
            <sz val="9"/>
            <rFont val="宋体"/>
            <family val="3"/>
            <charset val="134"/>
          </rPr>
          <t>HL:</t>
        </r>
        <r>
          <rPr>
            <sz val="9"/>
            <rFont val="宋体"/>
            <family val="3"/>
            <charset val="134"/>
          </rPr>
          <t xml:space="preserve">
2024.06.06-06.30</t>
        </r>
      </text>
    </comment>
    <comment ref="GN6" authorId="1">
      <text>
        <r>
          <rPr>
            <b/>
            <sz val="9"/>
            <rFont val="宋体"/>
            <family val="3"/>
            <charset val="134"/>
          </rPr>
          <t>HL:</t>
        </r>
        <r>
          <rPr>
            <sz val="9"/>
            <rFont val="宋体"/>
            <family val="3"/>
            <charset val="134"/>
          </rPr>
          <t xml:space="preserve">
2024.06.06-06.30</t>
        </r>
      </text>
    </comment>
    <comment ref="GQ6" authorId="1">
      <text>
        <r>
          <rPr>
            <b/>
            <sz val="9"/>
            <rFont val="宋体"/>
            <family val="3"/>
            <charset val="134"/>
          </rPr>
          <t>HL:</t>
        </r>
        <r>
          <rPr>
            <sz val="9"/>
            <rFont val="宋体"/>
            <family val="3"/>
            <charset val="134"/>
          </rPr>
          <t xml:space="preserve">
2024年07月06日至2024年08月05日免租
本月收2024.07.01-07.05</t>
        </r>
      </text>
    </comment>
    <comment ref="GR6" authorId="1">
      <text>
        <r>
          <rPr>
            <b/>
            <sz val="9"/>
            <rFont val="宋体"/>
            <family val="3"/>
            <charset val="134"/>
          </rPr>
          <t>HL:</t>
        </r>
        <r>
          <rPr>
            <sz val="9"/>
            <rFont val="宋体"/>
            <family val="3"/>
            <charset val="134"/>
          </rPr>
          <t xml:space="preserve">
2024年07月06日至2024年08月05日免租
本月收2024.07.01-07.05</t>
        </r>
      </text>
    </comment>
    <comment ref="GY6" authorId="1">
      <text>
        <r>
          <rPr>
            <b/>
            <sz val="9"/>
            <rFont val="宋体"/>
            <family val="3"/>
            <charset val="134"/>
          </rPr>
          <t>HL:</t>
        </r>
        <r>
          <rPr>
            <sz val="9"/>
            <rFont val="宋体"/>
            <family val="3"/>
            <charset val="134"/>
          </rPr>
          <t xml:space="preserve">
2024年07月06日至2024年08月05日免租
本月收2024.08.06-08.31</t>
        </r>
      </text>
    </comment>
    <comment ref="GZ6" authorId="1">
      <text>
        <r>
          <rPr>
            <b/>
            <sz val="9"/>
            <rFont val="宋体"/>
            <family val="3"/>
            <charset val="134"/>
          </rPr>
          <t>HL:</t>
        </r>
        <r>
          <rPr>
            <sz val="9"/>
            <rFont val="宋体"/>
            <family val="3"/>
            <charset val="134"/>
          </rPr>
          <t xml:space="preserve">
2024年07月06日至2024年08月05日免租
本月收2024.08.06-08.31</t>
        </r>
      </text>
    </comment>
    <comment ref="HD6" authorId="1">
      <text>
        <r>
          <rPr>
            <b/>
            <sz val="9"/>
            <rFont val="宋体"/>
            <family val="3"/>
            <charset val="134"/>
          </rPr>
          <t>HL:</t>
        </r>
        <r>
          <rPr>
            <sz val="9"/>
            <rFont val="宋体"/>
            <family val="3"/>
            <charset val="134"/>
          </rPr>
          <t xml:space="preserve">
2024.08.01-08.05
2024.08.06-08.31</t>
        </r>
      </text>
    </comment>
    <comment ref="HP6" authorId="1">
      <text>
        <r>
          <rPr>
            <b/>
            <sz val="9"/>
            <rFont val="宋体"/>
            <family val="3"/>
            <charset val="134"/>
          </rPr>
          <t>HL:</t>
        </r>
        <r>
          <rPr>
            <sz val="9"/>
            <rFont val="宋体"/>
            <family val="3"/>
            <charset val="134"/>
          </rPr>
          <t xml:space="preserve">
2024.10.01-10.05
2024.10.06-10.31</t>
        </r>
      </text>
    </comment>
    <comment ref="HT6" authorId="1">
      <text>
        <r>
          <rPr>
            <b/>
            <sz val="9"/>
            <rFont val="宋体"/>
            <family val="3"/>
            <charset val="134"/>
          </rPr>
          <t>HL:</t>
        </r>
        <r>
          <rPr>
            <sz val="9"/>
            <rFont val="宋体"/>
            <family val="3"/>
            <charset val="134"/>
          </rPr>
          <t xml:space="preserve">
2024.10.01-10.05
2024.10.06-10.31
</t>
        </r>
      </text>
    </comment>
    <comment ref="IF6" authorId="1">
      <text>
        <r>
          <rPr>
            <b/>
            <sz val="9"/>
            <rFont val="宋体"/>
            <family val="3"/>
            <charset val="134"/>
          </rPr>
          <t>HL:</t>
        </r>
        <r>
          <rPr>
            <sz val="9"/>
            <rFont val="宋体"/>
            <family val="3"/>
            <charset val="134"/>
          </rPr>
          <t xml:space="preserve">
2024.12.01-12.05</t>
        </r>
      </text>
    </comment>
    <comment ref="IJ6" authorId="1">
      <text>
        <r>
          <rPr>
            <b/>
            <sz val="9"/>
            <rFont val="宋体"/>
            <family val="3"/>
            <charset val="134"/>
          </rPr>
          <t>HL:</t>
        </r>
        <r>
          <rPr>
            <sz val="9"/>
            <rFont val="宋体"/>
            <family val="3"/>
            <charset val="134"/>
          </rPr>
          <t xml:space="preserve">
2024.12.01-12.05
</t>
        </r>
      </text>
    </comment>
    <comment ref="J11" authorId="1">
      <text>
        <r>
          <rPr>
            <b/>
            <sz val="9"/>
            <rFont val="宋体"/>
            <family val="3"/>
            <charset val="134"/>
          </rPr>
          <t>HL:</t>
        </r>
        <r>
          <rPr>
            <sz val="9"/>
            <rFont val="宋体"/>
            <family val="3"/>
            <charset val="134"/>
          </rPr>
          <t xml:space="preserve">
租期内含免租期为2个月，自2024年02月18日起至2024年04月17日止</t>
        </r>
      </text>
    </comment>
    <comment ref="T11" authorId="1">
      <text>
        <r>
          <rPr>
            <b/>
            <sz val="9"/>
            <rFont val="宋体"/>
            <family val="3"/>
            <charset val="134"/>
          </rPr>
          <t>HL:</t>
        </r>
        <r>
          <rPr>
            <sz val="9"/>
            <rFont val="宋体"/>
            <family val="3"/>
            <charset val="134"/>
          </rPr>
          <t xml:space="preserve">
2024年05月18日至2026年02月17日，该房屋租金的日单价为3.67元；月租金6566.03元
2026年02月18日至2027年02月17日，该房屋租金的日单价为3.90元；月租金6977.52元
</t>
        </r>
      </text>
    </comment>
    <comment ref="AU11" authorId="1">
      <text>
        <r>
          <rPr>
            <b/>
            <sz val="9"/>
            <rFont val="宋体"/>
            <family val="3"/>
            <charset val="134"/>
          </rPr>
          <t>HL:</t>
        </r>
        <r>
          <rPr>
            <sz val="9"/>
            <rFont val="宋体"/>
            <family val="3"/>
            <charset val="134"/>
          </rPr>
          <t xml:space="preserve">
租期内含免租期为2个月，自2024年02月18日起至2024年04月17日止</t>
        </r>
      </text>
    </comment>
    <comment ref="AV11" authorId="1">
      <text>
        <r>
          <rPr>
            <b/>
            <sz val="9"/>
            <rFont val="宋体"/>
            <family val="3"/>
            <charset val="134"/>
          </rPr>
          <t>HL:</t>
        </r>
        <r>
          <rPr>
            <sz val="9"/>
            <rFont val="宋体"/>
            <family val="3"/>
            <charset val="134"/>
          </rPr>
          <t xml:space="preserve">
租期内含免租期为2个月，自2024年02月18日起至2024年04月17日止
应收2024.04.18-05.17</t>
        </r>
      </text>
    </comment>
    <comment ref="AW11" authorId="1">
      <text>
        <r>
          <rPr>
            <b/>
            <sz val="9"/>
            <rFont val="宋体"/>
            <family val="3"/>
            <charset val="134"/>
          </rPr>
          <t>HL:</t>
        </r>
        <r>
          <rPr>
            <sz val="9"/>
            <rFont val="宋体"/>
            <family val="3"/>
            <charset val="134"/>
          </rPr>
          <t xml:space="preserve">
租期内含免租期为2个月，自2024年02月18日起至2024年04月17日止
应收2024.04.18-05.17</t>
        </r>
      </text>
    </comment>
    <comment ref="BT11" authorId="1">
      <text>
        <r>
          <rPr>
            <b/>
            <sz val="9"/>
            <rFont val="宋体"/>
            <family val="3"/>
            <charset val="134"/>
          </rPr>
          <t>HL:</t>
        </r>
        <r>
          <rPr>
            <sz val="9"/>
            <rFont val="宋体"/>
            <family val="3"/>
            <charset val="134"/>
          </rPr>
          <t xml:space="preserve">
0800合同变更主体</t>
        </r>
      </text>
    </comment>
    <comment ref="BW11" authorId="1">
      <text>
        <r>
          <rPr>
            <b/>
            <sz val="9"/>
            <rFont val="宋体"/>
            <family val="3"/>
            <charset val="134"/>
          </rPr>
          <t>HL:</t>
        </r>
        <r>
          <rPr>
            <sz val="9"/>
            <rFont val="宋体"/>
            <family val="3"/>
            <charset val="134"/>
          </rPr>
          <t xml:space="preserve">
0800合同变更主体</t>
        </r>
      </text>
    </comment>
    <comment ref="FC11" authorId="1">
      <text>
        <r>
          <rPr>
            <b/>
            <sz val="9"/>
            <rFont val="宋体"/>
            <family val="3"/>
            <charset val="134"/>
          </rPr>
          <t>HL:</t>
        </r>
        <r>
          <rPr>
            <sz val="9"/>
            <rFont val="宋体"/>
            <family val="3"/>
            <charset val="134"/>
          </rPr>
          <t xml:space="preserve">
租期内含免租期为2个月，自2024年02月18日起至2024年04月17日止</t>
        </r>
      </text>
    </comment>
    <comment ref="FD11" authorId="1">
      <text>
        <r>
          <rPr>
            <b/>
            <sz val="9"/>
            <rFont val="宋体"/>
            <family val="3"/>
            <charset val="134"/>
          </rPr>
          <t>HL:</t>
        </r>
        <r>
          <rPr>
            <sz val="9"/>
            <rFont val="宋体"/>
            <family val="3"/>
            <charset val="134"/>
          </rPr>
          <t xml:space="preserve">
租期内含免租期为2个月，自2024年02月18日起至2024年04月17日止</t>
        </r>
      </text>
    </comment>
    <comment ref="FG11" authorId="1">
      <text>
        <r>
          <rPr>
            <b/>
            <sz val="9"/>
            <rFont val="宋体"/>
            <family val="3"/>
            <charset val="134"/>
          </rPr>
          <t>HL:</t>
        </r>
        <r>
          <rPr>
            <sz val="9"/>
            <rFont val="宋体"/>
            <family val="3"/>
            <charset val="134"/>
          </rPr>
          <t xml:space="preserve">
2024.02.18-02.29</t>
        </r>
      </text>
    </comment>
    <comment ref="FH11" authorId="1">
      <text>
        <r>
          <rPr>
            <b/>
            <sz val="9"/>
            <rFont val="宋体"/>
            <family val="3"/>
            <charset val="134"/>
          </rPr>
          <t>HL:</t>
        </r>
        <r>
          <rPr>
            <sz val="9"/>
            <rFont val="宋体"/>
            <family val="3"/>
            <charset val="134"/>
          </rPr>
          <t xml:space="preserve">
2024.02.17-02.29</t>
        </r>
      </text>
    </comment>
    <comment ref="FK11" authorId="1">
      <text>
        <r>
          <rPr>
            <b/>
            <sz val="9"/>
            <rFont val="宋体"/>
            <family val="3"/>
            <charset val="134"/>
          </rPr>
          <t>HL:</t>
        </r>
        <r>
          <rPr>
            <sz val="9"/>
            <rFont val="宋体"/>
            <family val="3"/>
            <charset val="134"/>
          </rPr>
          <t xml:space="preserve">
租期内含免租期为2个月，自2024年02月18日起至2024年04月17日止</t>
        </r>
      </text>
    </comment>
    <comment ref="FL11" authorId="1">
      <text>
        <r>
          <rPr>
            <b/>
            <sz val="9"/>
            <rFont val="宋体"/>
            <family val="3"/>
            <charset val="134"/>
          </rPr>
          <t>HL:</t>
        </r>
        <r>
          <rPr>
            <sz val="9"/>
            <rFont val="宋体"/>
            <family val="3"/>
            <charset val="134"/>
          </rPr>
          <t xml:space="preserve">
租期内含免租期为2个月，自2024年02月18日起至2024年04月17日止</t>
        </r>
      </text>
    </comment>
    <comment ref="FS11" authorId="1">
      <text>
        <r>
          <rPr>
            <b/>
            <sz val="9"/>
            <rFont val="宋体"/>
            <family val="3"/>
            <charset val="134"/>
          </rPr>
          <t>HL:</t>
        </r>
        <r>
          <rPr>
            <sz val="9"/>
            <rFont val="宋体"/>
            <family val="3"/>
            <charset val="134"/>
          </rPr>
          <t xml:space="preserve">
租期内含免租期为2个月，自2024年02月18日起至2024年04月17日止</t>
        </r>
      </text>
    </comment>
    <comment ref="FT11" authorId="1">
      <text>
        <r>
          <rPr>
            <b/>
            <sz val="9"/>
            <rFont val="宋体"/>
            <family val="3"/>
            <charset val="134"/>
          </rPr>
          <t>HL:</t>
        </r>
        <r>
          <rPr>
            <sz val="9"/>
            <rFont val="宋体"/>
            <family val="3"/>
            <charset val="134"/>
          </rPr>
          <t xml:space="preserve">
租期内含免租期为2个月，自2024年02月18日起至2024年04月17日止
本月2024.04.18-04.30</t>
        </r>
      </text>
    </comment>
    <comment ref="GB11" authorId="1">
      <text>
        <r>
          <rPr>
            <b/>
            <sz val="9"/>
            <rFont val="宋体"/>
            <family val="3"/>
            <charset val="134"/>
          </rPr>
          <t>HL:</t>
        </r>
        <r>
          <rPr>
            <sz val="9"/>
            <rFont val="宋体"/>
            <family val="3"/>
            <charset val="134"/>
          </rPr>
          <t xml:space="preserve">
2024.05.01-05.17
2024.05.18-05.31</t>
        </r>
      </text>
    </comment>
    <comment ref="GF11" authorId="1">
      <text>
        <r>
          <rPr>
            <b/>
            <sz val="9"/>
            <rFont val="宋体"/>
            <family val="3"/>
            <charset val="134"/>
          </rPr>
          <t>HL:</t>
        </r>
        <r>
          <rPr>
            <sz val="9"/>
            <rFont val="宋体"/>
            <family val="3"/>
            <charset val="134"/>
          </rPr>
          <t xml:space="preserve">
2024.05.01-05.17
2024.05.18-05.31</t>
        </r>
      </text>
    </comment>
    <comment ref="GZ11" authorId="1">
      <text>
        <r>
          <rPr>
            <b/>
            <sz val="9"/>
            <rFont val="宋体"/>
            <family val="3"/>
            <charset val="134"/>
          </rPr>
          <t>HL:</t>
        </r>
        <r>
          <rPr>
            <sz val="9"/>
            <rFont val="宋体"/>
            <family val="3"/>
            <charset val="134"/>
          </rPr>
          <t xml:space="preserve">
2024.08.01-08.17
2024.08.18-08.31</t>
        </r>
      </text>
    </comment>
    <comment ref="HD11" authorId="1">
      <text>
        <r>
          <rPr>
            <b/>
            <sz val="9"/>
            <rFont val="宋体"/>
            <family val="3"/>
            <charset val="134"/>
          </rPr>
          <t>HL:</t>
        </r>
        <r>
          <rPr>
            <sz val="9"/>
            <rFont val="宋体"/>
            <family val="3"/>
            <charset val="134"/>
          </rPr>
          <t xml:space="preserve">
2024.08.01-08.17
2024.08.18-08.31</t>
        </r>
      </text>
    </comment>
    <comment ref="HX11" authorId="1">
      <text>
        <r>
          <rPr>
            <b/>
            <sz val="9"/>
            <rFont val="宋体"/>
            <family val="3"/>
            <charset val="134"/>
          </rPr>
          <t>HL:</t>
        </r>
        <r>
          <rPr>
            <sz val="9"/>
            <rFont val="宋体"/>
            <family val="3"/>
            <charset val="134"/>
          </rPr>
          <t xml:space="preserve">
2024.11.01-11.17</t>
        </r>
      </text>
    </comment>
    <comment ref="IB11" authorId="1">
      <text>
        <r>
          <rPr>
            <b/>
            <sz val="9"/>
            <rFont val="宋体"/>
            <family val="3"/>
            <charset val="134"/>
          </rPr>
          <t>HL:</t>
        </r>
        <r>
          <rPr>
            <sz val="9"/>
            <rFont val="宋体"/>
            <family val="3"/>
            <charset val="134"/>
          </rPr>
          <t xml:space="preserve">
2024.11.01-11.17
</t>
        </r>
      </text>
    </comment>
    <comment ref="D12" authorId="2">
      <text>
        <r>
          <rPr>
            <b/>
            <sz val="9"/>
            <rFont val="宋体"/>
            <family val="3"/>
            <charset val="134"/>
          </rPr>
          <t>作者:</t>
        </r>
        <r>
          <rPr>
            <sz val="9"/>
            <rFont val="宋体"/>
            <family val="3"/>
            <charset val="134"/>
          </rPr>
          <t xml:space="preserve">
0801：49.25
0802：191.49</t>
        </r>
      </text>
    </comment>
    <comment ref="J12" authorId="3">
      <text>
        <r>
          <rPr>
            <sz val="9"/>
            <rFont val="宋体"/>
            <family val="3"/>
            <charset val="134"/>
          </rPr>
          <t>租期内含免租期为 壹 个月，自2023年09月01日起至2023年09月30日止，免租期间内乙方免交租金，但须交纳水费、电费及其他应缴费用。</t>
        </r>
      </text>
    </comment>
    <comment ref="D13" authorId="2">
      <text>
        <r>
          <rPr>
            <b/>
            <sz val="9"/>
            <rFont val="宋体"/>
            <family val="3"/>
            <charset val="134"/>
          </rPr>
          <t>作者:</t>
        </r>
        <r>
          <rPr>
            <sz val="9"/>
            <rFont val="宋体"/>
            <family val="3"/>
            <charset val="134"/>
          </rPr>
          <t xml:space="preserve">
0808：149.39
0811：124</t>
        </r>
      </text>
    </comment>
    <comment ref="CK13" authorId="1">
      <text>
        <r>
          <rPr>
            <b/>
            <sz val="9"/>
            <rFont val="宋体"/>
            <family val="3"/>
            <charset val="134"/>
          </rPr>
          <t>HL:</t>
        </r>
        <r>
          <rPr>
            <sz val="9"/>
            <rFont val="宋体"/>
            <family val="3"/>
            <charset val="134"/>
          </rPr>
          <t xml:space="preserve">
其中22497.65：原1003-1004已缴纳的租金调至808（2024.07.15-07.31）</t>
        </r>
      </text>
    </comment>
    <comment ref="CN13" authorId="1">
      <text>
        <r>
          <rPr>
            <b/>
            <sz val="9"/>
            <rFont val="宋体"/>
            <family val="3"/>
            <charset val="134"/>
          </rPr>
          <t>HL:</t>
        </r>
        <r>
          <rPr>
            <sz val="9"/>
            <rFont val="宋体"/>
            <family val="3"/>
            <charset val="134"/>
          </rPr>
          <t xml:space="preserve">
其中4477.95：原1003-1004已缴纳的物业费调至808（2024.07.15-07.31）
</t>
        </r>
      </text>
    </comment>
    <comment ref="GQ13" authorId="1">
      <text>
        <r>
          <rPr>
            <b/>
            <sz val="9"/>
            <rFont val="宋体"/>
            <family val="3"/>
            <charset val="134"/>
          </rPr>
          <t>HL:</t>
        </r>
        <r>
          <rPr>
            <sz val="9"/>
            <rFont val="宋体"/>
            <family val="3"/>
            <charset val="134"/>
          </rPr>
          <t xml:space="preserve">
2024.07.15-07.31</t>
        </r>
      </text>
    </comment>
    <comment ref="GR13" authorId="1">
      <text>
        <r>
          <rPr>
            <b/>
            <sz val="9"/>
            <rFont val="宋体"/>
            <family val="3"/>
            <charset val="134"/>
          </rPr>
          <t>HL:</t>
        </r>
        <r>
          <rPr>
            <sz val="9"/>
            <rFont val="宋体"/>
            <family val="3"/>
            <charset val="134"/>
          </rPr>
          <t xml:space="preserve">
2024.07.15-07.31</t>
        </r>
      </text>
    </comment>
    <comment ref="GU13" authorId="1">
      <text>
        <r>
          <rPr>
            <b/>
            <sz val="9"/>
            <rFont val="宋体"/>
            <family val="3"/>
            <charset val="134"/>
          </rPr>
          <t>HL:</t>
        </r>
        <r>
          <rPr>
            <sz val="9"/>
            <rFont val="宋体"/>
            <family val="3"/>
            <charset val="134"/>
          </rPr>
          <t xml:space="preserve">
2024.07.15-07.31
</t>
        </r>
      </text>
    </comment>
    <comment ref="GV13" authorId="1">
      <text>
        <r>
          <rPr>
            <b/>
            <sz val="9"/>
            <rFont val="宋体"/>
            <family val="3"/>
            <charset val="134"/>
          </rPr>
          <t>HL:</t>
        </r>
        <r>
          <rPr>
            <sz val="9"/>
            <rFont val="宋体"/>
            <family val="3"/>
            <charset val="134"/>
          </rPr>
          <t xml:space="preserve">
2024.07.15-07.31
</t>
        </r>
      </text>
    </comment>
    <comment ref="HH13" authorId="1">
      <text>
        <r>
          <rPr>
            <b/>
            <sz val="9"/>
            <rFont val="宋体"/>
            <family val="3"/>
            <charset val="134"/>
          </rPr>
          <t>HL:</t>
        </r>
        <r>
          <rPr>
            <sz val="9"/>
            <rFont val="宋体"/>
            <family val="3"/>
            <charset val="134"/>
          </rPr>
          <t xml:space="preserve">
2024.09.01-09.14
2024.09.15-09.30</t>
        </r>
      </text>
    </comment>
    <comment ref="HL13" authorId="1">
      <text>
        <r>
          <rPr>
            <b/>
            <sz val="9"/>
            <rFont val="宋体"/>
            <family val="3"/>
            <charset val="134"/>
          </rPr>
          <t>HL:</t>
        </r>
        <r>
          <rPr>
            <sz val="9"/>
            <rFont val="宋体"/>
            <family val="3"/>
            <charset val="134"/>
          </rPr>
          <t xml:space="preserve">
2024.09.01-09.14
2024.09.15-09.30</t>
        </r>
      </text>
    </comment>
    <comment ref="HX13" authorId="1">
      <text>
        <r>
          <rPr>
            <b/>
            <sz val="9"/>
            <rFont val="宋体"/>
            <family val="3"/>
            <charset val="134"/>
          </rPr>
          <t>HL:</t>
        </r>
        <r>
          <rPr>
            <sz val="9"/>
            <rFont val="宋体"/>
            <family val="3"/>
            <charset val="134"/>
          </rPr>
          <t xml:space="preserve">
2024.11.01-11.14</t>
        </r>
      </text>
    </comment>
    <comment ref="IB13" authorId="1">
      <text>
        <r>
          <rPr>
            <b/>
            <sz val="9"/>
            <rFont val="宋体"/>
            <family val="3"/>
            <charset val="134"/>
          </rPr>
          <t>HL:</t>
        </r>
        <r>
          <rPr>
            <sz val="9"/>
            <rFont val="宋体"/>
            <family val="3"/>
            <charset val="134"/>
          </rPr>
          <t xml:space="preserve">
2024.11.01-11.14
</t>
        </r>
      </text>
    </comment>
    <comment ref="J14" authorId="1">
      <text>
        <r>
          <rPr>
            <b/>
            <sz val="9"/>
            <rFont val="宋体"/>
            <family val="3"/>
            <charset val="134"/>
          </rPr>
          <t>HL:</t>
        </r>
        <r>
          <rPr>
            <sz val="9"/>
            <rFont val="宋体"/>
            <family val="3"/>
            <charset val="134"/>
          </rPr>
          <t xml:space="preserve">
租期内含免租期为 壹 个月，自2023年11月15日起至2023年12月14日止</t>
        </r>
      </text>
    </comment>
    <comment ref="EV14" authorId="1">
      <text>
        <r>
          <rPr>
            <b/>
            <sz val="9"/>
            <rFont val="宋体"/>
            <family val="3"/>
            <charset val="134"/>
          </rPr>
          <t>HL:</t>
        </r>
        <r>
          <rPr>
            <sz val="9"/>
            <rFont val="宋体"/>
            <family val="3"/>
            <charset val="134"/>
          </rPr>
          <t xml:space="preserve">
2024.01.01-01.14
2024.01.15-01.31</t>
        </r>
      </text>
    </comment>
    <comment ref="EZ14" authorId="1">
      <text>
        <r>
          <rPr>
            <b/>
            <sz val="9"/>
            <rFont val="宋体"/>
            <family val="3"/>
            <charset val="134"/>
          </rPr>
          <t>HL:</t>
        </r>
        <r>
          <rPr>
            <sz val="9"/>
            <rFont val="宋体"/>
            <family val="3"/>
            <charset val="134"/>
          </rPr>
          <t xml:space="preserve">
2024.01.01-01.14</t>
        </r>
      </text>
    </comment>
    <comment ref="FD14" authorId="1">
      <text>
        <r>
          <rPr>
            <b/>
            <sz val="9"/>
            <rFont val="宋体"/>
            <family val="3"/>
            <charset val="134"/>
          </rPr>
          <t>HL:</t>
        </r>
        <r>
          <rPr>
            <sz val="9"/>
            <rFont val="宋体"/>
            <family val="3"/>
            <charset val="134"/>
          </rPr>
          <t xml:space="preserve">
2024.02.01-02.14
2024.02.15-02.29</t>
        </r>
      </text>
    </comment>
    <comment ref="FH14" authorId="1">
      <text>
        <r>
          <rPr>
            <b/>
            <sz val="9"/>
            <rFont val="宋体"/>
            <family val="3"/>
            <charset val="134"/>
          </rPr>
          <t>HL:</t>
        </r>
        <r>
          <rPr>
            <sz val="9"/>
            <rFont val="宋体"/>
            <family val="3"/>
            <charset val="134"/>
          </rPr>
          <t xml:space="preserve">
2024.02.01-02.14
2024.02.15-02.29</t>
        </r>
      </text>
    </comment>
    <comment ref="FL14" authorId="1">
      <text>
        <r>
          <rPr>
            <b/>
            <sz val="9"/>
            <rFont val="宋体"/>
            <family val="3"/>
            <charset val="134"/>
          </rPr>
          <t>HL:</t>
        </r>
        <r>
          <rPr>
            <sz val="9"/>
            <rFont val="宋体"/>
            <family val="3"/>
            <charset val="134"/>
          </rPr>
          <t xml:space="preserve">
2024.03.01-03.14
2024.03.15-03.31</t>
        </r>
      </text>
    </comment>
    <comment ref="FP14" authorId="1">
      <text>
        <r>
          <rPr>
            <b/>
            <sz val="9"/>
            <rFont val="宋体"/>
            <family val="3"/>
            <charset val="134"/>
          </rPr>
          <t>HL:</t>
        </r>
        <r>
          <rPr>
            <sz val="9"/>
            <rFont val="宋体"/>
            <family val="3"/>
            <charset val="134"/>
          </rPr>
          <t xml:space="preserve">
2024.03.01-03.14
2024.03.15-03.31
</t>
        </r>
      </text>
    </comment>
    <comment ref="FT14" authorId="1">
      <text>
        <r>
          <rPr>
            <b/>
            <sz val="9"/>
            <rFont val="宋体"/>
            <family val="3"/>
            <charset val="134"/>
          </rPr>
          <t>HL:</t>
        </r>
        <r>
          <rPr>
            <sz val="9"/>
            <rFont val="宋体"/>
            <family val="3"/>
            <charset val="134"/>
          </rPr>
          <t xml:space="preserve">
2024.04.01-04.14
2024.04.15-04.30</t>
        </r>
      </text>
    </comment>
    <comment ref="FX14" authorId="1">
      <text>
        <r>
          <rPr>
            <b/>
            <sz val="9"/>
            <rFont val="宋体"/>
            <family val="3"/>
            <charset val="134"/>
          </rPr>
          <t>HL:</t>
        </r>
        <r>
          <rPr>
            <sz val="9"/>
            <rFont val="宋体"/>
            <family val="3"/>
            <charset val="134"/>
          </rPr>
          <t xml:space="preserve">
2024.04.01-04.14
2024.04.15-04.30</t>
        </r>
      </text>
    </comment>
    <comment ref="GB14" authorId="1">
      <text>
        <r>
          <rPr>
            <b/>
            <sz val="9"/>
            <rFont val="宋体"/>
            <family val="3"/>
            <charset val="134"/>
          </rPr>
          <t>HL:</t>
        </r>
        <r>
          <rPr>
            <sz val="9"/>
            <rFont val="宋体"/>
            <family val="3"/>
            <charset val="134"/>
          </rPr>
          <t xml:space="preserve">
2024.05.01-05.14
2024.05.15-05.31</t>
        </r>
      </text>
    </comment>
    <comment ref="GF14" authorId="1">
      <text>
        <r>
          <rPr>
            <b/>
            <sz val="9"/>
            <rFont val="宋体"/>
            <family val="3"/>
            <charset val="134"/>
          </rPr>
          <t>HL:</t>
        </r>
        <r>
          <rPr>
            <sz val="9"/>
            <rFont val="宋体"/>
            <family val="3"/>
            <charset val="134"/>
          </rPr>
          <t xml:space="preserve">
2024.05.01-05.14
2024.05.15-05.31
</t>
        </r>
      </text>
    </comment>
    <comment ref="GJ14" authorId="1">
      <text>
        <r>
          <rPr>
            <b/>
            <sz val="9"/>
            <rFont val="宋体"/>
            <family val="3"/>
            <charset val="134"/>
          </rPr>
          <t>HL:</t>
        </r>
        <r>
          <rPr>
            <sz val="9"/>
            <rFont val="宋体"/>
            <family val="3"/>
            <charset val="134"/>
          </rPr>
          <t xml:space="preserve">
2024.06.01-06.14
2024.06.15-06.30</t>
        </r>
      </text>
    </comment>
    <comment ref="GN14" authorId="1">
      <text>
        <r>
          <rPr>
            <b/>
            <sz val="9"/>
            <rFont val="宋体"/>
            <family val="3"/>
            <charset val="134"/>
          </rPr>
          <t>HL:</t>
        </r>
        <r>
          <rPr>
            <sz val="9"/>
            <rFont val="宋体"/>
            <family val="3"/>
            <charset val="134"/>
          </rPr>
          <t xml:space="preserve">
2024.06.01-06.14
2024.06.15-06.30</t>
        </r>
      </text>
    </comment>
    <comment ref="GR14" authorId="1">
      <text>
        <r>
          <rPr>
            <b/>
            <sz val="9"/>
            <rFont val="宋体"/>
            <family val="3"/>
            <charset val="134"/>
          </rPr>
          <t>HL:</t>
        </r>
        <r>
          <rPr>
            <sz val="9"/>
            <rFont val="宋体"/>
            <family val="3"/>
            <charset val="134"/>
          </rPr>
          <t xml:space="preserve">
2024.07.01-07.14
2024.07.15-07.31
</t>
        </r>
      </text>
    </comment>
    <comment ref="GV14" authorId="1">
      <text>
        <r>
          <rPr>
            <b/>
            <sz val="9"/>
            <rFont val="宋体"/>
            <family val="3"/>
            <charset val="134"/>
          </rPr>
          <t>HL:</t>
        </r>
        <r>
          <rPr>
            <sz val="9"/>
            <rFont val="宋体"/>
            <family val="3"/>
            <charset val="134"/>
          </rPr>
          <t xml:space="preserve">
2024.07.01-07.14
2024.07.15-07.31
</t>
        </r>
      </text>
    </comment>
    <comment ref="GZ14" authorId="1">
      <text>
        <r>
          <rPr>
            <b/>
            <sz val="9"/>
            <rFont val="宋体"/>
            <family val="3"/>
            <charset val="134"/>
          </rPr>
          <t>HL:</t>
        </r>
        <r>
          <rPr>
            <sz val="9"/>
            <rFont val="宋体"/>
            <family val="3"/>
            <charset val="134"/>
          </rPr>
          <t xml:space="preserve">
2024.08.01-08.14
2024.08.15-08.31</t>
        </r>
      </text>
    </comment>
    <comment ref="HD14" authorId="1">
      <text>
        <r>
          <rPr>
            <b/>
            <sz val="9"/>
            <rFont val="宋体"/>
            <family val="3"/>
            <charset val="134"/>
          </rPr>
          <t>HL:</t>
        </r>
        <r>
          <rPr>
            <sz val="9"/>
            <rFont val="宋体"/>
            <family val="3"/>
            <charset val="134"/>
          </rPr>
          <t xml:space="preserve">
2024.08.01-08.14
2024.08.15-08.31
</t>
        </r>
      </text>
    </comment>
    <comment ref="HH14" authorId="1">
      <text>
        <r>
          <rPr>
            <b/>
            <sz val="9"/>
            <rFont val="宋体"/>
            <family val="3"/>
            <charset val="134"/>
          </rPr>
          <t>HL:</t>
        </r>
        <r>
          <rPr>
            <sz val="9"/>
            <rFont val="宋体"/>
            <family val="3"/>
            <charset val="134"/>
          </rPr>
          <t xml:space="preserve">
2024.09.01-09.14
2024.09.15-09.30</t>
        </r>
      </text>
    </comment>
    <comment ref="HL14" authorId="1">
      <text>
        <r>
          <rPr>
            <b/>
            <sz val="9"/>
            <rFont val="宋体"/>
            <family val="3"/>
            <charset val="134"/>
          </rPr>
          <t>HL:</t>
        </r>
        <r>
          <rPr>
            <sz val="9"/>
            <rFont val="宋体"/>
            <family val="3"/>
            <charset val="134"/>
          </rPr>
          <t xml:space="preserve">
2024.09.01-09.14
2024.09.15-09.30
</t>
        </r>
      </text>
    </comment>
    <comment ref="HP14" authorId="1">
      <text>
        <r>
          <rPr>
            <b/>
            <sz val="9"/>
            <rFont val="宋体"/>
            <family val="3"/>
            <charset val="134"/>
          </rPr>
          <t>HL:</t>
        </r>
        <r>
          <rPr>
            <sz val="9"/>
            <rFont val="宋体"/>
            <family val="3"/>
            <charset val="134"/>
          </rPr>
          <t xml:space="preserve">
2024.10.01-10.14
2024.10.15-10.31</t>
        </r>
      </text>
    </comment>
    <comment ref="HT14" authorId="1">
      <text>
        <r>
          <rPr>
            <b/>
            <sz val="9"/>
            <rFont val="宋体"/>
            <family val="3"/>
            <charset val="134"/>
          </rPr>
          <t>HL:</t>
        </r>
        <r>
          <rPr>
            <sz val="9"/>
            <rFont val="宋体"/>
            <family val="3"/>
            <charset val="134"/>
          </rPr>
          <t xml:space="preserve">
2024.10.01-10.14
2024.10.15-10.31
</t>
        </r>
      </text>
    </comment>
    <comment ref="HW14" authorId="1">
      <text>
        <r>
          <rPr>
            <b/>
            <sz val="9"/>
            <rFont val="宋体"/>
            <family val="3"/>
            <charset val="134"/>
          </rPr>
          <t>HL:</t>
        </r>
        <r>
          <rPr>
            <sz val="9"/>
            <rFont val="宋体"/>
            <family val="3"/>
            <charset val="134"/>
          </rPr>
          <t xml:space="preserve">
2024.11.01-11.14</t>
        </r>
      </text>
    </comment>
    <comment ref="HX14" authorId="1">
      <text>
        <r>
          <rPr>
            <b/>
            <sz val="9"/>
            <rFont val="宋体"/>
            <family val="3"/>
            <charset val="134"/>
          </rPr>
          <t>HL:</t>
        </r>
        <r>
          <rPr>
            <sz val="9"/>
            <rFont val="宋体"/>
            <family val="3"/>
            <charset val="134"/>
          </rPr>
          <t xml:space="preserve">
2024.11.01-11.14 到期</t>
        </r>
      </text>
    </comment>
    <comment ref="IA14" authorId="1">
      <text>
        <r>
          <rPr>
            <b/>
            <sz val="9"/>
            <rFont val="宋体"/>
            <family val="3"/>
            <charset val="134"/>
          </rPr>
          <t>HL:</t>
        </r>
        <r>
          <rPr>
            <sz val="9"/>
            <rFont val="宋体"/>
            <family val="3"/>
            <charset val="134"/>
          </rPr>
          <t xml:space="preserve">
2024.11.01-11.14
</t>
        </r>
      </text>
    </comment>
    <comment ref="IB14" authorId="1">
      <text>
        <r>
          <rPr>
            <b/>
            <sz val="9"/>
            <rFont val="宋体"/>
            <family val="3"/>
            <charset val="134"/>
          </rPr>
          <t>HL:</t>
        </r>
        <r>
          <rPr>
            <sz val="9"/>
            <rFont val="宋体"/>
            <family val="3"/>
            <charset val="134"/>
          </rPr>
          <t xml:space="preserve">
2024.11.01-11.14 到期
</t>
        </r>
      </text>
    </comment>
    <comment ref="J15" authorId="1">
      <text>
        <r>
          <rPr>
            <b/>
            <sz val="9"/>
            <rFont val="宋体"/>
            <family val="3"/>
            <charset val="134"/>
          </rPr>
          <t>HL:</t>
        </r>
        <r>
          <rPr>
            <sz val="9"/>
            <rFont val="宋体"/>
            <family val="3"/>
            <charset val="134"/>
          </rPr>
          <t xml:space="preserve">
租期内含免租期为 壹 个月，自2023年11月15日起至2023年12月14日止</t>
        </r>
      </text>
    </comment>
    <comment ref="J16" authorId="2">
      <text>
        <r>
          <rPr>
            <b/>
            <sz val="9"/>
            <rFont val="宋体"/>
            <family val="3"/>
            <charset val="134"/>
          </rPr>
          <t>作者:</t>
        </r>
        <r>
          <rPr>
            <sz val="9"/>
            <rFont val="宋体"/>
            <family val="3"/>
            <charset val="134"/>
          </rPr>
          <t xml:space="preserve">
租期内含免租期为  2  个月，自2022年11 月01日 起至2022年11月30日 止，自2024年05 月01日 起至2024年05月31日
租赁位置调整，2023.10.27签订解除协议，于2023.10.31提前解除合同。</t>
        </r>
      </text>
    </comment>
    <comment ref="J17" authorId="2">
      <text>
        <r>
          <rPr>
            <b/>
            <sz val="9"/>
            <rFont val="宋体"/>
            <family val="3"/>
            <charset val="134"/>
          </rPr>
          <t>作者:</t>
        </r>
        <r>
          <rPr>
            <sz val="9"/>
            <rFont val="宋体"/>
            <family val="3"/>
            <charset val="134"/>
          </rPr>
          <t xml:space="preserve">
租期内含免租期为  2  个月，自2022年11 月01日 起至2022年11月30日 止，自2024年05 月01日 起至2024年05月31日
租赁位置调整，2023.10.27签订解除协议，于2023.10.31提前解除合同。</t>
        </r>
      </text>
    </comment>
    <comment ref="D18" authorId="2">
      <text>
        <r>
          <rPr>
            <b/>
            <sz val="9"/>
            <rFont val="宋体"/>
            <family val="3"/>
            <charset val="134"/>
          </rPr>
          <t>作者:</t>
        </r>
        <r>
          <rPr>
            <sz val="9"/>
            <rFont val="宋体"/>
            <family val="3"/>
            <charset val="134"/>
          </rPr>
          <t xml:space="preserve">
0818:539.72
0819：202.97
0821:115.41
0822:114.04
0823:262.91
0824:126
08A1：11.9
08A2：14.6
08A3：41.2</t>
        </r>
      </text>
    </comment>
    <comment ref="I18" authorId="3">
      <text>
        <r>
          <rPr>
            <b/>
            <sz val="9"/>
            <rFont val="宋体"/>
            <family val="3"/>
            <charset val="134"/>
          </rPr>
          <t>hl82:</t>
        </r>
        <r>
          <rPr>
            <sz val="9"/>
            <rFont val="宋体"/>
            <family val="3"/>
            <charset val="134"/>
          </rPr>
          <t xml:space="preserve">
2019.10.01-2022.09.30原合同期间，补充协议期间2020.03.13-20222.09.30</t>
        </r>
      </text>
    </comment>
    <comment ref="J18" authorId="3">
      <text>
        <r>
          <rPr>
            <b/>
            <sz val="9"/>
            <rFont val="宋体"/>
            <family val="3"/>
            <charset val="134"/>
          </rPr>
          <t>hl82:</t>
        </r>
        <r>
          <rPr>
            <sz val="9"/>
            <rFont val="宋体"/>
            <family val="3"/>
            <charset val="134"/>
          </rPr>
          <t xml:space="preserve">
2019.10.01-2022.09.30原合同期间，补充协议期间2020.03.13-20222.09.30
客户2022.02.28提前退租</t>
        </r>
      </text>
    </comment>
    <comment ref="D19" authorId="1">
      <text>
        <r>
          <rPr>
            <b/>
            <sz val="9"/>
            <rFont val="宋体"/>
            <family val="3"/>
            <charset val="134"/>
          </rPr>
          <t>HL:</t>
        </r>
        <r>
          <rPr>
            <sz val="9"/>
            <rFont val="宋体"/>
            <family val="3"/>
            <charset val="134"/>
          </rPr>
          <t xml:space="preserve">
817面积221.79
该位置为业主店，目前未回租，可出租面积里不含该位置</t>
        </r>
      </text>
    </comment>
    <comment ref="D20" authorId="4">
      <text>
        <r>
          <rPr>
            <b/>
            <sz val="9"/>
            <rFont val="宋体"/>
            <family val="3"/>
            <charset val="134"/>
          </rPr>
          <t>HL50:</t>
        </r>
        <r>
          <rPr>
            <sz val="9"/>
            <rFont val="宋体"/>
            <family val="3"/>
            <charset val="134"/>
          </rPr>
          <t xml:space="preserve">
825房间  222平米
826房间  221.83平米</t>
        </r>
      </text>
    </comment>
    <comment ref="J20" authorId="2">
      <text>
        <r>
          <rPr>
            <b/>
            <sz val="9"/>
            <rFont val="宋体"/>
            <family val="3"/>
            <charset val="134"/>
          </rPr>
          <t>作者:</t>
        </r>
        <r>
          <rPr>
            <sz val="9"/>
            <rFont val="宋体"/>
            <family val="3"/>
            <charset val="134"/>
          </rPr>
          <t xml:space="preserve">
租期内含免租期为  2  个月，自2022年11 月01日 起至2022年11月30日 止，自2024年05 月01日 起至2024年05月31日
租赁位置调整，2023.10.27签订解除协议，于2023.10.31提前解除合同。</t>
        </r>
      </text>
    </comment>
    <comment ref="M21" authorId="2">
      <text>
        <r>
          <rPr>
            <b/>
            <sz val="9"/>
            <rFont val="宋体"/>
            <family val="3"/>
            <charset val="134"/>
          </rPr>
          <t>作者:</t>
        </r>
        <r>
          <rPr>
            <sz val="9"/>
            <rFont val="宋体"/>
            <family val="3"/>
            <charset val="134"/>
          </rPr>
          <t xml:space="preserve">
押金：34028.85与4410.15</t>
        </r>
      </text>
    </comment>
    <comment ref="J22" authorId="1">
      <text>
        <r>
          <rPr>
            <b/>
            <sz val="9"/>
            <rFont val="宋体"/>
            <family val="3"/>
            <charset val="134"/>
          </rPr>
          <t>HL:</t>
        </r>
        <r>
          <rPr>
            <sz val="9"/>
            <rFont val="宋体"/>
            <family val="3"/>
            <charset val="134"/>
          </rPr>
          <t xml:space="preserve">
租期内含免租期为2个月，自2023年07月10日起至2023年08月09日止及2024年07月10日起至2024年08月09日止</t>
        </r>
      </text>
    </comment>
    <comment ref="CA22" authorId="1">
      <text>
        <r>
          <rPr>
            <b/>
            <sz val="9"/>
            <rFont val="宋体"/>
            <family val="3"/>
            <charset val="134"/>
          </rPr>
          <t>HL:</t>
        </r>
        <r>
          <rPr>
            <sz val="9"/>
            <rFont val="宋体"/>
            <family val="3"/>
            <charset val="134"/>
          </rPr>
          <t xml:space="preserve">
租期内免租期2024年07月10日起至2024年08月09日止</t>
        </r>
      </text>
    </comment>
    <comment ref="CB22" authorId="1">
      <text>
        <r>
          <rPr>
            <b/>
            <sz val="9"/>
            <rFont val="宋体"/>
            <family val="3"/>
            <charset val="134"/>
          </rPr>
          <t>HL:</t>
        </r>
        <r>
          <rPr>
            <sz val="9"/>
            <rFont val="宋体"/>
            <family val="3"/>
            <charset val="134"/>
          </rPr>
          <t xml:space="preserve">
租期内免租期2024年07月10日起至2024年08月09日止
本月收2024.07.01-07.09</t>
        </r>
      </text>
    </comment>
    <comment ref="CI22" authorId="1">
      <text>
        <r>
          <rPr>
            <b/>
            <sz val="9"/>
            <rFont val="宋体"/>
            <family val="3"/>
            <charset val="134"/>
          </rPr>
          <t>HL:</t>
        </r>
        <r>
          <rPr>
            <sz val="9"/>
            <rFont val="宋体"/>
            <family val="3"/>
            <charset val="134"/>
          </rPr>
          <t xml:space="preserve">
租期内免租期2024年07月10日起至2024年08月09日止</t>
        </r>
      </text>
    </comment>
    <comment ref="CJ22" authorId="1">
      <text>
        <r>
          <rPr>
            <b/>
            <sz val="9"/>
            <rFont val="宋体"/>
            <family val="3"/>
            <charset val="134"/>
          </rPr>
          <t>HL:</t>
        </r>
        <r>
          <rPr>
            <sz val="9"/>
            <rFont val="宋体"/>
            <family val="3"/>
            <charset val="134"/>
          </rPr>
          <t xml:space="preserve">
租期内免租期2024年07月10日起至2024年08月09日止
本月收2024.08.10-08.31
</t>
        </r>
      </text>
    </comment>
    <comment ref="CK22" authorId="1">
      <text>
        <r>
          <rPr>
            <b/>
            <sz val="9"/>
            <rFont val="宋体"/>
            <family val="3"/>
            <charset val="134"/>
          </rPr>
          <t>HL:</t>
        </r>
        <r>
          <rPr>
            <sz val="9"/>
            <rFont val="宋体"/>
            <family val="3"/>
            <charset val="134"/>
          </rPr>
          <t xml:space="preserve">
租期内免租期2024年07月10日起至2024年08月09日止
本月收2024.08.10-08.31
</t>
        </r>
      </text>
    </comment>
    <comment ref="GQ22" authorId="1">
      <text>
        <r>
          <rPr>
            <b/>
            <sz val="9"/>
            <rFont val="宋体"/>
            <family val="3"/>
            <charset val="134"/>
          </rPr>
          <t>HL:</t>
        </r>
        <r>
          <rPr>
            <sz val="9"/>
            <rFont val="宋体"/>
            <family val="3"/>
            <charset val="134"/>
          </rPr>
          <t xml:space="preserve">
租期内含免租期为2024年07月10日起至2024年08月09日止</t>
        </r>
      </text>
    </comment>
    <comment ref="GR22" authorId="1">
      <text>
        <r>
          <rPr>
            <b/>
            <sz val="9"/>
            <rFont val="宋体"/>
            <family val="3"/>
            <charset val="134"/>
          </rPr>
          <t>HL:</t>
        </r>
        <r>
          <rPr>
            <sz val="9"/>
            <rFont val="宋体"/>
            <family val="3"/>
            <charset val="134"/>
          </rPr>
          <t xml:space="preserve">
租期内含免租期为2024年07月10日起至2024年08月09日止</t>
        </r>
      </text>
    </comment>
    <comment ref="GY22" authorId="1">
      <text>
        <r>
          <rPr>
            <b/>
            <sz val="9"/>
            <rFont val="宋体"/>
            <family val="3"/>
            <charset val="134"/>
          </rPr>
          <t>HL:</t>
        </r>
        <r>
          <rPr>
            <sz val="9"/>
            <rFont val="宋体"/>
            <family val="3"/>
            <charset val="134"/>
          </rPr>
          <t xml:space="preserve">
租期内含免租期为2024年07月10日起至2024年08月09日止</t>
        </r>
      </text>
    </comment>
    <comment ref="GZ22" authorId="1">
      <text>
        <r>
          <rPr>
            <b/>
            <sz val="9"/>
            <rFont val="宋体"/>
            <family val="3"/>
            <charset val="134"/>
          </rPr>
          <t>HL:</t>
        </r>
        <r>
          <rPr>
            <sz val="9"/>
            <rFont val="宋体"/>
            <family val="3"/>
            <charset val="134"/>
          </rPr>
          <t xml:space="preserve">
租期内含免租期为2024年07月10日起至2024年08月09日止
本月2024.08.10-08.31</t>
        </r>
      </text>
    </comment>
    <comment ref="J23" authorId="1">
      <text>
        <r>
          <rPr>
            <b/>
            <sz val="9"/>
            <rFont val="宋体"/>
            <family val="3"/>
            <charset val="134"/>
          </rPr>
          <t>HL:</t>
        </r>
        <r>
          <rPr>
            <sz val="9"/>
            <rFont val="宋体"/>
            <family val="3"/>
            <charset val="134"/>
          </rPr>
          <t xml:space="preserve">
租期内含免租期为2个月，自2023年07月10日起至2023年08月09日止及2024年07月10日起至2024年08月09日止</t>
        </r>
      </text>
    </comment>
    <comment ref="J24" authorId="1">
      <text>
        <r>
          <rPr>
            <b/>
            <sz val="9"/>
            <rFont val="宋体"/>
            <family val="3"/>
            <charset val="134"/>
          </rPr>
          <t>HL:</t>
        </r>
        <r>
          <rPr>
            <sz val="9"/>
            <rFont val="宋体"/>
            <family val="3"/>
            <charset val="134"/>
          </rPr>
          <t xml:space="preserve">
租期内含免租期为2个月，自2024年05月15日起至2024年06月14日止，及2025年05月15日起至2025年06月14日止</t>
        </r>
      </text>
    </comment>
    <comment ref="T24" authorId="1">
      <text>
        <r>
          <rPr>
            <b/>
            <sz val="9"/>
            <rFont val="宋体"/>
            <family val="3"/>
            <charset val="134"/>
          </rPr>
          <t>HL:</t>
        </r>
        <r>
          <rPr>
            <sz val="9"/>
            <rFont val="宋体"/>
            <family val="3"/>
            <charset val="134"/>
          </rPr>
          <t xml:space="preserve">
2023年06月15日至2025年06月14日，该房屋租金的日单价为4.57元；
2025年06月15日至2026年06月14日，该房屋租金的日单价为4.77元；月租金12410.78元</t>
        </r>
      </text>
    </comment>
    <comment ref="DO24" authorId="1">
      <text>
        <r>
          <rPr>
            <b/>
            <sz val="9"/>
            <rFont val="宋体"/>
            <family val="3"/>
            <charset val="134"/>
          </rPr>
          <t>HL:</t>
        </r>
        <r>
          <rPr>
            <sz val="9"/>
            <rFont val="宋体"/>
            <family val="3"/>
            <charset val="134"/>
          </rPr>
          <t xml:space="preserve">
租期内含免租期为2025年05月15日起至2025年06月14日止</t>
        </r>
      </text>
    </comment>
    <comment ref="DP24" authorId="1">
      <text>
        <r>
          <rPr>
            <b/>
            <sz val="9"/>
            <rFont val="宋体"/>
            <family val="3"/>
            <charset val="134"/>
          </rPr>
          <t>HL:</t>
        </r>
        <r>
          <rPr>
            <sz val="9"/>
            <rFont val="宋体"/>
            <family val="3"/>
            <charset val="134"/>
          </rPr>
          <t xml:space="preserve">
租期内含免租期为2025年05月15日起至2025年06月14日止</t>
        </r>
      </text>
    </comment>
    <comment ref="GA24" authorId="1">
      <text>
        <r>
          <rPr>
            <b/>
            <sz val="9"/>
            <rFont val="宋体"/>
            <family val="3"/>
            <charset val="134"/>
          </rPr>
          <t>HL:</t>
        </r>
        <r>
          <rPr>
            <sz val="9"/>
            <rFont val="宋体"/>
            <family val="3"/>
            <charset val="134"/>
          </rPr>
          <t xml:space="preserve">
租期内含免租期为2个月，自2024年05月15日起至2024年06月14日止，及2025年05月15日起至2025年06月14日止</t>
        </r>
      </text>
    </comment>
    <comment ref="GB24" authorId="1">
      <text>
        <r>
          <rPr>
            <b/>
            <sz val="9"/>
            <rFont val="宋体"/>
            <family val="3"/>
            <charset val="134"/>
          </rPr>
          <t>HL:</t>
        </r>
        <r>
          <rPr>
            <sz val="9"/>
            <rFont val="宋体"/>
            <family val="3"/>
            <charset val="134"/>
          </rPr>
          <t xml:space="preserve">
租期内含免租期为2个月，自2024年05月15日起至2024年06月14日止，及2025年05月15日起至2025年06月14日止
本月收2024.05.01-05.14
2024.05.15-05.31免租</t>
        </r>
      </text>
    </comment>
    <comment ref="GI24" authorId="1">
      <text>
        <r>
          <rPr>
            <b/>
            <sz val="9"/>
            <rFont val="宋体"/>
            <family val="3"/>
            <charset val="134"/>
          </rPr>
          <t>HL:</t>
        </r>
        <r>
          <rPr>
            <sz val="9"/>
            <rFont val="宋体"/>
            <family val="3"/>
            <charset val="134"/>
          </rPr>
          <t xml:space="preserve">
租期内含免租期为自2024年05月15日起至2024年06月14日止</t>
        </r>
      </text>
    </comment>
    <comment ref="GJ24" authorId="1">
      <text>
        <r>
          <rPr>
            <b/>
            <sz val="9"/>
            <rFont val="宋体"/>
            <family val="3"/>
            <charset val="134"/>
          </rPr>
          <t>HL:</t>
        </r>
        <r>
          <rPr>
            <sz val="9"/>
            <rFont val="宋体"/>
            <family val="3"/>
            <charset val="134"/>
          </rPr>
          <t xml:space="preserve">
自2024年05月15日起至2024年06月14日止免租
本月2024.06.15-06.30</t>
        </r>
      </text>
    </comment>
    <comment ref="GN24" authorId="1">
      <text>
        <r>
          <rPr>
            <b/>
            <sz val="9"/>
            <rFont val="宋体"/>
            <family val="3"/>
            <charset val="134"/>
          </rPr>
          <t>HL:</t>
        </r>
        <r>
          <rPr>
            <sz val="9"/>
            <rFont val="宋体"/>
            <family val="3"/>
            <charset val="134"/>
          </rPr>
          <t xml:space="preserve">
2024.06.01-06.14
2024.06.15-06.30</t>
        </r>
      </text>
    </comment>
    <comment ref="IF24" authorId="1">
      <text>
        <r>
          <rPr>
            <b/>
            <sz val="9"/>
            <rFont val="宋体"/>
            <family val="3"/>
            <charset val="134"/>
          </rPr>
          <t>HL:</t>
        </r>
        <r>
          <rPr>
            <sz val="9"/>
            <rFont val="宋体"/>
            <family val="3"/>
            <charset val="134"/>
          </rPr>
          <t xml:space="preserve">
2024.12.01-12.14
</t>
        </r>
      </text>
    </comment>
    <comment ref="IJ24" authorId="1">
      <text>
        <r>
          <rPr>
            <b/>
            <sz val="9"/>
            <rFont val="宋体"/>
            <family val="3"/>
            <charset val="134"/>
          </rPr>
          <t>HL:</t>
        </r>
        <r>
          <rPr>
            <sz val="9"/>
            <rFont val="宋体"/>
            <family val="3"/>
            <charset val="134"/>
          </rPr>
          <t xml:space="preserve">
2024.12.01-12.14</t>
        </r>
      </text>
    </comment>
    <comment ref="IL24" authorId="1">
      <text>
        <r>
          <rPr>
            <b/>
            <sz val="9"/>
            <rFont val="宋体"/>
            <family val="3"/>
            <charset val="134"/>
          </rPr>
          <t>HL:</t>
        </r>
        <r>
          <rPr>
            <sz val="9"/>
            <rFont val="宋体"/>
            <family val="3"/>
            <charset val="134"/>
          </rPr>
          <t xml:space="preserve">
租期内含免租期为2025年05月15日起至2025年06月14日止</t>
        </r>
      </text>
    </comment>
    <comment ref="JP24" authorId="1">
      <text>
        <r>
          <rPr>
            <b/>
            <sz val="9"/>
            <rFont val="宋体"/>
            <family val="3"/>
            <charset val="134"/>
          </rPr>
          <t>HL:</t>
        </r>
        <r>
          <rPr>
            <sz val="9"/>
            <rFont val="宋体"/>
            <family val="3"/>
            <charset val="134"/>
          </rPr>
          <t xml:space="preserve">
租期内含免租期为2个月，自2024年05月15日起至2024年06月14日止，及2025年05月15日起至2025年06月14日止</t>
        </r>
      </text>
    </comment>
    <comment ref="JQ24" authorId="1">
      <text>
        <r>
          <rPr>
            <b/>
            <sz val="9"/>
            <rFont val="宋体"/>
            <family val="3"/>
            <charset val="134"/>
          </rPr>
          <t>HL:</t>
        </r>
        <r>
          <rPr>
            <sz val="9"/>
            <rFont val="宋体"/>
            <family val="3"/>
            <charset val="134"/>
          </rPr>
          <t xml:space="preserve">
2024.01.01-05.14
05.15-06.14 免租</t>
        </r>
      </text>
    </comment>
    <comment ref="G25" authorId="1">
      <text>
        <r>
          <rPr>
            <b/>
            <sz val="9"/>
            <rFont val="宋体"/>
            <family val="3"/>
            <charset val="134"/>
          </rPr>
          <t>HL:</t>
        </r>
        <r>
          <rPr>
            <sz val="9"/>
            <rFont val="宋体"/>
            <family val="3"/>
            <charset val="134"/>
          </rPr>
          <t xml:space="preserve">
北京多金文化发展有限公司改名 2020.02.11</t>
        </r>
      </text>
    </comment>
    <comment ref="J25" authorId="3">
      <text>
        <r>
          <rPr>
            <b/>
            <sz val="9"/>
            <rFont val="宋体"/>
            <family val="3"/>
            <charset val="134"/>
          </rPr>
          <t>hl82:</t>
        </r>
        <r>
          <rPr>
            <sz val="9"/>
            <rFont val="宋体"/>
            <family val="3"/>
            <charset val="134"/>
          </rPr>
          <t xml:space="preserve">
2021.01.08-2021.02.07免租
8.10签订解除协议 08.15解除合同
08.14合同到期
原合同2022.10.17到期</t>
        </r>
      </text>
    </comment>
    <comment ref="D26" authorId="4">
      <text>
        <r>
          <rPr>
            <b/>
            <sz val="9"/>
            <rFont val="宋体"/>
            <family val="3"/>
            <charset val="134"/>
          </rPr>
          <t>HL50:</t>
        </r>
        <r>
          <rPr>
            <sz val="9"/>
            <rFont val="宋体"/>
            <family val="3"/>
            <charset val="134"/>
          </rPr>
          <t xml:space="preserve">
0910A 46.07平米
0910B 46.07平米</t>
        </r>
      </text>
    </comment>
    <comment ref="J26" authorId="3">
      <text>
        <r>
          <rPr>
            <b/>
            <sz val="9"/>
            <rFont val="宋体"/>
            <family val="3"/>
            <charset val="134"/>
          </rPr>
          <t>hl82:</t>
        </r>
        <r>
          <rPr>
            <sz val="9"/>
            <rFont val="宋体"/>
            <family val="3"/>
            <charset val="134"/>
          </rPr>
          <t xml:space="preserve">
2021.01.08-2021.02.07免租
8.15签订解除协议 08.22解除合同
08.21合同到期
原合同2022.10.17到期
</t>
        </r>
      </text>
    </comment>
    <comment ref="G27" authorId="1">
      <text>
        <r>
          <rPr>
            <b/>
            <sz val="9"/>
            <rFont val="宋体"/>
            <family val="3"/>
            <charset val="134"/>
          </rPr>
          <t>HL:</t>
        </r>
        <r>
          <rPr>
            <sz val="9"/>
            <rFont val="宋体"/>
            <family val="3"/>
            <charset val="134"/>
          </rPr>
          <t xml:space="preserve">
2022.07.21签署三方协议，原合同公司名：鹏信未来工场基金管理（北京）有限公司</t>
        </r>
      </text>
    </comment>
    <comment ref="J27" authorId="4">
      <text>
        <r>
          <rPr>
            <b/>
            <sz val="9"/>
            <rFont val="宋体"/>
            <family val="3"/>
            <charset val="134"/>
          </rPr>
          <t>HL50:</t>
        </r>
        <r>
          <rPr>
            <sz val="9"/>
            <rFont val="宋体"/>
            <family val="3"/>
            <charset val="134"/>
          </rPr>
          <t xml:space="preserve">
2022.03.01-2022.03.31；2023.02.01-2023.02.28免租，免租期间内乙方免交租金，但须交纳水费、电费及其他应缴费用
</t>
        </r>
      </text>
    </comment>
    <comment ref="D28" authorId="2">
      <text>
        <r>
          <rPr>
            <b/>
            <sz val="9"/>
            <rFont val="宋体"/>
            <family val="3"/>
            <charset val="134"/>
          </rPr>
          <t>作者:</t>
        </r>
        <r>
          <rPr>
            <sz val="9"/>
            <rFont val="宋体"/>
            <family val="3"/>
            <charset val="134"/>
          </rPr>
          <t xml:space="preserve">
915-917:659.49
925:221.94
926a：43.5
926b：46.2
926c：132.2</t>
        </r>
      </text>
    </comment>
    <comment ref="T28" authorId="0">
      <text>
        <r>
          <rPr>
            <b/>
            <sz val="9"/>
            <rFont val="宋体"/>
            <family val="3"/>
            <charset val="134"/>
          </rPr>
          <t>64001:</t>
        </r>
        <r>
          <rPr>
            <sz val="9"/>
            <rFont val="宋体"/>
            <family val="3"/>
            <charset val="134"/>
          </rPr>
          <t xml:space="preserve">
2023年10月27日至2024年7月26日，该房屋租金的日单价为4.27元；
2024年7月27日至2025年7月26日，该房屋租金的日单价为4.67元；月租金31510.03元</t>
        </r>
      </text>
    </comment>
    <comment ref="CB28" authorId="0">
      <text>
        <r>
          <rPr>
            <b/>
            <sz val="9"/>
            <rFont val="宋体"/>
            <family val="3"/>
            <charset val="134"/>
          </rPr>
          <t>64001:</t>
        </r>
        <r>
          <rPr>
            <sz val="9"/>
            <rFont val="宋体"/>
            <family val="3"/>
            <charset val="134"/>
          </rPr>
          <t xml:space="preserve">
2023年10月27日至2024年7月26日，该房屋租金的日单价为4.27元；
2024年7月27日至2025年7月26日，该房屋租金的日单价为4.67元；月租金31510.03元</t>
        </r>
      </text>
    </comment>
    <comment ref="GQ28" authorId="0">
      <text>
        <r>
          <rPr>
            <b/>
            <sz val="9"/>
            <rFont val="宋体"/>
            <family val="3"/>
            <charset val="134"/>
          </rPr>
          <t>64001:</t>
        </r>
        <r>
          <rPr>
            <sz val="9"/>
            <rFont val="宋体"/>
            <family val="3"/>
            <charset val="134"/>
          </rPr>
          <t xml:space="preserve">
2023年10月27日至2024年7月26日，该房屋租金的日单价为4.27元；
2024年7月27日至2025年7月26日，该房屋租金的日单价为4.67元；月租金31510.03元</t>
        </r>
      </text>
    </comment>
    <comment ref="LL28" authorId="5">
      <text>
        <r>
          <rPr>
            <b/>
            <sz val="9"/>
            <rFont val="宋体"/>
            <family val="3"/>
            <charset val="134"/>
          </rPr>
          <t>Dell:</t>
        </r>
        <r>
          <rPr>
            <sz val="9"/>
            <rFont val="宋体"/>
            <family val="3"/>
            <charset val="134"/>
          </rPr>
          <t xml:space="preserve">
1.北京聚能鸿儒教育科技集团有限公司47254.73元
2.北京聚能宏盛教育科技有限公司47231.30元
3.北京聚能弘恩教育科技有限公司47231.30元
4.北京友识诚邦文化科技有限公司47231.30元</t>
        </r>
      </text>
    </comment>
    <comment ref="T29" authorId="1">
      <text>
        <r>
          <rPr>
            <b/>
            <sz val="9"/>
            <rFont val="宋体"/>
            <family val="3"/>
            <charset val="134"/>
          </rPr>
          <t>HL:</t>
        </r>
        <r>
          <rPr>
            <sz val="9"/>
            <rFont val="宋体"/>
            <family val="3"/>
            <charset val="134"/>
          </rPr>
          <t xml:space="preserve">
2023年7月27日至2024年7月26日，该房屋租金的日单价为4.27 元；月租金28811.10元
2024年7月27日至2025年7月26日，该房屋租金的日单价为4.67 元；月租金31510.03元</t>
        </r>
      </text>
    </comment>
    <comment ref="CB29" authorId="1">
      <text>
        <r>
          <rPr>
            <b/>
            <sz val="9"/>
            <rFont val="宋体"/>
            <family val="3"/>
            <charset val="134"/>
          </rPr>
          <t>HL:</t>
        </r>
        <r>
          <rPr>
            <sz val="9"/>
            <rFont val="宋体"/>
            <family val="3"/>
            <charset val="134"/>
          </rPr>
          <t xml:space="preserve">
2023年7月27日至2024年7月26日，该房屋租金的日单价为4.27 元；月租金28811.10元
2024年7月27日至2025年7月26日，该房屋租金的日单价为4.67 元；月租金31510.03元
</t>
        </r>
      </text>
    </comment>
    <comment ref="GQ29" authorId="1">
      <text>
        <r>
          <rPr>
            <b/>
            <sz val="9"/>
            <rFont val="宋体"/>
            <family val="3"/>
            <charset val="134"/>
          </rPr>
          <t>HL:</t>
        </r>
        <r>
          <rPr>
            <sz val="9"/>
            <rFont val="宋体"/>
            <family val="3"/>
            <charset val="134"/>
          </rPr>
          <t xml:space="preserve">
2023年7月27日至2024年7月26日，该房屋租金的日单价为4.27 元；月租金28811.10元
2024年7月27日至2025年7月26日，该房屋租金的日单价为4.67 元；月租金31510.03元
</t>
        </r>
      </text>
    </comment>
    <comment ref="T31" authorId="1">
      <text>
        <r>
          <rPr>
            <b/>
            <sz val="9"/>
            <rFont val="宋体"/>
            <family val="3"/>
            <charset val="134"/>
          </rPr>
          <t>HL:</t>
        </r>
        <r>
          <rPr>
            <sz val="9"/>
            <rFont val="宋体"/>
            <family val="3"/>
            <charset val="134"/>
          </rPr>
          <t xml:space="preserve">
2023年7月27日至2024年7月26日，该房屋租金的日单价为4.27 元；月租金28825.38元
2024年7月27日至2025年7月26日，该房屋租金的日单价为4.67 元；月租金31525.65元</t>
        </r>
      </text>
    </comment>
    <comment ref="CB31" authorId="1">
      <text>
        <r>
          <rPr>
            <b/>
            <sz val="9"/>
            <rFont val="宋体"/>
            <family val="3"/>
            <charset val="134"/>
          </rPr>
          <t>HL:</t>
        </r>
        <r>
          <rPr>
            <sz val="9"/>
            <rFont val="宋体"/>
            <family val="3"/>
            <charset val="134"/>
          </rPr>
          <t xml:space="preserve">
2023年7月27日至2024年7月26日，该房屋租金的日单价为4.27 元；月租金28825.38元
2024年7月27日至2025年7月26日，该房屋租金的日单价为4.67 元；月租金31525.65元
</t>
        </r>
      </text>
    </comment>
    <comment ref="GQ31" authorId="1">
      <text>
        <r>
          <rPr>
            <b/>
            <sz val="9"/>
            <rFont val="宋体"/>
            <family val="3"/>
            <charset val="134"/>
          </rPr>
          <t>HL:</t>
        </r>
        <r>
          <rPr>
            <sz val="9"/>
            <rFont val="宋体"/>
            <family val="3"/>
            <charset val="134"/>
          </rPr>
          <t xml:space="preserve">
2023年7月27日至2024年7月26日，该房屋租金的日单价为4.27 元；月租金28825.38元
2024年7月27日至2025年7月26日，该房屋租金的日单价为4.67 元；月租金31525.65元
</t>
        </r>
      </text>
    </comment>
    <comment ref="J32" authorId="1">
      <text>
        <r>
          <rPr>
            <b/>
            <sz val="9"/>
            <rFont val="宋体"/>
            <family val="3"/>
            <charset val="134"/>
          </rPr>
          <t>HL:</t>
        </r>
        <r>
          <rPr>
            <sz val="9"/>
            <rFont val="宋体"/>
            <family val="3"/>
            <charset val="134"/>
          </rPr>
          <t xml:space="preserve">
租期内含免租期为贰个月，自2024年04月01日起至2024年5月31日止</t>
        </r>
      </text>
    </comment>
    <comment ref="T32" authorId="1">
      <text>
        <r>
          <rPr>
            <b/>
            <sz val="9"/>
            <rFont val="宋体"/>
            <family val="3"/>
            <charset val="134"/>
          </rPr>
          <t>HL:</t>
        </r>
        <r>
          <rPr>
            <sz val="9"/>
            <rFont val="宋体"/>
            <family val="3"/>
            <charset val="134"/>
          </rPr>
          <t xml:space="preserve">
2023年10月01日至2024年09月30日，该房屋租金的日单价为4.27元  月租金28811.10元
2024年10月01日至2025年09月30日，该房屋租金的日单价为4.67元  月租金31510.03元</t>
        </r>
      </text>
    </comment>
    <comment ref="BC32" authorId="1">
      <text>
        <r>
          <rPr>
            <b/>
            <sz val="9"/>
            <rFont val="宋体"/>
            <family val="3"/>
            <charset val="134"/>
          </rPr>
          <t>HL:</t>
        </r>
        <r>
          <rPr>
            <sz val="9"/>
            <rFont val="宋体"/>
            <family val="3"/>
            <charset val="134"/>
          </rPr>
          <t xml:space="preserve">
租期内含免租期为贰个月，自2024年04月01日起至2024年5月31日止</t>
        </r>
      </text>
    </comment>
    <comment ref="BD32" authorId="1">
      <text>
        <r>
          <rPr>
            <b/>
            <sz val="9"/>
            <rFont val="宋体"/>
            <family val="3"/>
            <charset val="134"/>
          </rPr>
          <t>HL:</t>
        </r>
        <r>
          <rPr>
            <sz val="9"/>
            <rFont val="宋体"/>
            <family val="3"/>
            <charset val="134"/>
          </rPr>
          <t xml:space="preserve">
租期内含免租期为贰个月，自2024年04月01日起至2024年5月31日止</t>
        </r>
      </text>
    </comment>
    <comment ref="BK32" authorId="1">
      <text>
        <r>
          <rPr>
            <b/>
            <sz val="9"/>
            <rFont val="宋体"/>
            <family val="3"/>
            <charset val="134"/>
          </rPr>
          <t>HL:</t>
        </r>
        <r>
          <rPr>
            <sz val="9"/>
            <rFont val="宋体"/>
            <family val="3"/>
            <charset val="134"/>
          </rPr>
          <t xml:space="preserve">
租期内含免租期为贰个月，自2024年04月01日起至2024年5月31日止</t>
        </r>
      </text>
    </comment>
    <comment ref="BL32" authorId="1">
      <text>
        <r>
          <rPr>
            <b/>
            <sz val="9"/>
            <rFont val="宋体"/>
            <family val="3"/>
            <charset val="134"/>
          </rPr>
          <t>HL:</t>
        </r>
        <r>
          <rPr>
            <sz val="9"/>
            <rFont val="宋体"/>
            <family val="3"/>
            <charset val="134"/>
          </rPr>
          <t xml:space="preserve">
租期内含免租期为贰个月，自2024年04月01日起至2024年5月31日止</t>
        </r>
      </text>
    </comment>
    <comment ref="CZ32" authorId="1">
      <text>
        <r>
          <rPr>
            <b/>
            <sz val="9"/>
            <rFont val="宋体"/>
            <family val="3"/>
            <charset val="134"/>
          </rPr>
          <t>HL:</t>
        </r>
        <r>
          <rPr>
            <sz val="9"/>
            <rFont val="宋体"/>
            <family val="3"/>
            <charset val="134"/>
          </rPr>
          <t xml:space="preserve">
2023年10月01日至2024年09月30日，该房屋租金的日单价为4.27元  月租金28811.10元
2024年10月01日至2025年09月30日，该房屋租金的日单价为4.67元  月租金31510.03元</t>
        </r>
      </text>
    </comment>
    <comment ref="FS32" authorId="1">
      <text>
        <r>
          <rPr>
            <b/>
            <sz val="9"/>
            <rFont val="宋体"/>
            <family val="3"/>
            <charset val="134"/>
          </rPr>
          <t>HL:</t>
        </r>
        <r>
          <rPr>
            <sz val="9"/>
            <rFont val="宋体"/>
            <family val="3"/>
            <charset val="134"/>
          </rPr>
          <t xml:space="preserve">
租期内含免租期为贰个月，自2024年04月01日起至2024年5月31日止</t>
        </r>
      </text>
    </comment>
    <comment ref="FT32" authorId="1">
      <text>
        <r>
          <rPr>
            <b/>
            <sz val="9"/>
            <rFont val="宋体"/>
            <family val="3"/>
            <charset val="134"/>
          </rPr>
          <t>HL:</t>
        </r>
        <r>
          <rPr>
            <sz val="9"/>
            <rFont val="宋体"/>
            <family val="3"/>
            <charset val="134"/>
          </rPr>
          <t xml:space="preserve">
租期内含免租期为贰个月，自2024年04月01日起至2024年5月31日止</t>
        </r>
      </text>
    </comment>
    <comment ref="GA32" authorId="1">
      <text>
        <r>
          <rPr>
            <b/>
            <sz val="9"/>
            <rFont val="宋体"/>
            <family val="3"/>
            <charset val="134"/>
          </rPr>
          <t>HL:</t>
        </r>
        <r>
          <rPr>
            <sz val="9"/>
            <rFont val="宋体"/>
            <family val="3"/>
            <charset val="134"/>
          </rPr>
          <t xml:space="preserve">
租期内含免租期为贰个月，自2024年04月01日起至2024年5月31日止</t>
        </r>
      </text>
    </comment>
    <comment ref="GB32" authorId="1">
      <text>
        <r>
          <rPr>
            <b/>
            <sz val="9"/>
            <rFont val="宋体"/>
            <family val="3"/>
            <charset val="134"/>
          </rPr>
          <t>HL:</t>
        </r>
        <r>
          <rPr>
            <sz val="9"/>
            <rFont val="宋体"/>
            <family val="3"/>
            <charset val="134"/>
          </rPr>
          <t xml:space="preserve">
租期内含免租期为贰个月，自2024年04月01日起至2024年5月31日止</t>
        </r>
      </text>
    </comment>
    <comment ref="GQ32" authorId="1">
      <text>
        <r>
          <rPr>
            <b/>
            <sz val="9"/>
            <rFont val="宋体"/>
            <family val="3"/>
            <charset val="134"/>
          </rPr>
          <t>HL:</t>
        </r>
        <r>
          <rPr>
            <sz val="9"/>
            <rFont val="宋体"/>
            <family val="3"/>
            <charset val="134"/>
          </rPr>
          <t xml:space="preserve">
2023年10月01日至2024年09月30日，该房屋租金的日单价为4.27元  月租金28811.10元
2024年10月01日至2025年09月30日，该房屋租金的日单价为4.67元  月租金31510.03元</t>
        </r>
      </text>
    </comment>
    <comment ref="D33" authorId="2">
      <text>
        <r>
          <rPr>
            <b/>
            <sz val="9"/>
            <rFont val="宋体"/>
            <family val="3"/>
            <charset val="134"/>
          </rPr>
          <t>作者:</t>
        </r>
        <r>
          <rPr>
            <sz val="9"/>
            <rFont val="宋体"/>
            <family val="3"/>
            <charset val="134"/>
          </rPr>
          <t xml:space="preserve">
0918:218.32
0919：202.97
0920：171.40
0921:148.56</t>
        </r>
      </text>
    </comment>
    <comment ref="J33" authorId="1">
      <text>
        <r>
          <rPr>
            <b/>
            <sz val="9"/>
            <rFont val="宋体"/>
            <family val="3"/>
            <charset val="134"/>
          </rPr>
          <t>HL:</t>
        </r>
        <r>
          <rPr>
            <sz val="9"/>
            <rFont val="宋体"/>
            <family val="3"/>
            <charset val="134"/>
          </rPr>
          <t xml:space="preserve">
2022.03.23客户2022.02.28提前退租，押金转收入
原合同到期日2023.09.24</t>
        </r>
      </text>
    </comment>
    <comment ref="D34" authorId="2">
      <text>
        <r>
          <rPr>
            <b/>
            <sz val="9"/>
            <rFont val="宋体"/>
            <family val="3"/>
            <charset val="134"/>
          </rPr>
          <t>作者:</t>
        </r>
        <r>
          <rPr>
            <sz val="9"/>
            <rFont val="宋体"/>
            <family val="3"/>
            <charset val="134"/>
          </rPr>
          <t xml:space="preserve">
0918:218.32
0919：202.97
0920：171.40
0921:148.56</t>
        </r>
      </text>
    </comment>
    <comment ref="J34" authorId="1">
      <text>
        <r>
          <rPr>
            <b/>
            <sz val="9"/>
            <rFont val="宋体"/>
            <family val="3"/>
            <charset val="134"/>
          </rPr>
          <t>HL:</t>
        </r>
        <r>
          <rPr>
            <sz val="9"/>
            <rFont val="宋体"/>
            <family val="3"/>
            <charset val="134"/>
          </rPr>
          <t xml:space="preserve">
2022.03.23客户2022.02.28提前退租，押金转收入
原合同到期日2023.09.24</t>
        </r>
      </text>
    </comment>
    <comment ref="J35" authorId="1">
      <text>
        <r>
          <rPr>
            <b/>
            <sz val="9"/>
            <rFont val="宋体"/>
            <family val="3"/>
            <charset val="134"/>
          </rPr>
          <t>HL:</t>
        </r>
        <r>
          <rPr>
            <sz val="9"/>
            <rFont val="宋体"/>
            <family val="3"/>
            <charset val="134"/>
          </rPr>
          <t xml:space="preserve">
租期内含免租期为壹个月，即2024年04月08日至2024年05月07日，免租期间内乙方免交租金，但须交纳水费、电费及其他应缴费用。</t>
        </r>
      </text>
    </comment>
    <comment ref="BL35" authorId="1">
      <text>
        <r>
          <rPr>
            <b/>
            <sz val="9"/>
            <rFont val="宋体"/>
            <family val="3"/>
            <charset val="134"/>
          </rPr>
          <t>HL:</t>
        </r>
        <r>
          <rPr>
            <sz val="9"/>
            <rFont val="宋体"/>
            <family val="3"/>
            <charset val="134"/>
          </rPr>
          <t xml:space="preserve">
2024年04月08日至2024年05月07日免租</t>
        </r>
      </text>
    </comment>
    <comment ref="FS35" authorId="1">
      <text>
        <r>
          <rPr>
            <b/>
            <sz val="9"/>
            <rFont val="宋体"/>
            <family val="3"/>
            <charset val="134"/>
          </rPr>
          <t>HL:</t>
        </r>
        <r>
          <rPr>
            <sz val="9"/>
            <rFont val="宋体"/>
            <family val="3"/>
            <charset val="134"/>
          </rPr>
          <t xml:space="preserve">
即2024年04月08日至2024年05月07日，免租</t>
        </r>
      </text>
    </comment>
    <comment ref="FW35" authorId="1">
      <text>
        <r>
          <rPr>
            <b/>
            <sz val="9"/>
            <rFont val="宋体"/>
            <family val="3"/>
            <charset val="134"/>
          </rPr>
          <t>HL:</t>
        </r>
        <r>
          <rPr>
            <sz val="9"/>
            <rFont val="宋体"/>
            <family val="3"/>
            <charset val="134"/>
          </rPr>
          <t xml:space="preserve">
2024.04.08-04.30</t>
        </r>
      </text>
    </comment>
    <comment ref="FX35" authorId="1">
      <text>
        <r>
          <rPr>
            <b/>
            <sz val="9"/>
            <rFont val="宋体"/>
            <family val="3"/>
            <charset val="134"/>
          </rPr>
          <t>HL:</t>
        </r>
        <r>
          <rPr>
            <sz val="9"/>
            <rFont val="宋体"/>
            <family val="3"/>
            <charset val="134"/>
          </rPr>
          <t xml:space="preserve">
2024.04.08-04.30</t>
        </r>
      </text>
    </comment>
    <comment ref="GA35" authorId="1">
      <text>
        <r>
          <rPr>
            <b/>
            <sz val="9"/>
            <rFont val="宋体"/>
            <family val="3"/>
            <charset val="134"/>
          </rPr>
          <t>HL:</t>
        </r>
        <r>
          <rPr>
            <sz val="9"/>
            <rFont val="宋体"/>
            <family val="3"/>
            <charset val="134"/>
          </rPr>
          <t xml:space="preserve">
即2024年04月08日至2024年05月07日，免租</t>
        </r>
      </text>
    </comment>
    <comment ref="GB35" authorId="1">
      <text>
        <r>
          <rPr>
            <b/>
            <sz val="9"/>
            <rFont val="宋体"/>
            <family val="3"/>
            <charset val="134"/>
          </rPr>
          <t>HL:</t>
        </r>
        <r>
          <rPr>
            <sz val="9"/>
            <rFont val="宋体"/>
            <family val="3"/>
            <charset val="134"/>
          </rPr>
          <t xml:space="preserve">
2024.05.08-05.31</t>
        </r>
      </text>
    </comment>
    <comment ref="GJ35" authorId="1">
      <text>
        <r>
          <rPr>
            <b/>
            <sz val="9"/>
            <rFont val="宋体"/>
            <family val="3"/>
            <charset val="134"/>
          </rPr>
          <t>HL:</t>
        </r>
        <r>
          <rPr>
            <sz val="9"/>
            <rFont val="宋体"/>
            <family val="3"/>
            <charset val="134"/>
          </rPr>
          <t xml:space="preserve">
2024.06.01-06.07
2024.06.08-06.30</t>
        </r>
      </text>
    </comment>
    <comment ref="GN35" authorId="1">
      <text>
        <r>
          <rPr>
            <b/>
            <sz val="9"/>
            <rFont val="宋体"/>
            <family val="3"/>
            <charset val="134"/>
          </rPr>
          <t>HL:</t>
        </r>
        <r>
          <rPr>
            <sz val="9"/>
            <rFont val="宋体"/>
            <family val="3"/>
            <charset val="134"/>
          </rPr>
          <t xml:space="preserve">
2024.06.01-06.07
2024.06.08-06.30</t>
        </r>
      </text>
    </comment>
    <comment ref="GZ35" authorId="1">
      <text>
        <r>
          <rPr>
            <b/>
            <sz val="9"/>
            <rFont val="宋体"/>
            <family val="3"/>
            <charset val="134"/>
          </rPr>
          <t>HL:</t>
        </r>
        <r>
          <rPr>
            <sz val="9"/>
            <rFont val="宋体"/>
            <family val="3"/>
            <charset val="134"/>
          </rPr>
          <t xml:space="preserve">
2024.08.01-08.07
2024.08.08-08.31</t>
        </r>
      </text>
    </comment>
    <comment ref="HD35" authorId="1">
      <text>
        <r>
          <rPr>
            <b/>
            <sz val="9"/>
            <rFont val="宋体"/>
            <family val="3"/>
            <charset val="134"/>
          </rPr>
          <t>HL:</t>
        </r>
        <r>
          <rPr>
            <sz val="9"/>
            <rFont val="宋体"/>
            <family val="3"/>
            <charset val="134"/>
          </rPr>
          <t xml:space="preserve">
2024.08.01-08.07
2024.08.08-08.31</t>
        </r>
      </text>
    </comment>
    <comment ref="HP35" authorId="1">
      <text>
        <r>
          <rPr>
            <b/>
            <sz val="9"/>
            <rFont val="宋体"/>
            <family val="3"/>
            <charset val="134"/>
          </rPr>
          <t>HL:</t>
        </r>
        <r>
          <rPr>
            <sz val="9"/>
            <rFont val="宋体"/>
            <family val="3"/>
            <charset val="134"/>
          </rPr>
          <t xml:space="preserve">
2024.10.01-10.07
2024年7月预收0.48元
2024.10.08-10.31
2024年9月少汇款0.48元</t>
        </r>
      </text>
    </comment>
    <comment ref="HT35" authorId="1">
      <text>
        <r>
          <rPr>
            <b/>
            <sz val="9"/>
            <rFont val="宋体"/>
            <family val="3"/>
            <charset val="134"/>
          </rPr>
          <t>HL:</t>
        </r>
        <r>
          <rPr>
            <sz val="9"/>
            <rFont val="宋体"/>
            <family val="3"/>
            <charset val="134"/>
          </rPr>
          <t xml:space="preserve">
2024.10.01-10.07
</t>
        </r>
      </text>
    </comment>
    <comment ref="IF35" authorId="1">
      <text>
        <r>
          <rPr>
            <b/>
            <sz val="9"/>
            <rFont val="宋体"/>
            <family val="3"/>
            <charset val="134"/>
          </rPr>
          <t>HL:</t>
        </r>
        <r>
          <rPr>
            <sz val="9"/>
            <rFont val="宋体"/>
            <family val="3"/>
            <charset val="134"/>
          </rPr>
          <t xml:space="preserve">
2024.12.01-12.07</t>
        </r>
      </text>
    </comment>
    <comment ref="IJ35" authorId="1">
      <text>
        <r>
          <rPr>
            <b/>
            <sz val="9"/>
            <rFont val="宋体"/>
            <family val="3"/>
            <charset val="134"/>
          </rPr>
          <t>HL:</t>
        </r>
        <r>
          <rPr>
            <sz val="9"/>
            <rFont val="宋体"/>
            <family val="3"/>
            <charset val="134"/>
          </rPr>
          <t xml:space="preserve">
2024.12.01-12.07</t>
        </r>
      </text>
    </comment>
    <comment ref="J36" authorId="1">
      <text>
        <r>
          <rPr>
            <b/>
            <sz val="9"/>
            <rFont val="宋体"/>
            <family val="3"/>
            <charset val="134"/>
          </rPr>
          <t>HL:</t>
        </r>
        <r>
          <rPr>
            <sz val="9"/>
            <rFont val="宋体"/>
            <family val="3"/>
            <charset val="134"/>
          </rPr>
          <t xml:space="preserve">
租期内含免租期为贰个月，即2024年06月01日起至2024年06月30日止以及2025年06月01日起至2025年06月30 日止，免租期间内乙方免交租金</t>
        </r>
      </text>
    </comment>
    <comment ref="CB36" authorId="1">
      <text>
        <r>
          <rPr>
            <b/>
            <sz val="9"/>
            <rFont val="宋体"/>
            <family val="3"/>
            <charset val="134"/>
          </rPr>
          <t>HL:</t>
        </r>
        <r>
          <rPr>
            <sz val="9"/>
            <rFont val="宋体"/>
            <family val="3"/>
            <charset val="134"/>
          </rPr>
          <t xml:space="preserve">
2024年06月01日起至2024年06月30日免租</t>
        </r>
      </text>
    </comment>
    <comment ref="GI36" authorId="1">
      <text>
        <r>
          <rPr>
            <b/>
            <sz val="9"/>
            <rFont val="宋体"/>
            <family val="3"/>
            <charset val="134"/>
          </rPr>
          <t>HL:</t>
        </r>
        <r>
          <rPr>
            <sz val="9"/>
            <rFont val="宋体"/>
            <family val="3"/>
            <charset val="134"/>
          </rPr>
          <t xml:space="preserve">
租期内含免租期为2024年06月01日起至2024年06月30日止</t>
        </r>
      </text>
    </comment>
    <comment ref="GJ36" authorId="1">
      <text>
        <r>
          <rPr>
            <b/>
            <sz val="9"/>
            <rFont val="宋体"/>
            <family val="3"/>
            <charset val="134"/>
          </rPr>
          <t>HL:</t>
        </r>
        <r>
          <rPr>
            <sz val="9"/>
            <rFont val="宋体"/>
            <family val="3"/>
            <charset val="134"/>
          </rPr>
          <t xml:space="preserve">
租期内含免租期为2024年06月01日起至2024年06月30日止</t>
        </r>
      </text>
    </comment>
    <comment ref="N38" authorId="2">
      <text>
        <r>
          <rPr>
            <b/>
            <sz val="9"/>
            <rFont val="宋体"/>
            <family val="3"/>
            <charset val="134"/>
          </rPr>
          <t>作者:</t>
        </r>
        <r>
          <rPr>
            <sz val="9"/>
            <rFont val="宋体"/>
            <family val="3"/>
            <charset val="134"/>
          </rPr>
          <t xml:space="preserve">
</t>
        </r>
        <r>
          <rPr>
            <b/>
            <sz val="9"/>
            <rFont val="Tahoma"/>
            <family val="2"/>
          </rPr>
          <t>09A1#</t>
        </r>
        <r>
          <rPr>
            <b/>
            <sz val="9"/>
            <rFont val="宋体"/>
            <family val="3"/>
            <charset val="134"/>
          </rPr>
          <t>北京诚信志远科技发展有限公司</t>
        </r>
        <r>
          <rPr>
            <b/>
            <sz val="9"/>
            <rFont val="Tahoma"/>
            <family val="2"/>
          </rPr>
          <t>2011.05.13</t>
        </r>
        <r>
          <rPr>
            <b/>
            <sz val="9"/>
            <rFont val="宋体"/>
            <family val="3"/>
            <charset val="134"/>
          </rPr>
          <t>交</t>
        </r>
        <r>
          <rPr>
            <b/>
            <sz val="9"/>
            <rFont val="Tahoma"/>
            <family val="2"/>
          </rPr>
          <t>4536.87</t>
        </r>
        <r>
          <rPr>
            <b/>
            <sz val="9"/>
            <rFont val="宋体"/>
            <family val="3"/>
            <charset val="134"/>
          </rPr>
          <t xml:space="preserve">（北京诚信志远科技发展有限公司与柯家森不知是否为同一个公司）
</t>
        </r>
        <r>
          <rPr>
            <sz val="9"/>
            <rFont val="宋体"/>
            <family val="3"/>
            <charset val="134"/>
          </rPr>
          <t xml:space="preserve">
</t>
        </r>
        <r>
          <rPr>
            <sz val="9"/>
            <rFont val="Tahoma"/>
            <family val="2"/>
          </rPr>
          <t>09A1#</t>
        </r>
        <r>
          <rPr>
            <sz val="9"/>
            <rFont val="宋体"/>
            <family val="3"/>
            <charset val="134"/>
          </rPr>
          <t>柯家森</t>
        </r>
        <r>
          <rPr>
            <sz val="9"/>
            <rFont val="Tahoma"/>
            <family val="2"/>
          </rPr>
          <t>2015.04.07</t>
        </r>
        <r>
          <rPr>
            <sz val="9"/>
            <rFont val="宋体"/>
            <family val="3"/>
            <charset val="134"/>
          </rPr>
          <t>交</t>
        </r>
        <r>
          <rPr>
            <sz val="9"/>
            <rFont val="Tahoma"/>
            <family val="2"/>
          </rPr>
          <t>336.66
09A1#</t>
        </r>
        <r>
          <rPr>
            <sz val="9"/>
            <rFont val="宋体"/>
            <family val="3"/>
            <charset val="134"/>
          </rPr>
          <t>柯家森</t>
        </r>
        <r>
          <rPr>
            <sz val="9"/>
            <rFont val="Tahoma"/>
            <family val="2"/>
          </rPr>
          <t>2017.04.10</t>
        </r>
        <r>
          <rPr>
            <sz val="9"/>
            <rFont val="宋体"/>
            <family val="3"/>
            <charset val="134"/>
          </rPr>
          <t>交</t>
        </r>
        <r>
          <rPr>
            <sz val="9"/>
            <rFont val="Tahoma"/>
            <family val="2"/>
          </rPr>
          <t>358.41
09A1#</t>
        </r>
        <r>
          <rPr>
            <sz val="9"/>
            <rFont val="宋体"/>
            <family val="3"/>
            <charset val="134"/>
          </rPr>
          <t>柯家森</t>
        </r>
        <r>
          <rPr>
            <sz val="9"/>
            <rFont val="Tahoma"/>
            <family val="2"/>
          </rPr>
          <t>2018.03.21</t>
        </r>
        <r>
          <rPr>
            <sz val="9"/>
            <rFont val="宋体"/>
            <family val="3"/>
            <charset val="134"/>
          </rPr>
          <t>交</t>
        </r>
        <r>
          <rPr>
            <sz val="9"/>
            <rFont val="Tahoma"/>
            <family val="2"/>
          </rPr>
          <t>2768.79</t>
        </r>
      </text>
    </comment>
    <comment ref="Q38" authorId="6">
      <text>
        <r>
          <rPr>
            <b/>
            <sz val="9"/>
            <rFont val="宋体"/>
            <family val="3"/>
            <charset val="134"/>
          </rPr>
          <t>Sky123.Org:</t>
        </r>
        <r>
          <rPr>
            <sz val="9"/>
            <rFont val="宋体"/>
            <family val="3"/>
            <charset val="134"/>
          </rPr>
          <t xml:space="preserve">
</t>
        </r>
        <r>
          <rPr>
            <b/>
            <sz val="9"/>
            <rFont val="宋体"/>
            <family val="3"/>
            <charset val="134"/>
          </rPr>
          <t>09A1#北京诚信志远科技发展有限公司2011.05.13交892.5（北京诚信志远科技发展有限公司与柯家森不知是否为同一个公司）</t>
        </r>
        <r>
          <rPr>
            <sz val="9"/>
            <rFont val="宋体"/>
            <family val="3"/>
            <charset val="134"/>
          </rPr>
          <t xml:space="preserve">
</t>
        </r>
      </text>
    </comment>
    <comment ref="N41" authorId="1">
      <text>
        <r>
          <rPr>
            <b/>
            <sz val="9"/>
            <rFont val="宋体"/>
            <family val="3"/>
            <charset val="134"/>
          </rPr>
          <t>HL:</t>
        </r>
        <r>
          <rPr>
            <sz val="9"/>
            <rFont val="宋体"/>
            <family val="3"/>
            <charset val="134"/>
          </rPr>
          <t xml:space="preserve">
原聚能保证金：41167.38</t>
        </r>
      </text>
    </comment>
    <comment ref="Q41" authorId="1">
      <text>
        <r>
          <rPr>
            <b/>
            <sz val="9"/>
            <rFont val="宋体"/>
            <family val="3"/>
            <charset val="134"/>
          </rPr>
          <t>HL:</t>
        </r>
        <r>
          <rPr>
            <sz val="9"/>
            <rFont val="宋体"/>
            <family val="3"/>
            <charset val="134"/>
          </rPr>
          <t xml:space="preserve">
原聚能物业费押金：4454.88</t>
        </r>
      </text>
    </comment>
    <comment ref="GI41" authorId="1">
      <text>
        <r>
          <rPr>
            <b/>
            <sz val="9"/>
            <rFont val="宋体"/>
            <family val="3"/>
            <charset val="134"/>
          </rPr>
          <t>HL:</t>
        </r>
        <r>
          <rPr>
            <sz val="9"/>
            <rFont val="宋体"/>
            <family val="3"/>
            <charset val="134"/>
          </rPr>
          <t xml:space="preserve">
2024.06.01-06.19
2024.06.20-06.30</t>
        </r>
      </text>
    </comment>
    <comment ref="GJ41" authorId="1">
      <text>
        <r>
          <rPr>
            <b/>
            <sz val="9"/>
            <rFont val="宋体"/>
            <family val="3"/>
            <charset val="134"/>
          </rPr>
          <t>HL:</t>
        </r>
        <r>
          <rPr>
            <sz val="9"/>
            <rFont val="宋体"/>
            <family val="3"/>
            <charset val="134"/>
          </rPr>
          <t xml:space="preserve">
2024.06.01-06.19
2024.06.20-06.30</t>
        </r>
      </text>
    </comment>
    <comment ref="GM41" authorId="1">
      <text>
        <r>
          <rPr>
            <b/>
            <sz val="9"/>
            <rFont val="宋体"/>
            <family val="3"/>
            <charset val="134"/>
          </rPr>
          <t>HL:</t>
        </r>
        <r>
          <rPr>
            <sz val="9"/>
            <rFont val="宋体"/>
            <family val="3"/>
            <charset val="134"/>
          </rPr>
          <t xml:space="preserve">
2024.06.01-06.19
2024.06.20-06.30</t>
        </r>
      </text>
    </comment>
    <comment ref="GN41" authorId="1">
      <text>
        <r>
          <rPr>
            <b/>
            <sz val="9"/>
            <rFont val="宋体"/>
            <family val="3"/>
            <charset val="134"/>
          </rPr>
          <t>HL:</t>
        </r>
        <r>
          <rPr>
            <sz val="9"/>
            <rFont val="宋体"/>
            <family val="3"/>
            <charset val="134"/>
          </rPr>
          <t xml:space="preserve">
2024.06.01-06.19
2024.06.20-06.30</t>
        </r>
      </text>
    </comment>
    <comment ref="HH41" authorId="1">
      <text>
        <r>
          <rPr>
            <b/>
            <sz val="9"/>
            <rFont val="宋体"/>
            <family val="3"/>
            <charset val="134"/>
          </rPr>
          <t>HL:</t>
        </r>
        <r>
          <rPr>
            <sz val="9"/>
            <rFont val="宋体"/>
            <family val="3"/>
            <charset val="134"/>
          </rPr>
          <t xml:space="preserve">
2024.09.01-09.19
2024.09.20-09.30</t>
        </r>
      </text>
    </comment>
    <comment ref="HL41" authorId="1">
      <text>
        <r>
          <rPr>
            <b/>
            <sz val="9"/>
            <rFont val="宋体"/>
            <family val="3"/>
            <charset val="134"/>
          </rPr>
          <t>HL:</t>
        </r>
        <r>
          <rPr>
            <sz val="9"/>
            <rFont val="宋体"/>
            <family val="3"/>
            <charset val="134"/>
          </rPr>
          <t xml:space="preserve">
2024.09.01-09.19
2024.09.20-09.30</t>
        </r>
      </text>
    </comment>
    <comment ref="IF41" authorId="1">
      <text>
        <r>
          <rPr>
            <b/>
            <sz val="9"/>
            <rFont val="宋体"/>
            <family val="3"/>
            <charset val="134"/>
          </rPr>
          <t>HL:</t>
        </r>
        <r>
          <rPr>
            <sz val="9"/>
            <rFont val="宋体"/>
            <family val="3"/>
            <charset val="134"/>
          </rPr>
          <t xml:space="preserve">
2024.12.01-12.19</t>
        </r>
      </text>
    </comment>
    <comment ref="IJ41" authorId="1">
      <text>
        <r>
          <rPr>
            <b/>
            <sz val="9"/>
            <rFont val="宋体"/>
            <family val="3"/>
            <charset val="134"/>
          </rPr>
          <t>HL:</t>
        </r>
        <r>
          <rPr>
            <sz val="9"/>
            <rFont val="宋体"/>
            <family val="3"/>
            <charset val="134"/>
          </rPr>
          <t xml:space="preserve">
2024.12.01-12.19
</t>
        </r>
      </text>
    </comment>
    <comment ref="J42" authorId="1">
      <text>
        <r>
          <rPr>
            <b/>
            <sz val="9"/>
            <rFont val="宋体"/>
            <family val="3"/>
            <charset val="134"/>
          </rPr>
          <t>HL:</t>
        </r>
        <r>
          <rPr>
            <sz val="9"/>
            <rFont val="宋体"/>
            <family val="3"/>
            <charset val="134"/>
          </rPr>
          <t xml:space="preserve">
租期内含免租期为叁个月
2023年12月26日至2024年01月25日
2024年12月26日至2025年01月25日
2025年12月26日至2026年01月25日</t>
        </r>
      </text>
    </comment>
    <comment ref="T42" authorId="1">
      <text>
        <r>
          <rPr>
            <b/>
            <sz val="9"/>
            <rFont val="宋体"/>
            <family val="3"/>
            <charset val="134"/>
          </rPr>
          <t>HL:</t>
        </r>
        <r>
          <rPr>
            <sz val="9"/>
            <rFont val="宋体"/>
            <family val="3"/>
            <charset val="134"/>
          </rPr>
          <t xml:space="preserve">
2023年12月26日至2025年12月25日，该房屋租金的日单价为4.07元；月租金29797.66元
2025年12月26日至2026年12月25日，该房屋租金的日单价为4.32元；月租金31627.98元
</t>
        </r>
      </text>
    </comment>
    <comment ref="DO42" authorId="1">
      <text>
        <r>
          <rPr>
            <b/>
            <sz val="9"/>
            <rFont val="宋体"/>
            <family val="3"/>
            <charset val="134"/>
          </rPr>
          <t>HL:</t>
        </r>
        <r>
          <rPr>
            <sz val="9"/>
            <rFont val="宋体"/>
            <family val="3"/>
            <charset val="134"/>
          </rPr>
          <t xml:space="preserve">
2024年12月26日至2025年01月25日
免租</t>
        </r>
      </text>
    </comment>
    <comment ref="DP42" authorId="1">
      <text>
        <r>
          <rPr>
            <b/>
            <sz val="9"/>
            <rFont val="宋体"/>
            <family val="3"/>
            <charset val="134"/>
          </rPr>
          <t>HL:</t>
        </r>
        <r>
          <rPr>
            <sz val="9"/>
            <rFont val="宋体"/>
            <family val="3"/>
            <charset val="134"/>
          </rPr>
          <t xml:space="preserve">
2024年12月26日至2025年01月25日 免租
本月收2025.01.26-03.25
</t>
        </r>
      </text>
    </comment>
    <comment ref="EU42" authorId="1">
      <text>
        <r>
          <rPr>
            <b/>
            <sz val="9"/>
            <rFont val="宋体"/>
            <family val="3"/>
            <charset val="134"/>
          </rPr>
          <t>HL:</t>
        </r>
        <r>
          <rPr>
            <sz val="9"/>
            <rFont val="宋体"/>
            <family val="3"/>
            <charset val="134"/>
          </rPr>
          <t xml:space="preserve">
租期内含免租期为2024年12月26日至2025年01月25日</t>
        </r>
      </text>
    </comment>
    <comment ref="EV42" authorId="1">
      <text>
        <r>
          <rPr>
            <b/>
            <sz val="9"/>
            <rFont val="宋体"/>
            <family val="3"/>
            <charset val="134"/>
          </rPr>
          <t>HL:</t>
        </r>
        <r>
          <rPr>
            <sz val="9"/>
            <rFont val="宋体"/>
            <family val="3"/>
            <charset val="134"/>
          </rPr>
          <t xml:space="preserve">
2023年12月26日至2024年01月25日免租
本月收2024.01.26-03.25</t>
        </r>
      </text>
    </comment>
    <comment ref="FL42" authorId="1">
      <text>
        <r>
          <rPr>
            <b/>
            <sz val="9"/>
            <rFont val="宋体"/>
            <family val="3"/>
            <charset val="134"/>
          </rPr>
          <t>HL:</t>
        </r>
        <r>
          <rPr>
            <sz val="9"/>
            <rFont val="宋体"/>
            <family val="3"/>
            <charset val="134"/>
          </rPr>
          <t xml:space="preserve">
2024.03.01-03.25
2024.03.26-03.31</t>
        </r>
      </text>
    </comment>
    <comment ref="FP42" authorId="1">
      <text>
        <r>
          <rPr>
            <b/>
            <sz val="9"/>
            <rFont val="宋体"/>
            <family val="3"/>
            <charset val="134"/>
          </rPr>
          <t>HL:</t>
        </r>
        <r>
          <rPr>
            <sz val="9"/>
            <rFont val="宋体"/>
            <family val="3"/>
            <charset val="134"/>
          </rPr>
          <t xml:space="preserve">
2024.03.01-03.25
2024.03.26-03.31</t>
        </r>
      </text>
    </comment>
    <comment ref="GJ42" authorId="1">
      <text>
        <r>
          <rPr>
            <b/>
            <sz val="9"/>
            <rFont val="宋体"/>
            <family val="3"/>
            <charset val="134"/>
          </rPr>
          <t>HL:</t>
        </r>
        <r>
          <rPr>
            <sz val="9"/>
            <rFont val="宋体"/>
            <family val="3"/>
            <charset val="134"/>
          </rPr>
          <t xml:space="preserve">
2024.06.01-06.25
2024.06.26-06.30</t>
        </r>
      </text>
    </comment>
    <comment ref="GN42" authorId="1">
      <text>
        <r>
          <rPr>
            <b/>
            <sz val="9"/>
            <rFont val="宋体"/>
            <family val="3"/>
            <charset val="134"/>
          </rPr>
          <t>HL:</t>
        </r>
        <r>
          <rPr>
            <sz val="9"/>
            <rFont val="宋体"/>
            <family val="3"/>
            <charset val="134"/>
          </rPr>
          <t xml:space="preserve">
2024.06.01-06.25
2024.06.26-06.30</t>
        </r>
      </text>
    </comment>
    <comment ref="HH42" authorId="1">
      <text>
        <r>
          <rPr>
            <b/>
            <sz val="9"/>
            <rFont val="宋体"/>
            <family val="3"/>
            <charset val="134"/>
          </rPr>
          <t>HL:</t>
        </r>
        <r>
          <rPr>
            <sz val="9"/>
            <rFont val="宋体"/>
            <family val="3"/>
            <charset val="134"/>
          </rPr>
          <t xml:space="preserve">
2024.09.01-09.25
2024.09.26-09.30</t>
        </r>
      </text>
    </comment>
    <comment ref="HL42" authorId="1">
      <text>
        <r>
          <rPr>
            <b/>
            <sz val="9"/>
            <rFont val="宋体"/>
            <family val="3"/>
            <charset val="134"/>
          </rPr>
          <t>HL:</t>
        </r>
        <r>
          <rPr>
            <sz val="9"/>
            <rFont val="宋体"/>
            <family val="3"/>
            <charset val="134"/>
          </rPr>
          <t xml:space="preserve">
2024.09.01-09.25
2024.09.26-09.30</t>
        </r>
      </text>
    </comment>
    <comment ref="IE42" authorId="1">
      <text>
        <r>
          <rPr>
            <b/>
            <sz val="9"/>
            <rFont val="宋体"/>
            <family val="3"/>
            <charset val="134"/>
          </rPr>
          <t>HL:</t>
        </r>
        <r>
          <rPr>
            <sz val="9"/>
            <rFont val="宋体"/>
            <family val="3"/>
            <charset val="134"/>
          </rPr>
          <t xml:space="preserve">
租期内含免租期为2024年12月26日至2025年01月25日
</t>
        </r>
      </text>
    </comment>
    <comment ref="IF42" authorId="1">
      <text>
        <r>
          <rPr>
            <b/>
            <sz val="9"/>
            <rFont val="宋体"/>
            <family val="3"/>
            <charset val="134"/>
          </rPr>
          <t>HL:</t>
        </r>
        <r>
          <rPr>
            <sz val="9"/>
            <rFont val="宋体"/>
            <family val="3"/>
            <charset val="134"/>
          </rPr>
          <t xml:space="preserve">
2024.12.01-12.25</t>
        </r>
      </text>
    </comment>
    <comment ref="IJ42" authorId="1">
      <text>
        <r>
          <rPr>
            <b/>
            <sz val="9"/>
            <rFont val="宋体"/>
            <family val="3"/>
            <charset val="134"/>
          </rPr>
          <t>HL:</t>
        </r>
        <r>
          <rPr>
            <sz val="9"/>
            <rFont val="宋体"/>
            <family val="3"/>
            <charset val="134"/>
          </rPr>
          <t xml:space="preserve">
2024.12.01-12.25
</t>
        </r>
      </text>
    </comment>
    <comment ref="IL42" authorId="1">
      <text>
        <r>
          <rPr>
            <b/>
            <sz val="9"/>
            <rFont val="宋体"/>
            <family val="3"/>
            <charset val="134"/>
          </rPr>
          <t>HL:</t>
        </r>
        <r>
          <rPr>
            <sz val="9"/>
            <rFont val="宋体"/>
            <family val="3"/>
            <charset val="134"/>
          </rPr>
          <t xml:space="preserve">
2024年12月26日至2025年01月25日
免租</t>
        </r>
      </text>
    </comment>
    <comment ref="JQ42" authorId="1">
      <text>
        <r>
          <rPr>
            <b/>
            <sz val="9"/>
            <rFont val="宋体"/>
            <family val="3"/>
            <charset val="134"/>
          </rPr>
          <t>HL:</t>
        </r>
        <r>
          <rPr>
            <sz val="9"/>
            <rFont val="宋体"/>
            <family val="3"/>
            <charset val="134"/>
          </rPr>
          <t xml:space="preserve">
2023年12月26日至2024年01月25日免租
本月收2024.01.26-03.25</t>
        </r>
      </text>
    </comment>
    <comment ref="J43" authorId="1">
      <text>
        <r>
          <rPr>
            <b/>
            <sz val="9"/>
            <rFont val="宋体"/>
            <family val="3"/>
            <charset val="134"/>
          </rPr>
          <t>HL:</t>
        </r>
        <r>
          <rPr>
            <sz val="9"/>
            <rFont val="宋体"/>
            <family val="3"/>
            <charset val="134"/>
          </rPr>
          <t xml:space="preserve">
租期内含免租期为叁个月
2023年12月26日至2024年01月25日
2024年12月26日至2025年01月25日
2025年12月26日至2026年01月25日</t>
        </r>
      </text>
    </comment>
    <comment ref="D44" authorId="2">
      <text>
        <r>
          <rPr>
            <b/>
            <sz val="9"/>
            <rFont val="宋体"/>
            <family val="3"/>
            <charset val="134"/>
          </rPr>
          <t>作者:</t>
        </r>
        <r>
          <rPr>
            <sz val="9"/>
            <rFont val="宋体"/>
            <family val="3"/>
            <charset val="134"/>
          </rPr>
          <t xml:space="preserve">
1001：49.21
1002：191.49
1003：317.36-258.06=59.3
1004: 258.06</t>
        </r>
      </text>
    </comment>
    <comment ref="CJ44" authorId="1">
      <text>
        <r>
          <rPr>
            <b/>
            <sz val="9"/>
            <rFont val="宋体"/>
            <family val="3"/>
            <charset val="134"/>
          </rPr>
          <t>HL:</t>
        </r>
        <r>
          <rPr>
            <sz val="9"/>
            <rFont val="宋体"/>
            <family val="3"/>
            <charset val="134"/>
          </rPr>
          <t xml:space="preserve">
-22497.65：原1003-1004已缴纳的租金调至808（2024.07.15-07.31）
-40253.15：退07.01-07.31
17755.5：开07.01-07.14
60104.02：2023.07.01-2023.08.15免租期租金
</t>
        </r>
      </text>
    </comment>
    <comment ref="CK44" authorId="1">
      <text>
        <r>
          <rPr>
            <b/>
            <sz val="9"/>
            <rFont val="宋体"/>
            <family val="3"/>
            <charset val="134"/>
          </rPr>
          <t>HL:</t>
        </r>
        <r>
          <rPr>
            <sz val="9"/>
            <rFont val="宋体"/>
            <family val="3"/>
            <charset val="134"/>
          </rPr>
          <t xml:space="preserve">
-22497.65：原1003-1004已缴纳的租金调至808（2024.07.15-07.31）
-40253.15：退07.01-07.31
17755.5：开07.01-07.14
60104.02：2023.07.01-2023.08.15免租期租金
</t>
        </r>
      </text>
    </comment>
    <comment ref="CN44" authorId="1">
      <text>
        <r>
          <rPr>
            <b/>
            <sz val="9"/>
            <rFont val="宋体"/>
            <family val="3"/>
            <charset val="134"/>
          </rPr>
          <t>HL:</t>
        </r>
        <r>
          <rPr>
            <sz val="9"/>
            <rFont val="宋体"/>
            <family val="3"/>
            <charset val="134"/>
          </rPr>
          <t xml:space="preserve">
-4477.95：原1003-1004已缴纳的物业费调至808（2024.07.15-07.31）
-8012.02：退07.01-07.31
3534.07：开07.01-07.14</t>
        </r>
      </text>
    </comment>
    <comment ref="GQ44" authorId="1">
      <text>
        <r>
          <rPr>
            <b/>
            <sz val="9"/>
            <rFont val="宋体"/>
            <family val="3"/>
            <charset val="134"/>
          </rPr>
          <t>HL:</t>
        </r>
        <r>
          <rPr>
            <sz val="9"/>
            <rFont val="宋体"/>
            <family val="3"/>
            <charset val="134"/>
          </rPr>
          <t xml:space="preserve">
2024.07.01-07.14 转房间0808
60104.02：2023.07.01-08.15免租期租金</t>
        </r>
      </text>
    </comment>
    <comment ref="GR44" authorId="1">
      <text>
        <r>
          <rPr>
            <b/>
            <sz val="9"/>
            <rFont val="宋体"/>
            <family val="3"/>
            <charset val="134"/>
          </rPr>
          <t>HL:</t>
        </r>
        <r>
          <rPr>
            <sz val="9"/>
            <rFont val="宋体"/>
            <family val="3"/>
            <charset val="134"/>
          </rPr>
          <t xml:space="preserve">
60104.02：2023.07.01-2023.08.15免租期租金
40253.15：2024.07.01-07.31
-40253.15：退2024.07.01-07.31
17755.5：收2024.07.01-07.14
其余租金转0808房间</t>
        </r>
      </text>
    </comment>
    <comment ref="GU44" authorId="1">
      <text>
        <r>
          <rPr>
            <b/>
            <sz val="9"/>
            <rFont val="宋体"/>
            <family val="3"/>
            <charset val="134"/>
          </rPr>
          <t>HL:</t>
        </r>
        <r>
          <rPr>
            <sz val="9"/>
            <rFont val="宋体"/>
            <family val="3"/>
            <charset val="134"/>
          </rPr>
          <t xml:space="preserve">
2024.07.01-07.14 转房间0808</t>
        </r>
      </text>
    </comment>
    <comment ref="GV44" authorId="1">
      <text>
        <r>
          <rPr>
            <b/>
            <sz val="9"/>
            <rFont val="宋体"/>
            <family val="3"/>
            <charset val="134"/>
          </rPr>
          <t>HL:</t>
        </r>
        <r>
          <rPr>
            <sz val="9"/>
            <rFont val="宋体"/>
            <family val="3"/>
            <charset val="134"/>
          </rPr>
          <t xml:space="preserve">
8012.02：2024.07.01-07.31
-8012.02：退2024.07.01-07.31
3534.07：收2024.07.01-07.14
其余物业费转0808房间</t>
        </r>
      </text>
    </comment>
    <comment ref="HG44" authorId="1">
      <text>
        <r>
          <rPr>
            <b/>
            <sz val="9"/>
            <rFont val="宋体"/>
            <family val="3"/>
            <charset val="134"/>
          </rPr>
          <t>HL:</t>
        </r>
        <r>
          <rPr>
            <sz val="9"/>
            <rFont val="宋体"/>
            <family val="3"/>
            <charset val="134"/>
          </rPr>
          <t xml:space="preserve">
2024.08.21-08.31
2024.09.01-09.30</t>
        </r>
      </text>
    </comment>
    <comment ref="HH44" authorId="1">
      <text>
        <r>
          <rPr>
            <b/>
            <sz val="9"/>
            <rFont val="宋体"/>
            <family val="3"/>
            <charset val="134"/>
          </rPr>
          <t>HL:</t>
        </r>
        <r>
          <rPr>
            <sz val="9"/>
            <rFont val="宋体"/>
            <family val="3"/>
            <charset val="134"/>
          </rPr>
          <t xml:space="preserve">
2024.08.21-08.31
2024.09.01-09.30</t>
        </r>
      </text>
    </comment>
    <comment ref="HK44" authorId="1">
      <text>
        <r>
          <rPr>
            <b/>
            <sz val="9"/>
            <rFont val="宋体"/>
            <family val="3"/>
            <charset val="134"/>
          </rPr>
          <t>HL:</t>
        </r>
        <r>
          <rPr>
            <sz val="9"/>
            <rFont val="宋体"/>
            <family val="3"/>
            <charset val="134"/>
          </rPr>
          <t xml:space="preserve">
2024.08.21-08.31
2024.09.01-09.30
</t>
        </r>
      </text>
    </comment>
    <comment ref="HL44" authorId="1">
      <text>
        <r>
          <rPr>
            <b/>
            <sz val="9"/>
            <rFont val="宋体"/>
            <family val="3"/>
            <charset val="134"/>
          </rPr>
          <t>HL:</t>
        </r>
        <r>
          <rPr>
            <sz val="9"/>
            <rFont val="宋体"/>
            <family val="3"/>
            <charset val="134"/>
          </rPr>
          <t xml:space="preserve">
2024.08.21-08.31
2024.09.01-09.30</t>
        </r>
      </text>
    </comment>
    <comment ref="HX44" authorId="1">
      <text>
        <r>
          <rPr>
            <b/>
            <sz val="9"/>
            <rFont val="宋体"/>
            <family val="3"/>
            <charset val="134"/>
          </rPr>
          <t>HL:</t>
        </r>
        <r>
          <rPr>
            <sz val="9"/>
            <rFont val="宋体"/>
            <family val="3"/>
            <charset val="134"/>
          </rPr>
          <t xml:space="preserve">
2024.11.01-11.20</t>
        </r>
      </text>
    </comment>
    <comment ref="IB44" authorId="1">
      <text>
        <r>
          <rPr>
            <b/>
            <sz val="9"/>
            <rFont val="宋体"/>
            <family val="3"/>
            <charset val="134"/>
          </rPr>
          <t>HL:</t>
        </r>
        <r>
          <rPr>
            <sz val="9"/>
            <rFont val="宋体"/>
            <family val="3"/>
            <charset val="134"/>
          </rPr>
          <t xml:space="preserve">
2024.11.01-11.20</t>
        </r>
      </text>
    </comment>
    <comment ref="KP44" authorId="1">
      <text>
        <r>
          <rPr>
            <b/>
            <sz val="9"/>
            <rFont val="宋体"/>
            <family val="3"/>
            <charset val="134"/>
          </rPr>
          <t>HL:</t>
        </r>
        <r>
          <rPr>
            <sz val="9"/>
            <rFont val="宋体"/>
            <family val="3"/>
            <charset val="134"/>
          </rPr>
          <t xml:space="preserve">
60104.02：未来数科交2023.07.01-2023.08.15免租期租金</t>
        </r>
      </text>
    </comment>
    <comment ref="G45" authorId="0">
      <text>
        <r>
          <rPr>
            <b/>
            <sz val="9"/>
            <rFont val="宋体"/>
            <family val="3"/>
            <charset val="134"/>
          </rPr>
          <t>64001:</t>
        </r>
        <r>
          <rPr>
            <sz val="9"/>
            <rFont val="宋体"/>
            <family val="3"/>
            <charset val="134"/>
          </rPr>
          <t xml:space="preserve">
原客户：中科达沃科技（北京）有限公司变更为北京中科彼岸集成电路科技有限公司</t>
        </r>
      </text>
    </comment>
    <comment ref="N45" authorId="1">
      <text>
        <r>
          <rPr>
            <b/>
            <sz val="9"/>
            <rFont val="宋体"/>
            <family val="3"/>
            <charset val="134"/>
          </rPr>
          <t>HL:</t>
        </r>
        <r>
          <rPr>
            <sz val="9"/>
            <rFont val="宋体"/>
            <family val="3"/>
            <charset val="134"/>
          </rPr>
          <t xml:space="preserve">
原有3000</t>
        </r>
      </text>
    </comment>
    <comment ref="EV46" authorId="1">
      <text>
        <r>
          <rPr>
            <b/>
            <sz val="9"/>
            <rFont val="宋体"/>
            <family val="3"/>
            <charset val="134"/>
          </rPr>
          <t>HL:</t>
        </r>
        <r>
          <rPr>
            <sz val="9"/>
            <rFont val="宋体"/>
            <family val="3"/>
            <charset val="134"/>
          </rPr>
          <t xml:space="preserve">
2024.01.01-01.14</t>
        </r>
      </text>
    </comment>
    <comment ref="EZ46" authorId="1">
      <text>
        <r>
          <rPr>
            <b/>
            <sz val="9"/>
            <rFont val="宋体"/>
            <family val="3"/>
            <charset val="134"/>
          </rPr>
          <t>HL:</t>
        </r>
        <r>
          <rPr>
            <sz val="9"/>
            <rFont val="宋体"/>
            <family val="3"/>
            <charset val="134"/>
          </rPr>
          <t xml:space="preserve">
2024.01.01-01.14</t>
        </r>
      </text>
    </comment>
    <comment ref="GQ46" authorId="1">
      <text>
        <r>
          <rPr>
            <b/>
            <sz val="9"/>
            <rFont val="宋体"/>
            <family val="3"/>
            <charset val="134"/>
          </rPr>
          <t>HL:</t>
        </r>
        <r>
          <rPr>
            <sz val="9"/>
            <rFont val="宋体"/>
            <family val="3"/>
            <charset val="134"/>
          </rPr>
          <t xml:space="preserve">
2024.07.01-07.14
2024.07.15-07.31</t>
        </r>
      </text>
    </comment>
    <comment ref="GR46" authorId="1">
      <text>
        <r>
          <rPr>
            <b/>
            <sz val="9"/>
            <rFont val="宋体"/>
            <family val="3"/>
            <charset val="134"/>
          </rPr>
          <t>HL:</t>
        </r>
        <r>
          <rPr>
            <sz val="9"/>
            <rFont val="宋体"/>
            <family val="3"/>
            <charset val="134"/>
          </rPr>
          <t xml:space="preserve">
2024.07.01-07.14
2024.07.15-07.31</t>
        </r>
      </text>
    </comment>
    <comment ref="GU46" authorId="1">
      <text>
        <r>
          <rPr>
            <b/>
            <sz val="9"/>
            <rFont val="宋体"/>
            <family val="3"/>
            <charset val="134"/>
          </rPr>
          <t>HL:</t>
        </r>
        <r>
          <rPr>
            <sz val="9"/>
            <rFont val="宋体"/>
            <family val="3"/>
            <charset val="134"/>
          </rPr>
          <t xml:space="preserve">
2024.07.01-07.14
2024.07.15-07.31
</t>
        </r>
      </text>
    </comment>
    <comment ref="GV46" authorId="1">
      <text>
        <r>
          <rPr>
            <b/>
            <sz val="9"/>
            <rFont val="宋体"/>
            <family val="3"/>
            <charset val="134"/>
          </rPr>
          <t>HL:</t>
        </r>
        <r>
          <rPr>
            <sz val="9"/>
            <rFont val="宋体"/>
            <family val="3"/>
            <charset val="134"/>
          </rPr>
          <t xml:space="preserve">
2024.07.01-07.14
2024.07.15-07.31</t>
        </r>
      </text>
    </comment>
    <comment ref="IQ46" authorId="1">
      <text>
        <r>
          <rPr>
            <b/>
            <sz val="9"/>
            <rFont val="宋体"/>
            <family val="3"/>
            <charset val="134"/>
          </rPr>
          <t>HL:</t>
        </r>
        <r>
          <rPr>
            <sz val="9"/>
            <rFont val="宋体"/>
            <family val="3"/>
            <charset val="134"/>
          </rPr>
          <t xml:space="preserve">
2025.01.01-01.14</t>
        </r>
      </text>
    </comment>
    <comment ref="JD46" authorId="1">
      <text>
        <r>
          <rPr>
            <b/>
            <sz val="9"/>
            <rFont val="宋体"/>
            <family val="3"/>
            <charset val="134"/>
          </rPr>
          <t>HL:</t>
        </r>
        <r>
          <rPr>
            <sz val="9"/>
            <rFont val="宋体"/>
            <family val="3"/>
            <charset val="134"/>
          </rPr>
          <t xml:space="preserve">
2025.01.01-01.14</t>
        </r>
      </text>
    </comment>
    <comment ref="G47" authorId="1">
      <text>
        <r>
          <rPr>
            <b/>
            <sz val="9"/>
            <rFont val="宋体"/>
            <family val="3"/>
            <charset val="134"/>
          </rPr>
          <t>HL:</t>
        </r>
        <r>
          <rPr>
            <sz val="9"/>
            <rFont val="宋体"/>
            <family val="3"/>
            <charset val="134"/>
          </rPr>
          <t xml:space="preserve">
因乙方原因导致本合同自起租之日起两年内提前终止或解除的，则乙方均不享有上述之免租期，在此情形下，乙方应于本合同提前终止或解除之日起3个工作日内，按合同约定的起租日当年的租金标准向甲方全额补交贰个月零15天的免租期的租金；
因乙方原因导致本合同自起租之日起超过两年提前终止或解除的，则乙方享有贰个月的免租期，在此情形下，乙方应于本合同提前终止或解除之日起3个工作日内，按合同约定的起租日当年的租金标准向甲方全额补交15天的免租期的租金。</t>
        </r>
      </text>
    </comment>
    <comment ref="J47" authorId="1">
      <text>
        <r>
          <rPr>
            <b/>
            <sz val="9"/>
            <rFont val="宋体"/>
            <family val="3"/>
            <charset val="134"/>
          </rPr>
          <t>HL:</t>
        </r>
        <r>
          <rPr>
            <sz val="9"/>
            <rFont val="宋体"/>
            <family val="3"/>
            <charset val="134"/>
          </rPr>
          <t xml:space="preserve">
租期内含免租期为贰个月零15天，自 2023年06 月 01日 起至 2023年06 月15日止，2024年06月01日起至2024年06月30日止，2025年06月01日起至2025年06月30日止，免租期间内乙方免交租金，但须交纳水费、电费及其他应缴费用。</t>
        </r>
      </text>
    </comment>
    <comment ref="T47" authorId="1">
      <text>
        <r>
          <rPr>
            <b/>
            <sz val="9"/>
            <rFont val="宋体"/>
            <family val="3"/>
            <charset val="134"/>
          </rPr>
          <t>HL:</t>
        </r>
        <r>
          <rPr>
            <sz val="9"/>
            <rFont val="宋体"/>
            <family val="3"/>
            <charset val="134"/>
          </rPr>
          <t xml:space="preserve">
2023年06月01日至2025年05月31日，该房屋租金的日单价为 4.67元/天/平米；
月租金90180.64元
2025年06月01日至2027年03月14日，该房屋租金的日单价为 5.00元/ 天/平米；
月租金96553.15元</t>
        </r>
      </text>
    </comment>
    <comment ref="BS47" authorId="1">
      <text>
        <r>
          <rPr>
            <b/>
            <sz val="9"/>
            <rFont val="宋体"/>
            <family val="3"/>
            <charset val="134"/>
          </rPr>
          <t>HL:</t>
        </r>
        <r>
          <rPr>
            <sz val="9"/>
            <rFont val="宋体"/>
            <family val="3"/>
            <charset val="134"/>
          </rPr>
          <t xml:space="preserve">
2024年06月01日起至2024年06月30日止免租</t>
        </r>
      </text>
    </comment>
    <comment ref="BT47" authorId="1">
      <text>
        <r>
          <rPr>
            <b/>
            <sz val="9"/>
            <rFont val="宋体"/>
            <family val="3"/>
            <charset val="134"/>
          </rPr>
          <t>HL:</t>
        </r>
        <r>
          <rPr>
            <sz val="9"/>
            <rFont val="宋体"/>
            <family val="3"/>
            <charset val="134"/>
          </rPr>
          <t xml:space="preserve">
2024年06月01日起至2024年06月30日止免租</t>
        </r>
      </text>
    </comment>
    <comment ref="BU47" authorId="1">
      <text>
        <r>
          <rPr>
            <b/>
            <sz val="9"/>
            <rFont val="宋体"/>
            <family val="3"/>
            <charset val="134"/>
          </rPr>
          <t>HL:</t>
        </r>
        <r>
          <rPr>
            <sz val="9"/>
            <rFont val="宋体"/>
            <family val="3"/>
            <charset val="134"/>
          </rPr>
          <t xml:space="preserve">
2024年06月01日起至2024年06月30日止免租</t>
        </r>
      </text>
    </comment>
    <comment ref="GI47" authorId="1">
      <text>
        <r>
          <rPr>
            <b/>
            <sz val="9"/>
            <rFont val="宋体"/>
            <family val="3"/>
            <charset val="134"/>
          </rPr>
          <t>HL:</t>
        </r>
        <r>
          <rPr>
            <sz val="9"/>
            <rFont val="宋体"/>
            <family val="3"/>
            <charset val="134"/>
          </rPr>
          <t xml:space="preserve">
租期内含免租期为2024年06月01日起至2024年06月30日止</t>
        </r>
      </text>
    </comment>
    <comment ref="GJ47" authorId="1">
      <text>
        <r>
          <rPr>
            <b/>
            <sz val="9"/>
            <rFont val="宋体"/>
            <family val="3"/>
            <charset val="134"/>
          </rPr>
          <t>HL:</t>
        </r>
        <r>
          <rPr>
            <sz val="9"/>
            <rFont val="宋体"/>
            <family val="3"/>
            <charset val="134"/>
          </rPr>
          <t xml:space="preserve">
租期内含免租期为2024年06月01日起至2024年06月30日止</t>
        </r>
      </text>
    </comment>
    <comment ref="J48" authorId="1">
      <text>
        <r>
          <rPr>
            <b/>
            <sz val="9"/>
            <rFont val="宋体"/>
            <family val="3"/>
            <charset val="134"/>
          </rPr>
          <t>HL:</t>
        </r>
        <r>
          <rPr>
            <sz val="9"/>
            <rFont val="宋体"/>
            <family val="3"/>
            <charset val="134"/>
          </rPr>
          <t xml:space="preserve">
租期内含免租期为贰个月零15天，自 2023年06 月 01日 起至 2023年06 月15日止，2024年06月01日起至2024年06月30日止，2025年06月01日起至2025年06月30日止，免租期间内乙方免交租金，但须交纳水费、电费及其他应缴费用。</t>
        </r>
      </text>
    </comment>
    <comment ref="J49" authorId="1">
      <text>
        <r>
          <rPr>
            <b/>
            <sz val="9"/>
            <rFont val="宋体"/>
            <family val="3"/>
            <charset val="134"/>
          </rPr>
          <t>HL:</t>
        </r>
        <r>
          <rPr>
            <sz val="9"/>
            <rFont val="宋体"/>
            <family val="3"/>
            <charset val="134"/>
          </rPr>
          <t xml:space="preserve">
租期内含免租期为 壹 个月，自2023年12月31日起至2024年01月30日止，免租期间内乙方免交租金，但须交纳水费、电费及其他应缴费用。</t>
        </r>
      </text>
    </comment>
    <comment ref="EU49" authorId="1">
      <text>
        <r>
          <rPr>
            <b/>
            <sz val="9"/>
            <rFont val="宋体"/>
            <family val="3"/>
            <charset val="134"/>
          </rPr>
          <t>HL:</t>
        </r>
        <r>
          <rPr>
            <sz val="9"/>
            <rFont val="宋体"/>
            <family val="3"/>
            <charset val="134"/>
          </rPr>
          <t xml:space="preserve">
自2023年12月31日起至2024年01月30日免租
本月收2024.01.31</t>
        </r>
      </text>
    </comment>
    <comment ref="EV49" authorId="1">
      <text>
        <r>
          <rPr>
            <b/>
            <sz val="9"/>
            <rFont val="宋体"/>
            <family val="3"/>
            <charset val="134"/>
          </rPr>
          <t>HL:</t>
        </r>
        <r>
          <rPr>
            <sz val="9"/>
            <rFont val="宋体"/>
            <family val="3"/>
            <charset val="134"/>
          </rPr>
          <t xml:space="preserve">
自2023年12月31日起至2024年01月30日免租
本月收2024.01.31</t>
        </r>
      </text>
    </comment>
    <comment ref="IE49" authorId="1">
      <text>
        <r>
          <rPr>
            <b/>
            <sz val="9"/>
            <rFont val="宋体"/>
            <family val="3"/>
            <charset val="134"/>
          </rPr>
          <t>HL:</t>
        </r>
        <r>
          <rPr>
            <sz val="9"/>
            <rFont val="宋体"/>
            <family val="3"/>
            <charset val="134"/>
          </rPr>
          <t xml:space="preserve">
2024.12.01-12.30</t>
        </r>
      </text>
    </comment>
    <comment ref="II49" authorId="1">
      <text>
        <r>
          <rPr>
            <b/>
            <sz val="9"/>
            <rFont val="宋体"/>
            <family val="3"/>
            <charset val="134"/>
          </rPr>
          <t>HL:</t>
        </r>
        <r>
          <rPr>
            <sz val="9"/>
            <rFont val="宋体"/>
            <family val="3"/>
            <charset val="134"/>
          </rPr>
          <t xml:space="preserve">
2024.12.01-12.30
</t>
        </r>
      </text>
    </comment>
    <comment ref="JQ49" authorId="1">
      <text>
        <r>
          <rPr>
            <b/>
            <sz val="9"/>
            <rFont val="宋体"/>
            <family val="3"/>
            <charset val="134"/>
          </rPr>
          <t>HL:</t>
        </r>
        <r>
          <rPr>
            <sz val="9"/>
            <rFont val="宋体"/>
            <family val="3"/>
            <charset val="134"/>
          </rPr>
          <t xml:space="preserve">
自2023年12月31日起至2024年01月30日免租
本月收2024.01.31-02.29</t>
        </r>
      </text>
    </comment>
    <comment ref="J50" authorId="1">
      <text>
        <r>
          <rPr>
            <b/>
            <sz val="9"/>
            <rFont val="宋体"/>
            <family val="3"/>
            <charset val="134"/>
          </rPr>
          <t>HL:</t>
        </r>
        <r>
          <rPr>
            <sz val="9"/>
            <rFont val="宋体"/>
            <family val="3"/>
            <charset val="134"/>
          </rPr>
          <t xml:space="preserve">
租期内含免租期为壹个月，自2024 年 01月 16日 起至 2024年02月15日 止
免租金和物业费</t>
        </r>
      </text>
    </comment>
    <comment ref="AN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AO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AQ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AR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EU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EV50" authorId="1">
      <text>
        <r>
          <rPr>
            <b/>
            <sz val="9"/>
            <rFont val="宋体"/>
            <family val="3"/>
            <charset val="134"/>
          </rPr>
          <t>HL:</t>
        </r>
        <r>
          <rPr>
            <sz val="9"/>
            <rFont val="宋体"/>
            <family val="3"/>
            <charset val="134"/>
          </rPr>
          <t xml:space="preserve">
2024.01.01-01.15</t>
        </r>
      </text>
    </comment>
    <comment ref="EY50" authorId="1">
      <text>
        <r>
          <rPr>
            <b/>
            <sz val="9"/>
            <rFont val="宋体"/>
            <family val="3"/>
            <charset val="134"/>
          </rPr>
          <t>HL:</t>
        </r>
        <r>
          <rPr>
            <sz val="9"/>
            <rFont val="宋体"/>
            <family val="3"/>
            <charset val="134"/>
          </rPr>
          <t xml:space="preserve">
2024.01.01-01.15
</t>
        </r>
      </text>
    </comment>
    <comment ref="EZ50" authorId="1">
      <text>
        <r>
          <rPr>
            <b/>
            <sz val="9"/>
            <rFont val="宋体"/>
            <family val="3"/>
            <charset val="134"/>
          </rPr>
          <t>HL:</t>
        </r>
        <r>
          <rPr>
            <sz val="9"/>
            <rFont val="宋体"/>
            <family val="3"/>
            <charset val="134"/>
          </rPr>
          <t xml:space="preserve">
2024.01.01-01.15
</t>
        </r>
      </text>
    </comment>
    <comment ref="FC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FD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FG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FH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JP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JQ50" authorId="1">
      <text>
        <r>
          <rPr>
            <b/>
            <sz val="9"/>
            <rFont val="宋体"/>
            <family val="3"/>
            <charset val="134"/>
          </rPr>
          <t>HL:</t>
        </r>
        <r>
          <rPr>
            <sz val="9"/>
            <rFont val="宋体"/>
            <family val="3"/>
            <charset val="134"/>
          </rPr>
          <t xml:space="preserve">
租期内含免租期为壹个月，自2024 年 01月 16日 起至 2024年02月15日 止</t>
        </r>
      </text>
    </comment>
    <comment ref="KN50" authorId="1">
      <text>
        <r>
          <rPr>
            <b/>
            <sz val="9"/>
            <rFont val="宋体"/>
            <family val="3"/>
            <charset val="134"/>
          </rPr>
          <t>HL:</t>
        </r>
        <r>
          <rPr>
            <sz val="9"/>
            <rFont val="宋体"/>
            <family val="3"/>
            <charset val="134"/>
          </rPr>
          <t xml:space="preserve">
2677.83：智享物业费免，预算作数。
2605.46：智享免物业费。</t>
        </r>
      </text>
    </comment>
    <comment ref="D51" authorId="4">
      <text>
        <r>
          <rPr>
            <b/>
            <sz val="9"/>
            <rFont val="宋体"/>
            <family val="3"/>
            <charset val="134"/>
          </rPr>
          <t>HL50:</t>
        </r>
        <r>
          <rPr>
            <sz val="9"/>
            <rFont val="宋体"/>
            <family val="3"/>
            <charset val="134"/>
          </rPr>
          <t xml:space="preserve">
原1018-24/10A1-A3 面积 1310.85平米
其中：
1019、1021-24/10A1-A3    992.53 平米
1018、1020    318.32 平米
</t>
        </r>
      </text>
    </comment>
    <comment ref="N51" authorId="1">
      <text>
        <r>
          <rPr>
            <b/>
            <sz val="9"/>
            <rFont val="宋体"/>
            <family val="3"/>
            <charset val="134"/>
          </rPr>
          <t>HL:</t>
        </r>
        <r>
          <rPr>
            <sz val="9"/>
            <rFont val="宋体"/>
            <family val="3"/>
            <charset val="134"/>
          </rPr>
          <t xml:space="preserve">
原1019、1021-24/10A1-A3#押金</t>
        </r>
      </text>
    </comment>
    <comment ref="Q51" authorId="1">
      <text>
        <r>
          <rPr>
            <b/>
            <sz val="9"/>
            <rFont val="宋体"/>
            <family val="3"/>
            <charset val="134"/>
          </rPr>
          <t>HL:</t>
        </r>
        <r>
          <rPr>
            <sz val="9"/>
            <rFont val="宋体"/>
            <family val="3"/>
            <charset val="134"/>
          </rPr>
          <t xml:space="preserve">
原1019、1021-24/10A1-A3#押金
</t>
        </r>
      </text>
    </comment>
    <comment ref="D54" authorId="2">
      <text>
        <r>
          <rPr>
            <b/>
            <sz val="9"/>
            <rFont val="宋体"/>
            <family val="3"/>
            <charset val="134"/>
          </rPr>
          <t>作者:</t>
        </r>
        <r>
          <rPr>
            <sz val="9"/>
            <rFont val="宋体"/>
            <family val="3"/>
            <charset val="134"/>
          </rPr>
          <t xml:space="preserve">
1100:76.68
1101-04:558.06
1105:164.92
1106:54.09
1107:85.54
1108:149.39
1109:63.50
1110:93
1111:59.40
1112:131.70
1115：221.83
1116：221.83
1117：221.83
1125：221.94
1126：221.83
合同面积2545.54 
曾经1100面积58.82</t>
        </r>
      </text>
    </comment>
    <comment ref="G54" authorId="1">
      <text>
        <r>
          <rPr>
            <b/>
            <sz val="9"/>
            <rFont val="宋体"/>
            <family val="3"/>
            <charset val="134"/>
          </rPr>
          <t>HL:</t>
        </r>
        <r>
          <rPr>
            <sz val="9"/>
            <rFont val="宋体"/>
            <family val="3"/>
            <charset val="134"/>
          </rPr>
          <t xml:space="preserve">
2023.04 名称变更北京新东方迅程网络科技股份有限公司</t>
        </r>
      </text>
    </comment>
    <comment ref="J54" authorId="1">
      <text>
        <r>
          <rPr>
            <b/>
            <sz val="9"/>
            <rFont val="宋体"/>
            <family val="3"/>
            <charset val="134"/>
          </rPr>
          <t>HL:</t>
        </r>
        <r>
          <rPr>
            <sz val="9"/>
            <rFont val="宋体"/>
            <family val="3"/>
            <charset val="134"/>
          </rPr>
          <t xml:space="preserve">
租期内含免租期为 叁 个月，自2024年07月18日起至2024年10月17日止，免租期间内乙方免交租金，但须交纳水费、电费及其他应缴费用。
原合同（新东方迅程）2026.01.31到期，因变更合同主体，原合同解除时间为2024年05月15日。</t>
        </r>
      </text>
    </comment>
    <comment ref="N54" authorId="1">
      <text>
        <r>
          <rPr>
            <b/>
            <sz val="9"/>
            <rFont val="宋体"/>
            <family val="3"/>
            <charset val="134"/>
          </rPr>
          <t>HL:</t>
        </r>
        <r>
          <rPr>
            <sz val="9"/>
            <rFont val="宋体"/>
            <family val="3"/>
            <charset val="134"/>
          </rPr>
          <t xml:space="preserve">
原合同项下已支付的租金保证金1,061,522.01元及物业管理费保证金192,792.84元，待签订完成新合同，将原合同租金保证金及物业管理费保证金转作新合同项下的租金保证金和物业管理费保证金。</t>
        </r>
      </text>
    </comment>
    <comment ref="Q54" authorId="1">
      <text>
        <r>
          <rPr>
            <b/>
            <sz val="9"/>
            <rFont val="宋体"/>
            <family val="3"/>
            <charset val="134"/>
          </rPr>
          <t>HL:</t>
        </r>
        <r>
          <rPr>
            <sz val="9"/>
            <rFont val="宋体"/>
            <family val="3"/>
            <charset val="134"/>
          </rPr>
          <t xml:space="preserve">
原合同项下已支付的租金保证金1,061,522.01元及物业管理费保证金192,792.84元，待签订完成新合同，将原合同租金保证金及物业管理费保证金转作新合同项下的租金保证金和物业管理费保证金。</t>
        </r>
      </text>
    </comment>
    <comment ref="BT54" authorId="1">
      <text>
        <r>
          <rPr>
            <b/>
            <sz val="9"/>
            <rFont val="宋体"/>
            <family val="3"/>
            <charset val="134"/>
          </rPr>
          <t>HL:</t>
        </r>
        <r>
          <rPr>
            <sz val="9"/>
            <rFont val="宋体"/>
            <family val="3"/>
            <charset val="134"/>
          </rPr>
          <t xml:space="preserve">
1061522.01：合同变更主体，由新公司（新东方彼岸）支付原合同项下2023年02月15日至2023年05月14日期间免租期的租金1,061,522.01元
-1061522.01：合同解除，冲减4月应收，2024.05.15-08.14租金物业费欠</t>
        </r>
      </text>
    </comment>
    <comment ref="BU54" authorId="1">
      <text>
        <r>
          <rPr>
            <b/>
            <sz val="9"/>
            <rFont val="宋体"/>
            <family val="3"/>
            <charset val="134"/>
          </rPr>
          <t>HL:</t>
        </r>
        <r>
          <rPr>
            <sz val="9"/>
            <rFont val="宋体"/>
            <family val="3"/>
            <charset val="134"/>
          </rPr>
          <t xml:space="preserve">
1061522.01：合同变更主体，由新公司（新东方彼岸）支付原合同项下2023年02月15日至2023年05月14日期间免租期的租金1,061,522.01元
-1061522.01：合同解除，冲减4月应收，2024.05.15-08.14租金物业费欠</t>
        </r>
      </text>
    </comment>
    <comment ref="BW54" authorId="1">
      <text>
        <r>
          <rPr>
            <b/>
            <sz val="9"/>
            <rFont val="宋体"/>
            <family val="3"/>
            <charset val="134"/>
          </rPr>
          <t>HL:</t>
        </r>
        <r>
          <rPr>
            <sz val="9"/>
            <rFont val="宋体"/>
            <family val="3"/>
            <charset val="134"/>
          </rPr>
          <t xml:space="preserve">
合同解除，冲减4月应收，2024.05.15-08.14租金物业费欠
</t>
        </r>
      </text>
    </comment>
    <comment ref="CJ54" authorId="1">
      <text>
        <r>
          <rPr>
            <b/>
            <sz val="9"/>
            <rFont val="宋体"/>
            <family val="3"/>
            <charset val="134"/>
          </rPr>
          <t>HL:</t>
        </r>
        <r>
          <rPr>
            <sz val="9"/>
            <rFont val="宋体"/>
            <family val="3"/>
            <charset val="134"/>
          </rPr>
          <t xml:space="preserve">
自2024年07月18日起至2024年10月17日止，免租。
本月收2024.06.18-07.17</t>
        </r>
      </text>
    </comment>
    <comment ref="CR54" authorId="1">
      <text>
        <r>
          <rPr>
            <b/>
            <sz val="9"/>
            <rFont val="宋体"/>
            <family val="3"/>
            <charset val="134"/>
          </rPr>
          <t>HL:</t>
        </r>
        <r>
          <rPr>
            <sz val="9"/>
            <rFont val="宋体"/>
            <family val="3"/>
            <charset val="134"/>
          </rPr>
          <t xml:space="preserve">
自2024年07月18日起至2024年10月17日止，免租。
本月收2024.10.18-12.17</t>
        </r>
      </text>
    </comment>
    <comment ref="FD54" authorId="1">
      <text>
        <r>
          <rPr>
            <b/>
            <sz val="9"/>
            <rFont val="宋体"/>
            <family val="3"/>
            <charset val="134"/>
          </rPr>
          <t>HL:</t>
        </r>
        <r>
          <rPr>
            <sz val="9"/>
            <rFont val="宋体"/>
            <family val="3"/>
            <charset val="134"/>
          </rPr>
          <t xml:space="preserve">
2024.01.01-02.14
2024.02.15-02.29</t>
        </r>
      </text>
    </comment>
    <comment ref="FH54" authorId="1">
      <text>
        <r>
          <rPr>
            <b/>
            <sz val="9"/>
            <rFont val="宋体"/>
            <family val="3"/>
            <charset val="134"/>
          </rPr>
          <t>HL:</t>
        </r>
        <r>
          <rPr>
            <sz val="9"/>
            <rFont val="宋体"/>
            <family val="3"/>
            <charset val="134"/>
          </rPr>
          <t xml:space="preserve">
2024.01.01-02.14
2024.02.15-02.29</t>
        </r>
      </text>
    </comment>
    <comment ref="GA54" authorId="1">
      <text>
        <r>
          <rPr>
            <b/>
            <sz val="9"/>
            <rFont val="宋体"/>
            <family val="3"/>
            <charset val="134"/>
          </rPr>
          <t>HL:</t>
        </r>
        <r>
          <rPr>
            <sz val="9"/>
            <rFont val="宋体"/>
            <family val="3"/>
            <charset val="134"/>
          </rPr>
          <t xml:space="preserve">
2024.05.01-05.14
1061522.01：合同变更主体，由新公司（新东方彼岸）支付原合同项下2023年02月15日至2023年05月14日期间免租期的租金1,061,522.01元
</t>
        </r>
      </text>
    </comment>
    <comment ref="GB54" authorId="1">
      <text>
        <r>
          <rPr>
            <b/>
            <sz val="9"/>
            <rFont val="宋体"/>
            <family val="3"/>
            <charset val="134"/>
          </rPr>
          <t>HL:</t>
        </r>
        <r>
          <rPr>
            <sz val="9"/>
            <rFont val="宋体"/>
            <family val="3"/>
            <charset val="134"/>
          </rPr>
          <t xml:space="preserve">
2024.05.01-05.14
1061522.01：合同变更主体，由新公司（新东方彼岸）支付原合同项下2023年02月15日至2023年05月14日期间免租期的租金1,061,522.01元
</t>
        </r>
      </text>
    </comment>
    <comment ref="GF54" authorId="1">
      <text>
        <r>
          <rPr>
            <b/>
            <sz val="9"/>
            <rFont val="宋体"/>
            <family val="3"/>
            <charset val="134"/>
          </rPr>
          <t>HL:</t>
        </r>
        <r>
          <rPr>
            <sz val="9"/>
            <rFont val="宋体"/>
            <family val="3"/>
            <charset val="134"/>
          </rPr>
          <t xml:space="preserve">
2024.05.01-05.14</t>
        </r>
      </text>
    </comment>
    <comment ref="GQ54" authorId="1">
      <text>
        <r>
          <rPr>
            <b/>
            <sz val="9"/>
            <rFont val="宋体"/>
            <family val="3"/>
            <charset val="134"/>
          </rPr>
          <t>HL:</t>
        </r>
        <r>
          <rPr>
            <sz val="9"/>
            <rFont val="宋体"/>
            <family val="3"/>
            <charset val="134"/>
          </rPr>
          <t xml:space="preserve">
自2024年07月18日起至2024年10月17日止，免租。
本月收2024.06.18-06.30
2024.07.01-07.17</t>
        </r>
      </text>
    </comment>
    <comment ref="GR54" authorId="1">
      <text>
        <r>
          <rPr>
            <b/>
            <sz val="9"/>
            <rFont val="宋体"/>
            <family val="3"/>
            <charset val="134"/>
          </rPr>
          <t>HL:</t>
        </r>
        <r>
          <rPr>
            <sz val="9"/>
            <rFont val="宋体"/>
            <family val="3"/>
            <charset val="134"/>
          </rPr>
          <t xml:space="preserve">
自2024年07月18日起至2024年10月17日止，免租。
本月收2024.06.18-06.30
2024.07.01-07.17</t>
        </r>
      </text>
    </comment>
    <comment ref="GU54" authorId="1">
      <text>
        <r>
          <rPr>
            <b/>
            <sz val="9"/>
            <rFont val="宋体"/>
            <family val="3"/>
            <charset val="134"/>
          </rPr>
          <t>HL:</t>
        </r>
        <r>
          <rPr>
            <sz val="9"/>
            <rFont val="宋体"/>
            <family val="3"/>
            <charset val="134"/>
          </rPr>
          <t xml:space="preserve">
2024.06.18-06.30
2024.07.01-07.31</t>
        </r>
      </text>
    </comment>
    <comment ref="GV54" authorId="1">
      <text>
        <r>
          <rPr>
            <b/>
            <sz val="9"/>
            <rFont val="宋体"/>
            <family val="3"/>
            <charset val="134"/>
          </rPr>
          <t>HL:</t>
        </r>
        <r>
          <rPr>
            <sz val="9"/>
            <rFont val="宋体"/>
            <family val="3"/>
            <charset val="134"/>
          </rPr>
          <t xml:space="preserve">
2024.06.18-06.30
2024.07.01-07.31</t>
        </r>
      </text>
    </comment>
    <comment ref="GY54" authorId="1">
      <text>
        <r>
          <rPr>
            <b/>
            <sz val="9"/>
            <rFont val="宋体"/>
            <family val="3"/>
            <charset val="134"/>
          </rPr>
          <t>HL:</t>
        </r>
        <r>
          <rPr>
            <sz val="9"/>
            <rFont val="宋体"/>
            <family val="3"/>
            <charset val="134"/>
          </rPr>
          <t xml:space="preserve">
自2024年07月18日起至2024年10月17日止，免租。
</t>
        </r>
      </text>
    </comment>
    <comment ref="GZ54" authorId="1">
      <text>
        <r>
          <rPr>
            <b/>
            <sz val="9"/>
            <rFont val="宋体"/>
            <family val="3"/>
            <charset val="134"/>
          </rPr>
          <t>HL:</t>
        </r>
        <r>
          <rPr>
            <sz val="9"/>
            <rFont val="宋体"/>
            <family val="3"/>
            <charset val="134"/>
          </rPr>
          <t xml:space="preserve">
自2024年07月18日起至2024年10月17日止，免租。
</t>
        </r>
      </text>
    </comment>
    <comment ref="HG54" authorId="1">
      <text>
        <r>
          <rPr>
            <b/>
            <sz val="9"/>
            <rFont val="宋体"/>
            <family val="3"/>
            <charset val="134"/>
          </rPr>
          <t>HL:</t>
        </r>
        <r>
          <rPr>
            <sz val="9"/>
            <rFont val="宋体"/>
            <family val="3"/>
            <charset val="134"/>
          </rPr>
          <t xml:space="preserve">
自2024年07月18日起至2024年10月17日止，免租。
</t>
        </r>
      </text>
    </comment>
    <comment ref="HH54" authorId="1">
      <text>
        <r>
          <rPr>
            <b/>
            <sz val="9"/>
            <rFont val="宋体"/>
            <family val="3"/>
            <charset val="134"/>
          </rPr>
          <t>HL:</t>
        </r>
        <r>
          <rPr>
            <sz val="9"/>
            <rFont val="宋体"/>
            <family val="3"/>
            <charset val="134"/>
          </rPr>
          <t xml:space="preserve">
自2024年07月18日起至2024年10月17日止，免租。
</t>
        </r>
      </text>
    </comment>
    <comment ref="HL54" authorId="1">
      <text>
        <r>
          <rPr>
            <b/>
            <sz val="9"/>
            <rFont val="宋体"/>
            <family val="3"/>
            <charset val="134"/>
          </rPr>
          <t>HL:</t>
        </r>
        <r>
          <rPr>
            <sz val="9"/>
            <rFont val="宋体"/>
            <family val="3"/>
            <charset val="134"/>
          </rPr>
          <t xml:space="preserve">
2024.09.01-09.17
2024.09.18-09.30</t>
        </r>
      </text>
    </comment>
    <comment ref="HO54" authorId="1">
      <text>
        <r>
          <rPr>
            <b/>
            <sz val="9"/>
            <rFont val="宋体"/>
            <family val="3"/>
            <charset val="134"/>
          </rPr>
          <t>HL:</t>
        </r>
        <r>
          <rPr>
            <sz val="9"/>
            <rFont val="宋体"/>
            <family val="3"/>
            <charset val="134"/>
          </rPr>
          <t xml:space="preserve">
自2024年07月18日起至2024年10月17日止，免租。
本月收2024.10.18-10.31</t>
        </r>
      </text>
    </comment>
    <comment ref="HP54" authorId="1">
      <text>
        <r>
          <rPr>
            <b/>
            <sz val="9"/>
            <rFont val="宋体"/>
            <family val="3"/>
            <charset val="134"/>
          </rPr>
          <t>HL:</t>
        </r>
        <r>
          <rPr>
            <sz val="9"/>
            <rFont val="宋体"/>
            <family val="3"/>
            <charset val="134"/>
          </rPr>
          <t xml:space="preserve">
自2024年07月18日起至2024年10月17日止，免租。
本月收2024.10.18-10.31</t>
        </r>
      </text>
    </comment>
    <comment ref="IF54" authorId="1">
      <text>
        <r>
          <rPr>
            <b/>
            <sz val="9"/>
            <rFont val="宋体"/>
            <family val="3"/>
            <charset val="134"/>
          </rPr>
          <t>HL:</t>
        </r>
        <r>
          <rPr>
            <sz val="9"/>
            <rFont val="宋体"/>
            <family val="3"/>
            <charset val="134"/>
          </rPr>
          <t xml:space="preserve">
2024.12.01-12.17</t>
        </r>
      </text>
    </comment>
    <comment ref="IJ54" authorId="1">
      <text>
        <r>
          <rPr>
            <b/>
            <sz val="9"/>
            <rFont val="宋体"/>
            <family val="3"/>
            <charset val="134"/>
          </rPr>
          <t>HL:</t>
        </r>
        <r>
          <rPr>
            <sz val="9"/>
            <rFont val="宋体"/>
            <family val="3"/>
            <charset val="134"/>
          </rPr>
          <t xml:space="preserve">
2024.12.01-12.17</t>
        </r>
      </text>
    </comment>
    <comment ref="KN54" authorId="1">
      <text>
        <r>
          <rPr>
            <b/>
            <sz val="9"/>
            <rFont val="宋体"/>
            <family val="3"/>
            <charset val="134"/>
          </rPr>
          <t>HL:</t>
        </r>
        <r>
          <rPr>
            <sz val="9"/>
            <rFont val="宋体"/>
            <family val="3"/>
            <charset val="134"/>
          </rPr>
          <t xml:space="preserve">
-148645.4：新东方彼岸免租
-336991.11：新东方彼岸免免租
-336991.11：新东方彼岸免免租
</t>
        </r>
      </text>
    </comment>
    <comment ref="KP54" authorId="1">
      <text>
        <r>
          <rPr>
            <b/>
            <sz val="9"/>
            <rFont val="宋体"/>
            <family val="3"/>
            <charset val="134"/>
          </rPr>
          <t>HL:</t>
        </r>
        <r>
          <rPr>
            <sz val="9"/>
            <rFont val="宋体"/>
            <family val="3"/>
            <charset val="134"/>
          </rPr>
          <t xml:space="preserve">
1061522.01：合同变更主体，由新公司（新东方彼岸）支付原合同项下2023年02月15日至2023年05月14日期间免租期的租金1,061,522.01元
</t>
        </r>
      </text>
    </comment>
    <comment ref="D55" authorId="2">
      <text>
        <r>
          <rPr>
            <b/>
            <sz val="9"/>
            <rFont val="宋体"/>
            <family val="3"/>
            <charset val="134"/>
          </rPr>
          <t>作者:</t>
        </r>
        <r>
          <rPr>
            <sz val="9"/>
            <rFont val="宋体"/>
            <family val="3"/>
            <charset val="134"/>
          </rPr>
          <t xml:space="preserve">
1118:218.32
1119:202.97
1120;171.39
1121;148.26
1122;114.04
1123;262.17
1124;126
11A1;11.90
11A2:14.60
11A3:41.20
0.06：2019.10.15-2022.10.14合同建筑面积1310.91，比原面积增长0.06平米</t>
        </r>
      </text>
    </comment>
    <comment ref="J55" authorId="1">
      <text>
        <r>
          <rPr>
            <b/>
            <sz val="9"/>
            <rFont val="宋体"/>
            <family val="3"/>
            <charset val="134"/>
          </rPr>
          <t>HL:</t>
        </r>
        <r>
          <rPr>
            <sz val="9"/>
            <rFont val="宋体"/>
            <family val="3"/>
            <charset val="134"/>
          </rPr>
          <t xml:space="preserve">
租期内含免租期为 贰 个月，自2024年07月18日起至2024年8月17日止及2025年07月18日起至2025年8月17日止，免租期间内乙方免交租金，但须交纳水费、电费及其他应缴费用。
原合同（新东方迅程）2026.01.31到期，因变更合同主体，原合同解除时间为2024年05月15日。</t>
        </r>
      </text>
    </comment>
    <comment ref="CJ55" authorId="1">
      <text>
        <r>
          <rPr>
            <b/>
            <sz val="9"/>
            <rFont val="宋体"/>
            <family val="3"/>
            <charset val="134"/>
          </rPr>
          <t>HL:</t>
        </r>
        <r>
          <rPr>
            <sz val="9"/>
            <rFont val="宋体"/>
            <family val="3"/>
            <charset val="134"/>
          </rPr>
          <t xml:space="preserve">
北京新东方彼岸科技有限公司支付原合同（北京新东方迅程网络科技有限公司）项下2023年12月25日至2024年1月24日期间免租期的租金174,247.25元
</t>
        </r>
      </text>
    </comment>
    <comment ref="CR55" authorId="1">
      <text>
        <r>
          <rPr>
            <b/>
            <sz val="9"/>
            <rFont val="宋体"/>
            <family val="3"/>
            <charset val="134"/>
          </rPr>
          <t>HL:</t>
        </r>
        <r>
          <rPr>
            <sz val="9"/>
            <rFont val="宋体"/>
            <family val="3"/>
            <charset val="134"/>
          </rPr>
          <t xml:space="preserve">
自2024年07月18日起至2024年8月17日免租本月收2024.08.18-10.17</t>
        </r>
      </text>
    </comment>
    <comment ref="EU55" authorId="1">
      <text>
        <r>
          <rPr>
            <b/>
            <sz val="9"/>
            <rFont val="宋体"/>
            <family val="3"/>
            <charset val="134"/>
          </rPr>
          <t>HL:</t>
        </r>
        <r>
          <rPr>
            <sz val="9"/>
            <rFont val="宋体"/>
            <family val="3"/>
            <charset val="134"/>
          </rPr>
          <t xml:space="preserve">
租期内含免租期为
自2023年12月25日起至2024年01月24日
</t>
        </r>
      </text>
    </comment>
    <comment ref="EV55" authorId="1">
      <text>
        <r>
          <rPr>
            <b/>
            <sz val="9"/>
            <rFont val="宋体"/>
            <family val="3"/>
            <charset val="134"/>
          </rPr>
          <t>HL:</t>
        </r>
        <r>
          <rPr>
            <sz val="9"/>
            <rFont val="宋体"/>
            <family val="3"/>
            <charset val="134"/>
          </rPr>
          <t xml:space="preserve">
2023年12月25日起至2024年01月24日免租</t>
        </r>
      </text>
    </comment>
    <comment ref="GI55" authorId="1">
      <text>
        <r>
          <rPr>
            <b/>
            <sz val="9"/>
            <rFont val="宋体"/>
            <family val="3"/>
            <charset val="134"/>
          </rPr>
          <t>HL:</t>
        </r>
        <r>
          <rPr>
            <sz val="9"/>
            <rFont val="宋体"/>
            <family val="3"/>
            <charset val="134"/>
          </rPr>
          <t xml:space="preserve">
新东方彼岸向我方支付原合同项下2023年12月25日至2024年1月24日期间免租期的租金174,247.25元后，我方在与新东方迅程签订解除协议。</t>
        </r>
      </text>
    </comment>
    <comment ref="GQ55" authorId="1">
      <text>
        <r>
          <rPr>
            <b/>
            <sz val="9"/>
            <rFont val="宋体"/>
            <family val="3"/>
            <charset val="134"/>
          </rPr>
          <t>HL:</t>
        </r>
        <r>
          <rPr>
            <sz val="9"/>
            <rFont val="宋体"/>
            <family val="3"/>
            <charset val="134"/>
          </rPr>
          <t xml:space="preserve">
北京新东方彼岸科技有限公司支付原合同（北京新东方迅程网络科技有限公司）项下2023年12月25日至2024年1月24日期间免租期的租金174,247.25元
自2024年07月18日起至2024年8月17日免租</t>
        </r>
      </text>
    </comment>
    <comment ref="GR55" authorId="1">
      <text>
        <r>
          <rPr>
            <b/>
            <sz val="9"/>
            <rFont val="宋体"/>
            <family val="3"/>
            <charset val="134"/>
          </rPr>
          <t>HL:</t>
        </r>
        <r>
          <rPr>
            <sz val="9"/>
            <rFont val="宋体"/>
            <family val="3"/>
            <charset val="134"/>
          </rPr>
          <t xml:space="preserve">
2023.12.25-2024.01.24免租期租金</t>
        </r>
      </text>
    </comment>
    <comment ref="GU55" authorId="1">
      <text>
        <r>
          <rPr>
            <b/>
            <sz val="9"/>
            <rFont val="宋体"/>
            <family val="3"/>
            <charset val="134"/>
          </rPr>
          <t>HL:</t>
        </r>
        <r>
          <rPr>
            <sz val="9"/>
            <rFont val="宋体"/>
            <family val="3"/>
            <charset val="134"/>
          </rPr>
          <t xml:space="preserve">
2024.07.18-07.31</t>
        </r>
      </text>
    </comment>
    <comment ref="GY55" authorId="1">
      <text>
        <r>
          <rPr>
            <b/>
            <sz val="9"/>
            <rFont val="宋体"/>
            <family val="3"/>
            <charset val="134"/>
          </rPr>
          <t>HL:</t>
        </r>
        <r>
          <rPr>
            <sz val="9"/>
            <rFont val="宋体"/>
            <family val="3"/>
            <charset val="134"/>
          </rPr>
          <t xml:space="preserve">
自2024年07月18日起至2024年8月17日免租本月收2024.08.18-08.31</t>
        </r>
      </text>
    </comment>
    <comment ref="GZ55" authorId="1">
      <text>
        <r>
          <rPr>
            <b/>
            <sz val="9"/>
            <rFont val="宋体"/>
            <family val="3"/>
            <charset val="134"/>
          </rPr>
          <t>HL:</t>
        </r>
        <r>
          <rPr>
            <sz val="9"/>
            <rFont val="宋体"/>
            <family val="3"/>
            <charset val="134"/>
          </rPr>
          <t xml:space="preserve">
自2024年07月18日起至2024年8月17日免租本月收2024.08.18-08.31
</t>
        </r>
      </text>
    </comment>
    <comment ref="HD55" authorId="1">
      <text>
        <r>
          <rPr>
            <b/>
            <sz val="9"/>
            <rFont val="宋体"/>
            <family val="3"/>
            <charset val="134"/>
          </rPr>
          <t>HL:</t>
        </r>
        <r>
          <rPr>
            <sz val="9"/>
            <rFont val="宋体"/>
            <family val="3"/>
            <charset val="134"/>
          </rPr>
          <t xml:space="preserve">
2024.07.18-08.31物业费</t>
        </r>
      </text>
    </comment>
    <comment ref="HP55" authorId="1">
      <text>
        <r>
          <rPr>
            <b/>
            <sz val="9"/>
            <rFont val="宋体"/>
            <family val="3"/>
            <charset val="134"/>
          </rPr>
          <t>HL:</t>
        </r>
        <r>
          <rPr>
            <sz val="9"/>
            <rFont val="宋体"/>
            <family val="3"/>
            <charset val="134"/>
          </rPr>
          <t xml:space="preserve">
2024.10.01-10.17
2024.10.18-10.31
</t>
        </r>
      </text>
    </comment>
    <comment ref="HT55" authorId="1">
      <text>
        <r>
          <rPr>
            <b/>
            <sz val="9"/>
            <rFont val="宋体"/>
            <family val="3"/>
            <charset val="134"/>
          </rPr>
          <t>HL:</t>
        </r>
        <r>
          <rPr>
            <sz val="9"/>
            <rFont val="宋体"/>
            <family val="3"/>
            <charset val="134"/>
          </rPr>
          <t xml:space="preserve">
2024.10.01-10.17
2024.10.18-10.31
</t>
        </r>
      </text>
    </comment>
    <comment ref="IQ55" authorId="1">
      <text>
        <r>
          <rPr>
            <b/>
            <sz val="9"/>
            <rFont val="宋体"/>
            <family val="3"/>
            <charset val="134"/>
          </rPr>
          <t>HL:</t>
        </r>
        <r>
          <rPr>
            <sz val="9"/>
            <rFont val="宋体"/>
            <family val="3"/>
            <charset val="134"/>
          </rPr>
          <t xml:space="preserve">
2025.01.01-01.17</t>
        </r>
      </text>
    </comment>
    <comment ref="JD55" authorId="1">
      <text>
        <r>
          <rPr>
            <b/>
            <sz val="9"/>
            <rFont val="宋体"/>
            <family val="3"/>
            <charset val="134"/>
          </rPr>
          <t>HL:</t>
        </r>
        <r>
          <rPr>
            <sz val="9"/>
            <rFont val="宋体"/>
            <family val="3"/>
            <charset val="134"/>
          </rPr>
          <t xml:space="preserve">
2025.01.01-01.17</t>
        </r>
      </text>
    </comment>
    <comment ref="JQ55" authorId="1">
      <text>
        <r>
          <rPr>
            <b/>
            <sz val="9"/>
            <rFont val="宋体"/>
            <family val="3"/>
            <charset val="134"/>
          </rPr>
          <t>HL:</t>
        </r>
        <r>
          <rPr>
            <sz val="9"/>
            <rFont val="宋体"/>
            <family val="3"/>
            <charset val="134"/>
          </rPr>
          <t xml:space="preserve">
2023年12月25日起至2024年01月24日免租</t>
        </r>
      </text>
    </comment>
    <comment ref="KN55" authorId="1">
      <text>
        <r>
          <rPr>
            <b/>
            <sz val="9"/>
            <rFont val="宋体"/>
            <family val="3"/>
            <charset val="134"/>
          </rPr>
          <t>HL:</t>
        </r>
        <r>
          <rPr>
            <sz val="9"/>
            <rFont val="宋体"/>
            <family val="3"/>
            <charset val="134"/>
          </rPr>
          <t xml:space="preserve">
新东方彼岸免租</t>
        </r>
      </text>
    </comment>
    <comment ref="KP55" authorId="1">
      <text>
        <r>
          <rPr>
            <b/>
            <sz val="9"/>
            <rFont val="宋体"/>
            <family val="3"/>
            <charset val="134"/>
          </rPr>
          <t>HL:</t>
        </r>
        <r>
          <rPr>
            <sz val="9"/>
            <rFont val="宋体"/>
            <family val="3"/>
            <charset val="134"/>
          </rPr>
          <t xml:space="preserve">
165949.76：新东方彼岸补缴免租期1月租金</t>
        </r>
      </text>
    </comment>
    <comment ref="D56" authorId="2">
      <text>
        <r>
          <rPr>
            <b/>
            <sz val="9"/>
            <rFont val="宋体"/>
            <family val="3"/>
            <charset val="134"/>
          </rPr>
          <t>作者:</t>
        </r>
        <r>
          <rPr>
            <sz val="9"/>
            <rFont val="宋体"/>
            <family val="3"/>
            <charset val="134"/>
          </rPr>
          <t xml:space="preserve">
1200:58.82
1205:164.92
1206:56.49
1207:83.49
1208:144.06
1209：72.52
1210：108.80
1211：101
1212：99
1225：204.54</t>
        </r>
      </text>
    </comment>
    <comment ref="J56" authorId="1">
      <text>
        <r>
          <rPr>
            <b/>
            <sz val="9"/>
            <rFont val="宋体"/>
            <family val="3"/>
            <charset val="134"/>
          </rPr>
          <t>HL:</t>
        </r>
        <r>
          <rPr>
            <sz val="9"/>
            <rFont val="宋体"/>
            <family val="3"/>
            <charset val="134"/>
          </rPr>
          <t xml:space="preserve">
租期内含免租期为贰个月，自2023年10月07日起至2023年11月06日止，自2024年05月01日起至2024年05月31日</t>
        </r>
      </text>
    </comment>
    <comment ref="BC56" authorId="1">
      <text>
        <r>
          <rPr>
            <b/>
            <sz val="9"/>
            <rFont val="宋体"/>
            <family val="3"/>
            <charset val="134"/>
          </rPr>
          <t>HL:</t>
        </r>
        <r>
          <rPr>
            <sz val="9"/>
            <rFont val="宋体"/>
            <family val="3"/>
            <charset val="134"/>
          </rPr>
          <t xml:space="preserve">
自2024年05月01日 起至2024年05月31日 免租</t>
        </r>
      </text>
    </comment>
    <comment ref="BD56" authorId="1">
      <text>
        <r>
          <rPr>
            <b/>
            <sz val="9"/>
            <rFont val="宋体"/>
            <family val="3"/>
            <charset val="134"/>
          </rPr>
          <t>HL:</t>
        </r>
        <r>
          <rPr>
            <sz val="9"/>
            <rFont val="宋体"/>
            <family val="3"/>
            <charset val="134"/>
          </rPr>
          <t xml:space="preserve">
自2024年05月01日 起至2024年05月31日 免租
本月收2024.04.07-04.30
2024.06.01-07.06</t>
        </r>
      </text>
    </comment>
    <comment ref="EV56" authorId="1">
      <text>
        <r>
          <rPr>
            <b/>
            <sz val="9"/>
            <rFont val="宋体"/>
            <family val="3"/>
            <charset val="134"/>
          </rPr>
          <t>HL:</t>
        </r>
        <r>
          <rPr>
            <sz val="9"/>
            <rFont val="宋体"/>
            <family val="3"/>
            <charset val="134"/>
          </rPr>
          <t xml:space="preserve">
2024.01.01-01.06</t>
        </r>
      </text>
    </comment>
    <comment ref="EZ56" authorId="1">
      <text>
        <r>
          <rPr>
            <b/>
            <sz val="9"/>
            <rFont val="宋体"/>
            <family val="3"/>
            <charset val="134"/>
          </rPr>
          <t>HL:</t>
        </r>
        <r>
          <rPr>
            <sz val="9"/>
            <rFont val="宋体"/>
            <family val="3"/>
            <charset val="134"/>
          </rPr>
          <t xml:space="preserve">
2024.01.01-2024.01.06物业费</t>
        </r>
      </text>
    </comment>
    <comment ref="FT56" authorId="1">
      <text>
        <r>
          <rPr>
            <b/>
            <sz val="9"/>
            <rFont val="宋体"/>
            <family val="3"/>
            <charset val="134"/>
          </rPr>
          <t>HL:</t>
        </r>
        <r>
          <rPr>
            <sz val="9"/>
            <rFont val="宋体"/>
            <family val="3"/>
            <charset val="134"/>
          </rPr>
          <t xml:space="preserve">
2024.04.01-04.06
2024.04.07-04.30</t>
        </r>
      </text>
    </comment>
    <comment ref="FX56" authorId="1">
      <text>
        <r>
          <rPr>
            <b/>
            <sz val="9"/>
            <rFont val="宋体"/>
            <family val="3"/>
            <charset val="134"/>
          </rPr>
          <t>HL:</t>
        </r>
        <r>
          <rPr>
            <sz val="9"/>
            <rFont val="宋体"/>
            <family val="3"/>
            <charset val="134"/>
          </rPr>
          <t xml:space="preserve">
2024.04.01-04.06
2024.04.07-04.30</t>
        </r>
      </text>
    </comment>
    <comment ref="GA56" authorId="1">
      <text>
        <r>
          <rPr>
            <b/>
            <sz val="9"/>
            <rFont val="宋体"/>
            <family val="3"/>
            <charset val="134"/>
          </rPr>
          <t>HL:</t>
        </r>
        <r>
          <rPr>
            <sz val="9"/>
            <rFont val="宋体"/>
            <family val="3"/>
            <charset val="134"/>
          </rPr>
          <t xml:space="preserve">
租期内含免租期为自2024年05月01日起至2024年05月31日</t>
        </r>
      </text>
    </comment>
    <comment ref="GB56" authorId="1">
      <text>
        <r>
          <rPr>
            <b/>
            <sz val="9"/>
            <rFont val="宋体"/>
            <family val="3"/>
            <charset val="134"/>
          </rPr>
          <t>HL:</t>
        </r>
        <r>
          <rPr>
            <sz val="9"/>
            <rFont val="宋体"/>
            <family val="3"/>
            <charset val="134"/>
          </rPr>
          <t xml:space="preserve">
租期内含免租期为自2024年05月01日起至2024年05月31日</t>
        </r>
      </text>
    </comment>
    <comment ref="GR56" authorId="1">
      <text>
        <r>
          <rPr>
            <b/>
            <sz val="9"/>
            <rFont val="宋体"/>
            <family val="3"/>
            <charset val="134"/>
          </rPr>
          <t>HL:</t>
        </r>
        <r>
          <rPr>
            <sz val="9"/>
            <rFont val="宋体"/>
            <family val="3"/>
            <charset val="134"/>
          </rPr>
          <t xml:space="preserve">
2024.07.01-07.06
2024.07.07-07.31</t>
        </r>
      </text>
    </comment>
    <comment ref="GV56" authorId="1">
      <text>
        <r>
          <rPr>
            <b/>
            <sz val="9"/>
            <rFont val="宋体"/>
            <family val="3"/>
            <charset val="134"/>
          </rPr>
          <t>HL:</t>
        </r>
        <r>
          <rPr>
            <sz val="9"/>
            <rFont val="宋体"/>
            <family val="3"/>
            <charset val="134"/>
          </rPr>
          <t xml:space="preserve">
2024.07.01-07.06
2024.07.07-07.31</t>
        </r>
      </text>
    </comment>
    <comment ref="HP56" authorId="1">
      <text>
        <r>
          <rPr>
            <b/>
            <sz val="9"/>
            <rFont val="宋体"/>
            <family val="3"/>
            <charset val="134"/>
          </rPr>
          <t>HL:</t>
        </r>
        <r>
          <rPr>
            <sz val="9"/>
            <rFont val="宋体"/>
            <family val="3"/>
            <charset val="134"/>
          </rPr>
          <t xml:space="preserve">
2024.10.01-10.06
2024.10.07-10.31</t>
        </r>
      </text>
    </comment>
    <comment ref="HT56" authorId="1">
      <text>
        <r>
          <rPr>
            <b/>
            <sz val="9"/>
            <rFont val="宋体"/>
            <family val="3"/>
            <charset val="134"/>
          </rPr>
          <t>HL:</t>
        </r>
        <r>
          <rPr>
            <sz val="9"/>
            <rFont val="宋体"/>
            <family val="3"/>
            <charset val="134"/>
          </rPr>
          <t xml:space="preserve">
2024.10.01-10.06
2024.10.07-10.31</t>
        </r>
      </text>
    </comment>
    <comment ref="IQ56" authorId="1">
      <text>
        <r>
          <rPr>
            <b/>
            <sz val="9"/>
            <rFont val="宋体"/>
            <family val="3"/>
            <charset val="134"/>
          </rPr>
          <t>HL:</t>
        </r>
        <r>
          <rPr>
            <sz val="9"/>
            <rFont val="宋体"/>
            <family val="3"/>
            <charset val="134"/>
          </rPr>
          <t xml:space="preserve">
2025.01.01-01.06</t>
        </r>
      </text>
    </comment>
    <comment ref="JD56" authorId="1">
      <text>
        <r>
          <rPr>
            <b/>
            <sz val="9"/>
            <rFont val="宋体"/>
            <family val="3"/>
            <charset val="134"/>
          </rPr>
          <t>HL:</t>
        </r>
        <r>
          <rPr>
            <sz val="9"/>
            <rFont val="宋体"/>
            <family val="3"/>
            <charset val="134"/>
          </rPr>
          <t xml:space="preserve">
2025.01.01-01.06
</t>
        </r>
      </text>
    </comment>
    <comment ref="D57" authorId="2">
      <text>
        <r>
          <rPr>
            <b/>
            <sz val="9"/>
            <rFont val="宋体"/>
            <family val="3"/>
            <charset val="134"/>
          </rPr>
          <t>作者:</t>
        </r>
        <r>
          <rPr>
            <sz val="9"/>
            <rFont val="宋体"/>
            <family val="3"/>
            <charset val="134"/>
          </rPr>
          <t xml:space="preserve">
1200:58.82
1205:164.92
1206:56.49
1207:83.49
1208:144.06
1209：72.52
1210：108.80
1211：101
1212：99
1225：204.54
525.05：1210-12、1225#</t>
        </r>
      </text>
    </comment>
    <comment ref="J57" authorId="1">
      <text>
        <r>
          <rPr>
            <b/>
            <sz val="9"/>
            <rFont val="宋体"/>
            <family val="3"/>
            <charset val="134"/>
          </rPr>
          <t>HL:</t>
        </r>
        <r>
          <rPr>
            <sz val="9"/>
            <rFont val="宋体"/>
            <family val="3"/>
            <charset val="134"/>
          </rPr>
          <t xml:space="preserve">
租期内含免租期为贰个月，自2023年10月07日起至2023年11月06日止，自2024年05月01日起至2024年05月31日</t>
        </r>
      </text>
    </comment>
    <comment ref="D58" authorId="2">
      <text>
        <r>
          <rPr>
            <b/>
            <sz val="9"/>
            <rFont val="宋体"/>
            <family val="3"/>
            <charset val="134"/>
          </rPr>
          <t>作者:</t>
        </r>
        <r>
          <rPr>
            <sz val="9"/>
            <rFont val="宋体"/>
            <family val="3"/>
            <charset val="134"/>
          </rPr>
          <t xml:space="preserve">
1201-04:1000
1215-16:241.09
1217:该房间有110平米，虚拟现实展厅合同签署时减少了合同上该房屋面积，现有合同延续虚拟现实合同面积签署，合同到期后面积还原
1218A:118.32
1218B:100
1219:202.97
1226:126</t>
        </r>
      </text>
    </comment>
    <comment ref="J58" authorId="2">
      <text>
        <r>
          <rPr>
            <b/>
            <sz val="9"/>
            <rFont val="宋体"/>
            <family val="3"/>
            <charset val="134"/>
          </rPr>
          <t>作者:</t>
        </r>
        <r>
          <rPr>
            <sz val="9"/>
            <rFont val="宋体"/>
            <family val="3"/>
            <charset val="134"/>
          </rPr>
          <t xml:space="preserve">
租期内含免租期为  2  个月，自2022年11 月01日 起至2022年11月30日 止，自2024年05 月01日 起至2024年05月31日 ，</t>
        </r>
      </text>
    </comment>
    <comment ref="BK58" authorId="1">
      <text>
        <r>
          <rPr>
            <b/>
            <sz val="9"/>
            <rFont val="宋体"/>
            <family val="3"/>
            <charset val="134"/>
          </rPr>
          <t>HL:</t>
        </r>
        <r>
          <rPr>
            <sz val="9"/>
            <rFont val="宋体"/>
            <family val="3"/>
            <charset val="134"/>
          </rPr>
          <t xml:space="preserve">
自2024年05月01日 起至2024年05月31日 免租
</t>
        </r>
      </text>
    </comment>
    <comment ref="BL58" authorId="1">
      <text>
        <r>
          <rPr>
            <b/>
            <sz val="9"/>
            <rFont val="宋体"/>
            <family val="3"/>
            <charset val="134"/>
          </rPr>
          <t>HL:</t>
        </r>
        <r>
          <rPr>
            <sz val="9"/>
            <rFont val="宋体"/>
            <family val="3"/>
            <charset val="134"/>
          </rPr>
          <t xml:space="preserve">
自2024年05月01日 起至2024年05月31日 免租
本月收2024.06.01-07.31</t>
        </r>
      </text>
    </comment>
    <comment ref="GA58" authorId="2">
      <text>
        <r>
          <rPr>
            <b/>
            <sz val="9"/>
            <rFont val="宋体"/>
            <family val="3"/>
            <charset val="134"/>
          </rPr>
          <t xml:space="preserve">作者:
</t>
        </r>
        <r>
          <rPr>
            <sz val="9"/>
            <rFont val="宋体"/>
            <family val="3"/>
            <charset val="134"/>
          </rPr>
          <t>租期内含免租期为自2024年05月01日起至2024年05月31日</t>
        </r>
      </text>
    </comment>
    <comment ref="GB58" authorId="2">
      <text>
        <r>
          <rPr>
            <b/>
            <sz val="9"/>
            <rFont val="宋体"/>
            <family val="3"/>
            <charset val="134"/>
          </rPr>
          <t xml:space="preserve">作者:
</t>
        </r>
        <r>
          <rPr>
            <sz val="9"/>
            <rFont val="宋体"/>
            <family val="3"/>
            <charset val="134"/>
          </rPr>
          <t>租期内含免租期为自2024年05月01日起至2024年05月31日</t>
        </r>
      </text>
    </comment>
    <comment ref="J59" authorId="2">
      <text>
        <r>
          <rPr>
            <b/>
            <sz val="9"/>
            <rFont val="宋体"/>
            <family val="3"/>
            <charset val="134"/>
          </rPr>
          <t>作者:</t>
        </r>
        <r>
          <rPr>
            <sz val="9"/>
            <rFont val="宋体"/>
            <family val="3"/>
            <charset val="134"/>
          </rPr>
          <t xml:space="preserve">
租期内含免租期为  2  个月，自2022年11 月01日 起至2022年11月30日 止，自2024年05 月01日 起至2024年05月31日 ，</t>
        </r>
      </text>
    </comment>
    <comment ref="G60" authorId="4">
      <text>
        <r>
          <rPr>
            <b/>
            <sz val="9"/>
            <rFont val="宋体"/>
            <family val="3"/>
            <charset val="134"/>
          </rPr>
          <t>HL50:</t>
        </r>
        <r>
          <rPr>
            <sz val="9"/>
            <rFont val="宋体"/>
            <family val="3"/>
            <charset val="134"/>
          </rPr>
          <t xml:space="preserve">
对应业务预算表 1220-1223、12A1-12A3部分暗</t>
        </r>
      </text>
    </comment>
    <comment ref="CZ60" authorId="0">
      <text>
        <r>
          <rPr>
            <b/>
            <sz val="9"/>
            <rFont val="宋体"/>
            <family val="3"/>
            <charset val="134"/>
          </rPr>
          <t>64001:</t>
        </r>
        <r>
          <rPr>
            <sz val="9"/>
            <rFont val="宋体"/>
            <family val="3"/>
            <charset val="134"/>
          </rPr>
          <t xml:space="preserve">
2024.10.01-10.17</t>
        </r>
      </text>
    </comment>
    <comment ref="HO60" authorId="1">
      <text>
        <r>
          <rPr>
            <b/>
            <sz val="9"/>
            <rFont val="宋体"/>
            <family val="3"/>
            <charset val="134"/>
          </rPr>
          <t>HL:</t>
        </r>
        <r>
          <rPr>
            <sz val="9"/>
            <rFont val="宋体"/>
            <family val="3"/>
            <charset val="134"/>
          </rPr>
          <t xml:space="preserve">
2024.10.01-10.17</t>
        </r>
      </text>
    </comment>
    <comment ref="HP60" authorId="1">
      <text>
        <r>
          <rPr>
            <b/>
            <sz val="9"/>
            <rFont val="宋体"/>
            <family val="3"/>
            <charset val="134"/>
          </rPr>
          <t>HL:</t>
        </r>
        <r>
          <rPr>
            <sz val="9"/>
            <rFont val="宋体"/>
            <family val="3"/>
            <charset val="134"/>
          </rPr>
          <t xml:space="preserve">
2024.10.01-10.17</t>
        </r>
      </text>
    </comment>
    <comment ref="HS60" authorId="1">
      <text>
        <r>
          <rPr>
            <b/>
            <sz val="9"/>
            <rFont val="宋体"/>
            <family val="3"/>
            <charset val="134"/>
          </rPr>
          <t>HL:</t>
        </r>
        <r>
          <rPr>
            <sz val="9"/>
            <rFont val="宋体"/>
            <family val="3"/>
            <charset val="134"/>
          </rPr>
          <t xml:space="preserve">
2024.10.01-10.17
</t>
        </r>
      </text>
    </comment>
    <comment ref="HT60" authorId="1">
      <text>
        <r>
          <rPr>
            <b/>
            <sz val="9"/>
            <rFont val="宋体"/>
            <family val="3"/>
            <charset val="134"/>
          </rPr>
          <t>HL:</t>
        </r>
        <r>
          <rPr>
            <sz val="9"/>
            <rFont val="宋体"/>
            <family val="3"/>
            <charset val="134"/>
          </rPr>
          <t xml:space="preserve">
2024.10.01-10.17
</t>
        </r>
      </text>
    </comment>
    <comment ref="D61" authorId="2">
      <text>
        <r>
          <rPr>
            <b/>
            <sz val="9"/>
            <rFont val="宋体"/>
            <family val="3"/>
            <charset val="134"/>
          </rPr>
          <t>作者:</t>
        </r>
        <r>
          <rPr>
            <sz val="9"/>
            <rFont val="宋体"/>
            <family val="3"/>
            <charset val="134"/>
          </rPr>
          <t xml:space="preserve">
114.04
12A1：11.90
12A2：14.60
12A3：41.20</t>
        </r>
      </text>
    </comment>
    <comment ref="AN61" authorId="1">
      <text>
        <r>
          <rPr>
            <b/>
            <sz val="9"/>
            <rFont val="宋体"/>
            <family val="3"/>
            <charset val="134"/>
          </rPr>
          <t>HL:</t>
        </r>
        <r>
          <rPr>
            <sz val="9"/>
            <rFont val="宋体"/>
            <family val="3"/>
            <charset val="134"/>
          </rPr>
          <t xml:space="preserve">
43393.65：收北京场圈有爱网络科技有限公司2024.01.11-04.10
</t>
        </r>
      </text>
    </comment>
    <comment ref="AQ61" authorId="1">
      <text>
        <r>
          <rPr>
            <b/>
            <sz val="9"/>
            <rFont val="宋体"/>
            <family val="3"/>
            <charset val="134"/>
          </rPr>
          <t>HL:</t>
        </r>
        <r>
          <rPr>
            <sz val="9"/>
            <rFont val="宋体"/>
            <family val="3"/>
            <charset val="134"/>
          </rPr>
          <t xml:space="preserve">
8637.09：收北京场圈有爱网络科技有限公司2024.01.11-04.10
</t>
        </r>
      </text>
    </comment>
    <comment ref="AV61" authorId="1">
      <text>
        <r>
          <rPr>
            <b/>
            <sz val="9"/>
            <rFont val="宋体"/>
            <family val="3"/>
            <charset val="134"/>
          </rPr>
          <t>HL:</t>
        </r>
        <r>
          <rPr>
            <sz val="9"/>
            <rFont val="宋体"/>
            <family val="3"/>
            <charset val="134"/>
          </rPr>
          <t xml:space="preserve">
-12381.33：退北京场圈愿景科技有限公司2024.01.01-01.10</t>
        </r>
      </text>
    </comment>
    <comment ref="AW61" authorId="1">
      <text>
        <r>
          <rPr>
            <b/>
            <sz val="9"/>
            <rFont val="宋体"/>
            <family val="3"/>
            <charset val="134"/>
          </rPr>
          <t>HL:</t>
        </r>
        <r>
          <rPr>
            <sz val="9"/>
            <rFont val="宋体"/>
            <family val="3"/>
            <charset val="134"/>
          </rPr>
          <t xml:space="preserve">
-12381.33：退北京场圈愿景科技有限公司2024.01.01-01.10</t>
        </r>
      </text>
    </comment>
    <comment ref="AY61" authorId="1">
      <text>
        <r>
          <rPr>
            <b/>
            <sz val="9"/>
            <rFont val="宋体"/>
            <family val="3"/>
            <charset val="134"/>
          </rPr>
          <t>HL:</t>
        </r>
        <r>
          <rPr>
            <sz val="9"/>
            <rFont val="宋体"/>
            <family val="3"/>
            <charset val="134"/>
          </rPr>
          <t xml:space="preserve">
-1987.71：退北京场圈愿景科技有限公司2024.01.01-01.10
</t>
        </r>
      </text>
    </comment>
    <comment ref="AZ61" authorId="1">
      <text>
        <r>
          <rPr>
            <b/>
            <sz val="9"/>
            <rFont val="宋体"/>
            <family val="3"/>
            <charset val="134"/>
          </rPr>
          <t>HL:</t>
        </r>
        <r>
          <rPr>
            <sz val="9"/>
            <rFont val="宋体"/>
            <family val="3"/>
            <charset val="134"/>
          </rPr>
          <t xml:space="preserve">
-1987.71：退北京场圈愿景科技有限公司2024.01.01-01.10
</t>
        </r>
      </text>
    </comment>
    <comment ref="EU61" authorId="1">
      <text>
        <r>
          <rPr>
            <b/>
            <sz val="9"/>
            <rFont val="宋体"/>
            <family val="3"/>
            <charset val="134"/>
          </rPr>
          <t>HL:</t>
        </r>
        <r>
          <rPr>
            <sz val="9"/>
            <rFont val="宋体"/>
            <family val="3"/>
            <charset val="134"/>
          </rPr>
          <t xml:space="preserve">
收原客户北京场圈愿景科技有限公司
2024.01.01-01.04；2024.01.05-01.31
43393.65/3/1.05-43393.65/3*12/365*10/1.05：收北京场圈有爱网络科技有限公司2024.01.11-01.31
</t>
        </r>
      </text>
    </comment>
    <comment ref="EV61" authorId="1">
      <text>
        <r>
          <rPr>
            <b/>
            <sz val="9"/>
            <rFont val="宋体"/>
            <family val="3"/>
            <charset val="134"/>
          </rPr>
          <t>HL:</t>
        </r>
        <r>
          <rPr>
            <sz val="9"/>
            <rFont val="宋体"/>
            <family val="3"/>
            <charset val="134"/>
          </rPr>
          <t xml:space="preserve">
收原客户北京场圈愿景科技有限公司
2024.01.01-01.04；2024.01.05-01.31
43393.65/3/1.05-43393.65/3*12/365*10/1.05：收北京场圈有爱网络科技有限公司2024.01.11-01.31
</t>
        </r>
      </text>
    </comment>
    <comment ref="EY61" authorId="1">
      <text>
        <r>
          <rPr>
            <b/>
            <sz val="9"/>
            <rFont val="宋体"/>
            <family val="3"/>
            <charset val="134"/>
          </rPr>
          <t>HL:</t>
        </r>
        <r>
          <rPr>
            <sz val="9"/>
            <rFont val="宋体"/>
            <family val="3"/>
            <charset val="134"/>
          </rPr>
          <t xml:space="preserve">
收原客户北京场圈愿景科技有限公司
2024.01.01-01.04；2024.01.05-01.31
8637.09/3/1.06-8637.09/3*12/365*10/1.06：收北京场圈有爱网络科技有限公司2024.01.11-01.31
</t>
        </r>
      </text>
    </comment>
    <comment ref="EZ61" authorId="1">
      <text>
        <r>
          <rPr>
            <b/>
            <sz val="9"/>
            <rFont val="宋体"/>
            <family val="3"/>
            <charset val="134"/>
          </rPr>
          <t>HL:</t>
        </r>
        <r>
          <rPr>
            <sz val="9"/>
            <rFont val="宋体"/>
            <family val="3"/>
            <charset val="134"/>
          </rPr>
          <t xml:space="preserve">
收原客户北京场圈愿景科技有限公司
2024.01.01-01.04；2024.01.05-01.31
8637.09/3/1.06-8637.09/3*12/365*10/1.06：收北京场圈有爱网络科技有限公司2024.01.11-01.31
</t>
        </r>
      </text>
    </comment>
    <comment ref="FC61" authorId="1">
      <text>
        <r>
          <rPr>
            <b/>
            <sz val="9"/>
            <rFont val="宋体"/>
            <family val="3"/>
            <charset val="134"/>
          </rPr>
          <t>HL:</t>
        </r>
        <r>
          <rPr>
            <sz val="9"/>
            <rFont val="宋体"/>
            <family val="3"/>
            <charset val="134"/>
          </rPr>
          <t xml:space="preserve">
-12381.33：退北京场圈愿景科技有限公司2024.01.01-01.10
</t>
        </r>
      </text>
    </comment>
    <comment ref="FD61" authorId="1">
      <text>
        <r>
          <rPr>
            <b/>
            <sz val="9"/>
            <rFont val="宋体"/>
            <family val="3"/>
            <charset val="134"/>
          </rPr>
          <t>HL:</t>
        </r>
        <r>
          <rPr>
            <sz val="9"/>
            <rFont val="宋体"/>
            <family val="3"/>
            <charset val="134"/>
          </rPr>
          <t xml:space="preserve">
-12381.33：退北京场圈愿景科技有限公司2024.01.01-01.10
</t>
        </r>
      </text>
    </comment>
    <comment ref="FG61" authorId="1">
      <text>
        <r>
          <rPr>
            <b/>
            <sz val="9"/>
            <rFont val="宋体"/>
            <family val="3"/>
            <charset val="134"/>
          </rPr>
          <t>HL:</t>
        </r>
        <r>
          <rPr>
            <sz val="9"/>
            <rFont val="宋体"/>
            <family val="3"/>
            <charset val="134"/>
          </rPr>
          <t xml:space="preserve">
-1987.71：退北京场圈愿景科技有限公司2024.01.01-01.10
</t>
        </r>
      </text>
    </comment>
    <comment ref="FH61" authorId="1">
      <text>
        <r>
          <rPr>
            <b/>
            <sz val="9"/>
            <rFont val="宋体"/>
            <family val="3"/>
            <charset val="134"/>
          </rPr>
          <t>HL:</t>
        </r>
        <r>
          <rPr>
            <sz val="9"/>
            <rFont val="宋体"/>
            <family val="3"/>
            <charset val="134"/>
          </rPr>
          <t xml:space="preserve">
-12381.33：退北京场圈愿景科技有限公司2024.01.01-01.10
</t>
        </r>
      </text>
    </comment>
    <comment ref="FS61" authorId="1">
      <text>
        <r>
          <rPr>
            <b/>
            <sz val="9"/>
            <rFont val="宋体"/>
            <family val="3"/>
            <charset val="134"/>
          </rPr>
          <t>HL:</t>
        </r>
        <r>
          <rPr>
            <sz val="9"/>
            <rFont val="宋体"/>
            <family val="3"/>
            <charset val="134"/>
          </rPr>
          <t xml:space="preserve">
2024.04.01-04.10
2024.04.11-04.30</t>
        </r>
      </text>
    </comment>
    <comment ref="FT61" authorId="1">
      <text>
        <r>
          <rPr>
            <b/>
            <sz val="9"/>
            <rFont val="宋体"/>
            <family val="3"/>
            <charset val="134"/>
          </rPr>
          <t>HL:</t>
        </r>
        <r>
          <rPr>
            <sz val="9"/>
            <rFont val="宋体"/>
            <family val="3"/>
            <charset val="134"/>
          </rPr>
          <t xml:space="preserve">
2024.04.01-04.10
2024.04.11-04.30</t>
        </r>
      </text>
    </comment>
    <comment ref="FW61" authorId="1">
      <text>
        <r>
          <rPr>
            <b/>
            <sz val="9"/>
            <rFont val="宋体"/>
            <family val="3"/>
            <charset val="134"/>
          </rPr>
          <t>HL:</t>
        </r>
        <r>
          <rPr>
            <sz val="9"/>
            <rFont val="宋体"/>
            <family val="3"/>
            <charset val="134"/>
          </rPr>
          <t xml:space="preserve">
2024.04.01-04.10
</t>
        </r>
      </text>
    </comment>
    <comment ref="FX61" authorId="1">
      <text>
        <r>
          <rPr>
            <b/>
            <sz val="9"/>
            <rFont val="宋体"/>
            <family val="3"/>
            <charset val="134"/>
          </rPr>
          <t>HL:</t>
        </r>
        <r>
          <rPr>
            <sz val="9"/>
            <rFont val="宋体"/>
            <family val="3"/>
            <charset val="134"/>
          </rPr>
          <t xml:space="preserve">
2024.04.01-04.10
2024.04.11-04.30</t>
        </r>
      </text>
    </comment>
    <comment ref="GQ61" authorId="1">
      <text>
        <r>
          <rPr>
            <b/>
            <sz val="9"/>
            <rFont val="宋体"/>
            <family val="3"/>
            <charset val="134"/>
          </rPr>
          <t>HL:</t>
        </r>
        <r>
          <rPr>
            <sz val="9"/>
            <rFont val="宋体"/>
            <family val="3"/>
            <charset val="134"/>
          </rPr>
          <t xml:space="preserve">
2024.07.01-07.10
2024.07.11-07.31</t>
        </r>
      </text>
    </comment>
    <comment ref="GR61" authorId="1">
      <text>
        <r>
          <rPr>
            <b/>
            <sz val="9"/>
            <rFont val="宋体"/>
            <family val="3"/>
            <charset val="134"/>
          </rPr>
          <t>HL:</t>
        </r>
        <r>
          <rPr>
            <sz val="9"/>
            <rFont val="宋体"/>
            <family val="3"/>
            <charset val="134"/>
          </rPr>
          <t xml:space="preserve">
2024.07.01-07.10
2024.07.11-07.31</t>
        </r>
      </text>
    </comment>
    <comment ref="GU61" authorId="1">
      <text>
        <r>
          <rPr>
            <b/>
            <sz val="9"/>
            <rFont val="宋体"/>
            <family val="3"/>
            <charset val="134"/>
          </rPr>
          <t>HL:</t>
        </r>
        <r>
          <rPr>
            <sz val="9"/>
            <rFont val="宋体"/>
            <family val="3"/>
            <charset val="134"/>
          </rPr>
          <t xml:space="preserve">
2024.07.01-07.10
2024.07.11-07.31</t>
        </r>
      </text>
    </comment>
    <comment ref="GV61" authorId="1">
      <text>
        <r>
          <rPr>
            <b/>
            <sz val="9"/>
            <rFont val="宋体"/>
            <family val="3"/>
            <charset val="134"/>
          </rPr>
          <t>HL:</t>
        </r>
        <r>
          <rPr>
            <sz val="9"/>
            <rFont val="宋体"/>
            <family val="3"/>
            <charset val="134"/>
          </rPr>
          <t xml:space="preserve">
2024.07.01-07.10
2024.07.11-07.31</t>
        </r>
      </text>
    </comment>
    <comment ref="HP61" authorId="1">
      <text>
        <r>
          <rPr>
            <b/>
            <sz val="9"/>
            <rFont val="宋体"/>
            <family val="3"/>
            <charset val="134"/>
          </rPr>
          <t>HL:</t>
        </r>
        <r>
          <rPr>
            <sz val="9"/>
            <rFont val="宋体"/>
            <family val="3"/>
            <charset val="134"/>
          </rPr>
          <t xml:space="preserve">
2024.10.01-10.10
2024.10.11-10.31</t>
        </r>
      </text>
    </comment>
    <comment ref="HT61" authorId="1">
      <text>
        <r>
          <rPr>
            <b/>
            <sz val="9"/>
            <rFont val="宋体"/>
            <family val="3"/>
            <charset val="134"/>
          </rPr>
          <t>HL:</t>
        </r>
        <r>
          <rPr>
            <sz val="9"/>
            <rFont val="宋体"/>
            <family val="3"/>
            <charset val="134"/>
          </rPr>
          <t xml:space="preserve">
2024.10.01-10.10
2024.10.11-10.31</t>
        </r>
      </text>
    </comment>
    <comment ref="IQ61" authorId="1">
      <text>
        <r>
          <rPr>
            <b/>
            <sz val="9"/>
            <rFont val="宋体"/>
            <family val="3"/>
            <charset val="134"/>
          </rPr>
          <t>HL:</t>
        </r>
        <r>
          <rPr>
            <sz val="9"/>
            <rFont val="宋体"/>
            <family val="3"/>
            <charset val="134"/>
          </rPr>
          <t xml:space="preserve">
2025.01.01-01.10</t>
        </r>
      </text>
    </comment>
    <comment ref="JD61" authorId="1">
      <text>
        <r>
          <rPr>
            <b/>
            <sz val="9"/>
            <rFont val="宋体"/>
            <family val="3"/>
            <charset val="134"/>
          </rPr>
          <t>HL:</t>
        </r>
        <r>
          <rPr>
            <sz val="9"/>
            <rFont val="宋体"/>
            <family val="3"/>
            <charset val="134"/>
          </rPr>
          <t xml:space="preserve">
2025.01.01-01.10</t>
        </r>
      </text>
    </comment>
    <comment ref="J66" authorId="1">
      <text>
        <r>
          <rPr>
            <b/>
            <sz val="9"/>
            <rFont val="宋体"/>
            <family val="3"/>
            <charset val="134"/>
          </rPr>
          <t>HL:</t>
        </r>
        <r>
          <rPr>
            <sz val="9"/>
            <rFont val="宋体"/>
            <family val="3"/>
            <charset val="134"/>
          </rPr>
          <t xml:space="preserve">
租期内含免租期为贰个月，自2023年09月18日起至2023年10月17日以及2024年09月18日起至2024年10月17日止</t>
        </r>
      </text>
    </comment>
    <comment ref="BR66" authorId="1">
      <text>
        <r>
          <rPr>
            <b/>
            <sz val="9"/>
            <rFont val="宋体"/>
            <family val="3"/>
            <charset val="134"/>
          </rPr>
          <t>HL:</t>
        </r>
        <r>
          <rPr>
            <sz val="9"/>
            <rFont val="宋体"/>
            <family val="3"/>
            <charset val="134"/>
          </rPr>
          <t xml:space="preserve">
2023.12.15预收2024.02.18-03.17物业费1485.04，多汇款0.08</t>
        </r>
      </text>
    </comment>
    <comment ref="BZ66" authorId="1">
      <text>
        <r>
          <rPr>
            <b/>
            <sz val="9"/>
            <rFont val="宋体"/>
            <family val="3"/>
            <charset val="134"/>
          </rPr>
          <t>HL:</t>
        </r>
        <r>
          <rPr>
            <sz val="9"/>
            <rFont val="宋体"/>
            <family val="3"/>
            <charset val="134"/>
          </rPr>
          <t xml:space="preserve">
2023.12.15预收2024.02.18-03.17物业费1485.04，多汇款0.08</t>
        </r>
      </text>
    </comment>
    <comment ref="CH66" authorId="1">
      <text>
        <r>
          <rPr>
            <b/>
            <sz val="9"/>
            <rFont val="宋体"/>
            <family val="3"/>
            <charset val="134"/>
          </rPr>
          <t>HL:</t>
        </r>
        <r>
          <rPr>
            <sz val="9"/>
            <rFont val="宋体"/>
            <family val="3"/>
            <charset val="134"/>
          </rPr>
          <t xml:space="preserve">
2023.12.15预收2024.02.18-03.17物业费1485.04，多汇款0.08</t>
        </r>
      </text>
    </comment>
    <comment ref="CP66" authorId="1">
      <text>
        <r>
          <rPr>
            <b/>
            <sz val="9"/>
            <rFont val="宋体"/>
            <family val="3"/>
            <charset val="134"/>
          </rPr>
          <t>HL:</t>
        </r>
        <r>
          <rPr>
            <sz val="9"/>
            <rFont val="宋体"/>
            <family val="3"/>
            <charset val="134"/>
          </rPr>
          <t xml:space="preserve">
2023.12.15预收2024.02.18-03.17物业费1485.04，多汇款0.08</t>
        </r>
      </text>
    </comment>
    <comment ref="CQ66" authorId="1">
      <text>
        <r>
          <rPr>
            <b/>
            <sz val="9"/>
            <rFont val="宋体"/>
            <family val="3"/>
            <charset val="134"/>
          </rPr>
          <t>HL:</t>
        </r>
        <r>
          <rPr>
            <sz val="9"/>
            <rFont val="宋体"/>
            <family val="3"/>
            <charset val="134"/>
          </rPr>
          <t xml:space="preserve">
2024年09月18日起至2024年10月17日止免租
</t>
        </r>
      </text>
    </comment>
    <comment ref="CR66" authorId="1">
      <text>
        <r>
          <rPr>
            <b/>
            <sz val="9"/>
            <rFont val="宋体"/>
            <family val="3"/>
            <charset val="134"/>
          </rPr>
          <t>HL:</t>
        </r>
        <r>
          <rPr>
            <sz val="9"/>
            <rFont val="宋体"/>
            <family val="3"/>
            <charset val="134"/>
          </rPr>
          <t xml:space="preserve">
2024年09月18日起至2024年10月17日止免租
</t>
        </r>
      </text>
    </comment>
    <comment ref="CX66" authorId="1">
      <text>
        <r>
          <rPr>
            <b/>
            <sz val="9"/>
            <rFont val="宋体"/>
            <family val="3"/>
            <charset val="134"/>
          </rPr>
          <t>HL:</t>
        </r>
        <r>
          <rPr>
            <sz val="9"/>
            <rFont val="宋体"/>
            <family val="3"/>
            <charset val="134"/>
          </rPr>
          <t xml:space="preserve">
2023.12.15预收2024.02.18-03.17物业费1485.04，多汇款0.08</t>
        </r>
      </text>
    </comment>
    <comment ref="DF66" authorId="1">
      <text>
        <r>
          <rPr>
            <b/>
            <sz val="9"/>
            <rFont val="宋体"/>
            <family val="3"/>
            <charset val="134"/>
          </rPr>
          <t>HL:</t>
        </r>
        <r>
          <rPr>
            <sz val="9"/>
            <rFont val="宋体"/>
            <family val="3"/>
            <charset val="134"/>
          </rPr>
          <t xml:space="preserve">
2023.12.15预收2024.02.18-03.17物业费1485.04，多汇款0.08</t>
        </r>
      </text>
    </comment>
    <comment ref="EV66" authorId="1">
      <text>
        <r>
          <rPr>
            <b/>
            <sz val="9"/>
            <rFont val="宋体"/>
            <family val="3"/>
            <charset val="134"/>
          </rPr>
          <t>HL:</t>
        </r>
        <r>
          <rPr>
            <sz val="9"/>
            <rFont val="宋体"/>
            <family val="3"/>
            <charset val="134"/>
          </rPr>
          <t xml:space="preserve">
2024.01.01-01.17
2024.01.18-01.31</t>
        </r>
      </text>
    </comment>
    <comment ref="EZ66" authorId="1">
      <text>
        <r>
          <rPr>
            <b/>
            <sz val="9"/>
            <rFont val="宋体"/>
            <family val="3"/>
            <charset val="134"/>
          </rPr>
          <t>HL:</t>
        </r>
        <r>
          <rPr>
            <sz val="9"/>
            <rFont val="宋体"/>
            <family val="3"/>
            <charset val="134"/>
          </rPr>
          <t xml:space="preserve">
2024.01.01-01.17
2024.01.18-01.31</t>
        </r>
      </text>
    </comment>
    <comment ref="FL66" authorId="1">
      <text>
        <r>
          <rPr>
            <b/>
            <sz val="9"/>
            <rFont val="宋体"/>
            <family val="3"/>
            <charset val="134"/>
          </rPr>
          <t>HL:</t>
        </r>
        <r>
          <rPr>
            <sz val="9"/>
            <rFont val="宋体"/>
            <family val="3"/>
            <charset val="134"/>
          </rPr>
          <t xml:space="preserve">
2024.03.01-03.17
2024.03.18-03.31</t>
        </r>
      </text>
    </comment>
    <comment ref="FP66" authorId="1">
      <text>
        <r>
          <rPr>
            <b/>
            <sz val="9"/>
            <rFont val="宋体"/>
            <family val="3"/>
            <charset val="134"/>
          </rPr>
          <t>HL:</t>
        </r>
        <r>
          <rPr>
            <sz val="9"/>
            <rFont val="宋体"/>
            <family val="3"/>
            <charset val="134"/>
          </rPr>
          <t xml:space="preserve">
2024.03.01-03.17
2024.03.18-03.31</t>
        </r>
      </text>
    </comment>
    <comment ref="FT66" authorId="1">
      <text>
        <r>
          <rPr>
            <b/>
            <sz val="9"/>
            <rFont val="宋体"/>
            <family val="3"/>
            <charset val="134"/>
          </rPr>
          <t>HL:</t>
        </r>
        <r>
          <rPr>
            <sz val="9"/>
            <rFont val="宋体"/>
            <family val="3"/>
            <charset val="134"/>
          </rPr>
          <t xml:space="preserve">
2024.04.01-04.17
2024.04.18-04.30</t>
        </r>
      </text>
    </comment>
    <comment ref="FX66" authorId="1">
      <text>
        <r>
          <rPr>
            <b/>
            <sz val="9"/>
            <rFont val="宋体"/>
            <family val="3"/>
            <charset val="134"/>
          </rPr>
          <t>HL:</t>
        </r>
        <r>
          <rPr>
            <sz val="9"/>
            <rFont val="宋体"/>
            <family val="3"/>
            <charset val="134"/>
          </rPr>
          <t xml:space="preserve">
2024.04.01-04.17
2024.04.18-04.30</t>
        </r>
      </text>
    </comment>
    <comment ref="GB66" authorId="1">
      <text>
        <r>
          <rPr>
            <b/>
            <sz val="9"/>
            <rFont val="宋体"/>
            <family val="3"/>
            <charset val="134"/>
          </rPr>
          <t>HL:</t>
        </r>
        <r>
          <rPr>
            <sz val="9"/>
            <rFont val="宋体"/>
            <family val="3"/>
            <charset val="134"/>
          </rPr>
          <t xml:space="preserve">
2024.05.01-05.17
2024.05.18-05.31</t>
        </r>
      </text>
    </comment>
    <comment ref="GF66" authorId="1">
      <text>
        <r>
          <rPr>
            <b/>
            <sz val="9"/>
            <rFont val="宋体"/>
            <family val="3"/>
            <charset val="134"/>
          </rPr>
          <t>HL:</t>
        </r>
        <r>
          <rPr>
            <sz val="9"/>
            <rFont val="宋体"/>
            <family val="3"/>
            <charset val="134"/>
          </rPr>
          <t xml:space="preserve">
2024.05.01-05.17
2024.05.18-05.31
</t>
        </r>
      </text>
    </comment>
    <comment ref="GJ66" authorId="1">
      <text>
        <r>
          <rPr>
            <b/>
            <sz val="9"/>
            <rFont val="宋体"/>
            <family val="3"/>
            <charset val="134"/>
          </rPr>
          <t>HL:</t>
        </r>
        <r>
          <rPr>
            <sz val="9"/>
            <rFont val="宋体"/>
            <family val="3"/>
            <charset val="134"/>
          </rPr>
          <t xml:space="preserve">
2024.06.01-06.17
2024.06.18-06.30</t>
        </r>
      </text>
    </comment>
    <comment ref="GN66" authorId="1">
      <text>
        <r>
          <rPr>
            <b/>
            <sz val="9"/>
            <rFont val="宋体"/>
            <family val="3"/>
            <charset val="134"/>
          </rPr>
          <t>HL:</t>
        </r>
        <r>
          <rPr>
            <sz val="9"/>
            <rFont val="宋体"/>
            <family val="3"/>
            <charset val="134"/>
          </rPr>
          <t xml:space="preserve">
2024.06.01-06.17
2024.06.18-06.30</t>
        </r>
      </text>
    </comment>
    <comment ref="GZ66" authorId="1">
      <text>
        <r>
          <rPr>
            <b/>
            <sz val="9"/>
            <rFont val="宋体"/>
            <family val="3"/>
            <charset val="134"/>
          </rPr>
          <t>HL:</t>
        </r>
        <r>
          <rPr>
            <sz val="9"/>
            <rFont val="宋体"/>
            <family val="3"/>
            <charset val="134"/>
          </rPr>
          <t xml:space="preserve">
2024.08.01-08.17
2024.08.18-08.31</t>
        </r>
      </text>
    </comment>
    <comment ref="HD66" authorId="1">
      <text>
        <r>
          <rPr>
            <b/>
            <sz val="9"/>
            <rFont val="宋体"/>
            <family val="3"/>
            <charset val="134"/>
          </rPr>
          <t>HL:</t>
        </r>
        <r>
          <rPr>
            <sz val="9"/>
            <rFont val="宋体"/>
            <family val="3"/>
            <charset val="134"/>
          </rPr>
          <t xml:space="preserve">
2024.08.01-08.17
2024.08.18-08.31</t>
        </r>
      </text>
    </comment>
    <comment ref="HG66" authorId="1">
      <text>
        <r>
          <rPr>
            <b/>
            <sz val="9"/>
            <rFont val="宋体"/>
            <family val="3"/>
            <charset val="134"/>
          </rPr>
          <t>HL:</t>
        </r>
        <r>
          <rPr>
            <sz val="9"/>
            <rFont val="宋体"/>
            <family val="3"/>
            <charset val="134"/>
          </rPr>
          <t xml:space="preserve">
租期内含免租期为2024年09月18日起至2024年10月17日止</t>
        </r>
      </text>
    </comment>
    <comment ref="HH66" authorId="1">
      <text>
        <r>
          <rPr>
            <b/>
            <sz val="9"/>
            <rFont val="宋体"/>
            <family val="3"/>
            <charset val="134"/>
          </rPr>
          <t>HL:</t>
        </r>
        <r>
          <rPr>
            <sz val="9"/>
            <rFont val="宋体"/>
            <family val="3"/>
            <charset val="134"/>
          </rPr>
          <t xml:space="preserve">
租期内含免租期为2024年09月18日起至2024年10月17日止
2024.09.01-09.17</t>
        </r>
      </text>
    </comment>
    <comment ref="HO66" authorId="1">
      <text>
        <r>
          <rPr>
            <b/>
            <sz val="9"/>
            <rFont val="宋体"/>
            <family val="3"/>
            <charset val="134"/>
          </rPr>
          <t>HL:</t>
        </r>
        <r>
          <rPr>
            <sz val="9"/>
            <rFont val="宋体"/>
            <family val="3"/>
            <charset val="134"/>
          </rPr>
          <t xml:space="preserve">
租期内含免租期为2024年09月18日起至2024年10月17日止
</t>
        </r>
      </text>
    </comment>
    <comment ref="HP66" authorId="1">
      <text>
        <r>
          <rPr>
            <b/>
            <sz val="9"/>
            <rFont val="宋体"/>
            <family val="3"/>
            <charset val="134"/>
          </rPr>
          <t>HL:</t>
        </r>
        <r>
          <rPr>
            <sz val="9"/>
            <rFont val="宋体"/>
            <family val="3"/>
            <charset val="134"/>
          </rPr>
          <t xml:space="preserve">
租期内含免租期为2024年09月18日起至2024年10月17日止
2024.10.18-10.31</t>
        </r>
      </text>
    </comment>
    <comment ref="HT66" authorId="1">
      <text>
        <r>
          <rPr>
            <b/>
            <sz val="9"/>
            <rFont val="宋体"/>
            <family val="3"/>
            <charset val="134"/>
          </rPr>
          <t>HL:</t>
        </r>
        <r>
          <rPr>
            <sz val="9"/>
            <rFont val="宋体"/>
            <family val="3"/>
            <charset val="134"/>
          </rPr>
          <t xml:space="preserve">
2024.10.01-10.17
2024.10.18-10.31</t>
        </r>
      </text>
    </comment>
    <comment ref="HX66" authorId="1">
      <text>
        <r>
          <rPr>
            <b/>
            <sz val="9"/>
            <rFont val="宋体"/>
            <family val="3"/>
            <charset val="134"/>
          </rPr>
          <t>HL:</t>
        </r>
        <r>
          <rPr>
            <sz val="9"/>
            <rFont val="宋体"/>
            <family val="3"/>
            <charset val="134"/>
          </rPr>
          <t xml:space="preserve">
2024.11.01-11.17</t>
        </r>
      </text>
    </comment>
    <comment ref="IJ66" authorId="1">
      <text>
        <r>
          <rPr>
            <b/>
            <sz val="9"/>
            <rFont val="宋体"/>
            <family val="3"/>
            <charset val="134"/>
          </rPr>
          <t>HL:</t>
        </r>
        <r>
          <rPr>
            <sz val="9"/>
            <rFont val="宋体"/>
            <family val="3"/>
            <charset val="134"/>
          </rPr>
          <t xml:space="preserve">
2024.12.01-12.17
预收0.08</t>
        </r>
      </text>
    </comment>
    <comment ref="J67" authorId="1">
      <text>
        <r>
          <rPr>
            <b/>
            <sz val="9"/>
            <rFont val="宋体"/>
            <family val="3"/>
            <charset val="134"/>
          </rPr>
          <t>HL:</t>
        </r>
        <r>
          <rPr>
            <sz val="9"/>
            <rFont val="宋体"/>
            <family val="3"/>
            <charset val="134"/>
          </rPr>
          <t xml:space="preserve">
租期内含免租期为 2 个月，自2023年9月1日起至2023年10月31日止，免租期间内乙方免交租金，但须交纳水费、电费及其他应缴费用。</t>
        </r>
      </text>
    </comment>
    <comment ref="N68" authorId="2">
      <text>
        <r>
          <rPr>
            <b/>
            <sz val="9"/>
            <rFont val="宋体"/>
            <family val="3"/>
            <charset val="134"/>
          </rPr>
          <t>作者:</t>
        </r>
        <r>
          <rPr>
            <sz val="9"/>
            <rFont val="宋体"/>
            <family val="3"/>
            <charset val="134"/>
          </rPr>
          <t xml:space="preserve">
押金表于</t>
        </r>
        <r>
          <rPr>
            <sz val="9"/>
            <rFont val="Tahoma"/>
            <family val="2"/>
          </rPr>
          <t>2013</t>
        </r>
        <r>
          <rPr>
            <sz val="9"/>
            <rFont val="宋体"/>
            <family val="3"/>
            <charset val="134"/>
          </rPr>
          <t>年</t>
        </r>
        <r>
          <rPr>
            <sz val="9"/>
            <rFont val="Tahoma"/>
            <family val="2"/>
          </rPr>
          <t>4</t>
        </r>
        <r>
          <rPr>
            <sz val="9"/>
            <rFont val="宋体"/>
            <family val="3"/>
            <charset val="134"/>
          </rPr>
          <t>月收到押金</t>
        </r>
        <r>
          <rPr>
            <sz val="9"/>
            <rFont val="Tahoma"/>
            <family val="2"/>
          </rPr>
          <t>15394</t>
        </r>
        <r>
          <rPr>
            <sz val="9"/>
            <rFont val="宋体"/>
            <family val="3"/>
            <charset val="134"/>
          </rPr>
          <t>元，</t>
        </r>
        <r>
          <rPr>
            <sz val="9"/>
            <rFont val="Tahoma"/>
            <family val="2"/>
          </rPr>
          <t>13</t>
        </r>
        <r>
          <rPr>
            <sz val="9"/>
            <rFont val="宋体"/>
            <family val="3"/>
            <charset val="134"/>
          </rPr>
          <t>年</t>
        </r>
        <r>
          <rPr>
            <sz val="9"/>
            <rFont val="Tahoma"/>
            <family val="2"/>
          </rPr>
          <t>5</t>
        </r>
        <r>
          <rPr>
            <sz val="9"/>
            <rFont val="宋体"/>
            <family val="3"/>
            <charset val="134"/>
          </rPr>
          <t>月月已入账
押金表于</t>
        </r>
        <r>
          <rPr>
            <sz val="9"/>
            <rFont val="Tahoma"/>
            <family val="2"/>
          </rPr>
          <t>2014</t>
        </r>
        <r>
          <rPr>
            <sz val="9"/>
            <rFont val="宋体"/>
            <family val="3"/>
            <charset val="134"/>
          </rPr>
          <t>年</t>
        </r>
        <r>
          <rPr>
            <sz val="9"/>
            <rFont val="Tahoma"/>
            <family val="2"/>
          </rPr>
          <t>5</t>
        </r>
        <r>
          <rPr>
            <sz val="9"/>
            <rFont val="宋体"/>
            <family val="3"/>
            <charset val="134"/>
          </rPr>
          <t>月收到押金</t>
        </r>
        <r>
          <rPr>
            <sz val="9"/>
            <rFont val="Tahoma"/>
            <family val="2"/>
          </rPr>
          <t>1085.06</t>
        </r>
        <r>
          <rPr>
            <sz val="9"/>
            <rFont val="宋体"/>
            <family val="3"/>
            <charset val="134"/>
          </rPr>
          <t>元，</t>
        </r>
        <r>
          <rPr>
            <sz val="9"/>
            <rFont val="Tahoma"/>
            <family val="2"/>
          </rPr>
          <t>14</t>
        </r>
        <r>
          <rPr>
            <sz val="9"/>
            <rFont val="宋体"/>
            <family val="3"/>
            <charset val="134"/>
          </rPr>
          <t>年</t>
        </r>
        <r>
          <rPr>
            <sz val="9"/>
            <rFont val="Tahoma"/>
            <family val="2"/>
          </rPr>
          <t>5</t>
        </r>
        <r>
          <rPr>
            <sz val="9"/>
            <rFont val="宋体"/>
            <family val="3"/>
            <charset val="134"/>
          </rPr>
          <t>月月已入账</t>
        </r>
      </text>
    </comment>
    <comment ref="BL68" authorId="0">
      <text>
        <r>
          <rPr>
            <b/>
            <sz val="9"/>
            <rFont val="宋体"/>
            <family val="3"/>
            <charset val="134"/>
          </rPr>
          <t>64001:</t>
        </r>
        <r>
          <rPr>
            <sz val="9"/>
            <rFont val="宋体"/>
            <family val="3"/>
            <charset val="134"/>
          </rPr>
          <t xml:space="preserve">
2024.05.01-05.09</t>
        </r>
      </text>
    </comment>
    <comment ref="GA68" authorId="1">
      <text>
        <r>
          <rPr>
            <b/>
            <sz val="9"/>
            <rFont val="宋体"/>
            <family val="3"/>
            <charset val="134"/>
          </rPr>
          <t>HL:</t>
        </r>
        <r>
          <rPr>
            <sz val="9"/>
            <rFont val="宋体"/>
            <family val="3"/>
            <charset val="134"/>
          </rPr>
          <t xml:space="preserve">
2024.05.01-05.09
2024.05.10-05.31</t>
        </r>
      </text>
    </comment>
    <comment ref="GB68" authorId="1">
      <text>
        <r>
          <rPr>
            <b/>
            <sz val="9"/>
            <rFont val="宋体"/>
            <family val="3"/>
            <charset val="134"/>
          </rPr>
          <t>HL:</t>
        </r>
        <r>
          <rPr>
            <sz val="9"/>
            <rFont val="宋体"/>
            <family val="3"/>
            <charset val="134"/>
          </rPr>
          <t xml:space="preserve">
2024.05.01-05.09
2024.05.10-05.31
</t>
        </r>
      </text>
    </comment>
    <comment ref="GE68" authorId="1">
      <text>
        <r>
          <rPr>
            <b/>
            <sz val="9"/>
            <rFont val="宋体"/>
            <family val="3"/>
            <charset val="134"/>
          </rPr>
          <t>HL:</t>
        </r>
        <r>
          <rPr>
            <sz val="9"/>
            <rFont val="宋体"/>
            <family val="3"/>
            <charset val="134"/>
          </rPr>
          <t xml:space="preserve">
2024.05.01-05.09
2024.05.10-05.31</t>
        </r>
      </text>
    </comment>
    <comment ref="GF68" authorId="1">
      <text>
        <r>
          <rPr>
            <b/>
            <sz val="9"/>
            <rFont val="宋体"/>
            <family val="3"/>
            <charset val="134"/>
          </rPr>
          <t>HL:</t>
        </r>
        <r>
          <rPr>
            <sz val="9"/>
            <rFont val="宋体"/>
            <family val="3"/>
            <charset val="134"/>
          </rPr>
          <t xml:space="preserve">
2024.05.01-05.09
2024.05.10-05.31</t>
        </r>
      </text>
    </comment>
    <comment ref="GZ68" authorId="1">
      <text>
        <r>
          <rPr>
            <b/>
            <sz val="9"/>
            <rFont val="宋体"/>
            <family val="3"/>
            <charset val="134"/>
          </rPr>
          <t>HL:</t>
        </r>
        <r>
          <rPr>
            <sz val="9"/>
            <rFont val="宋体"/>
            <family val="3"/>
            <charset val="134"/>
          </rPr>
          <t xml:space="preserve">
2024.08.01-08.09
2024.08.10-08.31</t>
        </r>
      </text>
    </comment>
    <comment ref="HD68" authorId="1">
      <text>
        <r>
          <rPr>
            <b/>
            <sz val="9"/>
            <rFont val="宋体"/>
            <family val="3"/>
            <charset val="134"/>
          </rPr>
          <t>HL:</t>
        </r>
        <r>
          <rPr>
            <sz val="9"/>
            <rFont val="宋体"/>
            <family val="3"/>
            <charset val="134"/>
          </rPr>
          <t xml:space="preserve">
2024.08.01-08.09
2024.08.10-08.31</t>
        </r>
      </text>
    </comment>
    <comment ref="HX68" authorId="1">
      <text>
        <r>
          <rPr>
            <b/>
            <sz val="9"/>
            <rFont val="宋体"/>
            <family val="3"/>
            <charset val="134"/>
          </rPr>
          <t>HL:</t>
        </r>
        <r>
          <rPr>
            <sz val="9"/>
            <rFont val="宋体"/>
            <family val="3"/>
            <charset val="134"/>
          </rPr>
          <t xml:space="preserve">
2024.11.01-11.09</t>
        </r>
      </text>
    </comment>
    <comment ref="IB68" authorId="1">
      <text>
        <r>
          <rPr>
            <b/>
            <sz val="9"/>
            <rFont val="宋体"/>
            <family val="3"/>
            <charset val="134"/>
          </rPr>
          <t>HL:</t>
        </r>
        <r>
          <rPr>
            <sz val="9"/>
            <rFont val="宋体"/>
            <family val="3"/>
            <charset val="134"/>
          </rPr>
          <t xml:space="preserve">
2024.11.01-11.09
</t>
        </r>
      </text>
    </comment>
    <comment ref="J69" authorId="3">
      <text>
        <r>
          <rPr>
            <b/>
            <sz val="9"/>
            <rFont val="宋体"/>
            <family val="3"/>
            <charset val="134"/>
          </rPr>
          <t>hl82:</t>
        </r>
        <r>
          <rPr>
            <sz val="9"/>
            <rFont val="宋体"/>
            <family val="3"/>
            <charset val="134"/>
          </rPr>
          <t xml:space="preserve">
租期内含免租期为3个月，
自2023年07月10日起至2023年08月09日止、
自2024年07月10日起至2024年08月09日止
自2025年07月10日起至2025年08月09日止
本合同免租期以本合同不得以任何原因（不可抗力除外）提前解除或终止为前提。乙方同意，无论何种原因导致本合同提前终止或解除的，则乙方均不享有上述之免租期，在此情形下，乙方应于本合同提前终止或解除之日起3日内，按合同约定的起租日当年的租金标准向甲方全额补交已发生的全部免租期的租金。</t>
        </r>
      </text>
    </comment>
    <comment ref="T69" authorId="1">
      <text>
        <r>
          <rPr>
            <b/>
            <sz val="9"/>
            <rFont val="宋体"/>
            <family val="3"/>
            <charset val="134"/>
          </rPr>
          <t>HL:</t>
        </r>
        <r>
          <rPr>
            <sz val="9"/>
            <rFont val="宋体"/>
            <family val="3"/>
            <charset val="134"/>
          </rPr>
          <t xml:space="preserve">
2023年07月10日至2025年07月09日，该房屋租金的日单价为4.30元；
2025年07月10日至2027年07月09日，该房屋租金的日单价为4.45元；月租金39869.92</t>
        </r>
      </text>
    </comment>
    <comment ref="CA69" authorId="1">
      <text>
        <r>
          <rPr>
            <b/>
            <sz val="9"/>
            <rFont val="宋体"/>
            <family val="3"/>
            <charset val="134"/>
          </rPr>
          <t>HL:</t>
        </r>
        <r>
          <rPr>
            <sz val="9"/>
            <rFont val="宋体"/>
            <family val="3"/>
            <charset val="134"/>
          </rPr>
          <t xml:space="preserve">
自2024年07月10日起至2024年08月09日止 免租</t>
        </r>
      </text>
    </comment>
    <comment ref="CB69" authorId="1">
      <text>
        <r>
          <rPr>
            <b/>
            <sz val="9"/>
            <rFont val="宋体"/>
            <family val="3"/>
            <charset val="134"/>
          </rPr>
          <t>HL:</t>
        </r>
        <r>
          <rPr>
            <sz val="9"/>
            <rFont val="宋体"/>
            <family val="3"/>
            <charset val="134"/>
          </rPr>
          <t xml:space="preserve">
自2024年07月10日起至2024年08月09日止 免租
本月收2024.08.10-10.09</t>
        </r>
      </text>
    </comment>
    <comment ref="FT69" authorId="1">
      <text>
        <r>
          <rPr>
            <b/>
            <sz val="9"/>
            <rFont val="宋体"/>
            <family val="3"/>
            <charset val="134"/>
          </rPr>
          <t>HL:</t>
        </r>
        <r>
          <rPr>
            <sz val="9"/>
            <rFont val="宋体"/>
            <family val="3"/>
            <charset val="134"/>
          </rPr>
          <t xml:space="preserve">
2024.04.01-04.09
2024.04.10-04.30</t>
        </r>
      </text>
    </comment>
    <comment ref="FX69" authorId="1">
      <text>
        <r>
          <rPr>
            <b/>
            <sz val="9"/>
            <rFont val="宋体"/>
            <family val="3"/>
            <charset val="134"/>
          </rPr>
          <t>HL:</t>
        </r>
        <r>
          <rPr>
            <sz val="9"/>
            <rFont val="宋体"/>
            <family val="3"/>
            <charset val="134"/>
          </rPr>
          <t xml:space="preserve">
2024.04.01-04.09
2024.04.10-04.30</t>
        </r>
      </text>
    </comment>
    <comment ref="GQ69" authorId="3">
      <text>
        <r>
          <rPr>
            <b/>
            <sz val="9"/>
            <rFont val="宋体"/>
            <family val="3"/>
            <charset val="134"/>
          </rPr>
          <t>hl82:</t>
        </r>
        <r>
          <rPr>
            <sz val="9"/>
            <rFont val="宋体"/>
            <family val="3"/>
            <charset val="134"/>
          </rPr>
          <t xml:space="preserve">
租期内含免租期为自2024年07月10日起至2024年08月09日止
</t>
        </r>
      </text>
    </comment>
    <comment ref="GR69" authorId="1">
      <text>
        <r>
          <rPr>
            <b/>
            <sz val="9"/>
            <rFont val="宋体"/>
            <family val="3"/>
            <charset val="134"/>
          </rPr>
          <t>HL:</t>
        </r>
        <r>
          <rPr>
            <sz val="9"/>
            <rFont val="宋体"/>
            <family val="3"/>
            <charset val="134"/>
          </rPr>
          <t xml:space="preserve">
租期内含免租期为自2024年07月10日起至2024年08月09日止
2024.07.01-07.09</t>
        </r>
      </text>
    </comment>
    <comment ref="GV69" authorId="1">
      <text>
        <r>
          <rPr>
            <b/>
            <sz val="9"/>
            <rFont val="宋体"/>
            <family val="3"/>
            <charset val="134"/>
          </rPr>
          <t>HL:</t>
        </r>
        <r>
          <rPr>
            <sz val="9"/>
            <rFont val="宋体"/>
            <family val="3"/>
            <charset val="134"/>
          </rPr>
          <t xml:space="preserve">
2024.07.01-07.09
2024.07.10-07.31</t>
        </r>
      </text>
    </comment>
    <comment ref="GY69" authorId="1">
      <text>
        <r>
          <rPr>
            <b/>
            <sz val="9"/>
            <rFont val="宋体"/>
            <family val="3"/>
            <charset val="134"/>
          </rPr>
          <t>HL:</t>
        </r>
        <r>
          <rPr>
            <sz val="9"/>
            <rFont val="宋体"/>
            <family val="3"/>
            <charset val="134"/>
          </rPr>
          <t xml:space="preserve">
租期内含免租期为自2024年07月10日起至2024年08月09日止
</t>
        </r>
      </text>
    </comment>
    <comment ref="GZ69" authorId="1">
      <text>
        <r>
          <rPr>
            <b/>
            <sz val="9"/>
            <rFont val="宋体"/>
            <family val="3"/>
            <charset val="134"/>
          </rPr>
          <t>HL:</t>
        </r>
        <r>
          <rPr>
            <sz val="9"/>
            <rFont val="宋体"/>
            <family val="3"/>
            <charset val="134"/>
          </rPr>
          <t xml:space="preserve">
租期内含免租期为自2024年07月10日起至2024年08月09日止
2024.08.10-08.31</t>
        </r>
      </text>
    </comment>
    <comment ref="HP69" authorId="1">
      <text>
        <r>
          <rPr>
            <b/>
            <sz val="9"/>
            <rFont val="宋体"/>
            <family val="3"/>
            <charset val="134"/>
          </rPr>
          <t>HL:</t>
        </r>
        <r>
          <rPr>
            <sz val="9"/>
            <rFont val="宋体"/>
            <family val="3"/>
            <charset val="134"/>
          </rPr>
          <t xml:space="preserve">
2024.10.01-10.09
2024.10.10-10.31</t>
        </r>
      </text>
    </comment>
    <comment ref="HT69" authorId="1">
      <text>
        <r>
          <rPr>
            <b/>
            <sz val="9"/>
            <rFont val="宋体"/>
            <family val="3"/>
            <charset val="134"/>
          </rPr>
          <t>HL:</t>
        </r>
        <r>
          <rPr>
            <sz val="9"/>
            <rFont val="宋体"/>
            <family val="3"/>
            <charset val="134"/>
          </rPr>
          <t xml:space="preserve">
2024.10.01-10.09
2024.10.10-10.31</t>
        </r>
      </text>
    </comment>
    <comment ref="IQ69" authorId="1">
      <text>
        <r>
          <rPr>
            <b/>
            <sz val="9"/>
            <rFont val="宋体"/>
            <family val="3"/>
            <charset val="134"/>
          </rPr>
          <t>HL:</t>
        </r>
        <r>
          <rPr>
            <sz val="9"/>
            <rFont val="宋体"/>
            <family val="3"/>
            <charset val="134"/>
          </rPr>
          <t xml:space="preserve">
2025.01.01-01.09</t>
        </r>
      </text>
    </comment>
    <comment ref="JD69" authorId="1">
      <text>
        <r>
          <rPr>
            <b/>
            <sz val="9"/>
            <rFont val="宋体"/>
            <family val="3"/>
            <charset val="134"/>
          </rPr>
          <t>HL:</t>
        </r>
        <r>
          <rPr>
            <sz val="9"/>
            <rFont val="宋体"/>
            <family val="3"/>
            <charset val="134"/>
          </rPr>
          <t xml:space="preserve">
2025.01.01-01.09
</t>
        </r>
      </text>
    </comment>
    <comment ref="J70" authorId="3">
      <text>
        <r>
          <rPr>
            <b/>
            <sz val="9"/>
            <rFont val="宋体"/>
            <family val="3"/>
            <charset val="134"/>
          </rPr>
          <t>hl82:</t>
        </r>
        <r>
          <rPr>
            <sz val="9"/>
            <rFont val="宋体"/>
            <family val="3"/>
            <charset val="134"/>
          </rPr>
          <t xml:space="preserve">
租期内含免租期为3个月，
自2023年07月10日起至2023年08月09日止、
自2024年07月10日起至2024年08月09日止
自2025年07月10日起至2025年08月09日止
本合同免租期以本合同不得以任何原因（不可抗力除外）提前解除或终止为前提。乙方同意，无论何种原因导致本合同提前终止或解除的，则乙方均不享有上述之免租期，在此情形下，乙方应于本合同提前终止或解除之日起3日内，按合同约定的起租日当年的租金标准向甲方全额补交已发生的全部免租期的租金。</t>
        </r>
      </text>
    </comment>
    <comment ref="D71" authorId="2">
      <text>
        <r>
          <rPr>
            <b/>
            <sz val="9"/>
            <rFont val="宋体"/>
            <family val="3"/>
            <charset val="134"/>
          </rPr>
          <t>作者:</t>
        </r>
        <r>
          <rPr>
            <sz val="9"/>
            <rFont val="宋体"/>
            <family val="3"/>
            <charset val="134"/>
          </rPr>
          <t xml:space="preserve">
1310A:43.25
1310B:29.92</t>
        </r>
      </text>
    </comment>
    <comment ref="FL71" authorId="1">
      <text>
        <r>
          <rPr>
            <b/>
            <sz val="9"/>
            <rFont val="宋体"/>
            <family val="3"/>
            <charset val="134"/>
          </rPr>
          <t>HL:</t>
        </r>
        <r>
          <rPr>
            <sz val="9"/>
            <rFont val="宋体"/>
            <family val="3"/>
            <charset val="134"/>
          </rPr>
          <t xml:space="preserve">
2024.03.01-03.27
2024.03.28-03.31</t>
        </r>
      </text>
    </comment>
    <comment ref="FP71" authorId="1">
      <text>
        <r>
          <rPr>
            <b/>
            <sz val="9"/>
            <rFont val="宋体"/>
            <family val="3"/>
            <charset val="134"/>
          </rPr>
          <t>HL:</t>
        </r>
        <r>
          <rPr>
            <sz val="9"/>
            <rFont val="宋体"/>
            <family val="3"/>
            <charset val="134"/>
          </rPr>
          <t xml:space="preserve">
2024.03.01-03.27
2024.03.28-03.31</t>
        </r>
      </text>
    </comment>
    <comment ref="GJ71" authorId="1">
      <text>
        <r>
          <rPr>
            <b/>
            <sz val="9"/>
            <rFont val="宋体"/>
            <family val="3"/>
            <charset val="134"/>
          </rPr>
          <t>HL:</t>
        </r>
        <r>
          <rPr>
            <sz val="9"/>
            <rFont val="宋体"/>
            <family val="3"/>
            <charset val="134"/>
          </rPr>
          <t xml:space="preserve">
2024.06.01-06.27
2024.06.28-06.30</t>
        </r>
      </text>
    </comment>
    <comment ref="GN71" authorId="1">
      <text>
        <r>
          <rPr>
            <b/>
            <sz val="9"/>
            <rFont val="宋体"/>
            <family val="3"/>
            <charset val="134"/>
          </rPr>
          <t>HL:</t>
        </r>
        <r>
          <rPr>
            <sz val="9"/>
            <rFont val="宋体"/>
            <family val="3"/>
            <charset val="134"/>
          </rPr>
          <t xml:space="preserve">
2024.06.01-06.27
2024.06.28-06.30</t>
        </r>
      </text>
    </comment>
    <comment ref="HG71" authorId="1">
      <text>
        <r>
          <rPr>
            <b/>
            <sz val="9"/>
            <rFont val="宋体"/>
            <family val="3"/>
            <charset val="134"/>
          </rPr>
          <t>HL:</t>
        </r>
        <r>
          <rPr>
            <sz val="9"/>
            <rFont val="宋体"/>
            <family val="3"/>
            <charset val="134"/>
          </rPr>
          <t xml:space="preserve">
2024.09.01-09.27
</t>
        </r>
      </text>
    </comment>
    <comment ref="HH71" authorId="1">
      <text>
        <r>
          <rPr>
            <b/>
            <sz val="9"/>
            <rFont val="宋体"/>
            <family val="3"/>
            <charset val="134"/>
          </rPr>
          <t>HL:</t>
        </r>
        <r>
          <rPr>
            <sz val="9"/>
            <rFont val="宋体"/>
            <family val="3"/>
            <charset val="134"/>
          </rPr>
          <t xml:space="preserve">
2024.09.01-09.27</t>
        </r>
      </text>
    </comment>
    <comment ref="HK71" authorId="1">
      <text>
        <r>
          <rPr>
            <b/>
            <sz val="9"/>
            <rFont val="宋体"/>
            <family val="3"/>
            <charset val="134"/>
          </rPr>
          <t>HL:</t>
        </r>
        <r>
          <rPr>
            <sz val="9"/>
            <rFont val="宋体"/>
            <family val="3"/>
            <charset val="134"/>
          </rPr>
          <t xml:space="preserve">
2024.09.01-09.27
</t>
        </r>
      </text>
    </comment>
    <comment ref="HL71" authorId="1">
      <text>
        <r>
          <rPr>
            <b/>
            <sz val="9"/>
            <rFont val="宋体"/>
            <family val="3"/>
            <charset val="134"/>
          </rPr>
          <t>HL:</t>
        </r>
        <r>
          <rPr>
            <sz val="9"/>
            <rFont val="宋体"/>
            <family val="3"/>
            <charset val="134"/>
          </rPr>
          <t xml:space="preserve">
2024.09.01-09.27
</t>
        </r>
      </text>
    </comment>
    <comment ref="HO71" authorId="1">
      <text>
        <r>
          <rPr>
            <b/>
            <sz val="9"/>
            <rFont val="宋体"/>
            <family val="3"/>
            <charset val="134"/>
          </rPr>
          <t>HL:</t>
        </r>
        <r>
          <rPr>
            <sz val="9"/>
            <rFont val="宋体"/>
            <family val="3"/>
            <charset val="134"/>
          </rPr>
          <t xml:space="preserve">
2024.09.28-09.30
2024.10.01-10.31</t>
        </r>
      </text>
    </comment>
    <comment ref="HS71" authorId="1">
      <text>
        <r>
          <rPr>
            <b/>
            <sz val="9"/>
            <rFont val="宋体"/>
            <family val="3"/>
            <charset val="134"/>
          </rPr>
          <t>HL:</t>
        </r>
        <r>
          <rPr>
            <sz val="9"/>
            <rFont val="宋体"/>
            <family val="3"/>
            <charset val="134"/>
          </rPr>
          <t xml:space="preserve">
2024.09.28-09.30
2024.10.01-10.31</t>
        </r>
      </text>
    </comment>
    <comment ref="G73" authorId="1">
      <text>
        <r>
          <rPr>
            <b/>
            <sz val="9"/>
            <rFont val="宋体"/>
            <family val="3"/>
            <charset val="134"/>
          </rPr>
          <t>HL:</t>
        </r>
        <r>
          <rPr>
            <sz val="9"/>
            <rFont val="宋体"/>
            <family val="3"/>
            <charset val="134"/>
          </rPr>
          <t xml:space="preserve">
2023.01签署三方协议 由北京浩创仁久科技有限公司变更为北京保亿源科技有限公司</t>
        </r>
      </text>
    </comment>
    <comment ref="T73" authorId="1">
      <text>
        <r>
          <rPr>
            <b/>
            <sz val="9"/>
            <rFont val="宋体"/>
            <family val="3"/>
            <charset val="134"/>
          </rPr>
          <t>HL:</t>
        </r>
        <r>
          <rPr>
            <sz val="9"/>
            <rFont val="宋体"/>
            <family val="3"/>
            <charset val="134"/>
          </rPr>
          <t xml:space="preserve">
首期租金为2024年01月20日至2024年02月19日的租金，共计人民币4,867.91 元</t>
        </r>
      </text>
    </comment>
    <comment ref="X73" authorId="1">
      <text>
        <r>
          <rPr>
            <b/>
            <sz val="9"/>
            <rFont val="宋体"/>
            <family val="3"/>
            <charset val="134"/>
          </rPr>
          <t>HL:</t>
        </r>
        <r>
          <rPr>
            <sz val="9"/>
            <rFont val="宋体"/>
            <family val="3"/>
            <charset val="134"/>
          </rPr>
          <t xml:space="preserve">
首期物业管理费为 2024年01月20日至2024年02月19日的物业管理费，共计人民币865.17  元</t>
        </r>
      </text>
    </comment>
    <comment ref="EU73" authorId="1">
      <text>
        <r>
          <rPr>
            <b/>
            <sz val="9"/>
            <rFont val="宋体"/>
            <family val="3"/>
            <charset val="134"/>
          </rPr>
          <t>HL:</t>
        </r>
        <r>
          <rPr>
            <sz val="9"/>
            <rFont val="宋体"/>
            <family val="3"/>
            <charset val="134"/>
          </rPr>
          <t xml:space="preserve">
2024.01.01-01.19
2024.01.20-01.31</t>
        </r>
      </text>
    </comment>
    <comment ref="EV73" authorId="1">
      <text>
        <r>
          <rPr>
            <b/>
            <sz val="9"/>
            <rFont val="宋体"/>
            <family val="3"/>
            <charset val="134"/>
          </rPr>
          <t>HL:</t>
        </r>
        <r>
          <rPr>
            <sz val="9"/>
            <rFont val="宋体"/>
            <family val="3"/>
            <charset val="134"/>
          </rPr>
          <t xml:space="preserve">
2024.01.01-01.19
2024.01.20-01.31</t>
        </r>
      </text>
    </comment>
    <comment ref="EY73" authorId="1">
      <text>
        <r>
          <rPr>
            <b/>
            <sz val="9"/>
            <rFont val="宋体"/>
            <family val="3"/>
            <charset val="134"/>
          </rPr>
          <t>HL:</t>
        </r>
        <r>
          <rPr>
            <sz val="9"/>
            <rFont val="宋体"/>
            <family val="3"/>
            <charset val="134"/>
          </rPr>
          <t xml:space="preserve">
2024.01.01-01.19
2024.01.20-01.31
</t>
        </r>
      </text>
    </comment>
    <comment ref="EZ73" authorId="1">
      <text>
        <r>
          <rPr>
            <b/>
            <sz val="9"/>
            <rFont val="宋体"/>
            <family val="3"/>
            <charset val="134"/>
          </rPr>
          <t>HL:</t>
        </r>
        <r>
          <rPr>
            <sz val="9"/>
            <rFont val="宋体"/>
            <family val="3"/>
            <charset val="134"/>
          </rPr>
          <t xml:space="preserve">
2024.01.01-01.19
2024.01.20-01.31</t>
        </r>
      </text>
    </comment>
    <comment ref="FD73" authorId="1">
      <text>
        <r>
          <rPr>
            <b/>
            <sz val="9"/>
            <rFont val="宋体"/>
            <family val="3"/>
            <charset val="134"/>
          </rPr>
          <t>HL:</t>
        </r>
        <r>
          <rPr>
            <sz val="9"/>
            <rFont val="宋体"/>
            <family val="3"/>
            <charset val="134"/>
          </rPr>
          <t xml:space="preserve">
2024.02.01-02.19
2024.02.20-02.29</t>
        </r>
      </text>
    </comment>
    <comment ref="FH73" authorId="1">
      <text>
        <r>
          <rPr>
            <b/>
            <sz val="9"/>
            <rFont val="宋体"/>
            <family val="3"/>
            <charset val="134"/>
          </rPr>
          <t>HL:</t>
        </r>
        <r>
          <rPr>
            <sz val="9"/>
            <rFont val="宋体"/>
            <family val="3"/>
            <charset val="134"/>
          </rPr>
          <t xml:space="preserve">
2024.02.01-02.19
2024.02.20-02.29
</t>
        </r>
      </text>
    </comment>
    <comment ref="FL73" authorId="1">
      <text>
        <r>
          <rPr>
            <b/>
            <sz val="9"/>
            <rFont val="宋体"/>
            <family val="3"/>
            <charset val="134"/>
          </rPr>
          <t>HL:</t>
        </r>
        <r>
          <rPr>
            <sz val="9"/>
            <rFont val="宋体"/>
            <family val="3"/>
            <charset val="134"/>
          </rPr>
          <t xml:space="preserve">
2024.03.01-03.19
2024.03.20-03.31</t>
        </r>
      </text>
    </comment>
    <comment ref="FP73" authorId="1">
      <text>
        <r>
          <rPr>
            <b/>
            <sz val="9"/>
            <rFont val="宋体"/>
            <family val="3"/>
            <charset val="134"/>
          </rPr>
          <t>HL:</t>
        </r>
        <r>
          <rPr>
            <sz val="9"/>
            <rFont val="宋体"/>
            <family val="3"/>
            <charset val="134"/>
          </rPr>
          <t xml:space="preserve">
2024.03.01-03.19
2024.03.20-03.31</t>
        </r>
      </text>
    </comment>
    <comment ref="FT73" authorId="1">
      <text>
        <r>
          <rPr>
            <b/>
            <sz val="9"/>
            <rFont val="宋体"/>
            <family val="3"/>
            <charset val="134"/>
          </rPr>
          <t>HL:</t>
        </r>
        <r>
          <rPr>
            <sz val="9"/>
            <rFont val="宋体"/>
            <family val="3"/>
            <charset val="134"/>
          </rPr>
          <t xml:space="preserve">
2024.04.01-04.19
2024.04.20-04.30</t>
        </r>
      </text>
    </comment>
    <comment ref="FX73" authorId="1">
      <text>
        <r>
          <rPr>
            <b/>
            <sz val="9"/>
            <rFont val="宋体"/>
            <family val="3"/>
            <charset val="134"/>
          </rPr>
          <t>HL:</t>
        </r>
        <r>
          <rPr>
            <sz val="9"/>
            <rFont val="宋体"/>
            <family val="3"/>
            <charset val="134"/>
          </rPr>
          <t xml:space="preserve">
2024.04.01-04.19
2024.04.20-04.30</t>
        </r>
      </text>
    </comment>
    <comment ref="GB73" authorId="1">
      <text>
        <r>
          <rPr>
            <b/>
            <sz val="9"/>
            <rFont val="宋体"/>
            <family val="3"/>
            <charset val="134"/>
          </rPr>
          <t>HL:</t>
        </r>
        <r>
          <rPr>
            <sz val="9"/>
            <rFont val="宋体"/>
            <family val="3"/>
            <charset val="134"/>
          </rPr>
          <t xml:space="preserve">
2024.05.01-05.19
2024.05.20-05.31</t>
        </r>
      </text>
    </comment>
    <comment ref="GF73" authorId="1">
      <text>
        <r>
          <rPr>
            <b/>
            <sz val="9"/>
            <rFont val="宋体"/>
            <family val="3"/>
            <charset val="134"/>
          </rPr>
          <t>HL:</t>
        </r>
        <r>
          <rPr>
            <sz val="9"/>
            <rFont val="宋体"/>
            <family val="3"/>
            <charset val="134"/>
          </rPr>
          <t xml:space="preserve">
2024.05.01-05.19
2024.05.20-05.31</t>
        </r>
      </text>
    </comment>
    <comment ref="GJ73" authorId="1">
      <text>
        <r>
          <rPr>
            <b/>
            <sz val="9"/>
            <rFont val="宋体"/>
            <family val="3"/>
            <charset val="134"/>
          </rPr>
          <t>HL:</t>
        </r>
        <r>
          <rPr>
            <sz val="9"/>
            <rFont val="宋体"/>
            <family val="3"/>
            <charset val="134"/>
          </rPr>
          <t xml:space="preserve">
2024.06.01-06.19
2024.06.20-06.30</t>
        </r>
      </text>
    </comment>
    <comment ref="GN73" authorId="1">
      <text>
        <r>
          <rPr>
            <b/>
            <sz val="9"/>
            <rFont val="宋体"/>
            <family val="3"/>
            <charset val="134"/>
          </rPr>
          <t>HL:</t>
        </r>
        <r>
          <rPr>
            <sz val="9"/>
            <rFont val="宋体"/>
            <family val="3"/>
            <charset val="134"/>
          </rPr>
          <t xml:space="preserve">
2024.06.01-06.19
2024.06.20-06.30</t>
        </r>
      </text>
    </comment>
    <comment ref="GR73" authorId="1">
      <text>
        <r>
          <rPr>
            <b/>
            <sz val="9"/>
            <rFont val="宋体"/>
            <family val="3"/>
            <charset val="134"/>
          </rPr>
          <t>HL:</t>
        </r>
        <r>
          <rPr>
            <sz val="9"/>
            <rFont val="宋体"/>
            <family val="3"/>
            <charset val="134"/>
          </rPr>
          <t xml:space="preserve">
2024.07.01-07.19
2024.07.20-07.31</t>
        </r>
      </text>
    </comment>
    <comment ref="GV73" authorId="1">
      <text>
        <r>
          <rPr>
            <b/>
            <sz val="9"/>
            <rFont val="宋体"/>
            <family val="3"/>
            <charset val="134"/>
          </rPr>
          <t>HL:</t>
        </r>
        <r>
          <rPr>
            <sz val="9"/>
            <rFont val="宋体"/>
            <family val="3"/>
            <charset val="134"/>
          </rPr>
          <t xml:space="preserve">
2024.07.01-07.19
2024.07.20-07.31
</t>
        </r>
      </text>
    </comment>
    <comment ref="GZ73" authorId="1">
      <text>
        <r>
          <rPr>
            <b/>
            <sz val="9"/>
            <rFont val="宋体"/>
            <family val="3"/>
            <charset val="134"/>
          </rPr>
          <t>HL:</t>
        </r>
        <r>
          <rPr>
            <sz val="9"/>
            <rFont val="宋体"/>
            <family val="3"/>
            <charset val="134"/>
          </rPr>
          <t xml:space="preserve">
2024.08.01-08.19
2024.08.20-08.31</t>
        </r>
      </text>
    </comment>
    <comment ref="HD73" authorId="1">
      <text>
        <r>
          <rPr>
            <b/>
            <sz val="9"/>
            <rFont val="宋体"/>
            <family val="3"/>
            <charset val="134"/>
          </rPr>
          <t>HL:</t>
        </r>
        <r>
          <rPr>
            <sz val="9"/>
            <rFont val="宋体"/>
            <family val="3"/>
            <charset val="134"/>
          </rPr>
          <t xml:space="preserve">
2024.08.01-08.19
2024.08.20-08.31</t>
        </r>
      </text>
    </comment>
    <comment ref="HH73" authorId="1">
      <text>
        <r>
          <rPr>
            <b/>
            <sz val="9"/>
            <rFont val="宋体"/>
            <family val="3"/>
            <charset val="134"/>
          </rPr>
          <t>HL:</t>
        </r>
        <r>
          <rPr>
            <sz val="9"/>
            <rFont val="宋体"/>
            <family val="3"/>
            <charset val="134"/>
          </rPr>
          <t xml:space="preserve">
2024.09.01-09.19
2024.09.20-09.30</t>
        </r>
      </text>
    </comment>
    <comment ref="HL73" authorId="1">
      <text>
        <r>
          <rPr>
            <b/>
            <sz val="9"/>
            <rFont val="宋体"/>
            <family val="3"/>
            <charset val="134"/>
          </rPr>
          <t>HL:</t>
        </r>
        <r>
          <rPr>
            <sz val="9"/>
            <rFont val="宋体"/>
            <family val="3"/>
            <charset val="134"/>
          </rPr>
          <t xml:space="preserve">
2024.09.01-09.19
2024.09.20-09.30</t>
        </r>
      </text>
    </comment>
    <comment ref="HP73" authorId="1">
      <text>
        <r>
          <rPr>
            <b/>
            <sz val="9"/>
            <rFont val="宋体"/>
            <family val="3"/>
            <charset val="134"/>
          </rPr>
          <t>HL:</t>
        </r>
        <r>
          <rPr>
            <sz val="9"/>
            <rFont val="宋体"/>
            <family val="3"/>
            <charset val="134"/>
          </rPr>
          <t xml:space="preserve">
2024.10.01-10.19
2024.10.20-10.31</t>
        </r>
      </text>
    </comment>
    <comment ref="HT73" authorId="1">
      <text>
        <r>
          <rPr>
            <b/>
            <sz val="9"/>
            <rFont val="宋体"/>
            <family val="3"/>
            <charset val="134"/>
          </rPr>
          <t>HL:</t>
        </r>
        <r>
          <rPr>
            <sz val="9"/>
            <rFont val="宋体"/>
            <family val="3"/>
            <charset val="134"/>
          </rPr>
          <t xml:space="preserve">
2024.10.01-10.19
2024.10.20-10.31</t>
        </r>
      </text>
    </comment>
    <comment ref="HX73" authorId="1">
      <text>
        <r>
          <rPr>
            <b/>
            <sz val="9"/>
            <rFont val="宋体"/>
            <family val="3"/>
            <charset val="134"/>
          </rPr>
          <t>HL:</t>
        </r>
        <r>
          <rPr>
            <sz val="9"/>
            <rFont val="宋体"/>
            <family val="3"/>
            <charset val="134"/>
          </rPr>
          <t xml:space="preserve">
2024.11.01-11.19</t>
        </r>
      </text>
    </comment>
    <comment ref="IB73" authorId="1">
      <text>
        <r>
          <rPr>
            <b/>
            <sz val="9"/>
            <rFont val="宋体"/>
            <family val="3"/>
            <charset val="134"/>
          </rPr>
          <t>HL:</t>
        </r>
        <r>
          <rPr>
            <sz val="9"/>
            <rFont val="宋体"/>
            <family val="3"/>
            <charset val="134"/>
          </rPr>
          <t xml:space="preserve">
2024.11.01-11.19
</t>
        </r>
      </text>
    </comment>
    <comment ref="D75" authorId="2">
      <text>
        <r>
          <rPr>
            <b/>
            <sz val="9"/>
            <rFont val="宋体"/>
            <family val="3"/>
            <charset val="134"/>
          </rPr>
          <t>作者:</t>
        </r>
        <r>
          <rPr>
            <sz val="9"/>
            <rFont val="宋体"/>
            <family val="3"/>
            <charset val="134"/>
          </rPr>
          <t xml:space="preserve">
1312：88.89
1315/1325-26：665.60
1316-17：443.66</t>
        </r>
      </text>
    </comment>
    <comment ref="EV78" authorId="1">
      <text>
        <r>
          <rPr>
            <b/>
            <sz val="9"/>
            <rFont val="宋体"/>
            <family val="3"/>
            <charset val="134"/>
          </rPr>
          <t>HL:</t>
        </r>
        <r>
          <rPr>
            <sz val="9"/>
            <rFont val="宋体"/>
            <family val="3"/>
            <charset val="134"/>
          </rPr>
          <t xml:space="preserve">
1449.42/1.05：王璐 2024.01.01-01.21
4848.66/1.05-2099.36/1.05*2：正光诚盛2024.01.22-01.31</t>
        </r>
      </text>
    </comment>
    <comment ref="EZ78" authorId="1">
      <text>
        <r>
          <rPr>
            <b/>
            <sz val="9"/>
            <rFont val="宋体"/>
            <family val="3"/>
            <charset val="134"/>
          </rPr>
          <t>HL:</t>
        </r>
        <r>
          <rPr>
            <sz val="9"/>
            <rFont val="宋体"/>
            <family val="3"/>
            <charset val="134"/>
          </rPr>
          <t xml:space="preserve">
207.42/1.06：王璐 2024.01.01-01.21
693.87/1.06-300.43/1.06*2：正光诚盛2024.01.22-01.31
</t>
        </r>
      </text>
    </comment>
    <comment ref="FT78" authorId="1">
      <text>
        <r>
          <rPr>
            <b/>
            <sz val="9"/>
            <rFont val="宋体"/>
            <family val="3"/>
            <charset val="134"/>
          </rPr>
          <t>HL:</t>
        </r>
        <r>
          <rPr>
            <sz val="9"/>
            <rFont val="宋体"/>
            <family val="3"/>
            <charset val="134"/>
          </rPr>
          <t xml:space="preserve">
2024.04.01-04.21
2024.04.22-04.30</t>
        </r>
      </text>
    </comment>
    <comment ref="FX78" authorId="1">
      <text>
        <r>
          <rPr>
            <b/>
            <sz val="9"/>
            <rFont val="宋体"/>
            <family val="3"/>
            <charset val="134"/>
          </rPr>
          <t>HL:</t>
        </r>
        <r>
          <rPr>
            <sz val="9"/>
            <rFont val="宋体"/>
            <family val="3"/>
            <charset val="134"/>
          </rPr>
          <t xml:space="preserve">
2024.04.01-04.21
2024.04.22-04.30</t>
        </r>
      </text>
    </comment>
    <comment ref="GR78" authorId="1">
      <text>
        <r>
          <rPr>
            <b/>
            <sz val="9"/>
            <rFont val="宋体"/>
            <family val="3"/>
            <charset val="134"/>
          </rPr>
          <t>HL:</t>
        </r>
        <r>
          <rPr>
            <sz val="9"/>
            <rFont val="宋体"/>
            <family val="3"/>
            <charset val="134"/>
          </rPr>
          <t xml:space="preserve">
2024.07.01-07.21
2024.07.22-07.31</t>
        </r>
      </text>
    </comment>
    <comment ref="GV78" authorId="1">
      <text>
        <r>
          <rPr>
            <b/>
            <sz val="9"/>
            <rFont val="宋体"/>
            <family val="3"/>
            <charset val="134"/>
          </rPr>
          <t>HL:</t>
        </r>
        <r>
          <rPr>
            <sz val="9"/>
            <rFont val="宋体"/>
            <family val="3"/>
            <charset val="134"/>
          </rPr>
          <t xml:space="preserve">
2024.07.01-07.21
2024.07.22-07.31</t>
        </r>
      </text>
    </comment>
    <comment ref="HP78" authorId="1">
      <text>
        <r>
          <rPr>
            <b/>
            <sz val="9"/>
            <rFont val="宋体"/>
            <family val="3"/>
            <charset val="134"/>
          </rPr>
          <t>HL:</t>
        </r>
        <r>
          <rPr>
            <sz val="9"/>
            <rFont val="宋体"/>
            <family val="3"/>
            <charset val="134"/>
          </rPr>
          <t xml:space="preserve">
2024.10.01-10.21
2024.10.22-10.31</t>
        </r>
      </text>
    </comment>
    <comment ref="HT78" authorId="1">
      <text>
        <r>
          <rPr>
            <b/>
            <sz val="9"/>
            <rFont val="宋体"/>
            <family val="3"/>
            <charset val="134"/>
          </rPr>
          <t>HL:</t>
        </r>
        <r>
          <rPr>
            <sz val="9"/>
            <rFont val="宋体"/>
            <family val="3"/>
            <charset val="134"/>
          </rPr>
          <t xml:space="preserve">
2024.10.01-10.21
2024.10.22-10.31</t>
        </r>
      </text>
    </comment>
    <comment ref="IM78" authorId="1">
      <text>
        <r>
          <rPr>
            <b/>
            <sz val="9"/>
            <rFont val="宋体"/>
            <family val="3"/>
            <charset val="134"/>
          </rPr>
          <t>HL:</t>
        </r>
        <r>
          <rPr>
            <sz val="9"/>
            <rFont val="宋体"/>
            <family val="3"/>
            <charset val="134"/>
          </rPr>
          <t xml:space="preserve">
2025.01.01-01.21</t>
        </r>
      </text>
    </comment>
    <comment ref="IN78" authorId="1">
      <text>
        <r>
          <rPr>
            <b/>
            <sz val="9"/>
            <rFont val="宋体"/>
            <family val="3"/>
            <charset val="134"/>
          </rPr>
          <t>HL:</t>
        </r>
        <r>
          <rPr>
            <sz val="9"/>
            <rFont val="宋体"/>
            <family val="3"/>
            <charset val="134"/>
          </rPr>
          <t xml:space="preserve">
2025.01.01-01.21
</t>
        </r>
      </text>
    </comment>
    <comment ref="IQ78" authorId="1">
      <text>
        <r>
          <rPr>
            <b/>
            <sz val="9"/>
            <rFont val="宋体"/>
            <family val="3"/>
            <charset val="134"/>
          </rPr>
          <t>HL:</t>
        </r>
        <r>
          <rPr>
            <sz val="9"/>
            <rFont val="宋体"/>
            <family val="3"/>
            <charset val="134"/>
          </rPr>
          <t xml:space="preserve">
2025.01.01-01.21</t>
        </r>
      </text>
    </comment>
    <comment ref="JD78" authorId="1">
      <text>
        <r>
          <rPr>
            <b/>
            <sz val="9"/>
            <rFont val="宋体"/>
            <family val="3"/>
            <charset val="134"/>
          </rPr>
          <t>HL:</t>
        </r>
        <r>
          <rPr>
            <sz val="9"/>
            <rFont val="宋体"/>
            <family val="3"/>
            <charset val="134"/>
          </rPr>
          <t xml:space="preserve">
2025.01.01-01.21
</t>
        </r>
      </text>
    </comment>
    <comment ref="N81" authorId="2">
      <text>
        <r>
          <rPr>
            <b/>
            <sz val="9"/>
            <rFont val="宋体"/>
            <family val="3"/>
            <charset val="134"/>
          </rPr>
          <t>作者:</t>
        </r>
        <r>
          <rPr>
            <sz val="9"/>
            <rFont val="宋体"/>
            <family val="3"/>
            <charset val="134"/>
          </rPr>
          <t xml:space="preserve">
押金表于</t>
        </r>
        <r>
          <rPr>
            <sz val="9"/>
            <rFont val="Tahoma"/>
            <family val="2"/>
          </rPr>
          <t>2017</t>
        </r>
        <r>
          <rPr>
            <sz val="9"/>
            <rFont val="宋体"/>
            <family val="3"/>
            <charset val="134"/>
          </rPr>
          <t>年</t>
        </r>
        <r>
          <rPr>
            <sz val="9"/>
            <rFont val="Tahoma"/>
            <family val="2"/>
          </rPr>
          <t>12</t>
        </r>
        <r>
          <rPr>
            <sz val="9"/>
            <rFont val="宋体"/>
            <family val="3"/>
            <charset val="134"/>
          </rPr>
          <t>月收到押金</t>
        </r>
        <r>
          <rPr>
            <sz val="9"/>
            <rFont val="Tahoma"/>
            <family val="2"/>
          </rPr>
          <t>30869.28</t>
        </r>
        <r>
          <rPr>
            <sz val="9"/>
            <rFont val="宋体"/>
            <family val="3"/>
            <charset val="134"/>
          </rPr>
          <t>元，</t>
        </r>
        <r>
          <rPr>
            <sz val="9"/>
            <rFont val="Tahoma"/>
            <family val="2"/>
          </rPr>
          <t>17</t>
        </r>
        <r>
          <rPr>
            <sz val="9"/>
            <rFont val="宋体"/>
            <family val="3"/>
            <charset val="134"/>
          </rPr>
          <t>年</t>
        </r>
        <r>
          <rPr>
            <sz val="9"/>
            <rFont val="Tahoma"/>
            <family val="2"/>
          </rPr>
          <t>12</t>
        </r>
        <r>
          <rPr>
            <sz val="9"/>
            <rFont val="宋体"/>
            <family val="3"/>
            <charset val="134"/>
          </rPr>
          <t>月月已入账</t>
        </r>
      </text>
    </comment>
    <comment ref="T81" authorId="1">
      <text>
        <r>
          <rPr>
            <b/>
            <sz val="9"/>
            <rFont val="宋体"/>
            <family val="3"/>
            <charset val="134"/>
          </rPr>
          <t>HL:</t>
        </r>
        <r>
          <rPr>
            <sz val="9"/>
            <rFont val="宋体"/>
            <family val="3"/>
            <charset val="134"/>
          </rPr>
          <t xml:space="preserve">
首期租金为2024年01月01日至2024年03月31日的租金，共计人民币24115.11</t>
        </r>
      </text>
    </comment>
    <comment ref="X81" authorId="1">
      <text>
        <r>
          <rPr>
            <b/>
            <sz val="9"/>
            <rFont val="宋体"/>
            <family val="3"/>
            <charset val="134"/>
          </rPr>
          <t>HL:</t>
        </r>
        <r>
          <rPr>
            <sz val="9"/>
            <rFont val="宋体"/>
            <family val="3"/>
            <charset val="134"/>
          </rPr>
          <t xml:space="preserve">
2024年01月01日至2024年03月31日的物业管理费，共计人民币4285.98</t>
        </r>
      </text>
    </comment>
    <comment ref="AU82" authorId="1">
      <text>
        <r>
          <rPr>
            <b/>
            <sz val="9"/>
            <rFont val="宋体"/>
            <family val="3"/>
            <charset val="134"/>
          </rPr>
          <t>HL:</t>
        </r>
        <r>
          <rPr>
            <sz val="9"/>
            <rFont val="宋体"/>
            <family val="3"/>
            <charset val="134"/>
          </rPr>
          <t xml:space="preserve">
租期内含免租期为  1  个月，自2024年3月11日起至2024年4月10日止</t>
        </r>
      </text>
    </comment>
    <comment ref="AV82" authorId="1">
      <text>
        <r>
          <rPr>
            <b/>
            <sz val="9"/>
            <rFont val="宋体"/>
            <family val="3"/>
            <charset val="134"/>
          </rPr>
          <t>HL:</t>
        </r>
        <r>
          <rPr>
            <sz val="9"/>
            <rFont val="宋体"/>
            <family val="3"/>
            <charset val="134"/>
          </rPr>
          <t xml:space="preserve">
租期内含免租期为1个月，自2024年3月11日起至2024年4月10日止
本月收2024.03.01-03.10</t>
        </r>
      </text>
    </comment>
    <comment ref="AW82" authorId="1">
      <text>
        <r>
          <rPr>
            <b/>
            <sz val="9"/>
            <rFont val="宋体"/>
            <family val="3"/>
            <charset val="134"/>
          </rPr>
          <t>HL:</t>
        </r>
        <r>
          <rPr>
            <sz val="9"/>
            <rFont val="宋体"/>
            <family val="3"/>
            <charset val="134"/>
          </rPr>
          <t xml:space="preserve">
租期内含免租期为1个月，自2024年3月11日起至2024年4月10日止
本月收2024.03.01-03.10</t>
        </r>
      </text>
    </comment>
    <comment ref="BC82" authorId="1">
      <text>
        <r>
          <rPr>
            <b/>
            <sz val="9"/>
            <rFont val="宋体"/>
            <family val="3"/>
            <charset val="134"/>
          </rPr>
          <t>HL:</t>
        </r>
        <r>
          <rPr>
            <sz val="9"/>
            <rFont val="宋体"/>
            <family val="3"/>
            <charset val="134"/>
          </rPr>
          <t xml:space="preserve">
租期内含免租期为  1  个月，自2024年3月11日起至2024年4月10日止</t>
        </r>
      </text>
    </comment>
    <comment ref="BD82" authorId="1">
      <text>
        <r>
          <rPr>
            <b/>
            <sz val="9"/>
            <rFont val="宋体"/>
            <family val="3"/>
            <charset val="134"/>
          </rPr>
          <t>HL:</t>
        </r>
        <r>
          <rPr>
            <sz val="9"/>
            <rFont val="宋体"/>
            <family val="3"/>
            <charset val="134"/>
          </rPr>
          <t xml:space="preserve">
租期内含免租期为  1  个月，自2024年3月11日起至2024年4月10日止</t>
        </r>
      </text>
    </comment>
    <comment ref="FK82" authorId="1">
      <text>
        <r>
          <rPr>
            <b/>
            <sz val="9"/>
            <rFont val="宋体"/>
            <family val="3"/>
            <charset val="134"/>
          </rPr>
          <t>HL:</t>
        </r>
        <r>
          <rPr>
            <sz val="9"/>
            <rFont val="宋体"/>
            <family val="3"/>
            <charset val="134"/>
          </rPr>
          <t xml:space="preserve">
租期内含免租期为  1  个月，自2024年3月11日起至2024年4月10日止
本期2024.03.01-03.10</t>
        </r>
      </text>
    </comment>
    <comment ref="FL82" authorId="1">
      <text>
        <r>
          <rPr>
            <b/>
            <sz val="9"/>
            <rFont val="宋体"/>
            <family val="3"/>
            <charset val="134"/>
          </rPr>
          <t>HL:</t>
        </r>
        <r>
          <rPr>
            <sz val="9"/>
            <rFont val="宋体"/>
            <family val="3"/>
            <charset val="134"/>
          </rPr>
          <t xml:space="preserve">
租期内含免租期为  1  个月，自2024年3月11日起至2024年4月10日止
本期2024.03.01-03.10</t>
        </r>
      </text>
    </comment>
    <comment ref="FS82" authorId="1">
      <text>
        <r>
          <rPr>
            <b/>
            <sz val="9"/>
            <rFont val="宋体"/>
            <family val="3"/>
            <charset val="134"/>
          </rPr>
          <t>HL:</t>
        </r>
        <r>
          <rPr>
            <sz val="9"/>
            <rFont val="宋体"/>
            <family val="3"/>
            <charset val="134"/>
          </rPr>
          <t xml:space="preserve">
租期内含免租期为  1  个月，自2024年3月11日起至2024年4月10日止
2024.04.11-04.30 续租</t>
        </r>
      </text>
    </comment>
    <comment ref="FT82" authorId="1">
      <text>
        <r>
          <rPr>
            <b/>
            <sz val="9"/>
            <rFont val="宋体"/>
            <family val="3"/>
            <charset val="134"/>
          </rPr>
          <t>HL:</t>
        </r>
        <r>
          <rPr>
            <sz val="9"/>
            <rFont val="宋体"/>
            <family val="3"/>
            <charset val="134"/>
          </rPr>
          <t xml:space="preserve">
租期内含免租期为  1  个月，自2024年3月11日起至2024年4月10日止
2024.04.11-04.30 续租</t>
        </r>
      </text>
    </comment>
    <comment ref="FW82" authorId="1">
      <text>
        <r>
          <rPr>
            <b/>
            <sz val="9"/>
            <rFont val="宋体"/>
            <family val="3"/>
            <charset val="134"/>
          </rPr>
          <t>HL:</t>
        </r>
        <r>
          <rPr>
            <sz val="9"/>
            <rFont val="宋体"/>
            <family val="3"/>
            <charset val="134"/>
          </rPr>
          <t xml:space="preserve">
2024.01.01-04.10
2024.04.11-04.30</t>
        </r>
      </text>
    </comment>
    <comment ref="FX82" authorId="1">
      <text>
        <r>
          <rPr>
            <b/>
            <sz val="9"/>
            <rFont val="宋体"/>
            <family val="3"/>
            <charset val="134"/>
          </rPr>
          <t>HL:</t>
        </r>
        <r>
          <rPr>
            <sz val="9"/>
            <rFont val="宋体"/>
            <family val="3"/>
            <charset val="134"/>
          </rPr>
          <t xml:space="preserve">
2024.04.01-04.10 到期
2024.04.11-04.30 续租</t>
        </r>
      </text>
    </comment>
    <comment ref="GR82" authorId="1">
      <text>
        <r>
          <rPr>
            <b/>
            <sz val="9"/>
            <rFont val="宋体"/>
            <family val="3"/>
            <charset val="134"/>
          </rPr>
          <t>HL:</t>
        </r>
        <r>
          <rPr>
            <sz val="9"/>
            <rFont val="宋体"/>
            <family val="3"/>
            <charset val="134"/>
          </rPr>
          <t xml:space="preserve">
2024.07.01-07.10
2024.07.11-07.31</t>
        </r>
      </text>
    </comment>
    <comment ref="GV82" authorId="1">
      <text>
        <r>
          <rPr>
            <b/>
            <sz val="9"/>
            <rFont val="宋体"/>
            <family val="3"/>
            <charset val="134"/>
          </rPr>
          <t>HL:</t>
        </r>
        <r>
          <rPr>
            <sz val="9"/>
            <rFont val="宋体"/>
            <family val="3"/>
            <charset val="134"/>
          </rPr>
          <t xml:space="preserve">
2024.07.01-07.10
2024.07.11-07.31</t>
        </r>
      </text>
    </comment>
    <comment ref="HP82" authorId="1">
      <text>
        <r>
          <rPr>
            <b/>
            <sz val="9"/>
            <rFont val="宋体"/>
            <family val="3"/>
            <charset val="134"/>
          </rPr>
          <t>HL:</t>
        </r>
        <r>
          <rPr>
            <sz val="9"/>
            <rFont val="宋体"/>
            <family val="3"/>
            <charset val="134"/>
          </rPr>
          <t xml:space="preserve">
2024.10.01-10.10
2024.10.11-10.31</t>
        </r>
      </text>
    </comment>
    <comment ref="HT82" authorId="1">
      <text>
        <r>
          <rPr>
            <b/>
            <sz val="9"/>
            <rFont val="宋体"/>
            <family val="3"/>
            <charset val="134"/>
          </rPr>
          <t>HL:</t>
        </r>
        <r>
          <rPr>
            <sz val="9"/>
            <rFont val="宋体"/>
            <family val="3"/>
            <charset val="134"/>
          </rPr>
          <t xml:space="preserve">
2024.10.01-10.10
2024.10.11-10.31</t>
        </r>
      </text>
    </comment>
    <comment ref="IQ82" authorId="1">
      <text>
        <r>
          <rPr>
            <b/>
            <sz val="9"/>
            <rFont val="宋体"/>
            <family val="3"/>
            <charset val="134"/>
          </rPr>
          <t>HL:</t>
        </r>
        <r>
          <rPr>
            <sz val="9"/>
            <rFont val="宋体"/>
            <family val="3"/>
            <charset val="134"/>
          </rPr>
          <t xml:space="preserve">
2025.01.01-01.10</t>
        </r>
      </text>
    </comment>
    <comment ref="JD82" authorId="1">
      <text>
        <r>
          <rPr>
            <b/>
            <sz val="9"/>
            <rFont val="宋体"/>
            <family val="3"/>
            <charset val="134"/>
          </rPr>
          <t>HL:</t>
        </r>
        <r>
          <rPr>
            <sz val="9"/>
            <rFont val="宋体"/>
            <family val="3"/>
            <charset val="134"/>
          </rPr>
          <t xml:space="preserve">
2025.01.01-01.10
</t>
        </r>
      </text>
    </comment>
    <comment ref="FS83" authorId="1">
      <text>
        <r>
          <rPr>
            <b/>
            <sz val="9"/>
            <rFont val="宋体"/>
            <family val="3"/>
            <charset val="134"/>
          </rPr>
          <t>HL:</t>
        </r>
        <r>
          <rPr>
            <sz val="9"/>
            <rFont val="宋体"/>
            <family val="3"/>
            <charset val="134"/>
          </rPr>
          <t xml:space="preserve">
2024.04.01-04.03到期
2024.04.04-04.30续租</t>
        </r>
      </text>
    </comment>
    <comment ref="FT83" authorId="1">
      <text>
        <r>
          <rPr>
            <b/>
            <sz val="9"/>
            <rFont val="宋体"/>
            <family val="3"/>
            <charset val="134"/>
          </rPr>
          <t>HL:</t>
        </r>
        <r>
          <rPr>
            <sz val="9"/>
            <rFont val="宋体"/>
            <family val="3"/>
            <charset val="134"/>
          </rPr>
          <t xml:space="preserve">
2024.04.01-04.03到期
2024.04.04-04.30续租</t>
        </r>
      </text>
    </comment>
    <comment ref="FW83" authorId="1">
      <text>
        <r>
          <rPr>
            <b/>
            <sz val="9"/>
            <rFont val="宋体"/>
            <family val="3"/>
            <charset val="134"/>
          </rPr>
          <t>HL:</t>
        </r>
        <r>
          <rPr>
            <sz val="9"/>
            <rFont val="宋体"/>
            <family val="3"/>
            <charset val="134"/>
          </rPr>
          <t xml:space="preserve">
2024.04.01-04.03到期
2024.04.04-04.30续租</t>
        </r>
      </text>
    </comment>
    <comment ref="FX83" authorId="1">
      <text>
        <r>
          <rPr>
            <b/>
            <sz val="9"/>
            <rFont val="宋体"/>
            <family val="3"/>
            <charset val="134"/>
          </rPr>
          <t>HL:</t>
        </r>
        <r>
          <rPr>
            <sz val="9"/>
            <rFont val="宋体"/>
            <family val="3"/>
            <charset val="134"/>
          </rPr>
          <t xml:space="preserve">
2024.04.01-04.03到期
2024.04.04-04.30续租</t>
        </r>
      </text>
    </comment>
    <comment ref="GR83" authorId="1">
      <text>
        <r>
          <rPr>
            <b/>
            <sz val="9"/>
            <rFont val="宋体"/>
            <family val="3"/>
            <charset val="134"/>
          </rPr>
          <t>HL:</t>
        </r>
        <r>
          <rPr>
            <sz val="9"/>
            <rFont val="宋体"/>
            <family val="3"/>
            <charset val="134"/>
          </rPr>
          <t xml:space="preserve">
2024.07.01-07.03
2027.07.04-07.31</t>
        </r>
      </text>
    </comment>
    <comment ref="GV83" authorId="1">
      <text>
        <r>
          <rPr>
            <b/>
            <sz val="9"/>
            <rFont val="宋体"/>
            <family val="3"/>
            <charset val="134"/>
          </rPr>
          <t>HL:</t>
        </r>
        <r>
          <rPr>
            <sz val="9"/>
            <rFont val="宋体"/>
            <family val="3"/>
            <charset val="134"/>
          </rPr>
          <t xml:space="preserve">
2024.07.01-07.03
2027.07.04-07.31</t>
        </r>
      </text>
    </comment>
    <comment ref="HP83" authorId="1">
      <text>
        <r>
          <rPr>
            <b/>
            <sz val="9"/>
            <rFont val="宋体"/>
            <family val="3"/>
            <charset val="134"/>
          </rPr>
          <t>HL:</t>
        </r>
        <r>
          <rPr>
            <sz val="9"/>
            <rFont val="宋体"/>
            <family val="3"/>
            <charset val="134"/>
          </rPr>
          <t xml:space="preserve">
2024.10.01-10.03
2024.10.04-10.31</t>
        </r>
      </text>
    </comment>
    <comment ref="HT83" authorId="1">
      <text>
        <r>
          <rPr>
            <b/>
            <sz val="9"/>
            <rFont val="宋体"/>
            <family val="3"/>
            <charset val="134"/>
          </rPr>
          <t>HL:</t>
        </r>
        <r>
          <rPr>
            <sz val="9"/>
            <rFont val="宋体"/>
            <family val="3"/>
            <charset val="134"/>
          </rPr>
          <t xml:space="preserve">
2024.10.01-10.03
2024.10.04-10.31</t>
        </r>
      </text>
    </comment>
    <comment ref="IQ83" authorId="1">
      <text>
        <r>
          <rPr>
            <b/>
            <sz val="9"/>
            <rFont val="宋体"/>
            <family val="3"/>
            <charset val="134"/>
          </rPr>
          <t>HL:</t>
        </r>
        <r>
          <rPr>
            <sz val="9"/>
            <rFont val="宋体"/>
            <family val="3"/>
            <charset val="134"/>
          </rPr>
          <t xml:space="preserve">
2025.01.01-01.03</t>
        </r>
      </text>
    </comment>
    <comment ref="JD83" authorId="1">
      <text>
        <r>
          <rPr>
            <b/>
            <sz val="9"/>
            <rFont val="宋体"/>
            <family val="3"/>
            <charset val="134"/>
          </rPr>
          <t>HL:</t>
        </r>
        <r>
          <rPr>
            <sz val="9"/>
            <rFont val="宋体"/>
            <family val="3"/>
            <charset val="134"/>
          </rPr>
          <t xml:space="preserve">
2025.01.01-01.03</t>
        </r>
      </text>
    </comment>
    <comment ref="EU84" authorId="1">
      <text>
        <r>
          <rPr>
            <b/>
            <sz val="9"/>
            <rFont val="宋体"/>
            <family val="3"/>
            <charset val="134"/>
          </rPr>
          <t>HL:</t>
        </r>
        <r>
          <rPr>
            <sz val="9"/>
            <rFont val="宋体"/>
            <family val="3"/>
            <charset val="134"/>
          </rPr>
          <t xml:space="preserve">
租期内含免租期为  壹 个月，自 2024年  01月 15日 起至 2024年 02月14日 止</t>
        </r>
      </text>
    </comment>
    <comment ref="EV84" authorId="1">
      <text>
        <r>
          <rPr>
            <b/>
            <sz val="9"/>
            <rFont val="宋体"/>
            <family val="3"/>
            <charset val="134"/>
          </rPr>
          <t>HL:</t>
        </r>
        <r>
          <rPr>
            <sz val="9"/>
            <rFont val="宋体"/>
            <family val="3"/>
            <charset val="134"/>
          </rPr>
          <t xml:space="preserve">
租期内含免租期为  壹 个月，自 2024年  01月 15日 起至 2024年 02月14日 止
2024.01.01-01.14</t>
        </r>
      </text>
    </comment>
    <comment ref="FC84" authorId="1">
      <text>
        <r>
          <rPr>
            <b/>
            <sz val="9"/>
            <rFont val="宋体"/>
            <family val="3"/>
            <charset val="134"/>
          </rPr>
          <t>HL:</t>
        </r>
        <r>
          <rPr>
            <sz val="9"/>
            <rFont val="宋体"/>
            <family val="3"/>
            <charset val="134"/>
          </rPr>
          <t xml:space="preserve">
租期内含免租期为  壹 个月，自 2024年  01月 15日 起至 2024年 02月14日 止
本月收2024.02.15-02.29</t>
        </r>
      </text>
    </comment>
    <comment ref="FD84" authorId="1">
      <text>
        <r>
          <rPr>
            <b/>
            <sz val="9"/>
            <rFont val="宋体"/>
            <family val="3"/>
            <charset val="134"/>
          </rPr>
          <t>HL:</t>
        </r>
        <r>
          <rPr>
            <sz val="9"/>
            <rFont val="宋体"/>
            <family val="3"/>
            <charset val="134"/>
          </rPr>
          <t xml:space="preserve">
租期内含免租期为  壹 个月，自 2024年  01月 15日 起至 2024年 02月14日 止
本月收2024.02.15-02.29</t>
        </r>
      </text>
    </comment>
    <comment ref="FG84" authorId="1">
      <text>
        <r>
          <rPr>
            <b/>
            <sz val="9"/>
            <rFont val="宋体"/>
            <family val="3"/>
            <charset val="134"/>
          </rPr>
          <t>HL:</t>
        </r>
        <r>
          <rPr>
            <sz val="9"/>
            <rFont val="宋体"/>
            <family val="3"/>
            <charset val="134"/>
          </rPr>
          <t xml:space="preserve">
2024.02.01-02.14 到期
2024.02.15-02.29 续租</t>
        </r>
      </text>
    </comment>
    <comment ref="FH84" authorId="1">
      <text>
        <r>
          <rPr>
            <b/>
            <sz val="9"/>
            <rFont val="宋体"/>
            <family val="3"/>
            <charset val="134"/>
          </rPr>
          <t>HL:</t>
        </r>
        <r>
          <rPr>
            <sz val="9"/>
            <rFont val="宋体"/>
            <family val="3"/>
            <charset val="134"/>
          </rPr>
          <t xml:space="preserve">
2024.02.01-02.14
2024.02.15-02.29</t>
        </r>
      </text>
    </comment>
    <comment ref="GZ84" authorId="1">
      <text>
        <r>
          <rPr>
            <b/>
            <sz val="9"/>
            <rFont val="宋体"/>
            <family val="3"/>
            <charset val="134"/>
          </rPr>
          <t>HL:</t>
        </r>
        <r>
          <rPr>
            <sz val="9"/>
            <rFont val="宋体"/>
            <family val="3"/>
            <charset val="134"/>
          </rPr>
          <t xml:space="preserve">
2024.08.01-08.14
2024.08.15-08.31</t>
        </r>
      </text>
    </comment>
    <comment ref="HD84" authorId="1">
      <text>
        <r>
          <rPr>
            <b/>
            <sz val="9"/>
            <rFont val="宋体"/>
            <family val="3"/>
            <charset val="134"/>
          </rPr>
          <t>HL:</t>
        </r>
        <r>
          <rPr>
            <sz val="9"/>
            <rFont val="宋体"/>
            <family val="3"/>
            <charset val="134"/>
          </rPr>
          <t xml:space="preserve">
2024.08.01-08.14
2024.08.15-08.31</t>
        </r>
      </text>
    </comment>
    <comment ref="IR84" authorId="1">
      <text>
        <r>
          <rPr>
            <b/>
            <sz val="9"/>
            <rFont val="宋体"/>
            <family val="3"/>
            <charset val="134"/>
          </rPr>
          <t>HL:</t>
        </r>
        <r>
          <rPr>
            <sz val="9"/>
            <rFont val="宋体"/>
            <family val="3"/>
            <charset val="134"/>
          </rPr>
          <t xml:space="preserve">
2025.02.01-02.14</t>
        </r>
      </text>
    </comment>
    <comment ref="JE84" authorId="1">
      <text>
        <r>
          <rPr>
            <b/>
            <sz val="9"/>
            <rFont val="宋体"/>
            <family val="3"/>
            <charset val="134"/>
          </rPr>
          <t>HL:</t>
        </r>
        <r>
          <rPr>
            <sz val="9"/>
            <rFont val="宋体"/>
            <family val="3"/>
            <charset val="134"/>
          </rPr>
          <t xml:space="preserve">
2025.02.01-02.14</t>
        </r>
      </text>
    </comment>
    <comment ref="JP84" authorId="1">
      <text>
        <r>
          <rPr>
            <b/>
            <sz val="9"/>
            <rFont val="宋体"/>
            <family val="3"/>
            <charset val="134"/>
          </rPr>
          <t>HL:</t>
        </r>
        <r>
          <rPr>
            <sz val="9"/>
            <rFont val="宋体"/>
            <family val="3"/>
            <charset val="134"/>
          </rPr>
          <t xml:space="preserve">
租期内含免租期为  壹 个月，自 2024年  01月 15日 起至 2024年 02月14日 止</t>
        </r>
      </text>
    </comment>
    <comment ref="JQ84" authorId="1">
      <text>
        <r>
          <rPr>
            <b/>
            <sz val="9"/>
            <rFont val="宋体"/>
            <family val="3"/>
            <charset val="134"/>
          </rPr>
          <t>HL:</t>
        </r>
        <r>
          <rPr>
            <sz val="9"/>
            <rFont val="宋体"/>
            <family val="3"/>
            <charset val="134"/>
          </rPr>
          <t xml:space="preserve">
租期内含免租期为  壹 个月，自 2024年  01月 15日 起至 2024年 02月14日 止
2024.01.01-01.14</t>
        </r>
      </text>
    </comment>
    <comment ref="J86" authorId="1">
      <text>
        <r>
          <rPr>
            <b/>
            <sz val="9"/>
            <rFont val="宋体"/>
            <family val="3"/>
            <charset val="134"/>
          </rPr>
          <t>HL:</t>
        </r>
        <r>
          <rPr>
            <sz val="9"/>
            <rFont val="宋体"/>
            <family val="3"/>
            <charset val="134"/>
          </rPr>
          <t xml:space="preserve">
租期内含免租期为1个月，自2024年01月15日起至2024年02月14日止</t>
        </r>
      </text>
    </comment>
    <comment ref="AN86" authorId="1">
      <text>
        <r>
          <rPr>
            <b/>
            <sz val="9"/>
            <rFont val="宋体"/>
            <family val="3"/>
            <charset val="134"/>
          </rPr>
          <t>HL:</t>
        </r>
        <r>
          <rPr>
            <sz val="9"/>
            <rFont val="宋体"/>
            <family val="3"/>
            <charset val="134"/>
          </rPr>
          <t xml:space="preserve">
9321.04：收2024.02.15-04.14租金，2024.01.15-02.14免租</t>
        </r>
      </text>
    </comment>
    <comment ref="AV86" authorId="1">
      <text>
        <r>
          <rPr>
            <b/>
            <sz val="9"/>
            <rFont val="宋体"/>
            <family val="3"/>
            <charset val="134"/>
          </rPr>
          <t>HL:</t>
        </r>
        <r>
          <rPr>
            <sz val="9"/>
            <rFont val="宋体"/>
            <family val="3"/>
            <charset val="134"/>
          </rPr>
          <t xml:space="preserve">
-3562.18：合同终止 退北京场圈未来传媒有限公司 2024.01.11-01.31
</t>
        </r>
      </text>
    </comment>
    <comment ref="AW86" authorId="1">
      <text>
        <r>
          <rPr>
            <b/>
            <sz val="9"/>
            <rFont val="宋体"/>
            <family val="3"/>
            <charset val="134"/>
          </rPr>
          <t>HL:</t>
        </r>
        <r>
          <rPr>
            <sz val="9"/>
            <rFont val="宋体"/>
            <family val="3"/>
            <charset val="134"/>
          </rPr>
          <t xml:space="preserve">
-3562.18：合同终止 退北京场圈未来传媒有限公司 2024.01.11-01.31
</t>
        </r>
      </text>
    </comment>
    <comment ref="AY86" authorId="1">
      <text>
        <r>
          <rPr>
            <b/>
            <sz val="9"/>
            <rFont val="宋体"/>
            <family val="3"/>
            <charset val="134"/>
          </rPr>
          <t>HL:</t>
        </r>
        <r>
          <rPr>
            <sz val="9"/>
            <rFont val="宋体"/>
            <family val="3"/>
            <charset val="134"/>
          </rPr>
          <t xml:space="preserve">
-571.88：合同终止 退北京场圈未来传媒有限公司 2024.01.11-01.31</t>
        </r>
      </text>
    </comment>
    <comment ref="AZ86" authorId="1">
      <text>
        <r>
          <rPr>
            <b/>
            <sz val="9"/>
            <rFont val="宋体"/>
            <family val="3"/>
            <charset val="134"/>
          </rPr>
          <t>HL:</t>
        </r>
        <r>
          <rPr>
            <sz val="9"/>
            <rFont val="宋体"/>
            <family val="3"/>
            <charset val="134"/>
          </rPr>
          <t xml:space="preserve">
-571.88：合同终止 退北京场圈未来传媒有限公司 2024.01.11-01.31</t>
        </r>
      </text>
    </comment>
    <comment ref="EU86" authorId="1">
      <text>
        <r>
          <rPr>
            <b/>
            <sz val="9"/>
            <rFont val="宋体"/>
            <family val="3"/>
            <charset val="134"/>
          </rPr>
          <t>HL:</t>
        </r>
        <r>
          <rPr>
            <sz val="9"/>
            <rFont val="宋体"/>
            <family val="3"/>
            <charset val="134"/>
          </rPr>
          <t xml:space="preserve">
5159.51/1.05：原合同北京场圈未来传媒有限公司 2024.01.01-01.31</t>
        </r>
      </text>
    </comment>
    <comment ref="EV86" authorId="1">
      <text>
        <r>
          <rPr>
            <b/>
            <sz val="9"/>
            <rFont val="宋体"/>
            <family val="3"/>
            <charset val="134"/>
          </rPr>
          <t>HL:</t>
        </r>
        <r>
          <rPr>
            <sz val="9"/>
            <rFont val="宋体"/>
            <family val="3"/>
            <charset val="134"/>
          </rPr>
          <t xml:space="preserve">
5159.51/1.05：原合同北京场圈未来传媒有限公司 2024.01.01-01.31</t>
        </r>
      </text>
    </comment>
    <comment ref="EY86" authorId="1">
      <text>
        <r>
          <rPr>
            <b/>
            <sz val="9"/>
            <rFont val="宋体"/>
            <family val="3"/>
            <charset val="134"/>
          </rPr>
          <t>HL:</t>
        </r>
        <r>
          <rPr>
            <sz val="9"/>
            <rFont val="宋体"/>
            <family val="3"/>
            <charset val="134"/>
          </rPr>
          <t xml:space="preserve">
828.32/1.06：原合同 北京场圈未来传媒有限公司 2024.01.01-01.31
828.32/1.06-828.32/1.06*12/365*14：量子家庭2024.01.15-01.31物业费</t>
        </r>
      </text>
    </comment>
    <comment ref="EZ86" authorId="1">
      <text>
        <r>
          <rPr>
            <b/>
            <sz val="9"/>
            <rFont val="宋体"/>
            <family val="3"/>
            <charset val="134"/>
          </rPr>
          <t>HL:</t>
        </r>
        <r>
          <rPr>
            <sz val="9"/>
            <rFont val="宋体"/>
            <family val="3"/>
            <charset val="134"/>
          </rPr>
          <t xml:space="preserve">
828.32/1.06：原合同 北京场圈未来传媒有限公司 2024.01.01-01.31
828.32/1.06-828.32/1.06*12/365*14：量子家庭2024.01.15-01.31物业费</t>
        </r>
      </text>
    </comment>
    <comment ref="FC86" authorId="1">
      <text>
        <r>
          <rPr>
            <b/>
            <sz val="9"/>
            <rFont val="宋体"/>
            <family val="3"/>
            <charset val="134"/>
          </rPr>
          <t>HL:</t>
        </r>
        <r>
          <rPr>
            <sz val="9"/>
            <rFont val="宋体"/>
            <family val="3"/>
            <charset val="134"/>
          </rPr>
          <t xml:space="preserve">
租期内含免租期为1个月，自2024年01月15日起至2024年02月14日止
本月收2024.02.15-02.29
-3562.18/1.05：合同终止 退北京场圈未来传媒有限公司 2024.01.11-01.31
</t>
        </r>
      </text>
    </comment>
    <comment ref="FD86" authorId="1">
      <text>
        <r>
          <rPr>
            <b/>
            <sz val="9"/>
            <rFont val="宋体"/>
            <family val="3"/>
            <charset val="134"/>
          </rPr>
          <t>HL:</t>
        </r>
        <r>
          <rPr>
            <sz val="9"/>
            <rFont val="宋体"/>
            <family val="3"/>
            <charset val="134"/>
          </rPr>
          <t xml:space="preserve">
租期内含免租期为1个月，自2024年01月15日起至2024年02月14日止
本月收2024.02.15-02.29
-3562.18/1.05：合同终止 退北京场圈未来传媒有限公司 2024.01.11-01.31
</t>
        </r>
      </text>
    </comment>
    <comment ref="FG86" authorId="1">
      <text>
        <r>
          <rPr>
            <b/>
            <sz val="9"/>
            <rFont val="宋体"/>
            <family val="3"/>
            <charset val="134"/>
          </rPr>
          <t>HL:</t>
        </r>
        <r>
          <rPr>
            <sz val="9"/>
            <rFont val="宋体"/>
            <family val="3"/>
            <charset val="134"/>
          </rPr>
          <t xml:space="preserve">
-571.88/1.06：合同终止 退北京场圈未来传媒有限公司 2024.01.11-01.31</t>
        </r>
      </text>
    </comment>
    <comment ref="FH86" authorId="1">
      <text>
        <r>
          <rPr>
            <b/>
            <sz val="9"/>
            <rFont val="宋体"/>
            <family val="3"/>
            <charset val="134"/>
          </rPr>
          <t>HL:</t>
        </r>
        <r>
          <rPr>
            <sz val="9"/>
            <rFont val="宋体"/>
            <family val="3"/>
            <charset val="134"/>
          </rPr>
          <t xml:space="preserve">
-571.88/1.06：合同终止 退北京场圈未来传媒有限公司 2024.01.11-01.31</t>
        </r>
      </text>
    </comment>
    <comment ref="FT86" authorId="1">
      <text>
        <r>
          <rPr>
            <b/>
            <sz val="9"/>
            <rFont val="宋体"/>
            <family val="3"/>
            <charset val="134"/>
          </rPr>
          <t>HL:</t>
        </r>
        <r>
          <rPr>
            <sz val="9"/>
            <rFont val="宋体"/>
            <family val="3"/>
            <charset val="134"/>
          </rPr>
          <t xml:space="preserve">
2024.04.01-04.14
2024.04.15-04.30</t>
        </r>
      </text>
    </comment>
    <comment ref="FX86" authorId="1">
      <text>
        <r>
          <rPr>
            <b/>
            <sz val="9"/>
            <rFont val="宋体"/>
            <family val="3"/>
            <charset val="134"/>
          </rPr>
          <t>HL:</t>
        </r>
        <r>
          <rPr>
            <sz val="9"/>
            <rFont val="宋体"/>
            <family val="3"/>
            <charset val="134"/>
          </rPr>
          <t xml:space="preserve">
2024.04.01-04.14
2024.04.15-04.30</t>
        </r>
      </text>
    </comment>
    <comment ref="GR86" authorId="1">
      <text>
        <r>
          <rPr>
            <b/>
            <sz val="9"/>
            <rFont val="宋体"/>
            <family val="3"/>
            <charset val="134"/>
          </rPr>
          <t>HL:</t>
        </r>
        <r>
          <rPr>
            <sz val="9"/>
            <rFont val="宋体"/>
            <family val="3"/>
            <charset val="134"/>
          </rPr>
          <t xml:space="preserve">
2024.07.01-07.14
2024.07.15-07.31</t>
        </r>
      </text>
    </comment>
    <comment ref="GV86" authorId="1">
      <text>
        <r>
          <rPr>
            <b/>
            <sz val="9"/>
            <rFont val="宋体"/>
            <family val="3"/>
            <charset val="134"/>
          </rPr>
          <t>HL:</t>
        </r>
        <r>
          <rPr>
            <sz val="9"/>
            <rFont val="宋体"/>
            <family val="3"/>
            <charset val="134"/>
          </rPr>
          <t xml:space="preserve">
2024.07.01-07.14
2024.07.15-07.31</t>
        </r>
      </text>
    </comment>
    <comment ref="HP86" authorId="1">
      <text>
        <r>
          <rPr>
            <b/>
            <sz val="9"/>
            <rFont val="宋体"/>
            <family val="3"/>
            <charset val="134"/>
          </rPr>
          <t>HL:</t>
        </r>
        <r>
          <rPr>
            <sz val="9"/>
            <rFont val="宋体"/>
            <family val="3"/>
            <charset val="134"/>
          </rPr>
          <t xml:space="preserve">
2024.10.01-10.14
2024.10.15-10.31</t>
        </r>
      </text>
    </comment>
    <comment ref="HT86" authorId="1">
      <text>
        <r>
          <rPr>
            <b/>
            <sz val="9"/>
            <rFont val="宋体"/>
            <family val="3"/>
            <charset val="134"/>
          </rPr>
          <t>HL:</t>
        </r>
        <r>
          <rPr>
            <sz val="9"/>
            <rFont val="宋体"/>
            <family val="3"/>
            <charset val="134"/>
          </rPr>
          <t xml:space="preserve">
2024.10.01-10.14
2024.10.15-10.31</t>
        </r>
      </text>
    </comment>
    <comment ref="IQ86" authorId="1">
      <text>
        <r>
          <rPr>
            <b/>
            <sz val="9"/>
            <rFont val="宋体"/>
            <family val="3"/>
            <charset val="134"/>
          </rPr>
          <t>HL:</t>
        </r>
        <r>
          <rPr>
            <sz val="9"/>
            <rFont val="宋体"/>
            <family val="3"/>
            <charset val="134"/>
          </rPr>
          <t xml:space="preserve">
2025.01.01-01.14</t>
        </r>
      </text>
    </comment>
    <comment ref="JD86" authorId="1">
      <text>
        <r>
          <rPr>
            <b/>
            <sz val="9"/>
            <rFont val="宋体"/>
            <family val="3"/>
            <charset val="134"/>
          </rPr>
          <t>HL:</t>
        </r>
        <r>
          <rPr>
            <sz val="9"/>
            <rFont val="宋体"/>
            <family val="3"/>
            <charset val="134"/>
          </rPr>
          <t xml:space="preserve">
2025.01.01-01.14</t>
        </r>
      </text>
    </comment>
    <comment ref="KN86" authorId="1">
      <text>
        <r>
          <rPr>
            <b/>
            <sz val="9"/>
            <rFont val="宋体"/>
            <family val="3"/>
            <charset val="134"/>
          </rPr>
          <t>HL:</t>
        </r>
        <r>
          <rPr>
            <sz val="9"/>
            <rFont val="宋体"/>
            <family val="3"/>
            <charset val="134"/>
          </rPr>
          <t xml:space="preserve">
2042.97：量子家庭免租</t>
        </r>
      </text>
    </comment>
    <comment ref="GI87" authorId="1">
      <text>
        <r>
          <rPr>
            <b/>
            <sz val="9"/>
            <rFont val="宋体"/>
            <family val="3"/>
            <charset val="134"/>
          </rPr>
          <t>HL:</t>
        </r>
        <r>
          <rPr>
            <sz val="9"/>
            <rFont val="宋体"/>
            <family val="3"/>
            <charset val="134"/>
          </rPr>
          <t xml:space="preserve">
2024.06.01-06.23
2024.06.24-06.30</t>
        </r>
      </text>
    </comment>
    <comment ref="GJ87" authorId="1">
      <text>
        <r>
          <rPr>
            <b/>
            <sz val="9"/>
            <rFont val="宋体"/>
            <family val="3"/>
            <charset val="134"/>
          </rPr>
          <t>HL:</t>
        </r>
        <r>
          <rPr>
            <sz val="9"/>
            <rFont val="宋体"/>
            <family val="3"/>
            <charset val="134"/>
          </rPr>
          <t xml:space="preserve">
2024.06.01-06.23
2024.06.24-06.30</t>
        </r>
      </text>
    </comment>
    <comment ref="GM87" authorId="1">
      <text>
        <r>
          <rPr>
            <b/>
            <sz val="9"/>
            <rFont val="宋体"/>
            <family val="3"/>
            <charset val="134"/>
          </rPr>
          <t>HL:</t>
        </r>
        <r>
          <rPr>
            <sz val="9"/>
            <rFont val="宋体"/>
            <family val="3"/>
            <charset val="134"/>
          </rPr>
          <t xml:space="preserve">
2024.06.01-06.23
2024.06.24-06.30</t>
        </r>
      </text>
    </comment>
    <comment ref="GN87" authorId="1">
      <text>
        <r>
          <rPr>
            <b/>
            <sz val="9"/>
            <rFont val="宋体"/>
            <family val="3"/>
            <charset val="134"/>
          </rPr>
          <t>HL:</t>
        </r>
        <r>
          <rPr>
            <sz val="9"/>
            <rFont val="宋体"/>
            <family val="3"/>
            <charset val="134"/>
          </rPr>
          <t xml:space="preserve">
2024.06.01-06.23
2024.06.24-06.30</t>
        </r>
      </text>
    </comment>
    <comment ref="HH87" authorId="1">
      <text>
        <r>
          <rPr>
            <b/>
            <sz val="9"/>
            <rFont val="宋体"/>
            <family val="3"/>
            <charset val="134"/>
          </rPr>
          <t>HL:</t>
        </r>
        <r>
          <rPr>
            <sz val="9"/>
            <rFont val="宋体"/>
            <family val="3"/>
            <charset val="134"/>
          </rPr>
          <t xml:space="preserve">
2024.09.01-09.23
2024.09.24-09.30</t>
        </r>
      </text>
    </comment>
    <comment ref="HL87" authorId="1">
      <text>
        <r>
          <rPr>
            <b/>
            <sz val="9"/>
            <rFont val="宋体"/>
            <family val="3"/>
            <charset val="134"/>
          </rPr>
          <t>HL:</t>
        </r>
        <r>
          <rPr>
            <sz val="9"/>
            <rFont val="宋体"/>
            <family val="3"/>
            <charset val="134"/>
          </rPr>
          <t xml:space="preserve">
2024.09.01-09.23
2024.09.24-09.30</t>
        </r>
      </text>
    </comment>
    <comment ref="IF87" authorId="1">
      <text>
        <r>
          <rPr>
            <b/>
            <sz val="9"/>
            <rFont val="宋体"/>
            <family val="3"/>
            <charset val="134"/>
          </rPr>
          <t>HL:</t>
        </r>
        <r>
          <rPr>
            <sz val="9"/>
            <rFont val="宋体"/>
            <family val="3"/>
            <charset val="134"/>
          </rPr>
          <t xml:space="preserve">
2024.12.01-12.23</t>
        </r>
      </text>
    </comment>
    <comment ref="IJ87" authorId="1">
      <text>
        <r>
          <rPr>
            <b/>
            <sz val="9"/>
            <rFont val="宋体"/>
            <family val="3"/>
            <charset val="134"/>
          </rPr>
          <t>HL:</t>
        </r>
        <r>
          <rPr>
            <sz val="9"/>
            <rFont val="宋体"/>
            <family val="3"/>
            <charset val="134"/>
          </rPr>
          <t xml:space="preserve">
2024.12.01-12.23</t>
        </r>
      </text>
    </comment>
    <comment ref="GI88" authorId="1">
      <text>
        <r>
          <rPr>
            <b/>
            <sz val="9"/>
            <rFont val="宋体"/>
            <family val="3"/>
            <charset val="134"/>
          </rPr>
          <t>HL:</t>
        </r>
        <r>
          <rPr>
            <sz val="9"/>
            <rFont val="宋体"/>
            <family val="3"/>
            <charset val="134"/>
          </rPr>
          <t xml:space="preserve">
2024.06.01-06.23
2024.06.24-06.30</t>
        </r>
      </text>
    </comment>
    <comment ref="GJ88" authorId="1">
      <text>
        <r>
          <rPr>
            <b/>
            <sz val="9"/>
            <rFont val="宋体"/>
            <family val="3"/>
            <charset val="134"/>
          </rPr>
          <t>HL:</t>
        </r>
        <r>
          <rPr>
            <sz val="9"/>
            <rFont val="宋体"/>
            <family val="3"/>
            <charset val="134"/>
          </rPr>
          <t xml:space="preserve">
2024.06.01-06.23
2024.06.24-06.30</t>
        </r>
      </text>
    </comment>
    <comment ref="GM88" authorId="1">
      <text>
        <r>
          <rPr>
            <b/>
            <sz val="9"/>
            <rFont val="宋体"/>
            <family val="3"/>
            <charset val="134"/>
          </rPr>
          <t>HL:</t>
        </r>
        <r>
          <rPr>
            <sz val="9"/>
            <rFont val="宋体"/>
            <family val="3"/>
            <charset val="134"/>
          </rPr>
          <t xml:space="preserve">
2024.06.01-06.23
2024.06.24-06.30</t>
        </r>
      </text>
    </comment>
    <comment ref="GN88" authorId="1">
      <text>
        <r>
          <rPr>
            <b/>
            <sz val="9"/>
            <rFont val="宋体"/>
            <family val="3"/>
            <charset val="134"/>
          </rPr>
          <t>HL:</t>
        </r>
        <r>
          <rPr>
            <sz val="9"/>
            <rFont val="宋体"/>
            <family val="3"/>
            <charset val="134"/>
          </rPr>
          <t xml:space="preserve">
2024.06.01-06.23
2024.06.24-06.30</t>
        </r>
      </text>
    </comment>
    <comment ref="HH88" authorId="1">
      <text>
        <r>
          <rPr>
            <b/>
            <sz val="9"/>
            <rFont val="宋体"/>
            <family val="3"/>
            <charset val="134"/>
          </rPr>
          <t>HL:</t>
        </r>
        <r>
          <rPr>
            <sz val="9"/>
            <rFont val="宋体"/>
            <family val="3"/>
            <charset val="134"/>
          </rPr>
          <t xml:space="preserve">
2024.09.01-09.23
2024.09.24-09.30</t>
        </r>
      </text>
    </comment>
    <comment ref="HL88" authorId="1">
      <text>
        <r>
          <rPr>
            <b/>
            <sz val="9"/>
            <rFont val="宋体"/>
            <family val="3"/>
            <charset val="134"/>
          </rPr>
          <t>HL:</t>
        </r>
        <r>
          <rPr>
            <sz val="9"/>
            <rFont val="宋体"/>
            <family val="3"/>
            <charset val="134"/>
          </rPr>
          <t xml:space="preserve">
2024.09.01-09.23</t>
        </r>
      </text>
    </comment>
    <comment ref="IF88" authorId="1">
      <text>
        <r>
          <rPr>
            <b/>
            <sz val="9"/>
            <rFont val="宋体"/>
            <family val="3"/>
            <charset val="134"/>
          </rPr>
          <t>HL:</t>
        </r>
        <r>
          <rPr>
            <sz val="9"/>
            <rFont val="宋体"/>
            <family val="3"/>
            <charset val="134"/>
          </rPr>
          <t xml:space="preserve">
2024.12.01-12.23</t>
        </r>
      </text>
    </comment>
    <comment ref="IJ88" authorId="1">
      <text>
        <r>
          <rPr>
            <b/>
            <sz val="9"/>
            <rFont val="宋体"/>
            <family val="3"/>
            <charset val="134"/>
          </rPr>
          <t>HL:</t>
        </r>
        <r>
          <rPr>
            <sz val="9"/>
            <rFont val="宋体"/>
            <family val="3"/>
            <charset val="134"/>
          </rPr>
          <t xml:space="preserve">
2024.12.01-12.23</t>
        </r>
      </text>
    </comment>
    <comment ref="D89" authorId="2">
      <text>
        <r>
          <rPr>
            <b/>
            <sz val="9"/>
            <rFont val="宋体"/>
            <family val="3"/>
            <charset val="134"/>
          </rPr>
          <t>作者:</t>
        </r>
        <r>
          <rPr>
            <sz val="9"/>
            <rFont val="宋体"/>
            <family val="3"/>
            <charset val="134"/>
          </rPr>
          <t xml:space="preserve">
1411：100
1412：112.19</t>
        </r>
      </text>
    </comment>
    <comment ref="J89" authorId="1">
      <text>
        <r>
          <rPr>
            <b/>
            <sz val="9"/>
            <rFont val="宋体"/>
            <family val="3"/>
            <charset val="134"/>
          </rPr>
          <t>HL:</t>
        </r>
        <r>
          <rPr>
            <sz val="9"/>
            <rFont val="宋体"/>
            <family val="3"/>
            <charset val="134"/>
          </rPr>
          <t xml:space="preserve">
租期内含免租期为贰个月，即2023年12月13日至2024年01月12日以及2024年12月13日至2025年01月12日。
与江海通联解除原合同，原合同到期日2025.12.12，解除日为2024年4月1日</t>
        </r>
      </text>
    </comment>
    <comment ref="BL89" authorId="1">
      <text>
        <r>
          <rPr>
            <b/>
            <sz val="9"/>
            <rFont val="宋体"/>
            <family val="3"/>
            <charset val="134"/>
          </rPr>
          <t>HL:</t>
        </r>
        <r>
          <rPr>
            <sz val="9"/>
            <rFont val="宋体"/>
            <family val="3"/>
            <charset val="134"/>
          </rPr>
          <t xml:space="preserve">
与江海通联解除原合同，解除日为2024年4月1日
</t>
        </r>
      </text>
    </comment>
    <comment ref="BO89" authorId="1">
      <text>
        <r>
          <rPr>
            <b/>
            <sz val="9"/>
            <rFont val="宋体"/>
            <family val="3"/>
            <charset val="134"/>
          </rPr>
          <t>HL:</t>
        </r>
        <r>
          <rPr>
            <sz val="9"/>
            <rFont val="宋体"/>
            <family val="3"/>
            <charset val="134"/>
          </rPr>
          <t xml:space="preserve">
与江海通联解除原合同，解除日为2024年4月1日
</t>
        </r>
      </text>
    </comment>
    <comment ref="EU89" authorId="1">
      <text>
        <r>
          <rPr>
            <b/>
            <sz val="9"/>
            <rFont val="宋体"/>
            <family val="3"/>
            <charset val="134"/>
          </rPr>
          <t>HL:</t>
        </r>
        <r>
          <rPr>
            <sz val="9"/>
            <rFont val="宋体"/>
            <family val="3"/>
            <charset val="134"/>
          </rPr>
          <t xml:space="preserve">
租期内含免租期为贰个月，即2023年12月13日至2024年01月12日以及2024年12月13日至2025年01月12日。</t>
        </r>
      </text>
    </comment>
    <comment ref="EV89" authorId="1">
      <text>
        <r>
          <rPr>
            <b/>
            <sz val="9"/>
            <rFont val="宋体"/>
            <family val="3"/>
            <charset val="134"/>
          </rPr>
          <t>HL:</t>
        </r>
        <r>
          <rPr>
            <sz val="9"/>
            <rFont val="宋体"/>
            <family val="3"/>
            <charset val="134"/>
          </rPr>
          <t xml:space="preserve">
2024.01.13-01.31租金
2023.12.13-01.12免租</t>
        </r>
      </text>
    </comment>
    <comment ref="FS89" authorId="1">
      <text>
        <r>
          <rPr>
            <b/>
            <sz val="9"/>
            <rFont val="宋体"/>
            <family val="3"/>
            <charset val="134"/>
          </rPr>
          <t>HL:</t>
        </r>
        <r>
          <rPr>
            <sz val="9"/>
            <rFont val="宋体"/>
            <family val="3"/>
            <charset val="134"/>
          </rPr>
          <t xml:space="preserve">
租期内含免租期为贰个月，即2023年12月13日至2024年01月12日以及2024年12月13日至2025年01月12日。
与江海通联解除原合同，原合同到期日2025.12.12，解除日为2024年4月1日</t>
        </r>
      </text>
    </comment>
    <comment ref="FW89" authorId="1">
      <text>
        <r>
          <rPr>
            <b/>
            <sz val="9"/>
            <rFont val="宋体"/>
            <family val="3"/>
            <charset val="134"/>
          </rPr>
          <t>HL:</t>
        </r>
        <r>
          <rPr>
            <sz val="9"/>
            <rFont val="宋体"/>
            <family val="3"/>
            <charset val="134"/>
          </rPr>
          <t xml:space="preserve">
租期内含免租期为贰个月，即2023年12月13日至2024年01月12日以及2024年12月13日至2025年01月12日。
与江海通联解除原合同，原合同到期日2025.12.12，解除日为2024年4月1日</t>
        </r>
      </text>
    </comment>
    <comment ref="GY89" authorId="1">
      <text>
        <r>
          <rPr>
            <b/>
            <sz val="9"/>
            <rFont val="宋体"/>
            <family val="3"/>
            <charset val="134"/>
          </rPr>
          <t>HL:</t>
        </r>
        <r>
          <rPr>
            <sz val="9"/>
            <rFont val="宋体"/>
            <family val="3"/>
            <charset val="134"/>
          </rPr>
          <t xml:space="preserve">
提前退租，押金不退转收入。</t>
        </r>
      </text>
    </comment>
    <comment ref="GZ89" authorId="1">
      <text>
        <r>
          <rPr>
            <b/>
            <sz val="9"/>
            <rFont val="宋体"/>
            <family val="3"/>
            <charset val="134"/>
          </rPr>
          <t>HL:</t>
        </r>
        <r>
          <rPr>
            <sz val="9"/>
            <rFont val="宋体"/>
            <family val="3"/>
            <charset val="134"/>
          </rPr>
          <t xml:space="preserve">
提前退租，押金不退转收入。</t>
        </r>
      </text>
    </comment>
    <comment ref="HC89" authorId="1">
      <text>
        <r>
          <rPr>
            <b/>
            <sz val="9"/>
            <rFont val="宋体"/>
            <family val="3"/>
            <charset val="134"/>
          </rPr>
          <t>HL:</t>
        </r>
        <r>
          <rPr>
            <sz val="9"/>
            <rFont val="宋体"/>
            <family val="3"/>
            <charset val="134"/>
          </rPr>
          <t xml:space="preserve">
提前退租，押金不退转收入。
</t>
        </r>
      </text>
    </comment>
    <comment ref="HD89" authorId="1">
      <text>
        <r>
          <rPr>
            <b/>
            <sz val="9"/>
            <rFont val="宋体"/>
            <family val="3"/>
            <charset val="134"/>
          </rPr>
          <t>HL:</t>
        </r>
        <r>
          <rPr>
            <sz val="9"/>
            <rFont val="宋体"/>
            <family val="3"/>
            <charset val="134"/>
          </rPr>
          <t xml:space="preserve">
提前退租，押金不退转收入。
</t>
        </r>
      </text>
    </comment>
    <comment ref="JQ89" authorId="1">
      <text>
        <r>
          <rPr>
            <b/>
            <sz val="9"/>
            <rFont val="宋体"/>
            <family val="3"/>
            <charset val="134"/>
          </rPr>
          <t>HL:</t>
        </r>
        <r>
          <rPr>
            <sz val="9"/>
            <rFont val="宋体"/>
            <family val="3"/>
            <charset val="134"/>
          </rPr>
          <t xml:space="preserve">
2024.01.13-01.31
2023年12月13日至2024年01月12日免租</t>
        </r>
      </text>
    </comment>
    <comment ref="KP89" authorId="1">
      <text>
        <r>
          <rPr>
            <b/>
            <sz val="9"/>
            <rFont val="宋体"/>
            <family val="3"/>
            <charset val="134"/>
          </rPr>
          <t>HL:</t>
        </r>
        <r>
          <rPr>
            <sz val="9"/>
            <rFont val="宋体"/>
            <family val="3"/>
            <charset val="134"/>
          </rPr>
          <t xml:space="preserve">
31998.11：江海通联1412#押金转收入</t>
        </r>
      </text>
    </comment>
    <comment ref="D90" authorId="2">
      <text>
        <r>
          <rPr>
            <b/>
            <sz val="9"/>
            <rFont val="宋体"/>
            <family val="3"/>
            <charset val="134"/>
          </rPr>
          <t>作者:</t>
        </r>
        <r>
          <rPr>
            <sz val="9"/>
            <rFont val="宋体"/>
            <family val="3"/>
            <charset val="134"/>
          </rPr>
          <t xml:space="preserve">
1415/1426：419.68
1425：221.94
1416-17：347.63
总面积：989.25</t>
        </r>
      </text>
    </comment>
    <comment ref="D91" authorId="4">
      <text>
        <r>
          <rPr>
            <b/>
            <sz val="9"/>
            <rFont val="宋体"/>
            <family val="3"/>
            <charset val="134"/>
          </rPr>
          <t>HL50:</t>
        </r>
        <r>
          <rPr>
            <sz val="9"/>
            <rFont val="宋体"/>
            <family val="3"/>
            <charset val="134"/>
          </rPr>
          <t xml:space="preserve">
1415/1426：419.68
1425：221.94
1416-17：347.63
总面积：989.25
</t>
        </r>
      </text>
    </comment>
    <comment ref="D92" authorId="4">
      <text>
        <r>
          <rPr>
            <b/>
            <sz val="9"/>
            <rFont val="宋体"/>
            <family val="3"/>
            <charset val="134"/>
          </rPr>
          <t>HL50:</t>
        </r>
        <r>
          <rPr>
            <sz val="9"/>
            <rFont val="宋体"/>
            <family val="3"/>
            <charset val="134"/>
          </rPr>
          <t xml:space="preserve">
1415/1426：419.68
1425：221.94
1416-17：347.63
总面积：989.25
</t>
        </r>
      </text>
    </comment>
    <comment ref="D93" authorId="2">
      <text>
        <r>
          <rPr>
            <b/>
            <sz val="9"/>
            <rFont val="宋体"/>
            <family val="3"/>
            <charset val="134"/>
          </rPr>
          <t>作者:</t>
        </r>
        <r>
          <rPr>
            <sz val="9"/>
            <rFont val="宋体"/>
            <family val="3"/>
            <charset val="134"/>
          </rPr>
          <t xml:space="preserve">
1419:344.46
1418:212.52
1420:157.01
1421:99.49
1422:118.87
1423:262.17
1424:126
14A1:11.9
14A2:14.6
14A3:41.2
(通道):150</t>
        </r>
      </text>
    </comment>
    <comment ref="J93" authorId="1">
      <text>
        <r>
          <rPr>
            <b/>
            <sz val="9"/>
            <rFont val="宋体"/>
            <family val="3"/>
            <charset val="134"/>
          </rPr>
          <t>HL:</t>
        </r>
        <r>
          <rPr>
            <sz val="9"/>
            <rFont val="宋体"/>
            <family val="3"/>
            <charset val="134"/>
          </rPr>
          <t xml:space="preserve">
租期内含免租期为贰个月
2024年04月11日起至2024年05月10日2025年04月11日起至2025年05月10日
乙方免交租金，但须交纳水费、电费及其他应缴费用。</t>
        </r>
      </text>
    </comment>
    <comment ref="BD93" authorId="1">
      <text>
        <r>
          <rPr>
            <b/>
            <sz val="9"/>
            <rFont val="宋体"/>
            <family val="3"/>
            <charset val="134"/>
          </rPr>
          <t>HL:</t>
        </r>
        <r>
          <rPr>
            <sz val="9"/>
            <rFont val="宋体"/>
            <family val="3"/>
            <charset val="134"/>
          </rPr>
          <t xml:space="preserve">
租期内含免租期为贰
2024年04月11日起至2024年05月10日
本月收2024.03.11-04.10
2024.05.11-06.30</t>
        </r>
      </text>
    </comment>
    <comment ref="FK93" authorId="1">
      <text>
        <r>
          <rPr>
            <b/>
            <sz val="9"/>
            <rFont val="宋体"/>
            <family val="3"/>
            <charset val="134"/>
          </rPr>
          <t>HL:</t>
        </r>
        <r>
          <rPr>
            <sz val="9"/>
            <rFont val="宋体"/>
            <family val="3"/>
            <charset val="134"/>
          </rPr>
          <t xml:space="preserve">
租期内含免租期为贰
2024年04月11日起至2024年05月10日
本月收2024.03.11-03.31</t>
        </r>
      </text>
    </comment>
    <comment ref="FL93" authorId="1">
      <text>
        <r>
          <rPr>
            <b/>
            <sz val="9"/>
            <rFont val="宋体"/>
            <family val="3"/>
            <charset val="134"/>
          </rPr>
          <t>HL:</t>
        </r>
        <r>
          <rPr>
            <sz val="9"/>
            <rFont val="宋体"/>
            <family val="3"/>
            <charset val="134"/>
          </rPr>
          <t xml:space="preserve">
租期内含免租期为贰
2024年04月11日起至2024年05月10日
本月收2024.03.11-03.31</t>
        </r>
      </text>
    </comment>
    <comment ref="FO93" authorId="1">
      <text>
        <r>
          <rPr>
            <b/>
            <sz val="9"/>
            <rFont val="宋体"/>
            <family val="3"/>
            <charset val="134"/>
          </rPr>
          <t>HL:</t>
        </r>
        <r>
          <rPr>
            <sz val="9"/>
            <rFont val="宋体"/>
            <family val="3"/>
            <charset val="134"/>
          </rPr>
          <t xml:space="preserve">
2024.03.11-03.31</t>
        </r>
      </text>
    </comment>
    <comment ref="FP93" authorId="1">
      <text>
        <r>
          <rPr>
            <b/>
            <sz val="9"/>
            <rFont val="宋体"/>
            <family val="3"/>
            <charset val="134"/>
          </rPr>
          <t>HL:</t>
        </r>
        <r>
          <rPr>
            <sz val="9"/>
            <rFont val="宋体"/>
            <family val="3"/>
            <charset val="134"/>
          </rPr>
          <t xml:space="preserve">
2024.03.11-03.31</t>
        </r>
      </text>
    </comment>
    <comment ref="FS93" authorId="1">
      <text>
        <r>
          <rPr>
            <b/>
            <sz val="9"/>
            <rFont val="宋体"/>
            <family val="3"/>
            <charset val="134"/>
          </rPr>
          <t>HL:</t>
        </r>
        <r>
          <rPr>
            <sz val="9"/>
            <rFont val="宋体"/>
            <family val="3"/>
            <charset val="134"/>
          </rPr>
          <t xml:space="preserve">
租期内含免租期为贰
2024年04月11日起至2024年05月10日
本月收2024.04.01-04.10</t>
        </r>
      </text>
    </comment>
    <comment ref="FT93" authorId="1">
      <text>
        <r>
          <rPr>
            <b/>
            <sz val="9"/>
            <rFont val="宋体"/>
            <family val="3"/>
            <charset val="134"/>
          </rPr>
          <t>HL:</t>
        </r>
        <r>
          <rPr>
            <sz val="9"/>
            <rFont val="宋体"/>
            <family val="3"/>
            <charset val="134"/>
          </rPr>
          <t xml:space="preserve">
租期内含免租期为贰
2024年04月11日起至2024年05月10日
本月收2024.04.01-04.10</t>
        </r>
      </text>
    </comment>
    <comment ref="GA93" authorId="1">
      <text>
        <r>
          <rPr>
            <b/>
            <sz val="9"/>
            <rFont val="宋体"/>
            <family val="3"/>
            <charset val="134"/>
          </rPr>
          <t>HL:</t>
        </r>
        <r>
          <rPr>
            <sz val="9"/>
            <rFont val="宋体"/>
            <family val="3"/>
            <charset val="134"/>
          </rPr>
          <t xml:space="preserve">
租期内含免租期为贰
2024年04月11日起至2024年05月10日
本月收2024.05.11-05.31</t>
        </r>
      </text>
    </comment>
    <comment ref="GB93" authorId="1">
      <text>
        <r>
          <rPr>
            <b/>
            <sz val="9"/>
            <rFont val="宋体"/>
            <family val="3"/>
            <charset val="134"/>
          </rPr>
          <t>HL:</t>
        </r>
        <r>
          <rPr>
            <sz val="9"/>
            <rFont val="宋体"/>
            <family val="3"/>
            <charset val="134"/>
          </rPr>
          <t xml:space="preserve">
租期内含免租期为贰
2024年04月11日起至2024年05月10日
本月收2024.05.11-05.31</t>
        </r>
      </text>
    </comment>
    <comment ref="GJ93" authorId="1">
      <text>
        <r>
          <rPr>
            <b/>
            <sz val="9"/>
            <rFont val="宋体"/>
            <family val="3"/>
            <charset val="134"/>
          </rPr>
          <t>HL:</t>
        </r>
        <r>
          <rPr>
            <sz val="9"/>
            <rFont val="宋体"/>
            <family val="3"/>
            <charset val="134"/>
          </rPr>
          <t xml:space="preserve">
2024.06.01-06.10
2024.06.11-06.30</t>
        </r>
      </text>
    </comment>
    <comment ref="GN93" authorId="1">
      <text>
        <r>
          <rPr>
            <b/>
            <sz val="9"/>
            <rFont val="宋体"/>
            <family val="3"/>
            <charset val="134"/>
          </rPr>
          <t>HL:</t>
        </r>
        <r>
          <rPr>
            <sz val="9"/>
            <rFont val="宋体"/>
            <family val="3"/>
            <charset val="134"/>
          </rPr>
          <t xml:space="preserve">
2024.06.01-06.10
2024.06.11-06.30</t>
        </r>
      </text>
    </comment>
    <comment ref="HH93" authorId="1">
      <text>
        <r>
          <rPr>
            <b/>
            <sz val="9"/>
            <rFont val="宋体"/>
            <family val="3"/>
            <charset val="134"/>
          </rPr>
          <t>HL:</t>
        </r>
        <r>
          <rPr>
            <sz val="9"/>
            <rFont val="宋体"/>
            <family val="3"/>
            <charset val="134"/>
          </rPr>
          <t xml:space="preserve">
2024.09.01-09.10
2024.09.11-09.30</t>
        </r>
      </text>
    </comment>
    <comment ref="HL93" authorId="1">
      <text>
        <r>
          <rPr>
            <b/>
            <sz val="9"/>
            <rFont val="宋体"/>
            <family val="3"/>
            <charset val="134"/>
          </rPr>
          <t>HL:</t>
        </r>
        <r>
          <rPr>
            <sz val="9"/>
            <rFont val="宋体"/>
            <family val="3"/>
            <charset val="134"/>
          </rPr>
          <t xml:space="preserve">
2024.09.01-09.10
2024.09.11-09.30</t>
        </r>
      </text>
    </comment>
    <comment ref="IF93" authorId="1">
      <text>
        <r>
          <rPr>
            <b/>
            <sz val="9"/>
            <rFont val="宋体"/>
            <family val="3"/>
            <charset val="134"/>
          </rPr>
          <t>HL:</t>
        </r>
        <r>
          <rPr>
            <sz val="9"/>
            <rFont val="宋体"/>
            <family val="3"/>
            <charset val="134"/>
          </rPr>
          <t xml:space="preserve">
2024.12.01-12.10</t>
        </r>
      </text>
    </comment>
    <comment ref="IJ93" authorId="1">
      <text>
        <r>
          <rPr>
            <b/>
            <sz val="9"/>
            <rFont val="宋体"/>
            <family val="3"/>
            <charset val="134"/>
          </rPr>
          <t>HL:</t>
        </r>
        <r>
          <rPr>
            <sz val="9"/>
            <rFont val="宋体"/>
            <family val="3"/>
            <charset val="134"/>
          </rPr>
          <t xml:space="preserve">
2024.12.01-12.10
</t>
        </r>
      </text>
    </comment>
    <comment ref="J94" authorId="1">
      <text>
        <r>
          <rPr>
            <b/>
            <sz val="9"/>
            <rFont val="宋体"/>
            <family val="3"/>
            <charset val="134"/>
          </rPr>
          <t>HL:</t>
        </r>
        <r>
          <rPr>
            <sz val="9"/>
            <rFont val="宋体"/>
            <family val="3"/>
            <charset val="134"/>
          </rPr>
          <t xml:space="preserve">
租期内含免租期为  1  个月，自2024年07月28日起至2024年08月27日止，免租期间内乙方免交租金，但须交纳水费、电费及其他应缴费用。</t>
        </r>
      </text>
    </comment>
    <comment ref="CJ94" authorId="1">
      <text>
        <r>
          <rPr>
            <b/>
            <sz val="9"/>
            <rFont val="宋体"/>
            <family val="3"/>
            <charset val="134"/>
          </rPr>
          <t>HL:</t>
        </r>
        <r>
          <rPr>
            <sz val="9"/>
            <rFont val="宋体"/>
            <family val="3"/>
            <charset val="134"/>
          </rPr>
          <t xml:space="preserve">
自2024年07月28日起至2024年08月27日止，免租
本月收2024.06.28-07.27</t>
        </r>
      </text>
    </comment>
    <comment ref="GQ94" authorId="1">
      <text>
        <r>
          <rPr>
            <b/>
            <sz val="9"/>
            <rFont val="宋体"/>
            <family val="3"/>
            <charset val="134"/>
          </rPr>
          <t>HL:</t>
        </r>
        <r>
          <rPr>
            <sz val="9"/>
            <rFont val="宋体"/>
            <family val="3"/>
            <charset val="134"/>
          </rPr>
          <t xml:space="preserve">
自2024年07月28日起至2024年08月27日止，免租
本月收2024.06.28-06.30
2024.07.01-07.27</t>
        </r>
      </text>
    </comment>
    <comment ref="GR94" authorId="1">
      <text>
        <r>
          <rPr>
            <b/>
            <sz val="9"/>
            <rFont val="宋体"/>
            <family val="3"/>
            <charset val="134"/>
          </rPr>
          <t>HL:</t>
        </r>
        <r>
          <rPr>
            <sz val="9"/>
            <rFont val="宋体"/>
            <family val="3"/>
            <charset val="134"/>
          </rPr>
          <t xml:space="preserve">
自2024年07月28日起至2024年08月27日止，免租
本月收2024.06.28-06.30
2024.07.01-07.27</t>
        </r>
      </text>
    </comment>
    <comment ref="GU94" authorId="1">
      <text>
        <r>
          <rPr>
            <b/>
            <sz val="9"/>
            <rFont val="宋体"/>
            <family val="3"/>
            <charset val="134"/>
          </rPr>
          <t>HL:</t>
        </r>
        <r>
          <rPr>
            <sz val="9"/>
            <rFont val="宋体"/>
            <family val="3"/>
            <charset val="134"/>
          </rPr>
          <t xml:space="preserve">
2024.06.28-06.30
2024.07.01-07.31</t>
        </r>
      </text>
    </comment>
    <comment ref="GV94" authorId="1">
      <text>
        <r>
          <rPr>
            <b/>
            <sz val="9"/>
            <rFont val="宋体"/>
            <family val="3"/>
            <charset val="134"/>
          </rPr>
          <t>HL:</t>
        </r>
        <r>
          <rPr>
            <sz val="9"/>
            <rFont val="宋体"/>
            <family val="3"/>
            <charset val="134"/>
          </rPr>
          <t xml:space="preserve">
2024.06.28-06.30
2024.07.01-07.31</t>
        </r>
      </text>
    </comment>
    <comment ref="GY94" authorId="1">
      <text>
        <r>
          <rPr>
            <b/>
            <sz val="9"/>
            <rFont val="宋体"/>
            <family val="3"/>
            <charset val="134"/>
          </rPr>
          <t>HL:</t>
        </r>
        <r>
          <rPr>
            <sz val="9"/>
            <rFont val="宋体"/>
            <family val="3"/>
            <charset val="134"/>
          </rPr>
          <t xml:space="preserve">
自2024年07月28日起至2024年08月27日止，免租
本月收2024.08.28-08.31</t>
        </r>
      </text>
    </comment>
    <comment ref="GZ94" authorId="1">
      <text>
        <r>
          <rPr>
            <b/>
            <sz val="9"/>
            <rFont val="宋体"/>
            <family val="3"/>
            <charset val="134"/>
          </rPr>
          <t>HL:</t>
        </r>
        <r>
          <rPr>
            <sz val="9"/>
            <rFont val="宋体"/>
            <family val="3"/>
            <charset val="134"/>
          </rPr>
          <t xml:space="preserve">
自2024年07月28日起至2024年08月27日止，免租
本月收2024.08.28-08.31</t>
        </r>
      </text>
    </comment>
    <comment ref="HP94" authorId="1">
      <text>
        <r>
          <rPr>
            <b/>
            <sz val="9"/>
            <rFont val="宋体"/>
            <family val="3"/>
            <charset val="134"/>
          </rPr>
          <t>HL:</t>
        </r>
        <r>
          <rPr>
            <sz val="9"/>
            <rFont val="宋体"/>
            <family val="3"/>
            <charset val="134"/>
          </rPr>
          <t xml:space="preserve">
2024.10.01-10.27
2024.10.28-10.31</t>
        </r>
      </text>
    </comment>
    <comment ref="HT94" authorId="1">
      <text>
        <r>
          <rPr>
            <b/>
            <sz val="9"/>
            <rFont val="宋体"/>
            <family val="3"/>
            <charset val="134"/>
          </rPr>
          <t>HL:</t>
        </r>
        <r>
          <rPr>
            <sz val="9"/>
            <rFont val="宋体"/>
            <family val="3"/>
            <charset val="134"/>
          </rPr>
          <t xml:space="preserve">
2024.10.01-10.27
2024.10.28-10.31</t>
        </r>
      </text>
    </comment>
    <comment ref="IF94" authorId="1">
      <text>
        <r>
          <rPr>
            <b/>
            <sz val="9"/>
            <rFont val="宋体"/>
            <family val="3"/>
            <charset val="134"/>
          </rPr>
          <t>HL:</t>
        </r>
        <r>
          <rPr>
            <sz val="9"/>
            <rFont val="宋体"/>
            <family val="3"/>
            <charset val="134"/>
          </rPr>
          <t xml:space="preserve">
2024.12.01-12.27</t>
        </r>
      </text>
    </comment>
    <comment ref="IJ94" authorId="1">
      <text>
        <r>
          <rPr>
            <b/>
            <sz val="9"/>
            <rFont val="宋体"/>
            <family val="3"/>
            <charset val="134"/>
          </rPr>
          <t>HL:</t>
        </r>
        <r>
          <rPr>
            <sz val="9"/>
            <rFont val="宋体"/>
            <family val="3"/>
            <charset val="134"/>
          </rPr>
          <t xml:space="preserve">
2024.12.01-12.27
</t>
        </r>
      </text>
    </comment>
    <comment ref="KN94" authorId="1">
      <text>
        <r>
          <rPr>
            <b/>
            <sz val="9"/>
            <rFont val="宋体"/>
            <family val="3"/>
            <charset val="134"/>
          </rPr>
          <t>HL:</t>
        </r>
        <r>
          <rPr>
            <sz val="9"/>
            <rFont val="宋体"/>
            <family val="3"/>
            <charset val="134"/>
          </rPr>
          <t xml:space="preserve">
-9689.6：硕果伙伴</t>
        </r>
      </text>
    </comment>
    <comment ref="J95" authorId="1">
      <text>
        <r>
          <rPr>
            <b/>
            <sz val="9"/>
            <rFont val="宋体"/>
            <family val="3"/>
            <charset val="134"/>
          </rPr>
          <t>HL:</t>
        </r>
        <r>
          <rPr>
            <sz val="9"/>
            <rFont val="宋体"/>
            <family val="3"/>
            <charset val="134"/>
          </rPr>
          <t xml:space="preserve">
租期内含免租期为贰个月，即2024年07月11日至2024年08月10日以及2025年07月11日至2025年08月10日以及，免租期间内乙方免交租金，但须交纳水费、电费及其他应缴费用。</t>
        </r>
      </text>
    </comment>
    <comment ref="CB95" authorId="1">
      <text>
        <r>
          <rPr>
            <b/>
            <sz val="9"/>
            <rFont val="宋体"/>
            <family val="3"/>
            <charset val="134"/>
          </rPr>
          <t>HL:</t>
        </r>
        <r>
          <rPr>
            <sz val="9"/>
            <rFont val="宋体"/>
            <family val="3"/>
            <charset val="134"/>
          </rPr>
          <t xml:space="preserve">
2024年07月11日至2024年08月10日免租
应收2024.06.11-07.10</t>
        </r>
      </text>
    </comment>
    <comment ref="GI95" authorId="1">
      <text>
        <r>
          <rPr>
            <b/>
            <sz val="9"/>
            <rFont val="宋体"/>
            <family val="3"/>
            <charset val="134"/>
          </rPr>
          <t>HL:</t>
        </r>
        <r>
          <rPr>
            <sz val="9"/>
            <rFont val="宋体"/>
            <family val="3"/>
            <charset val="134"/>
          </rPr>
          <t xml:space="preserve">
2024.06.11-06.30</t>
        </r>
      </text>
    </comment>
    <comment ref="GJ95" authorId="1">
      <text>
        <r>
          <rPr>
            <b/>
            <sz val="9"/>
            <rFont val="宋体"/>
            <family val="3"/>
            <charset val="134"/>
          </rPr>
          <t>HL:</t>
        </r>
        <r>
          <rPr>
            <sz val="9"/>
            <rFont val="宋体"/>
            <family val="3"/>
            <charset val="134"/>
          </rPr>
          <t xml:space="preserve">
2024.06.11-06.30</t>
        </r>
      </text>
    </comment>
    <comment ref="GM95" authorId="1">
      <text>
        <r>
          <rPr>
            <b/>
            <sz val="9"/>
            <rFont val="宋体"/>
            <family val="3"/>
            <charset val="134"/>
          </rPr>
          <t>HL:</t>
        </r>
        <r>
          <rPr>
            <sz val="9"/>
            <rFont val="宋体"/>
            <family val="3"/>
            <charset val="134"/>
          </rPr>
          <t xml:space="preserve">
2024.06.11-06.30</t>
        </r>
      </text>
    </comment>
    <comment ref="GN95" authorId="1">
      <text>
        <r>
          <rPr>
            <b/>
            <sz val="9"/>
            <rFont val="宋体"/>
            <family val="3"/>
            <charset val="134"/>
          </rPr>
          <t>HL:</t>
        </r>
        <r>
          <rPr>
            <sz val="9"/>
            <rFont val="宋体"/>
            <family val="3"/>
            <charset val="134"/>
          </rPr>
          <t xml:space="preserve">
2024.06.11-06.30</t>
        </r>
      </text>
    </comment>
    <comment ref="GQ95" authorId="1">
      <text>
        <r>
          <rPr>
            <b/>
            <sz val="9"/>
            <rFont val="宋体"/>
            <family val="3"/>
            <charset val="134"/>
          </rPr>
          <t>HL:</t>
        </r>
        <r>
          <rPr>
            <sz val="9"/>
            <rFont val="宋体"/>
            <family val="3"/>
            <charset val="134"/>
          </rPr>
          <t xml:space="preserve">
2024年07月11日至2024年08月10日免租
应收2024.07.01-07.10</t>
        </r>
      </text>
    </comment>
    <comment ref="GR95" authorId="1">
      <text>
        <r>
          <rPr>
            <b/>
            <sz val="9"/>
            <rFont val="宋体"/>
            <family val="3"/>
            <charset val="134"/>
          </rPr>
          <t>HL:</t>
        </r>
        <r>
          <rPr>
            <sz val="9"/>
            <rFont val="宋体"/>
            <family val="3"/>
            <charset val="134"/>
          </rPr>
          <t xml:space="preserve">
2024年07月11日至2024年08月10日免租
应收2024.07.01-07.10</t>
        </r>
      </text>
    </comment>
    <comment ref="GY95" authorId="1">
      <text>
        <r>
          <rPr>
            <b/>
            <sz val="9"/>
            <rFont val="宋体"/>
            <family val="3"/>
            <charset val="134"/>
          </rPr>
          <t>HL:</t>
        </r>
        <r>
          <rPr>
            <sz val="9"/>
            <rFont val="宋体"/>
            <family val="3"/>
            <charset val="134"/>
          </rPr>
          <t xml:space="preserve">
2024年07月11日至2024年08月10日免租
应收2024.08.11-08.31</t>
        </r>
      </text>
    </comment>
    <comment ref="GZ95" authorId="1">
      <text>
        <r>
          <rPr>
            <b/>
            <sz val="9"/>
            <rFont val="宋体"/>
            <family val="3"/>
            <charset val="134"/>
          </rPr>
          <t>HL:</t>
        </r>
        <r>
          <rPr>
            <sz val="9"/>
            <rFont val="宋体"/>
            <family val="3"/>
            <charset val="134"/>
          </rPr>
          <t xml:space="preserve">
2024年07月11日至2024年08月10日免租
应收2024.08.11-08.31</t>
        </r>
      </text>
    </comment>
    <comment ref="HD95" authorId="1">
      <text>
        <r>
          <rPr>
            <b/>
            <sz val="9"/>
            <rFont val="宋体"/>
            <family val="3"/>
            <charset val="134"/>
          </rPr>
          <t>HL:</t>
        </r>
        <r>
          <rPr>
            <sz val="9"/>
            <rFont val="宋体"/>
            <family val="3"/>
            <charset val="134"/>
          </rPr>
          <t xml:space="preserve">
2024.08.01-08.10
2024.08.11-08.31</t>
        </r>
      </text>
    </comment>
    <comment ref="HP95" authorId="1">
      <text>
        <r>
          <rPr>
            <b/>
            <sz val="9"/>
            <rFont val="宋体"/>
            <family val="3"/>
            <charset val="134"/>
          </rPr>
          <t>HL:</t>
        </r>
        <r>
          <rPr>
            <sz val="9"/>
            <rFont val="宋体"/>
            <family val="3"/>
            <charset val="134"/>
          </rPr>
          <t xml:space="preserve">
2024.10.01-10.10
2024.10.11-10.31</t>
        </r>
      </text>
    </comment>
    <comment ref="HT95" authorId="1">
      <text>
        <r>
          <rPr>
            <b/>
            <sz val="9"/>
            <rFont val="宋体"/>
            <family val="3"/>
            <charset val="134"/>
          </rPr>
          <t>HL:</t>
        </r>
        <r>
          <rPr>
            <sz val="9"/>
            <rFont val="宋体"/>
            <family val="3"/>
            <charset val="134"/>
          </rPr>
          <t xml:space="preserve">
2024.10.01-10.10
2024.10.11-10.31</t>
        </r>
      </text>
    </comment>
    <comment ref="IF95" authorId="1">
      <text>
        <r>
          <rPr>
            <b/>
            <sz val="9"/>
            <rFont val="宋体"/>
            <family val="3"/>
            <charset val="134"/>
          </rPr>
          <t>HL:</t>
        </r>
        <r>
          <rPr>
            <sz val="9"/>
            <rFont val="宋体"/>
            <family val="3"/>
            <charset val="134"/>
          </rPr>
          <t xml:space="preserve">
2024.12.01-10.10</t>
        </r>
      </text>
    </comment>
    <comment ref="IJ95" authorId="1">
      <text>
        <r>
          <rPr>
            <b/>
            <sz val="9"/>
            <rFont val="宋体"/>
            <family val="3"/>
            <charset val="134"/>
          </rPr>
          <t>HL:</t>
        </r>
        <r>
          <rPr>
            <sz val="9"/>
            <rFont val="宋体"/>
            <family val="3"/>
            <charset val="134"/>
          </rPr>
          <t xml:space="preserve">
2024.12.01-10.10</t>
        </r>
      </text>
    </comment>
    <comment ref="KN95" authorId="1">
      <text>
        <r>
          <rPr>
            <b/>
            <sz val="9"/>
            <rFont val="宋体"/>
            <family val="3"/>
            <charset val="134"/>
          </rPr>
          <t>HL:</t>
        </r>
        <r>
          <rPr>
            <sz val="9"/>
            <rFont val="宋体"/>
            <family val="3"/>
            <charset val="134"/>
          </rPr>
          <t xml:space="preserve">
-18708.74：彭琪免租
-9163.47：彭琪免租</t>
        </r>
      </text>
    </comment>
    <comment ref="D96" authorId="2">
      <text>
        <r>
          <rPr>
            <b/>
            <sz val="9"/>
            <rFont val="宋体"/>
            <family val="3"/>
            <charset val="134"/>
          </rPr>
          <t>作者:</t>
        </r>
        <r>
          <rPr>
            <sz val="9"/>
            <rFont val="宋体"/>
            <family val="3"/>
            <charset val="134"/>
          </rPr>
          <t xml:space="preserve">
1419:344.46
1418:212.52
1420:157.01
1421:99.49
1422:118.87
1423:262.17
1424:126
14A1:11.9
14A2:14.6
14A3:41.2
(通道):150</t>
        </r>
      </text>
    </comment>
    <comment ref="D97" authorId="2">
      <text>
        <r>
          <rPr>
            <b/>
            <sz val="9"/>
            <rFont val="宋体"/>
            <family val="3"/>
            <charset val="134"/>
          </rPr>
          <t>作者:</t>
        </r>
        <r>
          <rPr>
            <sz val="9"/>
            <rFont val="宋体"/>
            <family val="3"/>
            <charset val="134"/>
          </rPr>
          <t xml:space="preserve">
1419:344.46
1418:212.52
1420:157.01
1421:99.49
1422:118.87
1423:262.17
1424:126
14A1:11.9
14A2:14.6
14A3:41.2
(通道):150</t>
        </r>
      </text>
    </comment>
    <comment ref="J98" authorId="1">
      <text>
        <r>
          <rPr>
            <b/>
            <sz val="9"/>
            <rFont val="宋体"/>
            <family val="3"/>
            <charset val="134"/>
          </rPr>
          <t>HL:</t>
        </r>
        <r>
          <rPr>
            <sz val="9"/>
            <rFont val="宋体"/>
            <family val="3"/>
            <charset val="134"/>
          </rPr>
          <t xml:space="preserve">
租期为贰年。租期内含免租期为贰个月，自2023年09月28日起至2023年10月27日止以及自2024年09月28日起至2024年10月27日止</t>
        </r>
      </text>
    </comment>
    <comment ref="CQ98" authorId="1">
      <text>
        <r>
          <rPr>
            <b/>
            <sz val="9"/>
            <rFont val="宋体"/>
            <family val="3"/>
            <charset val="134"/>
          </rPr>
          <t>HL:</t>
        </r>
        <r>
          <rPr>
            <sz val="9"/>
            <rFont val="宋体"/>
            <family val="3"/>
            <charset val="134"/>
          </rPr>
          <t xml:space="preserve">
租期内免租期为自2024年09月28日起至2024年10月27日止
</t>
        </r>
      </text>
    </comment>
    <comment ref="CR98" authorId="1">
      <text>
        <r>
          <rPr>
            <b/>
            <sz val="9"/>
            <rFont val="宋体"/>
            <family val="3"/>
            <charset val="134"/>
          </rPr>
          <t>HL:</t>
        </r>
        <r>
          <rPr>
            <sz val="9"/>
            <rFont val="宋体"/>
            <family val="3"/>
            <charset val="134"/>
          </rPr>
          <t xml:space="preserve">
租期内免租期为自2024年09月28日起至2024年10月27日止
本月收2024.09.01-09.27</t>
        </r>
      </text>
    </comment>
    <comment ref="CY98" authorId="1">
      <text>
        <r>
          <rPr>
            <b/>
            <sz val="9"/>
            <rFont val="宋体"/>
            <family val="3"/>
            <charset val="134"/>
          </rPr>
          <t>HL:</t>
        </r>
        <r>
          <rPr>
            <sz val="9"/>
            <rFont val="宋体"/>
            <family val="3"/>
            <charset val="134"/>
          </rPr>
          <t xml:space="preserve">
租期内免租期为自2024年09月28日起至2024年10月27日止
</t>
        </r>
      </text>
    </comment>
    <comment ref="CZ98" authorId="1">
      <text>
        <r>
          <rPr>
            <b/>
            <sz val="9"/>
            <rFont val="宋体"/>
            <family val="3"/>
            <charset val="134"/>
          </rPr>
          <t>HL:</t>
        </r>
        <r>
          <rPr>
            <sz val="9"/>
            <rFont val="宋体"/>
            <family val="3"/>
            <charset val="134"/>
          </rPr>
          <t xml:space="preserve">
租期内免租期为自2024年09月28日起至2024年10月27日止
本月收2024.10.28-10.31</t>
        </r>
      </text>
    </comment>
    <comment ref="HG98" authorId="1">
      <text>
        <r>
          <rPr>
            <b/>
            <sz val="9"/>
            <rFont val="宋体"/>
            <family val="3"/>
            <charset val="134"/>
          </rPr>
          <t>HL:</t>
        </r>
        <r>
          <rPr>
            <sz val="9"/>
            <rFont val="宋体"/>
            <family val="3"/>
            <charset val="134"/>
          </rPr>
          <t xml:space="preserve">
租期内含免租期为2024年09月28日起至2024年10月27日止</t>
        </r>
      </text>
    </comment>
    <comment ref="HH98" authorId="1">
      <text>
        <r>
          <rPr>
            <b/>
            <sz val="9"/>
            <rFont val="宋体"/>
            <family val="3"/>
            <charset val="134"/>
          </rPr>
          <t>HL:</t>
        </r>
        <r>
          <rPr>
            <sz val="9"/>
            <rFont val="宋体"/>
            <family val="3"/>
            <charset val="134"/>
          </rPr>
          <t xml:space="preserve">
租期内含免租期为2024年09月28日起至2024年10月27日止
本月收2024.09.01-09.27</t>
        </r>
      </text>
    </comment>
    <comment ref="HO98" authorId="1">
      <text>
        <r>
          <rPr>
            <b/>
            <sz val="9"/>
            <rFont val="宋体"/>
            <family val="3"/>
            <charset val="134"/>
          </rPr>
          <t>HL:</t>
        </r>
        <r>
          <rPr>
            <sz val="9"/>
            <rFont val="宋体"/>
            <family val="3"/>
            <charset val="134"/>
          </rPr>
          <t xml:space="preserve">
租期内含免租期为2024年09月28日起至2024年10月27日止</t>
        </r>
      </text>
    </comment>
    <comment ref="HP98" authorId="1">
      <text>
        <r>
          <rPr>
            <b/>
            <sz val="9"/>
            <rFont val="宋体"/>
            <family val="3"/>
            <charset val="134"/>
          </rPr>
          <t>HL:</t>
        </r>
        <r>
          <rPr>
            <sz val="9"/>
            <rFont val="宋体"/>
            <family val="3"/>
            <charset val="134"/>
          </rPr>
          <t xml:space="preserve">
租期内含免租期为2024年09月28日起至2024年10月27日止
本月收2024.10.28-10.31</t>
        </r>
      </text>
    </comment>
    <comment ref="J99" authorId="1">
      <text>
        <r>
          <rPr>
            <b/>
            <sz val="9"/>
            <rFont val="宋体"/>
            <family val="3"/>
            <charset val="134"/>
          </rPr>
          <t>HL:</t>
        </r>
        <r>
          <rPr>
            <sz val="9"/>
            <rFont val="宋体"/>
            <family val="3"/>
            <charset val="134"/>
          </rPr>
          <t xml:space="preserve">
租期为贰年。租期内含免租期为贰个月，自2023年09月28日起至2023年10月27日止以及自2024年09月28日起至2024年10月27日止</t>
        </r>
      </text>
    </comment>
    <comment ref="CQ99" authorId="1">
      <text>
        <r>
          <rPr>
            <b/>
            <sz val="9"/>
            <rFont val="宋体"/>
            <family val="3"/>
            <charset val="134"/>
          </rPr>
          <t>HL:</t>
        </r>
        <r>
          <rPr>
            <sz val="9"/>
            <rFont val="宋体"/>
            <family val="3"/>
            <charset val="134"/>
          </rPr>
          <t xml:space="preserve">
租期内免租期为自2024年09月28日起至2024年10月27日止
</t>
        </r>
      </text>
    </comment>
    <comment ref="CR99" authorId="1">
      <text>
        <r>
          <rPr>
            <b/>
            <sz val="9"/>
            <rFont val="宋体"/>
            <family val="3"/>
            <charset val="134"/>
          </rPr>
          <t>HL:</t>
        </r>
        <r>
          <rPr>
            <sz val="9"/>
            <rFont val="宋体"/>
            <family val="3"/>
            <charset val="134"/>
          </rPr>
          <t xml:space="preserve">
租期内免租期为自2024年09月28日起至2024年10月27日止
本月收2024.09.01-09.27
</t>
        </r>
      </text>
    </comment>
    <comment ref="CY99" authorId="1">
      <text>
        <r>
          <rPr>
            <b/>
            <sz val="9"/>
            <rFont val="宋体"/>
            <family val="3"/>
            <charset val="134"/>
          </rPr>
          <t>HL:</t>
        </r>
        <r>
          <rPr>
            <sz val="9"/>
            <rFont val="宋体"/>
            <family val="3"/>
            <charset val="134"/>
          </rPr>
          <t xml:space="preserve">
租期内免租期为自2024年09月28日起至2024年10月27日止
</t>
        </r>
      </text>
    </comment>
    <comment ref="CZ99" authorId="1">
      <text>
        <r>
          <rPr>
            <b/>
            <sz val="9"/>
            <rFont val="宋体"/>
            <family val="3"/>
            <charset val="134"/>
          </rPr>
          <t>HL:</t>
        </r>
        <r>
          <rPr>
            <sz val="9"/>
            <rFont val="宋体"/>
            <family val="3"/>
            <charset val="134"/>
          </rPr>
          <t xml:space="preserve">
租期内免租期为自2024年09月28日起至2024年10月27日止
本月收2024.10.28-10.31
</t>
        </r>
      </text>
    </comment>
    <comment ref="HG99" authorId="1">
      <text>
        <r>
          <rPr>
            <b/>
            <sz val="9"/>
            <rFont val="宋体"/>
            <family val="3"/>
            <charset val="134"/>
          </rPr>
          <t>HL:</t>
        </r>
        <r>
          <rPr>
            <sz val="9"/>
            <rFont val="宋体"/>
            <family val="3"/>
            <charset val="134"/>
          </rPr>
          <t xml:space="preserve">
租期内含免租期为2024年09月28日起至2024年10月27日止</t>
        </r>
      </text>
    </comment>
    <comment ref="HH99" authorId="1">
      <text>
        <r>
          <rPr>
            <b/>
            <sz val="9"/>
            <rFont val="宋体"/>
            <family val="3"/>
            <charset val="134"/>
          </rPr>
          <t>HL:</t>
        </r>
        <r>
          <rPr>
            <sz val="9"/>
            <rFont val="宋体"/>
            <family val="3"/>
            <charset val="134"/>
          </rPr>
          <t xml:space="preserve">
租期内含免租期为2024年09月28日起至2024年10月27日止
本月收2024.09.01-09.27
</t>
        </r>
      </text>
    </comment>
    <comment ref="HO99" authorId="1">
      <text>
        <r>
          <rPr>
            <b/>
            <sz val="9"/>
            <rFont val="宋体"/>
            <family val="3"/>
            <charset val="134"/>
          </rPr>
          <t>HL:</t>
        </r>
        <r>
          <rPr>
            <sz val="9"/>
            <rFont val="宋体"/>
            <family val="3"/>
            <charset val="134"/>
          </rPr>
          <t xml:space="preserve">
租期内含免租期为2024年09月28日起至2024年10月27日止</t>
        </r>
      </text>
    </comment>
    <comment ref="HP99" authorId="1">
      <text>
        <r>
          <rPr>
            <b/>
            <sz val="9"/>
            <rFont val="宋体"/>
            <family val="3"/>
            <charset val="134"/>
          </rPr>
          <t>HL:</t>
        </r>
        <r>
          <rPr>
            <sz val="9"/>
            <rFont val="宋体"/>
            <family val="3"/>
            <charset val="134"/>
          </rPr>
          <t xml:space="preserve">
租期内含免租期为2024年09月28日起至2024年10月27日止
本月收2024.10.28-10.31
</t>
        </r>
      </text>
    </comment>
    <comment ref="J100" authorId="1">
      <text>
        <r>
          <rPr>
            <b/>
            <sz val="9"/>
            <rFont val="宋体"/>
            <family val="3"/>
            <charset val="134"/>
          </rPr>
          <t>HL:</t>
        </r>
        <r>
          <rPr>
            <sz val="9"/>
            <rFont val="宋体"/>
            <family val="3"/>
            <charset val="134"/>
          </rPr>
          <t xml:space="preserve">
租期内含免租期为贰个月
2024年12月11日至2025年01月10日
2025年12月11日至2026年01月10日
YW-2023-CX-0555（海龙14A2与北京场圈科技解除协议）</t>
        </r>
      </text>
    </comment>
    <comment ref="T100" authorId="7">
      <text>
        <r>
          <rPr>
            <b/>
            <sz val="9"/>
            <rFont val="宋体"/>
            <family val="3"/>
            <charset val="134"/>
          </rPr>
          <t>coocaa:</t>
        </r>
        <r>
          <rPr>
            <sz val="9"/>
            <rFont val="宋体"/>
            <family val="3"/>
            <charset val="134"/>
          </rPr>
          <t xml:space="preserve">
2024年01月11日至2026年01月10日，该房屋租金的日单价为4.17 元；
月租金5174.97元
2026年01月11日至2027年01月10日，该房屋租金的日单价为4.42 元；
月租金5485.22元</t>
        </r>
      </text>
    </comment>
    <comment ref="AV100" authorId="1">
      <text>
        <r>
          <rPr>
            <b/>
            <sz val="9"/>
            <rFont val="宋体"/>
            <family val="3"/>
            <charset val="134"/>
          </rPr>
          <t>HL:</t>
        </r>
        <r>
          <rPr>
            <sz val="9"/>
            <rFont val="宋体"/>
            <family val="3"/>
            <charset val="134"/>
          </rPr>
          <t xml:space="preserve">
-4858.06：合同终止 退北京场圈科技有限公司2024.01.11-01.31</t>
        </r>
      </text>
    </comment>
    <comment ref="AW100" authorId="1">
      <text>
        <r>
          <rPr>
            <b/>
            <sz val="9"/>
            <rFont val="宋体"/>
            <family val="3"/>
            <charset val="134"/>
          </rPr>
          <t>HL:</t>
        </r>
        <r>
          <rPr>
            <sz val="9"/>
            <rFont val="宋体"/>
            <family val="3"/>
            <charset val="134"/>
          </rPr>
          <t xml:space="preserve">
-4858.06：合同终止 退北京场圈科技有限公司2024.01.11-01.31</t>
        </r>
      </text>
    </comment>
    <comment ref="AY100" authorId="1">
      <text>
        <r>
          <rPr>
            <b/>
            <sz val="9"/>
            <rFont val="宋体"/>
            <family val="3"/>
            <charset val="134"/>
          </rPr>
          <t>HL:</t>
        </r>
        <r>
          <rPr>
            <sz val="9"/>
            <rFont val="宋体"/>
            <family val="3"/>
            <charset val="134"/>
          </rPr>
          <t xml:space="preserve">
-711.14：合同终止 退北京场圈科技有限公司2024.01.11-01.31
</t>
        </r>
      </text>
    </comment>
    <comment ref="AZ100" authorId="1">
      <text>
        <r>
          <rPr>
            <b/>
            <sz val="9"/>
            <rFont val="宋体"/>
            <family val="3"/>
            <charset val="134"/>
          </rPr>
          <t>HL:</t>
        </r>
        <r>
          <rPr>
            <sz val="9"/>
            <rFont val="宋体"/>
            <family val="3"/>
            <charset val="134"/>
          </rPr>
          <t xml:space="preserve">
-711.14：合同终止 退北京场圈科技有限公司2024.01.11-01.31
</t>
        </r>
      </text>
    </comment>
    <comment ref="CY100" authorId="1">
      <text>
        <r>
          <rPr>
            <b/>
            <sz val="9"/>
            <rFont val="宋体"/>
            <family val="3"/>
            <charset val="134"/>
          </rPr>
          <t>HL:</t>
        </r>
        <r>
          <rPr>
            <sz val="9"/>
            <rFont val="宋体"/>
            <family val="3"/>
            <charset val="134"/>
          </rPr>
          <t xml:space="preserve">
租期内含免租期为贰个月
2024年12月11日至2025年01月10日
2025年12月11日至2026年01月10日
</t>
        </r>
      </text>
    </comment>
    <comment ref="CZ100" authorId="1">
      <text>
        <r>
          <rPr>
            <b/>
            <sz val="9"/>
            <rFont val="宋体"/>
            <family val="3"/>
            <charset val="134"/>
          </rPr>
          <t>HL:</t>
        </r>
        <r>
          <rPr>
            <sz val="9"/>
            <rFont val="宋体"/>
            <family val="3"/>
            <charset val="134"/>
          </rPr>
          <t xml:space="preserve">
2024年12月11日至2025年01月10日免租
本月收2024.10.11-12.10</t>
        </r>
      </text>
    </comment>
    <comment ref="EU100" authorId="7">
      <text>
        <r>
          <rPr>
            <b/>
            <sz val="9"/>
            <rFont val="宋体"/>
            <family val="3"/>
            <charset val="134"/>
          </rPr>
          <t>coocaa:</t>
        </r>
        <r>
          <rPr>
            <sz val="9"/>
            <rFont val="宋体"/>
            <family val="3"/>
            <charset val="134"/>
          </rPr>
          <t xml:space="preserve">
5174.97/1.05-5174.97/1.05*12/365*10：天洋致信2024.01.11-01.31租金
7036.47/1.05：原合同 北京场圈科技有限公司2024.01.01-01.31
</t>
        </r>
      </text>
    </comment>
    <comment ref="EV100" authorId="7">
      <text>
        <r>
          <rPr>
            <b/>
            <sz val="9"/>
            <rFont val="宋体"/>
            <family val="3"/>
            <charset val="134"/>
          </rPr>
          <t>coocaa:</t>
        </r>
        <r>
          <rPr>
            <sz val="9"/>
            <rFont val="宋体"/>
            <family val="3"/>
            <charset val="134"/>
          </rPr>
          <t xml:space="preserve">
5174.97/1.05-5174.97/1.05*12/365*10：天洋致信2024.01.11-01.31租金
7036.47/1.05：原合同 北京场圈科技有限公司2024.01.01-01.31
</t>
        </r>
      </text>
    </comment>
    <comment ref="EY100" authorId="7">
      <text>
        <r>
          <rPr>
            <b/>
            <sz val="9"/>
            <rFont val="宋体"/>
            <family val="3"/>
            <charset val="134"/>
          </rPr>
          <t>coocaa:</t>
        </r>
        <r>
          <rPr>
            <sz val="9"/>
            <rFont val="宋体"/>
            <family val="3"/>
            <charset val="134"/>
          </rPr>
          <t xml:space="preserve">
1030.03/1.06-1030.03*12/365*10/1.06：天洋致信2024.01.11-01.31物业费
1030.03/1.06：原合同 北京场圈科技有限公司2024.01.01-01.31物业费</t>
        </r>
      </text>
    </comment>
    <comment ref="EZ100" authorId="7">
      <text>
        <r>
          <rPr>
            <b/>
            <sz val="9"/>
            <rFont val="宋体"/>
            <family val="3"/>
            <charset val="134"/>
          </rPr>
          <t>coocaa:</t>
        </r>
        <r>
          <rPr>
            <sz val="9"/>
            <rFont val="宋体"/>
            <family val="3"/>
            <charset val="134"/>
          </rPr>
          <t xml:space="preserve">
1030.03/1.06-1030.03*12/365*10/1.06：天洋致信2024.01.11-01.31物业费
1030.03/1.06：原合同 北京场圈科技有限公司2024.01.01-01.31物业费</t>
        </r>
      </text>
    </comment>
    <comment ref="FC100" authorId="1">
      <text>
        <r>
          <rPr>
            <b/>
            <sz val="9"/>
            <rFont val="宋体"/>
            <family val="3"/>
            <charset val="134"/>
          </rPr>
          <t>HL:</t>
        </r>
        <r>
          <rPr>
            <sz val="9"/>
            <rFont val="宋体"/>
            <family val="3"/>
            <charset val="134"/>
          </rPr>
          <t xml:space="preserve">
-4858.06/1.05：合同终止 退北京场圈科技有限公司2024.01.11-01.31</t>
        </r>
      </text>
    </comment>
    <comment ref="FD100" authorId="1">
      <text>
        <r>
          <rPr>
            <b/>
            <sz val="9"/>
            <rFont val="宋体"/>
            <family val="3"/>
            <charset val="134"/>
          </rPr>
          <t>HL:</t>
        </r>
        <r>
          <rPr>
            <sz val="9"/>
            <rFont val="宋体"/>
            <family val="3"/>
            <charset val="134"/>
          </rPr>
          <t xml:space="preserve">
-4858.06/1.05：合同终止 退北京场圈科技有限公司2024.01.11-01.31</t>
        </r>
      </text>
    </comment>
    <comment ref="FG100" authorId="1">
      <text>
        <r>
          <rPr>
            <b/>
            <sz val="9"/>
            <rFont val="宋体"/>
            <family val="3"/>
            <charset val="134"/>
          </rPr>
          <t>HL:</t>
        </r>
        <r>
          <rPr>
            <sz val="9"/>
            <rFont val="宋体"/>
            <family val="3"/>
            <charset val="134"/>
          </rPr>
          <t xml:space="preserve">
-711.14/1.06：北京场圈科技有限公司2024.01.01-01.31物业费
</t>
        </r>
      </text>
    </comment>
    <comment ref="FH100" authorId="1">
      <text>
        <r>
          <rPr>
            <b/>
            <sz val="9"/>
            <rFont val="宋体"/>
            <family val="3"/>
            <charset val="134"/>
          </rPr>
          <t>HL:</t>
        </r>
        <r>
          <rPr>
            <sz val="9"/>
            <rFont val="宋体"/>
            <family val="3"/>
            <charset val="134"/>
          </rPr>
          <t xml:space="preserve">
-711.14/1.06：北京场圈科技有限公司2024.01.01-01.31物业费
</t>
        </r>
      </text>
    </comment>
    <comment ref="FT100" authorId="1">
      <text>
        <r>
          <rPr>
            <b/>
            <sz val="9"/>
            <rFont val="宋体"/>
            <family val="3"/>
            <charset val="134"/>
          </rPr>
          <t>HL:</t>
        </r>
        <r>
          <rPr>
            <sz val="9"/>
            <rFont val="宋体"/>
            <family val="3"/>
            <charset val="134"/>
          </rPr>
          <t xml:space="preserve">
2024.04.01-04.10
2024.04.11-04.30</t>
        </r>
      </text>
    </comment>
    <comment ref="FX100" authorId="1">
      <text>
        <r>
          <rPr>
            <b/>
            <sz val="9"/>
            <rFont val="宋体"/>
            <family val="3"/>
            <charset val="134"/>
          </rPr>
          <t>HL:</t>
        </r>
        <r>
          <rPr>
            <sz val="9"/>
            <rFont val="宋体"/>
            <family val="3"/>
            <charset val="134"/>
          </rPr>
          <t xml:space="preserve">
2024.04.01-04.10
2024.04.11-04.30</t>
        </r>
      </text>
    </comment>
    <comment ref="GR100" authorId="1">
      <text>
        <r>
          <rPr>
            <b/>
            <sz val="9"/>
            <rFont val="宋体"/>
            <family val="3"/>
            <charset val="134"/>
          </rPr>
          <t>HL:</t>
        </r>
        <r>
          <rPr>
            <sz val="9"/>
            <rFont val="宋体"/>
            <family val="3"/>
            <charset val="134"/>
          </rPr>
          <t xml:space="preserve">
2024.07.01-07.10
2024.07.11-07.31</t>
        </r>
      </text>
    </comment>
    <comment ref="GV100" authorId="1">
      <text>
        <r>
          <rPr>
            <b/>
            <sz val="9"/>
            <rFont val="宋体"/>
            <family val="3"/>
            <charset val="134"/>
          </rPr>
          <t>HL:</t>
        </r>
        <r>
          <rPr>
            <sz val="9"/>
            <rFont val="宋体"/>
            <family val="3"/>
            <charset val="134"/>
          </rPr>
          <t xml:space="preserve">
2024.07.01-07.10
2024.07.11-07.31</t>
        </r>
      </text>
    </comment>
    <comment ref="HP100" authorId="1">
      <text>
        <r>
          <rPr>
            <b/>
            <sz val="9"/>
            <rFont val="宋体"/>
            <family val="3"/>
            <charset val="134"/>
          </rPr>
          <t>HL:</t>
        </r>
        <r>
          <rPr>
            <sz val="9"/>
            <rFont val="宋体"/>
            <family val="3"/>
            <charset val="134"/>
          </rPr>
          <t xml:space="preserve">
2024.10.01-10.10
2024.10.11-10.31</t>
        </r>
      </text>
    </comment>
    <comment ref="HT100" authorId="1">
      <text>
        <r>
          <rPr>
            <b/>
            <sz val="9"/>
            <rFont val="宋体"/>
            <family val="3"/>
            <charset val="134"/>
          </rPr>
          <t>HL:</t>
        </r>
        <r>
          <rPr>
            <sz val="9"/>
            <rFont val="宋体"/>
            <family val="3"/>
            <charset val="134"/>
          </rPr>
          <t xml:space="preserve">
2024.10.01-10.10
2024.10.11-10.31</t>
        </r>
      </text>
    </comment>
    <comment ref="IE100" authorId="7">
      <text>
        <r>
          <rPr>
            <b/>
            <sz val="9"/>
            <rFont val="宋体"/>
            <family val="3"/>
            <charset val="134"/>
          </rPr>
          <t>coocaa:</t>
        </r>
        <r>
          <rPr>
            <sz val="9"/>
            <rFont val="宋体"/>
            <family val="3"/>
            <charset val="134"/>
          </rPr>
          <t xml:space="preserve">
租期内含免租期为2024年12月11日至2025年01月10日
本月收2024.01.01-12.10</t>
        </r>
      </text>
    </comment>
    <comment ref="IF100" authorId="7">
      <text>
        <r>
          <rPr>
            <b/>
            <sz val="9"/>
            <rFont val="宋体"/>
            <family val="3"/>
            <charset val="134"/>
          </rPr>
          <t>coocaa:</t>
        </r>
        <r>
          <rPr>
            <sz val="9"/>
            <rFont val="宋体"/>
            <family val="3"/>
            <charset val="134"/>
          </rPr>
          <t xml:space="preserve">
租期内含免租期为2024年12月11日至2025年01月10日
本月收2024.01.01-12.10</t>
        </r>
      </text>
    </comment>
    <comment ref="IM100" authorId="7">
      <text>
        <r>
          <rPr>
            <b/>
            <sz val="9"/>
            <rFont val="宋体"/>
            <family val="3"/>
            <charset val="134"/>
          </rPr>
          <t>coocaa:</t>
        </r>
        <r>
          <rPr>
            <sz val="9"/>
            <rFont val="宋体"/>
            <family val="3"/>
            <charset val="134"/>
          </rPr>
          <t xml:space="preserve">
租期内含免租期为2024年12月11日至2025年01月10日
2025.01.11-04.10</t>
        </r>
      </text>
    </comment>
    <comment ref="JD100" authorId="1">
      <text>
        <r>
          <rPr>
            <b/>
            <sz val="9"/>
            <rFont val="宋体"/>
            <family val="3"/>
            <charset val="134"/>
          </rPr>
          <t>HL:</t>
        </r>
        <r>
          <rPr>
            <sz val="9"/>
            <rFont val="宋体"/>
            <family val="3"/>
            <charset val="134"/>
          </rPr>
          <t xml:space="preserve">
2025.01.01-01.10</t>
        </r>
      </text>
    </comment>
    <comment ref="FD101" authorId="1">
      <text>
        <r>
          <rPr>
            <b/>
            <sz val="9"/>
            <rFont val="宋体"/>
            <family val="3"/>
            <charset val="134"/>
          </rPr>
          <t>HL:</t>
        </r>
        <r>
          <rPr>
            <sz val="9"/>
            <rFont val="宋体"/>
            <family val="3"/>
            <charset val="134"/>
          </rPr>
          <t xml:space="preserve">
2024.02.01-02.17
2024.02.18-02.29</t>
        </r>
      </text>
    </comment>
    <comment ref="FH101" authorId="1">
      <text>
        <r>
          <rPr>
            <b/>
            <sz val="9"/>
            <rFont val="宋体"/>
            <family val="3"/>
            <charset val="134"/>
          </rPr>
          <t>HL:</t>
        </r>
        <r>
          <rPr>
            <sz val="9"/>
            <rFont val="宋体"/>
            <family val="3"/>
            <charset val="134"/>
          </rPr>
          <t xml:space="preserve">
2024.02.01-02.17
2024.02.18-02.29</t>
        </r>
      </text>
    </comment>
    <comment ref="GB101" authorId="1">
      <text>
        <r>
          <rPr>
            <b/>
            <sz val="9"/>
            <rFont val="宋体"/>
            <family val="3"/>
            <charset val="134"/>
          </rPr>
          <t>HL:</t>
        </r>
        <r>
          <rPr>
            <sz val="9"/>
            <rFont val="宋体"/>
            <family val="3"/>
            <charset val="134"/>
          </rPr>
          <t xml:space="preserve">
2024.05.01-05.17
2024.05.18-05.31</t>
        </r>
      </text>
    </comment>
    <comment ref="GF101" authorId="1">
      <text>
        <r>
          <rPr>
            <b/>
            <sz val="9"/>
            <rFont val="宋体"/>
            <family val="3"/>
            <charset val="134"/>
          </rPr>
          <t>HL:</t>
        </r>
        <r>
          <rPr>
            <sz val="9"/>
            <rFont val="宋体"/>
            <family val="3"/>
            <charset val="134"/>
          </rPr>
          <t xml:space="preserve">
2024.05.01-05.17
2024.05.18-05.31</t>
        </r>
      </text>
    </comment>
    <comment ref="GY101" authorId="1">
      <text>
        <r>
          <rPr>
            <b/>
            <sz val="9"/>
            <rFont val="宋体"/>
            <family val="3"/>
            <charset val="134"/>
          </rPr>
          <t>HL:</t>
        </r>
        <r>
          <rPr>
            <sz val="9"/>
            <rFont val="宋体"/>
            <family val="3"/>
            <charset val="134"/>
          </rPr>
          <t xml:space="preserve">
2024.08.01-08.17
2024.08.18-08.31
</t>
        </r>
      </text>
    </comment>
    <comment ref="GZ101" authorId="1">
      <text>
        <r>
          <rPr>
            <b/>
            <sz val="9"/>
            <rFont val="宋体"/>
            <family val="3"/>
            <charset val="134"/>
          </rPr>
          <t>HL:</t>
        </r>
        <r>
          <rPr>
            <sz val="9"/>
            <rFont val="宋体"/>
            <family val="3"/>
            <charset val="134"/>
          </rPr>
          <t xml:space="preserve">
2024.08.01-08.17
2024.08.18-08.31
</t>
        </r>
      </text>
    </comment>
    <comment ref="HC101" authorId="1">
      <text>
        <r>
          <rPr>
            <b/>
            <sz val="9"/>
            <rFont val="宋体"/>
            <family val="3"/>
            <charset val="134"/>
          </rPr>
          <t>HL:</t>
        </r>
        <r>
          <rPr>
            <sz val="9"/>
            <rFont val="宋体"/>
            <family val="3"/>
            <charset val="134"/>
          </rPr>
          <t xml:space="preserve">
2024.08.01-08.17
2024.08.18-08.31
</t>
        </r>
      </text>
    </comment>
    <comment ref="HD101" authorId="1">
      <text>
        <r>
          <rPr>
            <b/>
            <sz val="9"/>
            <rFont val="宋体"/>
            <family val="3"/>
            <charset val="134"/>
          </rPr>
          <t>HL:</t>
        </r>
        <r>
          <rPr>
            <sz val="9"/>
            <rFont val="宋体"/>
            <family val="3"/>
            <charset val="134"/>
          </rPr>
          <t xml:space="preserve">
2024.08.01-08.17
2024.08.18-08.31
</t>
        </r>
      </text>
    </comment>
    <comment ref="HX101" authorId="1">
      <text>
        <r>
          <rPr>
            <b/>
            <sz val="9"/>
            <rFont val="宋体"/>
            <family val="3"/>
            <charset val="134"/>
          </rPr>
          <t>HL:</t>
        </r>
        <r>
          <rPr>
            <sz val="9"/>
            <rFont val="宋体"/>
            <family val="3"/>
            <charset val="134"/>
          </rPr>
          <t xml:space="preserve">
2024.11.01-11.17</t>
        </r>
      </text>
    </comment>
    <comment ref="IB101" authorId="1">
      <text>
        <r>
          <rPr>
            <b/>
            <sz val="9"/>
            <rFont val="宋体"/>
            <family val="3"/>
            <charset val="134"/>
          </rPr>
          <t>HL:</t>
        </r>
        <r>
          <rPr>
            <sz val="9"/>
            <rFont val="宋体"/>
            <family val="3"/>
            <charset val="134"/>
          </rPr>
          <t xml:space="preserve">
2024.11.01-11.17
</t>
        </r>
      </text>
    </comment>
    <comment ref="J102" authorId="1">
      <text>
        <r>
          <rPr>
            <b/>
            <sz val="9"/>
            <rFont val="宋体"/>
            <family val="3"/>
            <charset val="134"/>
          </rPr>
          <t xml:space="preserve">HL:
</t>
        </r>
        <r>
          <rPr>
            <sz val="9"/>
            <rFont val="宋体"/>
            <family val="3"/>
            <charset val="134"/>
          </rPr>
          <t>租期内含免租期为 3 个月
2024年04月01日起至2024年04月30日
2025年04月01日起至2025年04月30日
2026年04月01日起至2026年04月30日
免租期间内乙方免交租金，但须交纳水费、电费及其他应缴费用。</t>
        </r>
      </text>
    </comment>
    <comment ref="T102" authorId="1">
      <text>
        <r>
          <rPr>
            <b/>
            <sz val="9"/>
            <rFont val="宋体"/>
            <family val="3"/>
            <charset val="134"/>
          </rPr>
          <t>HL:</t>
        </r>
        <r>
          <rPr>
            <sz val="9"/>
            <rFont val="宋体"/>
            <family val="3"/>
            <charset val="134"/>
          </rPr>
          <t xml:space="preserve">
2024年03月01日至2026年02月28日，该房屋租金的日单价为4.57元
月租金50857.45元
2026年03月01日至2028年02月29日，该房屋租金的日单价为4.84元
月租金53862.16元</t>
        </r>
      </text>
    </comment>
    <comment ref="AV102" authorId="1">
      <text>
        <r>
          <rPr>
            <b/>
            <sz val="9"/>
            <rFont val="宋体"/>
            <family val="3"/>
            <charset val="134"/>
          </rPr>
          <t>HL:</t>
        </r>
        <r>
          <rPr>
            <sz val="9"/>
            <rFont val="宋体"/>
            <family val="3"/>
            <charset val="134"/>
          </rPr>
          <t xml:space="preserve">
-39722.50：合同终止 退北京场圈科技有限公司 2024.01.11-01.31
</t>
        </r>
      </text>
    </comment>
    <comment ref="AW102" authorId="1">
      <text>
        <r>
          <rPr>
            <b/>
            <sz val="9"/>
            <rFont val="宋体"/>
            <family val="3"/>
            <charset val="134"/>
          </rPr>
          <t>HL:</t>
        </r>
        <r>
          <rPr>
            <sz val="9"/>
            <rFont val="宋体"/>
            <family val="3"/>
            <charset val="134"/>
          </rPr>
          <t xml:space="preserve">
-39722.50：合同终止 退北京场圈科技有限公司 2024.01.11-01.31
</t>
        </r>
      </text>
    </comment>
    <comment ref="AY102" authorId="1">
      <text>
        <r>
          <rPr>
            <b/>
            <sz val="9"/>
            <rFont val="宋体"/>
            <family val="3"/>
            <charset val="134"/>
          </rPr>
          <t>HL:</t>
        </r>
        <r>
          <rPr>
            <sz val="9"/>
            <rFont val="宋体"/>
            <family val="3"/>
            <charset val="134"/>
          </rPr>
          <t xml:space="preserve">
-6377.11：合同终止 退北京场圈科技有限公司 2024.01.11-01.31
</t>
        </r>
      </text>
    </comment>
    <comment ref="AZ102" authorId="1">
      <text>
        <r>
          <rPr>
            <b/>
            <sz val="9"/>
            <rFont val="宋体"/>
            <family val="3"/>
            <charset val="134"/>
          </rPr>
          <t>HL:</t>
        </r>
        <r>
          <rPr>
            <sz val="9"/>
            <rFont val="宋体"/>
            <family val="3"/>
            <charset val="134"/>
          </rPr>
          <t xml:space="preserve">
-6377.11：合同终止 退北京场圈科技有限公司 2024.01.11-01.31
</t>
        </r>
      </text>
    </comment>
    <comment ref="BC102" authorId="1">
      <text>
        <r>
          <rPr>
            <b/>
            <sz val="9"/>
            <rFont val="宋体"/>
            <family val="3"/>
            <charset val="134"/>
          </rPr>
          <t>HL:</t>
        </r>
        <r>
          <rPr>
            <sz val="9"/>
            <rFont val="宋体"/>
            <family val="3"/>
            <charset val="134"/>
          </rPr>
          <t xml:space="preserve">
自2024年04月01日起至2024年04月30日免租</t>
        </r>
      </text>
    </comment>
    <comment ref="BD102" authorId="1">
      <text>
        <r>
          <rPr>
            <b/>
            <sz val="9"/>
            <rFont val="宋体"/>
            <family val="3"/>
            <charset val="134"/>
          </rPr>
          <t>HL:</t>
        </r>
        <r>
          <rPr>
            <sz val="9"/>
            <rFont val="宋体"/>
            <family val="3"/>
            <charset val="134"/>
          </rPr>
          <t xml:space="preserve">
自2024年04月01日起至2024年04月30日免租</t>
        </r>
      </text>
    </comment>
    <comment ref="BE102" authorId="1">
      <text>
        <r>
          <rPr>
            <b/>
            <sz val="9"/>
            <rFont val="宋体"/>
            <family val="3"/>
            <charset val="134"/>
          </rPr>
          <t>HL:</t>
        </r>
        <r>
          <rPr>
            <sz val="9"/>
            <rFont val="宋体"/>
            <family val="3"/>
            <charset val="134"/>
          </rPr>
          <t xml:space="preserve">
自2024年04月01日起至2024年04月30日免租</t>
        </r>
      </text>
    </comment>
    <comment ref="FC102" authorId="1">
      <text>
        <r>
          <rPr>
            <b/>
            <sz val="9"/>
            <rFont val="宋体"/>
            <family val="3"/>
            <charset val="134"/>
          </rPr>
          <t>HL:</t>
        </r>
        <r>
          <rPr>
            <sz val="9"/>
            <rFont val="宋体"/>
            <family val="3"/>
            <charset val="134"/>
          </rPr>
          <t xml:space="preserve">
-39722.5/1.05：合同终止 退北京场圈科技有限公司 2024.01.11-01.31
</t>
        </r>
      </text>
    </comment>
    <comment ref="FD102" authorId="1">
      <text>
        <r>
          <rPr>
            <b/>
            <sz val="9"/>
            <rFont val="宋体"/>
            <family val="3"/>
            <charset val="134"/>
          </rPr>
          <t>HL:</t>
        </r>
        <r>
          <rPr>
            <sz val="9"/>
            <rFont val="宋体"/>
            <family val="3"/>
            <charset val="134"/>
          </rPr>
          <t xml:space="preserve">
-39722.5/1.05：合同终止 退北京场圈科技有限公司 2024.01.11-01.31
</t>
        </r>
      </text>
    </comment>
    <comment ref="FG102" authorId="1">
      <text>
        <r>
          <rPr>
            <b/>
            <sz val="9"/>
            <rFont val="宋体"/>
            <family val="3"/>
            <charset val="134"/>
          </rPr>
          <t>HL:</t>
        </r>
        <r>
          <rPr>
            <sz val="9"/>
            <rFont val="宋体"/>
            <family val="3"/>
            <charset val="134"/>
          </rPr>
          <t xml:space="preserve">
-6377.11/1.06：合同终止 退北京场圈科技有限公司 2024.01.11-01.31
</t>
        </r>
      </text>
    </comment>
    <comment ref="FH102" authorId="1">
      <text>
        <r>
          <rPr>
            <b/>
            <sz val="9"/>
            <rFont val="宋体"/>
            <family val="3"/>
            <charset val="134"/>
          </rPr>
          <t>HL:</t>
        </r>
        <r>
          <rPr>
            <sz val="9"/>
            <rFont val="宋体"/>
            <family val="3"/>
            <charset val="134"/>
          </rPr>
          <t xml:space="preserve">
-6377.11/1.06：合同终止 退北京场圈科技有限公司 2024.01.11-01.31
</t>
        </r>
      </text>
    </comment>
    <comment ref="FS102" authorId="1">
      <text>
        <r>
          <rPr>
            <b/>
            <sz val="9"/>
            <rFont val="宋体"/>
            <family val="3"/>
            <charset val="134"/>
          </rPr>
          <t>HL:</t>
        </r>
        <r>
          <rPr>
            <sz val="9"/>
            <rFont val="宋体"/>
            <family val="3"/>
            <charset val="134"/>
          </rPr>
          <t xml:space="preserve">
自2024年04月01日起至2024年04月30日免租</t>
        </r>
      </text>
    </comment>
    <comment ref="FT102" authorId="1">
      <text>
        <r>
          <rPr>
            <b/>
            <sz val="9"/>
            <rFont val="宋体"/>
            <family val="3"/>
            <charset val="134"/>
          </rPr>
          <t>HL:</t>
        </r>
        <r>
          <rPr>
            <sz val="9"/>
            <rFont val="宋体"/>
            <family val="3"/>
            <charset val="134"/>
          </rPr>
          <t xml:space="preserve">
自2024年04月01日起至2024年04月30日免租</t>
        </r>
      </text>
    </comment>
    <comment ref="KN102" authorId="1">
      <text>
        <r>
          <rPr>
            <b/>
            <sz val="9"/>
            <rFont val="宋体"/>
            <family val="3"/>
            <charset val="134"/>
          </rPr>
          <t>HL:</t>
        </r>
        <r>
          <rPr>
            <sz val="9"/>
            <rFont val="宋体"/>
            <family val="3"/>
            <charset val="134"/>
          </rPr>
          <t xml:space="preserve">
-48435.67：新东方4月免租</t>
        </r>
      </text>
    </comment>
    <comment ref="G103" authorId="1">
      <text>
        <r>
          <rPr>
            <b/>
            <sz val="9"/>
            <rFont val="宋体"/>
            <family val="3"/>
            <charset val="134"/>
          </rPr>
          <t>HL:</t>
        </r>
        <r>
          <rPr>
            <sz val="9"/>
            <rFont val="宋体"/>
            <family val="3"/>
            <charset val="134"/>
          </rPr>
          <t xml:space="preserve">
2022.08.01签署三方协议，原合同主体：鹏信北塔教育科技（北京）有限公司变为北京场圈科技有限公司 后10.12新签合同变为场圈有爱</t>
        </r>
      </text>
    </comment>
    <comment ref="J103" authorId="1">
      <text>
        <r>
          <rPr>
            <b/>
            <sz val="9"/>
            <rFont val="宋体"/>
            <family val="3"/>
            <charset val="134"/>
          </rPr>
          <t>HL:</t>
        </r>
        <r>
          <rPr>
            <sz val="9"/>
            <rFont val="宋体"/>
            <family val="3"/>
            <charset val="134"/>
          </rPr>
          <t xml:space="preserve">
租期内含免租期为2个月
2024年04月01日至2024年04月30日
2025年04月01日至2025年04月30日</t>
        </r>
      </text>
    </comment>
    <comment ref="AV103" authorId="1">
      <text>
        <r>
          <rPr>
            <b/>
            <sz val="9"/>
            <rFont val="宋体"/>
            <family val="3"/>
            <charset val="134"/>
          </rPr>
          <t>HL:</t>
        </r>
        <r>
          <rPr>
            <sz val="9"/>
            <rFont val="宋体"/>
            <family val="3"/>
            <charset val="134"/>
          </rPr>
          <t xml:space="preserve">
-27375.93：合同终止 北京场圈有爱网络科技有限公司 2024.01.11-01.31
</t>
        </r>
      </text>
    </comment>
    <comment ref="AW103" authorId="1">
      <text>
        <r>
          <rPr>
            <b/>
            <sz val="9"/>
            <rFont val="宋体"/>
            <family val="3"/>
            <charset val="134"/>
          </rPr>
          <t>HL:</t>
        </r>
        <r>
          <rPr>
            <sz val="9"/>
            <rFont val="宋体"/>
            <family val="3"/>
            <charset val="134"/>
          </rPr>
          <t xml:space="preserve">
-27375.93：合同终止 北京场圈有爱网络科技有限公司 2024.01.11-01.31
</t>
        </r>
      </text>
    </comment>
    <comment ref="AY103" authorId="1">
      <text>
        <r>
          <rPr>
            <b/>
            <sz val="9"/>
            <rFont val="宋体"/>
            <family val="3"/>
            <charset val="134"/>
          </rPr>
          <t>HL:</t>
        </r>
        <r>
          <rPr>
            <sz val="9"/>
            <rFont val="宋体"/>
            <family val="3"/>
            <charset val="134"/>
          </rPr>
          <t xml:space="preserve">
-4394.98：合同终止 北京场圈有爱网络科技有限公司 2024.01.11-01.31
</t>
        </r>
      </text>
    </comment>
    <comment ref="AZ103" authorId="1">
      <text>
        <r>
          <rPr>
            <b/>
            <sz val="9"/>
            <rFont val="宋体"/>
            <family val="3"/>
            <charset val="134"/>
          </rPr>
          <t>HL:</t>
        </r>
        <r>
          <rPr>
            <sz val="9"/>
            <rFont val="宋体"/>
            <family val="3"/>
            <charset val="134"/>
          </rPr>
          <t xml:space="preserve">
-4394.98：合同终止 北京场圈有爱网络科技有限公司 2024.01.11-01.31
</t>
        </r>
      </text>
    </comment>
    <comment ref="BD103" authorId="1">
      <text>
        <r>
          <rPr>
            <b/>
            <sz val="9"/>
            <rFont val="宋体"/>
            <family val="3"/>
            <charset val="134"/>
          </rPr>
          <t>HL:</t>
        </r>
        <r>
          <rPr>
            <sz val="9"/>
            <rFont val="宋体"/>
            <family val="3"/>
            <charset val="134"/>
          </rPr>
          <t xml:space="preserve">
免租期
2024年04月01日至2024年04月30日
应收2024.05.01-06.30
</t>
        </r>
      </text>
    </comment>
    <comment ref="FC103" authorId="1">
      <text>
        <r>
          <rPr>
            <b/>
            <sz val="9"/>
            <rFont val="宋体"/>
            <family val="3"/>
            <charset val="134"/>
          </rPr>
          <t>HL:</t>
        </r>
        <r>
          <rPr>
            <sz val="9"/>
            <rFont val="宋体"/>
            <family val="3"/>
            <charset val="134"/>
          </rPr>
          <t xml:space="preserve">
-27375.93/1.05：合同终止 北京场圈有爱网络科技有限公司 2024.01.11-01.31
</t>
        </r>
      </text>
    </comment>
    <comment ref="FD103" authorId="1">
      <text>
        <r>
          <rPr>
            <b/>
            <sz val="9"/>
            <rFont val="宋体"/>
            <family val="3"/>
            <charset val="134"/>
          </rPr>
          <t>HL:</t>
        </r>
        <r>
          <rPr>
            <sz val="9"/>
            <rFont val="宋体"/>
            <family val="3"/>
            <charset val="134"/>
          </rPr>
          <t xml:space="preserve">
-27375.93/1.05：合同终止 北京场圈有爱网络科技有限公司 2024.01.11-01.31
</t>
        </r>
      </text>
    </comment>
    <comment ref="FG103" authorId="1">
      <text>
        <r>
          <rPr>
            <b/>
            <sz val="9"/>
            <rFont val="宋体"/>
            <family val="3"/>
            <charset val="134"/>
          </rPr>
          <t>HL:</t>
        </r>
        <r>
          <rPr>
            <sz val="9"/>
            <rFont val="宋体"/>
            <family val="3"/>
            <charset val="134"/>
          </rPr>
          <t xml:space="preserve">
-4394.98/1.06：合同终止 北京场圈有爱网络科技有限公司 2024.01.11-01.31
</t>
        </r>
      </text>
    </comment>
    <comment ref="FH103" authorId="1">
      <text>
        <r>
          <rPr>
            <b/>
            <sz val="9"/>
            <rFont val="宋体"/>
            <family val="3"/>
            <charset val="134"/>
          </rPr>
          <t>HL:</t>
        </r>
        <r>
          <rPr>
            <sz val="9"/>
            <rFont val="宋体"/>
            <family val="3"/>
            <charset val="134"/>
          </rPr>
          <t xml:space="preserve">
-4394.98/1.06：合同终止 北京场圈有爱网络科技有限公司 2024.01.11-01.31
</t>
        </r>
      </text>
    </comment>
    <comment ref="FS103" authorId="1">
      <text>
        <r>
          <rPr>
            <b/>
            <sz val="9"/>
            <rFont val="宋体"/>
            <family val="3"/>
            <charset val="134"/>
          </rPr>
          <t>HL:</t>
        </r>
        <r>
          <rPr>
            <sz val="9"/>
            <rFont val="宋体"/>
            <family val="3"/>
            <charset val="134"/>
          </rPr>
          <t xml:space="preserve">
免租期
2024年04月01日至2024年04月30日</t>
        </r>
      </text>
    </comment>
    <comment ref="FT103" authorId="1">
      <text>
        <r>
          <rPr>
            <b/>
            <sz val="9"/>
            <rFont val="宋体"/>
            <family val="3"/>
            <charset val="134"/>
          </rPr>
          <t>HL:</t>
        </r>
        <r>
          <rPr>
            <sz val="9"/>
            <rFont val="宋体"/>
            <family val="3"/>
            <charset val="134"/>
          </rPr>
          <t xml:space="preserve">
免租期
2024年04月01日至2024年04月30日
</t>
        </r>
      </text>
    </comment>
    <comment ref="KN103" authorId="1">
      <text>
        <r>
          <rPr>
            <b/>
            <sz val="9"/>
            <rFont val="宋体"/>
            <family val="3"/>
            <charset val="134"/>
          </rPr>
          <t>HL:</t>
        </r>
        <r>
          <rPr>
            <sz val="9"/>
            <rFont val="宋体"/>
            <family val="3"/>
            <charset val="134"/>
          </rPr>
          <t xml:space="preserve">
-31189.55：知路研修4月免租
</t>
        </r>
      </text>
    </comment>
    <comment ref="G104" authorId="1">
      <text>
        <r>
          <rPr>
            <b/>
            <sz val="9"/>
            <rFont val="宋体"/>
            <family val="3"/>
            <charset val="134"/>
          </rPr>
          <t>HL:</t>
        </r>
        <r>
          <rPr>
            <sz val="9"/>
            <rFont val="宋体"/>
            <family val="3"/>
            <charset val="134"/>
          </rPr>
          <t xml:space="preserve">
原公司名：北京场圈未来科技有限公司，于2023.03.25变名为北京场圈未来传媒有限公司</t>
        </r>
      </text>
    </comment>
    <comment ref="J104" authorId="1">
      <text>
        <r>
          <rPr>
            <b/>
            <sz val="9"/>
            <rFont val="宋体"/>
            <family val="3"/>
            <charset val="134"/>
          </rPr>
          <t>HL:</t>
        </r>
        <r>
          <rPr>
            <sz val="9"/>
            <rFont val="宋体"/>
            <family val="3"/>
            <charset val="134"/>
          </rPr>
          <t xml:space="preserve">
原合同2024.08.14到期
YW-2024-CX-0007(海龙1502与北京场圈未来传媒解除协议)
2024.01.10解除</t>
        </r>
      </text>
    </comment>
    <comment ref="AV104" authorId="1">
      <text>
        <r>
          <rPr>
            <b/>
            <sz val="9"/>
            <rFont val="宋体"/>
            <family val="3"/>
            <charset val="134"/>
          </rPr>
          <t>HL:</t>
        </r>
        <r>
          <rPr>
            <sz val="9"/>
            <rFont val="宋体"/>
            <family val="3"/>
            <charset val="134"/>
          </rPr>
          <t xml:space="preserve">
-18770.67：合同终止 北京场圈未来传媒有限公司 2024.01.11-01.31
</t>
        </r>
      </text>
    </comment>
    <comment ref="AW104" authorId="1">
      <text>
        <r>
          <rPr>
            <b/>
            <sz val="9"/>
            <rFont val="宋体"/>
            <family val="3"/>
            <charset val="134"/>
          </rPr>
          <t>HL:</t>
        </r>
        <r>
          <rPr>
            <sz val="9"/>
            <rFont val="宋体"/>
            <family val="3"/>
            <charset val="134"/>
          </rPr>
          <t xml:space="preserve">
-18770.67：合同终止 北京场圈未来传媒有限公司 2024.01.11-01.31
</t>
        </r>
      </text>
    </comment>
    <comment ref="AY104" authorId="1">
      <text>
        <r>
          <rPr>
            <b/>
            <sz val="9"/>
            <rFont val="宋体"/>
            <family val="3"/>
            <charset val="134"/>
          </rPr>
          <t>HL:</t>
        </r>
        <r>
          <rPr>
            <sz val="9"/>
            <rFont val="宋体"/>
            <family val="3"/>
            <charset val="134"/>
          </rPr>
          <t xml:space="preserve">
-3013.47：合同终止 北京场圈未来传媒有限公司 2024.01.11-01.31
</t>
        </r>
      </text>
    </comment>
    <comment ref="AZ104" authorId="1">
      <text>
        <r>
          <rPr>
            <b/>
            <sz val="9"/>
            <rFont val="宋体"/>
            <family val="3"/>
            <charset val="134"/>
          </rPr>
          <t>HL:</t>
        </r>
        <r>
          <rPr>
            <sz val="9"/>
            <rFont val="宋体"/>
            <family val="3"/>
            <charset val="134"/>
          </rPr>
          <t xml:space="preserve">
-3013.47：合同终止 北京场圈未来传媒有限公司 2024.01.11-01.31
</t>
        </r>
      </text>
    </comment>
    <comment ref="FC104" authorId="1">
      <text>
        <r>
          <rPr>
            <b/>
            <sz val="9"/>
            <rFont val="宋体"/>
            <family val="3"/>
            <charset val="134"/>
          </rPr>
          <t>HL:</t>
        </r>
        <r>
          <rPr>
            <sz val="9"/>
            <rFont val="宋体"/>
            <family val="3"/>
            <charset val="134"/>
          </rPr>
          <t xml:space="preserve">
-18770.67/1.05：合同终止 北京场圈未来传媒有限公司 2024.01.11-01.31
</t>
        </r>
      </text>
    </comment>
    <comment ref="FD104" authorId="1">
      <text>
        <r>
          <rPr>
            <b/>
            <sz val="9"/>
            <rFont val="宋体"/>
            <family val="3"/>
            <charset val="134"/>
          </rPr>
          <t>HL:</t>
        </r>
        <r>
          <rPr>
            <sz val="9"/>
            <rFont val="宋体"/>
            <family val="3"/>
            <charset val="134"/>
          </rPr>
          <t xml:space="preserve">
-18770.67/1.05：合同终止 北京场圈未来传媒有限公司 2024.01.11-01.31
</t>
        </r>
      </text>
    </comment>
    <comment ref="FG104" authorId="1">
      <text>
        <r>
          <rPr>
            <b/>
            <sz val="9"/>
            <rFont val="宋体"/>
            <family val="3"/>
            <charset val="134"/>
          </rPr>
          <t>HL:</t>
        </r>
        <r>
          <rPr>
            <sz val="9"/>
            <rFont val="宋体"/>
            <family val="3"/>
            <charset val="134"/>
          </rPr>
          <t xml:space="preserve">
-3013.47/1.06：合同终止 北京场圈未来传媒有限公司 2024.01.11-01.31
</t>
        </r>
      </text>
    </comment>
    <comment ref="FH104" authorId="1">
      <text>
        <r>
          <rPr>
            <b/>
            <sz val="9"/>
            <rFont val="宋体"/>
            <family val="3"/>
            <charset val="134"/>
          </rPr>
          <t>HL:</t>
        </r>
        <r>
          <rPr>
            <sz val="9"/>
            <rFont val="宋体"/>
            <family val="3"/>
            <charset val="134"/>
          </rPr>
          <t xml:space="preserve">
-3013.47/1.06：合同终止 北京场圈未来传媒有限公司 2024.01.11-01.31
</t>
        </r>
      </text>
    </comment>
    <comment ref="J105" authorId="1">
      <text>
        <r>
          <rPr>
            <b/>
            <sz val="9"/>
            <rFont val="宋体"/>
            <family val="3"/>
            <charset val="134"/>
          </rPr>
          <t>HL:</t>
        </r>
        <r>
          <rPr>
            <sz val="9"/>
            <rFont val="宋体"/>
            <family val="3"/>
            <charset val="134"/>
          </rPr>
          <t xml:space="preserve">
本合同的起租日为2023年08月17日，终止日为2028年04月16日
租期为：肆年捌个月。
租期内含免租期为伍个月
自2023年08月17日起至 2023年09月16日止
自2024年08月17日起至 2024年09月16日止
自2025年08月17日起至 2025年09月16日止
自2026年08月17日起至 2026年09月16日止
自2027年08月17日起至 2027年09月16日止</t>
        </r>
      </text>
    </comment>
    <comment ref="T105" authorId="1">
      <text>
        <r>
          <rPr>
            <b/>
            <sz val="9"/>
            <rFont val="宋体"/>
            <family val="3"/>
            <charset val="134"/>
          </rPr>
          <t>HL:</t>
        </r>
        <r>
          <rPr>
            <sz val="9"/>
            <rFont val="宋体"/>
            <family val="3"/>
            <charset val="134"/>
          </rPr>
          <t xml:space="preserve">
2023年08月17日至2025年08月16日，该房屋租金的日单价为4.17元；
月租金：51737.02元
2025年08月17日至2027年08月16日，该房屋租金的日单价为4.42元；
月租金：54838.76元
2027年08月17日 至2028年04月16日，该房屋租金的日单价为4.68元；
月租金：58064.57元</t>
        </r>
      </text>
    </comment>
    <comment ref="CQ105" authorId="1">
      <text>
        <r>
          <rPr>
            <b/>
            <sz val="9"/>
            <rFont val="宋体"/>
            <family val="3"/>
            <charset val="134"/>
          </rPr>
          <t>HL:</t>
        </r>
        <r>
          <rPr>
            <sz val="9"/>
            <rFont val="宋体"/>
            <family val="3"/>
            <charset val="134"/>
          </rPr>
          <t xml:space="preserve">
自2024年08月17日起至 2024年09月16日止 免租</t>
        </r>
      </text>
    </comment>
    <comment ref="CR105" authorId="1">
      <text>
        <r>
          <rPr>
            <b/>
            <sz val="9"/>
            <rFont val="宋体"/>
            <family val="3"/>
            <charset val="134"/>
          </rPr>
          <t>HL:</t>
        </r>
        <r>
          <rPr>
            <sz val="9"/>
            <rFont val="宋体"/>
            <family val="3"/>
            <charset val="134"/>
          </rPr>
          <t xml:space="preserve">
自2024年08月17日起至 2024年09月16日止 免租</t>
        </r>
      </text>
    </comment>
    <comment ref="EV105" authorId="1">
      <text>
        <r>
          <rPr>
            <b/>
            <sz val="9"/>
            <rFont val="宋体"/>
            <family val="3"/>
            <charset val="134"/>
          </rPr>
          <t>HL:</t>
        </r>
        <r>
          <rPr>
            <sz val="9"/>
            <rFont val="宋体"/>
            <family val="3"/>
            <charset val="134"/>
          </rPr>
          <t xml:space="preserve">
2024.01.01-01.16
2024.01.17-01.31</t>
        </r>
      </text>
    </comment>
    <comment ref="EZ105" authorId="1">
      <text>
        <r>
          <rPr>
            <b/>
            <sz val="9"/>
            <rFont val="宋体"/>
            <family val="3"/>
            <charset val="134"/>
          </rPr>
          <t>HL:</t>
        </r>
        <r>
          <rPr>
            <sz val="9"/>
            <rFont val="宋体"/>
            <family val="3"/>
            <charset val="134"/>
          </rPr>
          <t xml:space="preserve">
2024.01.01-01.16
2024.01.17-01.31</t>
        </r>
      </text>
    </comment>
    <comment ref="FD105" authorId="1">
      <text>
        <r>
          <rPr>
            <b/>
            <sz val="9"/>
            <rFont val="宋体"/>
            <family val="3"/>
            <charset val="134"/>
          </rPr>
          <t>HL:</t>
        </r>
        <r>
          <rPr>
            <sz val="9"/>
            <rFont val="宋体"/>
            <family val="3"/>
            <charset val="134"/>
          </rPr>
          <t xml:space="preserve">
2024.02.01-02.16
2024.02.17-02.29</t>
        </r>
      </text>
    </comment>
    <comment ref="FH105" authorId="1">
      <text>
        <r>
          <rPr>
            <b/>
            <sz val="9"/>
            <rFont val="宋体"/>
            <family val="3"/>
            <charset val="134"/>
          </rPr>
          <t>HL:</t>
        </r>
        <r>
          <rPr>
            <sz val="9"/>
            <rFont val="宋体"/>
            <family val="3"/>
            <charset val="134"/>
          </rPr>
          <t xml:space="preserve">
2024.02.01-02.16
2024.02.17-02.29</t>
        </r>
      </text>
    </comment>
    <comment ref="FL105" authorId="1">
      <text>
        <r>
          <rPr>
            <b/>
            <sz val="9"/>
            <rFont val="宋体"/>
            <family val="3"/>
            <charset val="134"/>
          </rPr>
          <t>HL:</t>
        </r>
        <r>
          <rPr>
            <sz val="9"/>
            <rFont val="宋体"/>
            <family val="3"/>
            <charset val="134"/>
          </rPr>
          <t xml:space="preserve">
2024.03.01-03.16
2024.03.17-03.31</t>
        </r>
      </text>
    </comment>
    <comment ref="FP105" authorId="1">
      <text>
        <r>
          <rPr>
            <b/>
            <sz val="9"/>
            <rFont val="宋体"/>
            <family val="3"/>
            <charset val="134"/>
          </rPr>
          <t>HL:</t>
        </r>
        <r>
          <rPr>
            <sz val="9"/>
            <rFont val="宋体"/>
            <family val="3"/>
            <charset val="134"/>
          </rPr>
          <t xml:space="preserve">
2024.03.01-03.16
2024.03.17-03.31</t>
        </r>
      </text>
    </comment>
    <comment ref="FT105" authorId="1">
      <text>
        <r>
          <rPr>
            <b/>
            <sz val="9"/>
            <rFont val="宋体"/>
            <family val="3"/>
            <charset val="134"/>
          </rPr>
          <t>HL:</t>
        </r>
        <r>
          <rPr>
            <sz val="9"/>
            <rFont val="宋体"/>
            <family val="3"/>
            <charset val="134"/>
          </rPr>
          <t xml:space="preserve">
2024.04.01-04.16
2024.04.17-04.30</t>
        </r>
      </text>
    </comment>
    <comment ref="FX105" authorId="1">
      <text>
        <r>
          <rPr>
            <b/>
            <sz val="9"/>
            <rFont val="宋体"/>
            <family val="3"/>
            <charset val="134"/>
          </rPr>
          <t>HL:</t>
        </r>
        <r>
          <rPr>
            <sz val="9"/>
            <rFont val="宋体"/>
            <family val="3"/>
            <charset val="134"/>
          </rPr>
          <t xml:space="preserve">
2024.04.01-04.16
2024.04.17-04.30</t>
        </r>
      </text>
    </comment>
    <comment ref="GB105" authorId="1">
      <text>
        <r>
          <rPr>
            <b/>
            <sz val="9"/>
            <rFont val="宋体"/>
            <family val="3"/>
            <charset val="134"/>
          </rPr>
          <t>HL:</t>
        </r>
        <r>
          <rPr>
            <sz val="9"/>
            <rFont val="宋体"/>
            <family val="3"/>
            <charset val="134"/>
          </rPr>
          <t xml:space="preserve">
2024.05.01-05.16
2024.05.17-05.31</t>
        </r>
      </text>
    </comment>
    <comment ref="GF105" authorId="1">
      <text>
        <r>
          <rPr>
            <b/>
            <sz val="9"/>
            <rFont val="宋体"/>
            <family val="3"/>
            <charset val="134"/>
          </rPr>
          <t>HL:</t>
        </r>
        <r>
          <rPr>
            <sz val="9"/>
            <rFont val="宋体"/>
            <family val="3"/>
            <charset val="134"/>
          </rPr>
          <t xml:space="preserve">
2024.05.01-05.16
2024.05.17-05.31</t>
        </r>
      </text>
    </comment>
    <comment ref="GJ105" authorId="1">
      <text>
        <r>
          <rPr>
            <b/>
            <sz val="9"/>
            <rFont val="宋体"/>
            <family val="3"/>
            <charset val="134"/>
          </rPr>
          <t>HL:</t>
        </r>
        <r>
          <rPr>
            <sz val="9"/>
            <rFont val="宋体"/>
            <family val="3"/>
            <charset val="134"/>
          </rPr>
          <t xml:space="preserve">
2024.06.01-06.16
2024.06.17-06.30</t>
        </r>
      </text>
    </comment>
    <comment ref="GN105" authorId="1">
      <text>
        <r>
          <rPr>
            <b/>
            <sz val="9"/>
            <rFont val="宋体"/>
            <family val="3"/>
            <charset val="134"/>
          </rPr>
          <t>HL:</t>
        </r>
        <r>
          <rPr>
            <sz val="9"/>
            <rFont val="宋体"/>
            <family val="3"/>
            <charset val="134"/>
          </rPr>
          <t xml:space="preserve">
2024.06.01-06.16
2024.06.17-06.30</t>
        </r>
      </text>
    </comment>
    <comment ref="GR105" authorId="1">
      <text>
        <r>
          <rPr>
            <b/>
            <sz val="9"/>
            <rFont val="宋体"/>
            <family val="3"/>
            <charset val="134"/>
          </rPr>
          <t>HL:</t>
        </r>
        <r>
          <rPr>
            <sz val="9"/>
            <rFont val="宋体"/>
            <family val="3"/>
            <charset val="134"/>
          </rPr>
          <t xml:space="preserve">
2024.07.01-07.16
2024.07.17-07.31</t>
        </r>
      </text>
    </comment>
    <comment ref="GV105" authorId="1">
      <text>
        <r>
          <rPr>
            <b/>
            <sz val="9"/>
            <rFont val="宋体"/>
            <family val="3"/>
            <charset val="134"/>
          </rPr>
          <t>HL:</t>
        </r>
        <r>
          <rPr>
            <sz val="9"/>
            <rFont val="宋体"/>
            <family val="3"/>
            <charset val="134"/>
          </rPr>
          <t xml:space="preserve">
2024.07.01-07.16
2024.07.17-07.31</t>
        </r>
      </text>
    </comment>
    <comment ref="GY105" authorId="1">
      <text>
        <r>
          <rPr>
            <b/>
            <sz val="9"/>
            <rFont val="宋体"/>
            <family val="3"/>
            <charset val="134"/>
          </rPr>
          <t>HL:</t>
        </r>
        <r>
          <rPr>
            <sz val="9"/>
            <rFont val="宋体"/>
            <family val="3"/>
            <charset val="134"/>
          </rPr>
          <t xml:space="preserve">
租期内含免租期为自2024年08月17日起至 2024年09月16日止
本月2024.08.01-08.16</t>
        </r>
      </text>
    </comment>
    <comment ref="GZ105" authorId="1">
      <text>
        <r>
          <rPr>
            <b/>
            <sz val="9"/>
            <rFont val="宋体"/>
            <family val="3"/>
            <charset val="134"/>
          </rPr>
          <t>HL:</t>
        </r>
        <r>
          <rPr>
            <sz val="9"/>
            <rFont val="宋体"/>
            <family val="3"/>
            <charset val="134"/>
          </rPr>
          <t xml:space="preserve">
租期内含免租期为自2024年08月17日起至 2024年09月16日止
本月2024.08.01-08.16</t>
        </r>
      </text>
    </comment>
    <comment ref="HD105" authorId="1">
      <text>
        <r>
          <rPr>
            <b/>
            <sz val="9"/>
            <rFont val="宋体"/>
            <family val="3"/>
            <charset val="134"/>
          </rPr>
          <t>HL:</t>
        </r>
        <r>
          <rPr>
            <sz val="9"/>
            <rFont val="宋体"/>
            <family val="3"/>
            <charset val="134"/>
          </rPr>
          <t xml:space="preserve">
2024.08.01-08.16
2024.08.17-08.31</t>
        </r>
      </text>
    </comment>
    <comment ref="HG105" authorId="1">
      <text>
        <r>
          <rPr>
            <b/>
            <sz val="9"/>
            <rFont val="宋体"/>
            <family val="3"/>
            <charset val="134"/>
          </rPr>
          <t>HL:</t>
        </r>
        <r>
          <rPr>
            <sz val="9"/>
            <rFont val="宋体"/>
            <family val="3"/>
            <charset val="134"/>
          </rPr>
          <t xml:space="preserve">
租期内含免租期为自2024年08月17日起至 2024年09月16日止
</t>
        </r>
      </text>
    </comment>
    <comment ref="HH105" authorId="1">
      <text>
        <r>
          <rPr>
            <b/>
            <sz val="9"/>
            <rFont val="宋体"/>
            <family val="3"/>
            <charset val="134"/>
          </rPr>
          <t>HL:</t>
        </r>
        <r>
          <rPr>
            <sz val="9"/>
            <rFont val="宋体"/>
            <family val="3"/>
            <charset val="134"/>
          </rPr>
          <t xml:space="preserve">
租期内含免租期为自2024年08月17日起至 2024年09月16日止
本月收2024.09.17-09.30</t>
        </r>
      </text>
    </comment>
    <comment ref="HL105" authorId="1">
      <text>
        <r>
          <rPr>
            <b/>
            <sz val="9"/>
            <rFont val="宋体"/>
            <family val="3"/>
            <charset val="134"/>
          </rPr>
          <t>HL:</t>
        </r>
        <r>
          <rPr>
            <sz val="9"/>
            <rFont val="宋体"/>
            <family val="3"/>
            <charset val="134"/>
          </rPr>
          <t xml:space="preserve">
2024.09.01-09.16
2024.09.17-09.30</t>
        </r>
      </text>
    </comment>
    <comment ref="HP105" authorId="1">
      <text>
        <r>
          <rPr>
            <b/>
            <sz val="9"/>
            <rFont val="宋体"/>
            <family val="3"/>
            <charset val="134"/>
          </rPr>
          <t>HL:</t>
        </r>
        <r>
          <rPr>
            <sz val="9"/>
            <rFont val="宋体"/>
            <family val="3"/>
            <charset val="134"/>
          </rPr>
          <t xml:space="preserve">
2024.10.01-10.16</t>
        </r>
      </text>
    </comment>
    <comment ref="HT105" authorId="1">
      <text>
        <r>
          <rPr>
            <b/>
            <sz val="9"/>
            <rFont val="宋体"/>
            <family val="3"/>
            <charset val="134"/>
          </rPr>
          <t>HL:</t>
        </r>
        <r>
          <rPr>
            <sz val="9"/>
            <rFont val="宋体"/>
            <family val="3"/>
            <charset val="134"/>
          </rPr>
          <t xml:space="preserve">
2024.10.01-10.16
</t>
        </r>
      </text>
    </comment>
    <comment ref="J106" authorId="1">
      <text>
        <r>
          <rPr>
            <b/>
            <sz val="9"/>
            <rFont val="宋体"/>
            <family val="3"/>
            <charset val="134"/>
          </rPr>
          <t>HL:</t>
        </r>
        <r>
          <rPr>
            <sz val="9"/>
            <rFont val="宋体"/>
            <family val="3"/>
            <charset val="134"/>
          </rPr>
          <t xml:space="preserve">
本合同的起租日为2023年08月17日，终止日为2028年04月16日
租期为：肆年捌个月。
租期内含免租期为伍个月
自2023年08月17日起至 2023年09月16日止
自2024年08月17日起至 2024年09月16日止
自2025年08月17日起至 2025年09月16日止
自2026年08月17日起至 2026年09月16日止
自2027年08月17日起至 2027年09月16日止</t>
        </r>
      </text>
    </comment>
    <comment ref="T106" authorId="1">
      <text>
        <r>
          <rPr>
            <b/>
            <sz val="9"/>
            <rFont val="宋体"/>
            <family val="3"/>
            <charset val="134"/>
          </rPr>
          <t>HL:</t>
        </r>
        <r>
          <rPr>
            <sz val="9"/>
            <rFont val="宋体"/>
            <family val="3"/>
            <charset val="134"/>
          </rPr>
          <t xml:space="preserve">
2023年08月17日至2025年08月16日，该房屋租金的日单价为4.17元；
月租金：26347.95元
2025年08月17日至2027年08月16日，该房屋租金的日单价为4.42元；
月租金：27927.57元
2027年08月17日 至2028年04月16日，该房屋租金的日单价为4.68元；
月租金：29570.37元</t>
        </r>
      </text>
    </comment>
    <comment ref="CQ106" authorId="1">
      <text>
        <r>
          <rPr>
            <b/>
            <sz val="9"/>
            <rFont val="宋体"/>
            <family val="3"/>
            <charset val="134"/>
          </rPr>
          <t>HL:</t>
        </r>
        <r>
          <rPr>
            <sz val="9"/>
            <rFont val="宋体"/>
            <family val="3"/>
            <charset val="134"/>
          </rPr>
          <t xml:space="preserve">
自2024年08月17日起至 2024年09月16日止 免租</t>
        </r>
      </text>
    </comment>
    <comment ref="CR106" authorId="1">
      <text>
        <r>
          <rPr>
            <b/>
            <sz val="9"/>
            <rFont val="宋体"/>
            <family val="3"/>
            <charset val="134"/>
          </rPr>
          <t>HL:</t>
        </r>
        <r>
          <rPr>
            <sz val="9"/>
            <rFont val="宋体"/>
            <family val="3"/>
            <charset val="134"/>
          </rPr>
          <t xml:space="preserve">
自2024年08月17日起至 2024年09月16日止 免租</t>
        </r>
      </text>
    </comment>
    <comment ref="EV106" authorId="1">
      <text>
        <r>
          <rPr>
            <b/>
            <sz val="9"/>
            <rFont val="宋体"/>
            <family val="3"/>
            <charset val="134"/>
          </rPr>
          <t>HL:</t>
        </r>
        <r>
          <rPr>
            <sz val="9"/>
            <rFont val="宋体"/>
            <family val="3"/>
            <charset val="134"/>
          </rPr>
          <t xml:space="preserve">
2024.01.01-01.16
2024.01.17-01.31</t>
        </r>
      </text>
    </comment>
    <comment ref="EZ106" authorId="1">
      <text>
        <r>
          <rPr>
            <b/>
            <sz val="9"/>
            <rFont val="宋体"/>
            <family val="3"/>
            <charset val="134"/>
          </rPr>
          <t>HL:</t>
        </r>
        <r>
          <rPr>
            <sz val="9"/>
            <rFont val="宋体"/>
            <family val="3"/>
            <charset val="134"/>
          </rPr>
          <t xml:space="preserve">
2024.01.01-01.16
2024.01.17-01.31</t>
        </r>
      </text>
    </comment>
    <comment ref="FD106" authorId="1">
      <text>
        <r>
          <rPr>
            <b/>
            <sz val="9"/>
            <rFont val="宋体"/>
            <family val="3"/>
            <charset val="134"/>
          </rPr>
          <t>HL:</t>
        </r>
        <r>
          <rPr>
            <sz val="9"/>
            <rFont val="宋体"/>
            <family val="3"/>
            <charset val="134"/>
          </rPr>
          <t xml:space="preserve">
2024.02.01-02.16
2024.02.17-02.29</t>
        </r>
      </text>
    </comment>
    <comment ref="FH106" authorId="1">
      <text>
        <r>
          <rPr>
            <b/>
            <sz val="9"/>
            <rFont val="宋体"/>
            <family val="3"/>
            <charset val="134"/>
          </rPr>
          <t>HL:</t>
        </r>
        <r>
          <rPr>
            <sz val="9"/>
            <rFont val="宋体"/>
            <family val="3"/>
            <charset val="134"/>
          </rPr>
          <t xml:space="preserve">
2024.02.01-02.16
2024.02.17-02.29</t>
        </r>
      </text>
    </comment>
    <comment ref="FL106" authorId="1">
      <text>
        <r>
          <rPr>
            <b/>
            <sz val="9"/>
            <rFont val="宋体"/>
            <family val="3"/>
            <charset val="134"/>
          </rPr>
          <t>HL:</t>
        </r>
        <r>
          <rPr>
            <sz val="9"/>
            <rFont val="宋体"/>
            <family val="3"/>
            <charset val="134"/>
          </rPr>
          <t xml:space="preserve">
2024.03.01-03.16
2024.03.17-03.31</t>
        </r>
      </text>
    </comment>
    <comment ref="FP106" authorId="1">
      <text>
        <r>
          <rPr>
            <b/>
            <sz val="9"/>
            <rFont val="宋体"/>
            <family val="3"/>
            <charset val="134"/>
          </rPr>
          <t>HL:</t>
        </r>
        <r>
          <rPr>
            <sz val="9"/>
            <rFont val="宋体"/>
            <family val="3"/>
            <charset val="134"/>
          </rPr>
          <t xml:space="preserve">
2024.03.01-03.16
2024.03.17-03.31</t>
        </r>
      </text>
    </comment>
    <comment ref="FT106" authorId="1">
      <text>
        <r>
          <rPr>
            <b/>
            <sz val="9"/>
            <rFont val="宋体"/>
            <family val="3"/>
            <charset val="134"/>
          </rPr>
          <t>HL:</t>
        </r>
        <r>
          <rPr>
            <sz val="9"/>
            <rFont val="宋体"/>
            <family val="3"/>
            <charset val="134"/>
          </rPr>
          <t xml:space="preserve">
2024.04.01-04.16
2024.04.17-04.30</t>
        </r>
      </text>
    </comment>
    <comment ref="FX106" authorId="1">
      <text>
        <r>
          <rPr>
            <b/>
            <sz val="9"/>
            <rFont val="宋体"/>
            <family val="3"/>
            <charset val="134"/>
          </rPr>
          <t>HL:</t>
        </r>
        <r>
          <rPr>
            <sz val="9"/>
            <rFont val="宋体"/>
            <family val="3"/>
            <charset val="134"/>
          </rPr>
          <t xml:space="preserve">
2024.04.01-04.16
2024.04.17-04.30</t>
        </r>
      </text>
    </comment>
    <comment ref="GB106" authorId="1">
      <text>
        <r>
          <rPr>
            <b/>
            <sz val="9"/>
            <rFont val="宋体"/>
            <family val="3"/>
            <charset val="134"/>
          </rPr>
          <t>HL:</t>
        </r>
        <r>
          <rPr>
            <sz val="9"/>
            <rFont val="宋体"/>
            <family val="3"/>
            <charset val="134"/>
          </rPr>
          <t xml:space="preserve">
2024.05.01-05.16
2024.05.17-05.31</t>
        </r>
      </text>
    </comment>
    <comment ref="GF106" authorId="1">
      <text>
        <r>
          <rPr>
            <b/>
            <sz val="9"/>
            <rFont val="宋体"/>
            <family val="3"/>
            <charset val="134"/>
          </rPr>
          <t>HL:</t>
        </r>
        <r>
          <rPr>
            <sz val="9"/>
            <rFont val="宋体"/>
            <family val="3"/>
            <charset val="134"/>
          </rPr>
          <t xml:space="preserve">
2024.05.01-05.16
2024.05.17-05.31</t>
        </r>
      </text>
    </comment>
    <comment ref="GJ106" authorId="1">
      <text>
        <r>
          <rPr>
            <b/>
            <sz val="9"/>
            <rFont val="宋体"/>
            <family val="3"/>
            <charset val="134"/>
          </rPr>
          <t>HL:</t>
        </r>
        <r>
          <rPr>
            <sz val="9"/>
            <rFont val="宋体"/>
            <family val="3"/>
            <charset val="134"/>
          </rPr>
          <t xml:space="preserve">
2024.06.01-06.16
2024.06.17-06.30</t>
        </r>
      </text>
    </comment>
    <comment ref="GN106" authorId="1">
      <text>
        <r>
          <rPr>
            <b/>
            <sz val="9"/>
            <rFont val="宋体"/>
            <family val="3"/>
            <charset val="134"/>
          </rPr>
          <t>HL:</t>
        </r>
        <r>
          <rPr>
            <sz val="9"/>
            <rFont val="宋体"/>
            <family val="3"/>
            <charset val="134"/>
          </rPr>
          <t xml:space="preserve">
2024.06.01-06.16
2024.06.17-06.30</t>
        </r>
      </text>
    </comment>
    <comment ref="GR106" authorId="1">
      <text>
        <r>
          <rPr>
            <b/>
            <sz val="9"/>
            <rFont val="宋体"/>
            <family val="3"/>
            <charset val="134"/>
          </rPr>
          <t>HL:</t>
        </r>
        <r>
          <rPr>
            <sz val="9"/>
            <rFont val="宋体"/>
            <family val="3"/>
            <charset val="134"/>
          </rPr>
          <t xml:space="preserve">
2024.07.01-07.16
2024.07.17-07.31</t>
        </r>
      </text>
    </comment>
    <comment ref="GV106" authorId="1">
      <text>
        <r>
          <rPr>
            <b/>
            <sz val="9"/>
            <rFont val="宋体"/>
            <family val="3"/>
            <charset val="134"/>
          </rPr>
          <t>HL:</t>
        </r>
        <r>
          <rPr>
            <sz val="9"/>
            <rFont val="宋体"/>
            <family val="3"/>
            <charset val="134"/>
          </rPr>
          <t xml:space="preserve">
2024.07.01-07.16
2024.07.17-07.31</t>
        </r>
      </text>
    </comment>
    <comment ref="GY106" authorId="1">
      <text>
        <r>
          <rPr>
            <b/>
            <sz val="9"/>
            <rFont val="宋体"/>
            <family val="3"/>
            <charset val="134"/>
          </rPr>
          <t>HL:</t>
        </r>
        <r>
          <rPr>
            <sz val="9"/>
            <rFont val="宋体"/>
            <family val="3"/>
            <charset val="134"/>
          </rPr>
          <t xml:space="preserve">
租期内含免租期为自2024年08月17日起至 2024年09月16日止
本月2024.08.01-08.16</t>
        </r>
      </text>
    </comment>
    <comment ref="GZ106" authorId="1">
      <text>
        <r>
          <rPr>
            <b/>
            <sz val="9"/>
            <rFont val="宋体"/>
            <family val="3"/>
            <charset val="134"/>
          </rPr>
          <t>HL:</t>
        </r>
        <r>
          <rPr>
            <sz val="9"/>
            <rFont val="宋体"/>
            <family val="3"/>
            <charset val="134"/>
          </rPr>
          <t xml:space="preserve">
租期内含免租期为自2024年08月17日起至 2024年09月16日止
本月2024.08.01-08.16</t>
        </r>
      </text>
    </comment>
    <comment ref="HD106" authorId="1">
      <text>
        <r>
          <rPr>
            <b/>
            <sz val="9"/>
            <rFont val="宋体"/>
            <family val="3"/>
            <charset val="134"/>
          </rPr>
          <t>HL:</t>
        </r>
        <r>
          <rPr>
            <sz val="9"/>
            <rFont val="宋体"/>
            <family val="3"/>
            <charset val="134"/>
          </rPr>
          <t xml:space="preserve">
2024.08.01-08.16
2024.08.17-08.31</t>
        </r>
      </text>
    </comment>
    <comment ref="HG106" authorId="1">
      <text>
        <r>
          <rPr>
            <b/>
            <sz val="9"/>
            <rFont val="宋体"/>
            <family val="3"/>
            <charset val="134"/>
          </rPr>
          <t>HL:</t>
        </r>
        <r>
          <rPr>
            <sz val="9"/>
            <rFont val="宋体"/>
            <family val="3"/>
            <charset val="134"/>
          </rPr>
          <t xml:space="preserve">
租期内含免租期为自2024年08月17日起至 2024年09月16日止
</t>
        </r>
      </text>
    </comment>
    <comment ref="HH106" authorId="1">
      <text>
        <r>
          <rPr>
            <b/>
            <sz val="9"/>
            <rFont val="宋体"/>
            <family val="3"/>
            <charset val="134"/>
          </rPr>
          <t>HL:</t>
        </r>
        <r>
          <rPr>
            <sz val="9"/>
            <rFont val="宋体"/>
            <family val="3"/>
            <charset val="134"/>
          </rPr>
          <t xml:space="preserve">
租期内含免租期为自2024年08月17日起至 2024年09月16日止
本月收2024.09.17-09.30</t>
        </r>
      </text>
    </comment>
    <comment ref="HL106" authorId="1">
      <text>
        <r>
          <rPr>
            <b/>
            <sz val="9"/>
            <rFont val="宋体"/>
            <family val="3"/>
            <charset val="134"/>
          </rPr>
          <t>HL:</t>
        </r>
        <r>
          <rPr>
            <sz val="9"/>
            <rFont val="宋体"/>
            <family val="3"/>
            <charset val="134"/>
          </rPr>
          <t xml:space="preserve">
2024.09.01-09.16
2024.09.17-09.30</t>
        </r>
      </text>
    </comment>
    <comment ref="HP106" authorId="1">
      <text>
        <r>
          <rPr>
            <b/>
            <sz val="9"/>
            <rFont val="宋体"/>
            <family val="3"/>
            <charset val="134"/>
          </rPr>
          <t>HL:</t>
        </r>
        <r>
          <rPr>
            <sz val="9"/>
            <rFont val="宋体"/>
            <family val="3"/>
            <charset val="134"/>
          </rPr>
          <t xml:space="preserve">
2024.10.01-10.16
</t>
        </r>
      </text>
    </comment>
    <comment ref="HT106" authorId="1">
      <text>
        <r>
          <rPr>
            <b/>
            <sz val="9"/>
            <rFont val="宋体"/>
            <family val="3"/>
            <charset val="134"/>
          </rPr>
          <t>HL:</t>
        </r>
        <r>
          <rPr>
            <sz val="9"/>
            <rFont val="宋体"/>
            <family val="3"/>
            <charset val="134"/>
          </rPr>
          <t xml:space="preserve">
2024.10.01-10.16
</t>
        </r>
      </text>
    </comment>
    <comment ref="D107" authorId="2">
      <text>
        <r>
          <rPr>
            <b/>
            <sz val="9"/>
            <rFont val="宋体"/>
            <family val="3"/>
            <charset val="134"/>
          </rPr>
          <t>作者:</t>
        </r>
        <r>
          <rPr>
            <sz val="9"/>
            <rFont val="宋体"/>
            <family val="3"/>
            <charset val="134"/>
          </rPr>
          <t xml:space="preserve">
1503-05：500
1505B:80
1506:300
1507A:50
1507B:100
1508:151.88
</t>
        </r>
      </text>
    </comment>
    <comment ref="J107" authorId="1">
      <text>
        <r>
          <rPr>
            <b/>
            <sz val="9"/>
            <rFont val="宋体"/>
            <family val="3"/>
            <charset val="134"/>
          </rPr>
          <t>HL:</t>
        </r>
        <r>
          <rPr>
            <sz val="9"/>
            <rFont val="宋体"/>
            <family val="3"/>
            <charset val="134"/>
          </rPr>
          <t xml:space="preserve">
租期内含免租期为伍个月，
自2023年10月01日起至 2023年10月31日止，
自2024年08月17日起至 2024年09月16日止，
自2025年08月17日起至 2025年09月16日止，
自2026年08月17日起至 2026年09月16日止，
自2027年08月17日起至 2027年09月16日止。</t>
        </r>
      </text>
    </comment>
    <comment ref="T107" authorId="1">
      <text>
        <r>
          <rPr>
            <b/>
            <sz val="9"/>
            <rFont val="宋体"/>
            <family val="3"/>
            <charset val="134"/>
          </rPr>
          <t>HL:</t>
        </r>
        <r>
          <rPr>
            <sz val="9"/>
            <rFont val="宋体"/>
            <family val="3"/>
            <charset val="134"/>
          </rPr>
          <t xml:space="preserve">
2023年10月01日至2025年08月16日，该房屋租金的日单价为4.17元；月租金71821.73
2025年08月17日至2027年08月16日，该房屋租金的日单价为4.42元；月租金76127.59
2027年08月17日至2028年04月16日，该房屋租金的日单价为4.68元；月租金80605.69</t>
        </r>
      </text>
    </comment>
    <comment ref="CQ107" authorId="1">
      <text>
        <r>
          <rPr>
            <b/>
            <sz val="9"/>
            <rFont val="宋体"/>
            <family val="3"/>
            <charset val="134"/>
          </rPr>
          <t>HL:</t>
        </r>
        <r>
          <rPr>
            <sz val="9"/>
            <rFont val="宋体"/>
            <family val="3"/>
            <charset val="134"/>
          </rPr>
          <t xml:space="preserve">
自2024年08月17日起至 2024年09月16日止 免租</t>
        </r>
      </text>
    </comment>
    <comment ref="CR107" authorId="1">
      <text>
        <r>
          <rPr>
            <b/>
            <sz val="9"/>
            <rFont val="宋体"/>
            <family val="3"/>
            <charset val="134"/>
          </rPr>
          <t>HL:</t>
        </r>
        <r>
          <rPr>
            <sz val="9"/>
            <rFont val="宋体"/>
            <family val="3"/>
            <charset val="134"/>
          </rPr>
          <t xml:space="preserve">
自2024年08月17日起至 2024年09月16日止 免租</t>
        </r>
      </text>
    </comment>
    <comment ref="EV107" authorId="1">
      <text>
        <r>
          <rPr>
            <b/>
            <sz val="9"/>
            <rFont val="宋体"/>
            <family val="3"/>
            <charset val="134"/>
          </rPr>
          <t>HL:</t>
        </r>
        <r>
          <rPr>
            <sz val="9"/>
            <rFont val="宋体"/>
            <family val="3"/>
            <charset val="134"/>
          </rPr>
          <t xml:space="preserve">
2024.01.01-01.16
2024.01.17-01.31</t>
        </r>
      </text>
    </comment>
    <comment ref="EZ107" authorId="1">
      <text>
        <r>
          <rPr>
            <b/>
            <sz val="9"/>
            <rFont val="宋体"/>
            <family val="3"/>
            <charset val="134"/>
          </rPr>
          <t>HL:</t>
        </r>
        <r>
          <rPr>
            <sz val="9"/>
            <rFont val="宋体"/>
            <family val="3"/>
            <charset val="134"/>
          </rPr>
          <t xml:space="preserve">
2024.01.01-01.16
2024.01.17-01.31</t>
        </r>
      </text>
    </comment>
    <comment ref="FD107" authorId="1">
      <text>
        <r>
          <rPr>
            <b/>
            <sz val="9"/>
            <rFont val="宋体"/>
            <family val="3"/>
            <charset val="134"/>
          </rPr>
          <t>HL:</t>
        </r>
        <r>
          <rPr>
            <sz val="9"/>
            <rFont val="宋体"/>
            <family val="3"/>
            <charset val="134"/>
          </rPr>
          <t xml:space="preserve">
2024.02.01-02.16
2024.02.17-02.29</t>
        </r>
      </text>
    </comment>
    <comment ref="FH107" authorId="1">
      <text>
        <r>
          <rPr>
            <b/>
            <sz val="9"/>
            <rFont val="宋体"/>
            <family val="3"/>
            <charset val="134"/>
          </rPr>
          <t>HL:</t>
        </r>
        <r>
          <rPr>
            <sz val="9"/>
            <rFont val="宋体"/>
            <family val="3"/>
            <charset val="134"/>
          </rPr>
          <t xml:space="preserve">
2024.02.01-02.16
2024.02.17-02.29</t>
        </r>
      </text>
    </comment>
    <comment ref="FL107" authorId="1">
      <text>
        <r>
          <rPr>
            <b/>
            <sz val="9"/>
            <rFont val="宋体"/>
            <family val="3"/>
            <charset val="134"/>
          </rPr>
          <t>HL:</t>
        </r>
        <r>
          <rPr>
            <sz val="9"/>
            <rFont val="宋体"/>
            <family val="3"/>
            <charset val="134"/>
          </rPr>
          <t xml:space="preserve">
2024.03.01-03.16
2024.03.17-03.31</t>
        </r>
      </text>
    </comment>
    <comment ref="FP107" authorId="1">
      <text>
        <r>
          <rPr>
            <b/>
            <sz val="9"/>
            <rFont val="宋体"/>
            <family val="3"/>
            <charset val="134"/>
          </rPr>
          <t>HL:</t>
        </r>
        <r>
          <rPr>
            <sz val="9"/>
            <rFont val="宋体"/>
            <family val="3"/>
            <charset val="134"/>
          </rPr>
          <t xml:space="preserve">
2024.03.01-03.16
2024.03.17-03.31</t>
        </r>
      </text>
    </comment>
    <comment ref="FT107" authorId="1">
      <text>
        <r>
          <rPr>
            <b/>
            <sz val="9"/>
            <rFont val="宋体"/>
            <family val="3"/>
            <charset val="134"/>
          </rPr>
          <t>HL:</t>
        </r>
        <r>
          <rPr>
            <sz val="9"/>
            <rFont val="宋体"/>
            <family val="3"/>
            <charset val="134"/>
          </rPr>
          <t xml:space="preserve">
2024.04.01-04.16
2024.04.17-04.30</t>
        </r>
      </text>
    </comment>
    <comment ref="FX107" authorId="1">
      <text>
        <r>
          <rPr>
            <b/>
            <sz val="9"/>
            <rFont val="宋体"/>
            <family val="3"/>
            <charset val="134"/>
          </rPr>
          <t>HL:</t>
        </r>
        <r>
          <rPr>
            <sz val="9"/>
            <rFont val="宋体"/>
            <family val="3"/>
            <charset val="134"/>
          </rPr>
          <t xml:space="preserve">
2024.04.01-04.16
2024.04.17-04.30</t>
        </r>
      </text>
    </comment>
    <comment ref="GB107" authorId="1">
      <text>
        <r>
          <rPr>
            <b/>
            <sz val="9"/>
            <rFont val="宋体"/>
            <family val="3"/>
            <charset val="134"/>
          </rPr>
          <t>HL:</t>
        </r>
        <r>
          <rPr>
            <sz val="9"/>
            <rFont val="宋体"/>
            <family val="3"/>
            <charset val="134"/>
          </rPr>
          <t xml:space="preserve">
2024.05.01-05.16
2024.05.17-05.31</t>
        </r>
      </text>
    </comment>
    <comment ref="GF107" authorId="1">
      <text>
        <r>
          <rPr>
            <b/>
            <sz val="9"/>
            <rFont val="宋体"/>
            <family val="3"/>
            <charset val="134"/>
          </rPr>
          <t>HL:</t>
        </r>
        <r>
          <rPr>
            <sz val="9"/>
            <rFont val="宋体"/>
            <family val="3"/>
            <charset val="134"/>
          </rPr>
          <t xml:space="preserve">
2024.05.01-05.16
2024.05.17-05.31</t>
        </r>
      </text>
    </comment>
    <comment ref="GJ107" authorId="1">
      <text>
        <r>
          <rPr>
            <b/>
            <sz val="9"/>
            <rFont val="宋体"/>
            <family val="3"/>
            <charset val="134"/>
          </rPr>
          <t>HL:</t>
        </r>
        <r>
          <rPr>
            <sz val="9"/>
            <rFont val="宋体"/>
            <family val="3"/>
            <charset val="134"/>
          </rPr>
          <t xml:space="preserve">
2024.06.01-06.16
2024.06.17-06.30</t>
        </r>
      </text>
    </comment>
    <comment ref="GN107" authorId="1">
      <text>
        <r>
          <rPr>
            <b/>
            <sz val="9"/>
            <rFont val="宋体"/>
            <family val="3"/>
            <charset val="134"/>
          </rPr>
          <t>HL:</t>
        </r>
        <r>
          <rPr>
            <sz val="9"/>
            <rFont val="宋体"/>
            <family val="3"/>
            <charset val="134"/>
          </rPr>
          <t xml:space="preserve">
2024.06.01-06.16
2024.06.17-06.30</t>
        </r>
      </text>
    </comment>
    <comment ref="GR107" authorId="1">
      <text>
        <r>
          <rPr>
            <b/>
            <sz val="9"/>
            <rFont val="宋体"/>
            <family val="3"/>
            <charset val="134"/>
          </rPr>
          <t>HL:</t>
        </r>
        <r>
          <rPr>
            <sz val="9"/>
            <rFont val="宋体"/>
            <family val="3"/>
            <charset val="134"/>
          </rPr>
          <t xml:space="preserve">
2024.07.01-07.16
2024.07.17-07.31</t>
        </r>
      </text>
    </comment>
    <comment ref="GV107" authorId="1">
      <text>
        <r>
          <rPr>
            <b/>
            <sz val="9"/>
            <rFont val="宋体"/>
            <family val="3"/>
            <charset val="134"/>
          </rPr>
          <t>HL:</t>
        </r>
        <r>
          <rPr>
            <sz val="9"/>
            <rFont val="宋体"/>
            <family val="3"/>
            <charset val="134"/>
          </rPr>
          <t xml:space="preserve">
2024.07.01-07.16
2024.07.17-07.31</t>
        </r>
      </text>
    </comment>
    <comment ref="GY107" authorId="1">
      <text>
        <r>
          <rPr>
            <b/>
            <sz val="9"/>
            <rFont val="宋体"/>
            <family val="3"/>
            <charset val="134"/>
          </rPr>
          <t>HL:</t>
        </r>
        <r>
          <rPr>
            <sz val="9"/>
            <rFont val="宋体"/>
            <family val="3"/>
            <charset val="134"/>
          </rPr>
          <t xml:space="preserve">
租期内含免租期为自2024年08月17日起至 2024年09月16日止
本月2024.08.01-08.16</t>
        </r>
      </text>
    </comment>
    <comment ref="GZ107" authorId="1">
      <text>
        <r>
          <rPr>
            <b/>
            <sz val="9"/>
            <rFont val="宋体"/>
            <family val="3"/>
            <charset val="134"/>
          </rPr>
          <t>HL:</t>
        </r>
        <r>
          <rPr>
            <sz val="9"/>
            <rFont val="宋体"/>
            <family val="3"/>
            <charset val="134"/>
          </rPr>
          <t xml:space="preserve">
租期内含免租期为自2024年08月17日起至 2024年09月16日止
本月2024.08.01-08.16</t>
        </r>
      </text>
    </comment>
    <comment ref="HD107" authorId="1">
      <text>
        <r>
          <rPr>
            <b/>
            <sz val="9"/>
            <rFont val="宋体"/>
            <family val="3"/>
            <charset val="134"/>
          </rPr>
          <t>HL:</t>
        </r>
        <r>
          <rPr>
            <sz val="9"/>
            <rFont val="宋体"/>
            <family val="3"/>
            <charset val="134"/>
          </rPr>
          <t xml:space="preserve">
2024.08.01-08.16
2024.08.17-08.31</t>
        </r>
      </text>
    </comment>
    <comment ref="HG107" authorId="1">
      <text>
        <r>
          <rPr>
            <b/>
            <sz val="9"/>
            <rFont val="宋体"/>
            <family val="3"/>
            <charset val="134"/>
          </rPr>
          <t>HL:</t>
        </r>
        <r>
          <rPr>
            <sz val="9"/>
            <rFont val="宋体"/>
            <family val="3"/>
            <charset val="134"/>
          </rPr>
          <t xml:space="preserve">
租期内含免租期为自2024年08月17日起至 2024年09月16日止
</t>
        </r>
      </text>
    </comment>
    <comment ref="HH107" authorId="1">
      <text>
        <r>
          <rPr>
            <b/>
            <sz val="9"/>
            <rFont val="宋体"/>
            <family val="3"/>
            <charset val="134"/>
          </rPr>
          <t>HL:</t>
        </r>
        <r>
          <rPr>
            <sz val="9"/>
            <rFont val="宋体"/>
            <family val="3"/>
            <charset val="134"/>
          </rPr>
          <t xml:space="preserve">
租期内含免租期为自2024年08月17日起至 2024年09月16日止
本月收2024.09.17-09.30</t>
        </r>
      </text>
    </comment>
    <comment ref="HL107" authorId="1">
      <text>
        <r>
          <rPr>
            <b/>
            <sz val="9"/>
            <rFont val="宋体"/>
            <family val="3"/>
            <charset val="134"/>
          </rPr>
          <t>HL:</t>
        </r>
        <r>
          <rPr>
            <sz val="9"/>
            <rFont val="宋体"/>
            <family val="3"/>
            <charset val="134"/>
          </rPr>
          <t xml:space="preserve">
2024.09.01-09.16
2024.09.17-09.30</t>
        </r>
      </text>
    </comment>
    <comment ref="HP107" authorId="1">
      <text>
        <r>
          <rPr>
            <b/>
            <sz val="9"/>
            <rFont val="宋体"/>
            <family val="3"/>
            <charset val="134"/>
          </rPr>
          <t>HL:</t>
        </r>
        <r>
          <rPr>
            <sz val="9"/>
            <rFont val="宋体"/>
            <family val="3"/>
            <charset val="134"/>
          </rPr>
          <t xml:space="preserve">
2024.10.01-10.16
</t>
        </r>
      </text>
    </comment>
    <comment ref="HT107" authorId="1">
      <text>
        <r>
          <rPr>
            <b/>
            <sz val="9"/>
            <rFont val="宋体"/>
            <family val="3"/>
            <charset val="134"/>
          </rPr>
          <t>HL:</t>
        </r>
        <r>
          <rPr>
            <sz val="9"/>
            <rFont val="宋体"/>
            <family val="3"/>
            <charset val="134"/>
          </rPr>
          <t xml:space="preserve">
2024.10.01-10.16
</t>
        </r>
      </text>
    </comment>
    <comment ref="D110" authorId="2">
      <text>
        <r>
          <rPr>
            <b/>
            <sz val="9"/>
            <rFont val="宋体"/>
            <family val="3"/>
            <charset val="134"/>
          </rPr>
          <t>作者:</t>
        </r>
        <r>
          <rPr>
            <sz val="9"/>
            <rFont val="宋体"/>
            <family val="3"/>
            <charset val="134"/>
          </rPr>
          <t xml:space="preserve">
1603-04-07 608.85
1605-06 395.80</t>
        </r>
      </text>
    </comment>
    <comment ref="G110" authorId="1">
      <text>
        <r>
          <rPr>
            <b/>
            <sz val="9"/>
            <rFont val="宋体"/>
            <family val="3"/>
            <charset val="134"/>
          </rPr>
          <t>HL:</t>
        </r>
        <r>
          <rPr>
            <sz val="9"/>
            <rFont val="宋体"/>
            <family val="3"/>
            <charset val="134"/>
          </rPr>
          <t xml:space="preserve">
北京多金文化发展有限公司改名 2020.02.11
2022.09 更新爱芯科技
爱芯科技于08.15-09.17收取场租费302148.49元，按9元标准，1004.65平米。</t>
        </r>
      </text>
    </comment>
    <comment ref="J110" authorId="2">
      <text>
        <r>
          <rPr>
            <b/>
            <sz val="9"/>
            <rFont val="宋体"/>
            <family val="3"/>
            <charset val="134"/>
          </rPr>
          <t>作者:</t>
        </r>
        <r>
          <rPr>
            <sz val="9"/>
            <rFont val="宋体"/>
            <family val="3"/>
            <charset val="134"/>
          </rPr>
          <t xml:space="preserve">
租期贰年零壹个月。租期内含免租期为 壹 个月，自   2022 年  09月 18日 起至    2022 年 10  月 17日 止</t>
        </r>
      </text>
    </comment>
    <comment ref="M110" authorId="2">
      <text>
        <r>
          <rPr>
            <b/>
            <sz val="9"/>
            <rFont val="宋体"/>
            <family val="3"/>
            <charset val="134"/>
          </rPr>
          <t>作者:</t>
        </r>
        <r>
          <rPr>
            <sz val="9"/>
            <rFont val="宋体"/>
            <family val="3"/>
            <charset val="134"/>
          </rPr>
          <t xml:space="preserve">
909和1603-07押金646814.22元
物业费押金 80695.29 元</t>
        </r>
      </text>
    </comment>
    <comment ref="N110" authorId="2">
      <text>
        <r>
          <rPr>
            <b/>
            <sz val="9"/>
            <rFont val="宋体"/>
            <family val="3"/>
            <charset val="134"/>
          </rPr>
          <t>作者:</t>
        </r>
        <r>
          <rPr>
            <sz val="9"/>
            <rFont val="宋体"/>
            <family val="3"/>
            <charset val="134"/>
          </rPr>
          <t xml:space="preserve">
909和1603-07押金646814.22元
物业费押金 80695.29 元
原多金押金</t>
        </r>
      </text>
    </comment>
    <comment ref="Q110" authorId="2">
      <text>
        <r>
          <rPr>
            <b/>
            <sz val="9"/>
            <rFont val="宋体"/>
            <family val="3"/>
            <charset val="134"/>
          </rPr>
          <t>作者:</t>
        </r>
        <r>
          <rPr>
            <sz val="9"/>
            <rFont val="宋体"/>
            <family val="3"/>
            <charset val="134"/>
          </rPr>
          <t xml:space="preserve">
909和1603-07押金646814.22元
物业费押金 80695.29 元</t>
        </r>
      </text>
    </comment>
    <comment ref="CZ110" authorId="0">
      <text>
        <r>
          <rPr>
            <b/>
            <sz val="9"/>
            <rFont val="宋体"/>
            <family val="3"/>
            <charset val="134"/>
          </rPr>
          <t>64001:</t>
        </r>
        <r>
          <rPr>
            <sz val="9"/>
            <rFont val="宋体"/>
            <family val="3"/>
            <charset val="134"/>
          </rPr>
          <t xml:space="preserve">
2024.10.01-10.17</t>
        </r>
      </text>
    </comment>
    <comment ref="HO110" authorId="1">
      <text>
        <r>
          <rPr>
            <b/>
            <sz val="9"/>
            <rFont val="宋体"/>
            <family val="3"/>
            <charset val="134"/>
          </rPr>
          <t>HL:</t>
        </r>
        <r>
          <rPr>
            <sz val="9"/>
            <rFont val="宋体"/>
            <family val="3"/>
            <charset val="134"/>
          </rPr>
          <t xml:space="preserve">
2024.10.01-10.17
2024.10.18-10.31</t>
        </r>
      </text>
    </comment>
    <comment ref="HP110" authorId="1">
      <text>
        <r>
          <rPr>
            <b/>
            <sz val="9"/>
            <rFont val="宋体"/>
            <family val="3"/>
            <charset val="134"/>
          </rPr>
          <t>HL:</t>
        </r>
        <r>
          <rPr>
            <sz val="9"/>
            <rFont val="宋体"/>
            <family val="3"/>
            <charset val="134"/>
          </rPr>
          <t xml:space="preserve">
2024.10.01-10.17</t>
        </r>
      </text>
    </comment>
    <comment ref="HS110" authorId="1">
      <text>
        <r>
          <rPr>
            <b/>
            <sz val="9"/>
            <rFont val="宋体"/>
            <family val="3"/>
            <charset val="134"/>
          </rPr>
          <t>HL:</t>
        </r>
        <r>
          <rPr>
            <sz val="9"/>
            <rFont val="宋体"/>
            <family val="3"/>
            <charset val="134"/>
          </rPr>
          <t xml:space="preserve">
2024.10.01-10.17
2024.10.18-10.31</t>
        </r>
      </text>
    </comment>
    <comment ref="HT110" authorId="1">
      <text>
        <r>
          <rPr>
            <b/>
            <sz val="9"/>
            <rFont val="宋体"/>
            <family val="3"/>
            <charset val="134"/>
          </rPr>
          <t>HL:</t>
        </r>
        <r>
          <rPr>
            <sz val="9"/>
            <rFont val="宋体"/>
            <family val="3"/>
            <charset val="134"/>
          </rPr>
          <t xml:space="preserve">
2024.10.01-10.17
</t>
        </r>
      </text>
    </comment>
    <comment ref="D111" authorId="1">
      <text>
        <r>
          <rPr>
            <b/>
            <sz val="9"/>
            <rFont val="宋体"/>
            <family val="3"/>
            <charset val="134"/>
          </rPr>
          <t>HL:</t>
        </r>
        <r>
          <rPr>
            <sz val="9"/>
            <rFont val="宋体"/>
            <family val="3"/>
            <charset val="134"/>
          </rPr>
          <t xml:space="preserve">
1700-08面积1660.81</t>
        </r>
      </text>
    </comment>
    <comment ref="J111" authorId="1">
      <text>
        <r>
          <rPr>
            <b/>
            <sz val="9"/>
            <rFont val="宋体"/>
            <family val="3"/>
            <charset val="134"/>
          </rPr>
          <t>HL:</t>
        </r>
        <r>
          <rPr>
            <sz val="9"/>
            <rFont val="宋体"/>
            <family val="3"/>
            <charset val="134"/>
          </rPr>
          <t xml:space="preserve">
租期内含免租期为叁个月
2023年12月31日至2024年01月30日
2024年12月31日至2025年01月30日
2025年12月31日至2026年01月30日</t>
        </r>
      </text>
    </comment>
    <comment ref="T111" authorId="1">
      <text>
        <r>
          <rPr>
            <b/>
            <sz val="9"/>
            <rFont val="宋体"/>
            <family val="3"/>
            <charset val="134"/>
          </rPr>
          <t>HL:</t>
        </r>
        <r>
          <rPr>
            <sz val="9"/>
            <rFont val="宋体"/>
            <family val="3"/>
            <charset val="134"/>
          </rPr>
          <t xml:space="preserve">
2023年12月31日至2025年12月30日，该房屋租金的日单价为4.17元；
月租金38431.76元
2025年12月31日至2026年12月30日，该房屋租金的日单价为4.42元；
月租金40735.83元</t>
        </r>
      </text>
    </comment>
    <comment ref="AN111" authorId="1">
      <text>
        <r>
          <rPr>
            <b/>
            <sz val="9"/>
            <rFont val="宋体"/>
            <family val="3"/>
            <charset val="134"/>
          </rPr>
          <t>HL:</t>
        </r>
        <r>
          <rPr>
            <sz val="9"/>
            <rFont val="宋体"/>
            <family val="3"/>
            <charset val="134"/>
          </rPr>
          <t xml:space="preserve">
租期内含免租期为
2023年12月31日至2024年01月30日
本月收2024.01.31-03.30</t>
        </r>
      </text>
    </comment>
    <comment ref="AO111" authorId="1">
      <text>
        <r>
          <rPr>
            <b/>
            <sz val="9"/>
            <rFont val="宋体"/>
            <family val="3"/>
            <charset val="134"/>
          </rPr>
          <t>HL:</t>
        </r>
        <r>
          <rPr>
            <sz val="9"/>
            <rFont val="宋体"/>
            <family val="3"/>
            <charset val="134"/>
          </rPr>
          <t xml:space="preserve">
租期内含免租期为
2023年12月31日至2024年01月30日
本月收2024.01.31-03.30</t>
        </r>
      </text>
    </comment>
    <comment ref="DX111" authorId="1">
      <text>
        <r>
          <rPr>
            <b/>
            <sz val="9"/>
            <rFont val="宋体"/>
            <family val="3"/>
            <charset val="134"/>
          </rPr>
          <t>HL:</t>
        </r>
        <r>
          <rPr>
            <sz val="9"/>
            <rFont val="宋体"/>
            <family val="3"/>
            <charset val="134"/>
          </rPr>
          <t xml:space="preserve">
租期内含免租期为
2024年12月31日至2025年01月30日
</t>
        </r>
      </text>
    </comment>
    <comment ref="EU111" authorId="1">
      <text>
        <r>
          <rPr>
            <b/>
            <sz val="9"/>
            <rFont val="宋体"/>
            <family val="3"/>
            <charset val="134"/>
          </rPr>
          <t>HL:</t>
        </r>
        <r>
          <rPr>
            <sz val="9"/>
            <rFont val="宋体"/>
            <family val="3"/>
            <charset val="134"/>
          </rPr>
          <t xml:space="preserve">
租期内含免租期为
2023年12月31日至2024年01月30日
本月收2024.01.31
</t>
        </r>
      </text>
    </comment>
    <comment ref="EV111" authorId="1">
      <text>
        <r>
          <rPr>
            <b/>
            <sz val="9"/>
            <rFont val="宋体"/>
            <family val="3"/>
            <charset val="134"/>
          </rPr>
          <t>HL:</t>
        </r>
        <r>
          <rPr>
            <sz val="9"/>
            <rFont val="宋体"/>
            <family val="3"/>
            <charset val="134"/>
          </rPr>
          <t xml:space="preserve">
租期内含免租期为
2023年12月31日至2024年01月30日
本月收2024.01.31
</t>
        </r>
      </text>
    </comment>
    <comment ref="EY111" authorId="1">
      <text>
        <r>
          <rPr>
            <b/>
            <sz val="9"/>
            <rFont val="宋体"/>
            <family val="3"/>
            <charset val="134"/>
          </rPr>
          <t>HL:</t>
        </r>
        <r>
          <rPr>
            <sz val="9"/>
            <rFont val="宋体"/>
            <family val="3"/>
            <charset val="134"/>
          </rPr>
          <t xml:space="preserve">
2023.12.31
2024.01.01-01.31</t>
        </r>
      </text>
    </comment>
    <comment ref="EZ111" authorId="1">
      <text>
        <r>
          <rPr>
            <b/>
            <sz val="9"/>
            <rFont val="宋体"/>
            <family val="3"/>
            <charset val="134"/>
          </rPr>
          <t>HL:</t>
        </r>
        <r>
          <rPr>
            <sz val="9"/>
            <rFont val="宋体"/>
            <family val="3"/>
            <charset val="134"/>
          </rPr>
          <t xml:space="preserve">
2023.12.31
2024.01.01-01.31</t>
        </r>
      </text>
    </comment>
    <comment ref="FL111" authorId="1">
      <text>
        <r>
          <rPr>
            <b/>
            <sz val="9"/>
            <rFont val="宋体"/>
            <family val="3"/>
            <charset val="134"/>
          </rPr>
          <t>HL:</t>
        </r>
        <r>
          <rPr>
            <sz val="9"/>
            <rFont val="宋体"/>
            <family val="3"/>
            <charset val="134"/>
          </rPr>
          <t xml:space="preserve">
2024.03.01-03.30
2024.03.31</t>
        </r>
      </text>
    </comment>
    <comment ref="FP111" authorId="1">
      <text>
        <r>
          <rPr>
            <b/>
            <sz val="9"/>
            <rFont val="宋体"/>
            <family val="3"/>
            <charset val="134"/>
          </rPr>
          <t>HL:</t>
        </r>
        <r>
          <rPr>
            <sz val="9"/>
            <rFont val="宋体"/>
            <family val="3"/>
            <charset val="134"/>
          </rPr>
          <t xml:space="preserve">
2024.03.01-03.30
2024.03.31</t>
        </r>
      </text>
    </comment>
    <comment ref="GJ111" authorId="1">
      <text>
        <r>
          <rPr>
            <b/>
            <sz val="9"/>
            <rFont val="宋体"/>
            <family val="3"/>
            <charset val="134"/>
          </rPr>
          <t>HL:</t>
        </r>
        <r>
          <rPr>
            <sz val="9"/>
            <rFont val="宋体"/>
            <family val="3"/>
            <charset val="134"/>
          </rPr>
          <t xml:space="preserve">
2024.06.01-06.30
发票为06.29
因资软生成期间无法调整</t>
        </r>
      </text>
    </comment>
    <comment ref="GN111" authorId="1">
      <text>
        <r>
          <rPr>
            <b/>
            <sz val="9"/>
            <rFont val="宋体"/>
            <family val="3"/>
            <charset val="134"/>
          </rPr>
          <t>HL:</t>
        </r>
        <r>
          <rPr>
            <sz val="9"/>
            <rFont val="宋体"/>
            <family val="3"/>
            <charset val="134"/>
          </rPr>
          <t xml:space="preserve">
2024.06.01-06.30
发票为06.29
因资软生成期间无法调整</t>
        </r>
      </text>
    </comment>
    <comment ref="HH111" authorId="1">
      <text>
        <r>
          <rPr>
            <b/>
            <sz val="9"/>
            <rFont val="宋体"/>
            <family val="3"/>
            <charset val="134"/>
          </rPr>
          <t>HL:</t>
        </r>
        <r>
          <rPr>
            <sz val="9"/>
            <rFont val="宋体"/>
            <family val="3"/>
            <charset val="134"/>
          </rPr>
          <t xml:space="preserve">
2024.09.01-09.29
2024.09.30-09.30</t>
        </r>
      </text>
    </comment>
    <comment ref="HL111" authorId="1">
      <text>
        <r>
          <rPr>
            <b/>
            <sz val="9"/>
            <rFont val="宋体"/>
            <family val="3"/>
            <charset val="134"/>
          </rPr>
          <t>HL:</t>
        </r>
        <r>
          <rPr>
            <sz val="9"/>
            <rFont val="宋体"/>
            <family val="3"/>
            <charset val="134"/>
          </rPr>
          <t xml:space="preserve">
2024.09.01-09.29
2024.09.30-09.30</t>
        </r>
      </text>
    </comment>
    <comment ref="IE111" authorId="1">
      <text>
        <r>
          <rPr>
            <b/>
            <sz val="9"/>
            <rFont val="宋体"/>
            <family val="3"/>
            <charset val="134"/>
          </rPr>
          <t>HL:</t>
        </r>
        <r>
          <rPr>
            <sz val="9"/>
            <rFont val="宋体"/>
            <family val="3"/>
            <charset val="134"/>
          </rPr>
          <t xml:space="preserve">
租期内含免租期为
2024年12月31日至2025年01月30日
本月收2024.12.01-12.30</t>
        </r>
      </text>
    </comment>
    <comment ref="IF111" authorId="1">
      <text>
        <r>
          <rPr>
            <b/>
            <sz val="9"/>
            <rFont val="宋体"/>
            <family val="3"/>
            <charset val="134"/>
          </rPr>
          <t>HL:</t>
        </r>
        <r>
          <rPr>
            <sz val="9"/>
            <rFont val="宋体"/>
            <family val="3"/>
            <charset val="134"/>
          </rPr>
          <t xml:space="preserve">
租期内含免租期为
2024年12月31日至2025年01月30日
本月收2024.12.01-12.30</t>
        </r>
      </text>
    </comment>
    <comment ref="II111" authorId="1">
      <text>
        <r>
          <rPr>
            <b/>
            <sz val="9"/>
            <rFont val="宋体"/>
            <family val="3"/>
            <charset val="134"/>
          </rPr>
          <t>HL:</t>
        </r>
        <r>
          <rPr>
            <sz val="9"/>
            <rFont val="宋体"/>
            <family val="3"/>
            <charset val="134"/>
          </rPr>
          <t xml:space="preserve">
2024.12.01-12.30
2024.12.31</t>
        </r>
      </text>
    </comment>
    <comment ref="IJ111" authorId="1">
      <text>
        <r>
          <rPr>
            <b/>
            <sz val="9"/>
            <rFont val="宋体"/>
            <family val="3"/>
            <charset val="134"/>
          </rPr>
          <t>HL:</t>
        </r>
        <r>
          <rPr>
            <sz val="9"/>
            <rFont val="宋体"/>
            <family val="3"/>
            <charset val="134"/>
          </rPr>
          <t xml:space="preserve">
租期内含免租期为
2024年12月31日至2025年01月30日
本月收2024.12.01-12.30</t>
        </r>
      </text>
    </comment>
    <comment ref="IM111" authorId="1">
      <text>
        <r>
          <rPr>
            <b/>
            <sz val="9"/>
            <rFont val="宋体"/>
            <family val="3"/>
            <charset val="134"/>
          </rPr>
          <t>HL:</t>
        </r>
        <r>
          <rPr>
            <sz val="9"/>
            <rFont val="宋体"/>
            <family val="3"/>
            <charset val="134"/>
          </rPr>
          <t xml:space="preserve">
租期内含免租期为
2024年12月31日至2025年01月30日
</t>
        </r>
      </text>
    </comment>
    <comment ref="J112" authorId="1">
      <text>
        <r>
          <rPr>
            <b/>
            <sz val="9"/>
            <rFont val="宋体"/>
            <family val="3"/>
            <charset val="134"/>
          </rPr>
          <t>HL:</t>
        </r>
        <r>
          <rPr>
            <sz val="9"/>
            <rFont val="宋体"/>
            <family val="3"/>
            <charset val="134"/>
          </rPr>
          <t xml:space="preserve">
租期内含免租期为叁个月
2023年12月31日至2024年01月30日
2024年12月31日至2025年01月30日
2025年12月31日至2026年01月30日</t>
        </r>
      </text>
    </comment>
    <comment ref="T112" authorId="1">
      <text>
        <r>
          <rPr>
            <b/>
            <sz val="9"/>
            <rFont val="宋体"/>
            <family val="3"/>
            <charset val="134"/>
          </rPr>
          <t>HL:</t>
        </r>
        <r>
          <rPr>
            <sz val="9"/>
            <rFont val="宋体"/>
            <family val="3"/>
            <charset val="134"/>
          </rPr>
          <t xml:space="preserve">
2023年12月31日至2025年12月30日，该房屋租金的日单价为4.17元；
月租金36909.71元
2025年12月31日至2026年12月30日，该房屋租金的日单价为4.42元；
月租金39122.53元</t>
        </r>
      </text>
    </comment>
    <comment ref="AN112" authorId="1">
      <text>
        <r>
          <rPr>
            <b/>
            <sz val="9"/>
            <rFont val="宋体"/>
            <family val="3"/>
            <charset val="134"/>
          </rPr>
          <t>HL:</t>
        </r>
        <r>
          <rPr>
            <sz val="9"/>
            <rFont val="宋体"/>
            <family val="3"/>
            <charset val="134"/>
          </rPr>
          <t xml:space="preserve">
租期内含免租期为
2023年12月31日至2024年01月30日
本月收2024.01.31-03.30</t>
        </r>
      </text>
    </comment>
    <comment ref="AO112" authorId="1">
      <text>
        <r>
          <rPr>
            <b/>
            <sz val="9"/>
            <rFont val="宋体"/>
            <family val="3"/>
            <charset val="134"/>
          </rPr>
          <t>HL:</t>
        </r>
        <r>
          <rPr>
            <sz val="9"/>
            <rFont val="宋体"/>
            <family val="3"/>
            <charset val="134"/>
          </rPr>
          <t xml:space="preserve">
租期内含免租期为
2023年12月31日至2024年01月30日
本月收2024.01.31-03.30</t>
        </r>
      </text>
    </comment>
    <comment ref="DX112" authorId="1">
      <text>
        <r>
          <rPr>
            <b/>
            <sz val="9"/>
            <rFont val="宋体"/>
            <family val="3"/>
            <charset val="134"/>
          </rPr>
          <t>HL:</t>
        </r>
        <r>
          <rPr>
            <sz val="9"/>
            <rFont val="宋体"/>
            <family val="3"/>
            <charset val="134"/>
          </rPr>
          <t xml:space="preserve">
租期内含免租期为
2024年12月31日至2025年01月30日
</t>
        </r>
      </text>
    </comment>
    <comment ref="EU112" authorId="1">
      <text>
        <r>
          <rPr>
            <b/>
            <sz val="9"/>
            <rFont val="宋体"/>
            <family val="3"/>
            <charset val="134"/>
          </rPr>
          <t>HL:</t>
        </r>
        <r>
          <rPr>
            <sz val="9"/>
            <rFont val="宋体"/>
            <family val="3"/>
            <charset val="134"/>
          </rPr>
          <t xml:space="preserve">
租期内含免租期为
2023年12月31日至2024年01月30日
本月收2024.01.31
</t>
        </r>
      </text>
    </comment>
    <comment ref="EV112" authorId="1">
      <text>
        <r>
          <rPr>
            <b/>
            <sz val="9"/>
            <rFont val="宋体"/>
            <family val="3"/>
            <charset val="134"/>
          </rPr>
          <t>HL:</t>
        </r>
        <r>
          <rPr>
            <sz val="9"/>
            <rFont val="宋体"/>
            <family val="3"/>
            <charset val="134"/>
          </rPr>
          <t xml:space="preserve">
租期内含免租期为
2023年12月31日至2024年01月30日
本月收2024.01.31
</t>
        </r>
      </text>
    </comment>
    <comment ref="EY112" authorId="1">
      <text>
        <r>
          <rPr>
            <b/>
            <sz val="9"/>
            <rFont val="宋体"/>
            <family val="3"/>
            <charset val="134"/>
          </rPr>
          <t>HL:</t>
        </r>
        <r>
          <rPr>
            <sz val="9"/>
            <rFont val="宋体"/>
            <family val="3"/>
            <charset val="134"/>
          </rPr>
          <t xml:space="preserve">
2023.12.31
2024.01.01-01.31</t>
        </r>
      </text>
    </comment>
    <comment ref="EZ112" authorId="1">
      <text>
        <r>
          <rPr>
            <b/>
            <sz val="9"/>
            <rFont val="宋体"/>
            <family val="3"/>
            <charset val="134"/>
          </rPr>
          <t>HL:</t>
        </r>
        <r>
          <rPr>
            <sz val="9"/>
            <rFont val="宋体"/>
            <family val="3"/>
            <charset val="134"/>
          </rPr>
          <t xml:space="preserve">
2023.12.31
2024.01.01-01.31</t>
        </r>
      </text>
    </comment>
    <comment ref="FL112" authorId="1">
      <text>
        <r>
          <rPr>
            <b/>
            <sz val="9"/>
            <rFont val="宋体"/>
            <family val="3"/>
            <charset val="134"/>
          </rPr>
          <t>HL:</t>
        </r>
        <r>
          <rPr>
            <sz val="9"/>
            <rFont val="宋体"/>
            <family val="3"/>
            <charset val="134"/>
          </rPr>
          <t xml:space="preserve">
2024.03.01-03.30
2024.03.31</t>
        </r>
      </text>
    </comment>
    <comment ref="FP112" authorId="1">
      <text>
        <r>
          <rPr>
            <b/>
            <sz val="9"/>
            <rFont val="宋体"/>
            <family val="3"/>
            <charset val="134"/>
          </rPr>
          <t>HL:</t>
        </r>
        <r>
          <rPr>
            <sz val="9"/>
            <rFont val="宋体"/>
            <family val="3"/>
            <charset val="134"/>
          </rPr>
          <t xml:space="preserve">
2024.03.01-03.30
2024.03.31</t>
        </r>
      </text>
    </comment>
    <comment ref="GJ112" authorId="1">
      <text>
        <r>
          <rPr>
            <b/>
            <sz val="9"/>
            <rFont val="宋体"/>
            <family val="3"/>
            <charset val="134"/>
          </rPr>
          <t>HL:</t>
        </r>
        <r>
          <rPr>
            <sz val="9"/>
            <rFont val="宋体"/>
            <family val="3"/>
            <charset val="134"/>
          </rPr>
          <t xml:space="preserve">
2024.06.01-06.30
发票为06.29
因资软生成期间无法调整</t>
        </r>
      </text>
    </comment>
    <comment ref="GN112" authorId="1">
      <text>
        <r>
          <rPr>
            <b/>
            <sz val="9"/>
            <rFont val="宋体"/>
            <family val="3"/>
            <charset val="134"/>
          </rPr>
          <t>HL:</t>
        </r>
        <r>
          <rPr>
            <sz val="9"/>
            <rFont val="宋体"/>
            <family val="3"/>
            <charset val="134"/>
          </rPr>
          <t xml:space="preserve">
2024.06.01-06.30
发票为06.29
因资软生成期间无法调整</t>
        </r>
      </text>
    </comment>
    <comment ref="HH112" authorId="1">
      <text>
        <r>
          <rPr>
            <b/>
            <sz val="9"/>
            <rFont val="宋体"/>
            <family val="3"/>
            <charset val="134"/>
          </rPr>
          <t>HL:</t>
        </r>
        <r>
          <rPr>
            <sz val="9"/>
            <rFont val="宋体"/>
            <family val="3"/>
            <charset val="134"/>
          </rPr>
          <t xml:space="preserve">
2024.09.01-09.29
2024.09.30-09.30</t>
        </r>
      </text>
    </comment>
    <comment ref="HL112" authorId="1">
      <text>
        <r>
          <rPr>
            <b/>
            <sz val="9"/>
            <rFont val="宋体"/>
            <family val="3"/>
            <charset val="134"/>
          </rPr>
          <t>HL:</t>
        </r>
        <r>
          <rPr>
            <sz val="9"/>
            <rFont val="宋体"/>
            <family val="3"/>
            <charset val="134"/>
          </rPr>
          <t xml:space="preserve">
2024.09.01-09.29
2024.09.30-09.30</t>
        </r>
      </text>
    </comment>
    <comment ref="IE112" authorId="1">
      <text>
        <r>
          <rPr>
            <b/>
            <sz val="9"/>
            <rFont val="宋体"/>
            <family val="3"/>
            <charset val="134"/>
          </rPr>
          <t>HL:</t>
        </r>
        <r>
          <rPr>
            <sz val="9"/>
            <rFont val="宋体"/>
            <family val="3"/>
            <charset val="134"/>
          </rPr>
          <t xml:space="preserve">
租期内含免租期为
2024年12月31日至2025年01月30日
本月收2024.12.01-12.30</t>
        </r>
      </text>
    </comment>
    <comment ref="IF112" authorId="1">
      <text>
        <r>
          <rPr>
            <b/>
            <sz val="9"/>
            <rFont val="宋体"/>
            <family val="3"/>
            <charset val="134"/>
          </rPr>
          <t>HL:</t>
        </r>
        <r>
          <rPr>
            <sz val="9"/>
            <rFont val="宋体"/>
            <family val="3"/>
            <charset val="134"/>
          </rPr>
          <t xml:space="preserve">
租期内含免租期为
2024年12月31日至2025年01月30日
本月收2024.12.01-12.30</t>
        </r>
      </text>
    </comment>
    <comment ref="II112" authorId="1">
      <text>
        <r>
          <rPr>
            <b/>
            <sz val="9"/>
            <rFont val="宋体"/>
            <family val="3"/>
            <charset val="134"/>
          </rPr>
          <t>HL:</t>
        </r>
        <r>
          <rPr>
            <sz val="9"/>
            <rFont val="宋体"/>
            <family val="3"/>
            <charset val="134"/>
          </rPr>
          <t xml:space="preserve">
2024.12.01-12.30
2024.12.31</t>
        </r>
      </text>
    </comment>
    <comment ref="IJ112" authorId="1">
      <text>
        <r>
          <rPr>
            <b/>
            <sz val="9"/>
            <rFont val="宋体"/>
            <family val="3"/>
            <charset val="134"/>
          </rPr>
          <t>HL:</t>
        </r>
        <r>
          <rPr>
            <sz val="9"/>
            <rFont val="宋体"/>
            <family val="3"/>
            <charset val="134"/>
          </rPr>
          <t xml:space="preserve">
租期内含免租期为
2024年12月31日至2025年01月30日
本月收2024.12.01-12.30</t>
        </r>
      </text>
    </comment>
    <comment ref="IM112" authorId="1">
      <text>
        <r>
          <rPr>
            <b/>
            <sz val="9"/>
            <rFont val="宋体"/>
            <family val="3"/>
            <charset val="134"/>
          </rPr>
          <t>HL:</t>
        </r>
        <r>
          <rPr>
            <sz val="9"/>
            <rFont val="宋体"/>
            <family val="3"/>
            <charset val="134"/>
          </rPr>
          <t xml:space="preserve">
租期内含免租期为
2024年12月31日至2025年01月30日</t>
        </r>
      </text>
    </comment>
    <comment ref="J113" authorId="1">
      <text>
        <r>
          <rPr>
            <b/>
            <sz val="9"/>
            <rFont val="宋体"/>
            <family val="3"/>
            <charset val="134"/>
          </rPr>
          <t>HL:</t>
        </r>
        <r>
          <rPr>
            <sz val="9"/>
            <rFont val="宋体"/>
            <family val="3"/>
            <charset val="134"/>
          </rPr>
          <t xml:space="preserve">
租期内含免租期为叁个月
2023年12月31日至2024年01月30日
2024年12月31日至2025年01月30日
2025年12月31日至2026年01月30日</t>
        </r>
      </text>
    </comment>
    <comment ref="T113" authorId="1">
      <text>
        <r>
          <rPr>
            <b/>
            <sz val="9"/>
            <rFont val="宋体"/>
            <family val="3"/>
            <charset val="134"/>
          </rPr>
          <t>HL:</t>
        </r>
        <r>
          <rPr>
            <sz val="9"/>
            <rFont val="宋体"/>
            <family val="3"/>
            <charset val="134"/>
          </rPr>
          <t xml:space="preserve">
2023年12月31日至2025年12月30日，该房屋租金的日单价为4.17元；
月租金33358.26元
2025年12月31日至2026年12月30日，该房屋租金的日单价为4.42元；
月租金35358.16元</t>
        </r>
      </text>
    </comment>
    <comment ref="AN113" authorId="1">
      <text>
        <r>
          <rPr>
            <b/>
            <sz val="9"/>
            <rFont val="宋体"/>
            <family val="3"/>
            <charset val="134"/>
          </rPr>
          <t>HL:</t>
        </r>
        <r>
          <rPr>
            <sz val="9"/>
            <rFont val="宋体"/>
            <family val="3"/>
            <charset val="134"/>
          </rPr>
          <t xml:space="preserve">
租期内含免租期为
2023年12月31日至2024年01月30日
本月收2024.01.31-03.30</t>
        </r>
      </text>
    </comment>
    <comment ref="AO113" authorId="1">
      <text>
        <r>
          <rPr>
            <b/>
            <sz val="9"/>
            <rFont val="宋体"/>
            <family val="3"/>
            <charset val="134"/>
          </rPr>
          <t>HL:</t>
        </r>
        <r>
          <rPr>
            <sz val="9"/>
            <rFont val="宋体"/>
            <family val="3"/>
            <charset val="134"/>
          </rPr>
          <t xml:space="preserve">
租期内含免租期为
2023年12月31日至2024年01月30日
本月收2024.01.31-03.30</t>
        </r>
      </text>
    </comment>
    <comment ref="DX113" authorId="1">
      <text>
        <r>
          <rPr>
            <b/>
            <sz val="9"/>
            <rFont val="宋体"/>
            <family val="3"/>
            <charset val="134"/>
          </rPr>
          <t>HL:</t>
        </r>
        <r>
          <rPr>
            <sz val="9"/>
            <rFont val="宋体"/>
            <family val="3"/>
            <charset val="134"/>
          </rPr>
          <t xml:space="preserve">
租期内含免租期为
2024年12月31日至2025年01月30日
</t>
        </r>
      </text>
    </comment>
    <comment ref="EU113" authorId="1">
      <text>
        <r>
          <rPr>
            <b/>
            <sz val="9"/>
            <rFont val="宋体"/>
            <family val="3"/>
            <charset val="134"/>
          </rPr>
          <t>HL:</t>
        </r>
        <r>
          <rPr>
            <sz val="9"/>
            <rFont val="宋体"/>
            <family val="3"/>
            <charset val="134"/>
          </rPr>
          <t xml:space="preserve">
租期内含免租期为
2023年12月31日至2024年01月30日
本月收2024.01.31
</t>
        </r>
      </text>
    </comment>
    <comment ref="EV113" authorId="1">
      <text>
        <r>
          <rPr>
            <b/>
            <sz val="9"/>
            <rFont val="宋体"/>
            <family val="3"/>
            <charset val="134"/>
          </rPr>
          <t>HL:</t>
        </r>
        <r>
          <rPr>
            <sz val="9"/>
            <rFont val="宋体"/>
            <family val="3"/>
            <charset val="134"/>
          </rPr>
          <t xml:space="preserve">
租期内含免租期为
2023年12月31日至2024年01月30日
本月收2024.01.31
</t>
        </r>
      </text>
    </comment>
    <comment ref="EY113" authorId="1">
      <text>
        <r>
          <rPr>
            <b/>
            <sz val="9"/>
            <rFont val="宋体"/>
            <family val="3"/>
            <charset val="134"/>
          </rPr>
          <t>HL:</t>
        </r>
        <r>
          <rPr>
            <sz val="9"/>
            <rFont val="宋体"/>
            <family val="3"/>
            <charset val="134"/>
          </rPr>
          <t xml:space="preserve">
2023.12.31
2024.01.01-01.31</t>
        </r>
      </text>
    </comment>
    <comment ref="EZ113" authorId="1">
      <text>
        <r>
          <rPr>
            <b/>
            <sz val="9"/>
            <rFont val="宋体"/>
            <family val="3"/>
            <charset val="134"/>
          </rPr>
          <t>HL:</t>
        </r>
        <r>
          <rPr>
            <sz val="9"/>
            <rFont val="宋体"/>
            <family val="3"/>
            <charset val="134"/>
          </rPr>
          <t xml:space="preserve">
2023.12.31
2024.01.01-01.31</t>
        </r>
      </text>
    </comment>
    <comment ref="FL113" authorId="1">
      <text>
        <r>
          <rPr>
            <b/>
            <sz val="9"/>
            <rFont val="宋体"/>
            <family val="3"/>
            <charset val="134"/>
          </rPr>
          <t>HL:</t>
        </r>
        <r>
          <rPr>
            <sz val="9"/>
            <rFont val="宋体"/>
            <family val="3"/>
            <charset val="134"/>
          </rPr>
          <t xml:space="preserve">
2024.03.01-03.30
2024.03.31</t>
        </r>
      </text>
    </comment>
    <comment ref="FP113" authorId="1">
      <text>
        <r>
          <rPr>
            <b/>
            <sz val="9"/>
            <rFont val="宋体"/>
            <family val="3"/>
            <charset val="134"/>
          </rPr>
          <t>HL:</t>
        </r>
        <r>
          <rPr>
            <sz val="9"/>
            <rFont val="宋体"/>
            <family val="3"/>
            <charset val="134"/>
          </rPr>
          <t xml:space="preserve">
2024.03.01-03.30
2024.03.31</t>
        </r>
      </text>
    </comment>
    <comment ref="GJ113" authorId="1">
      <text>
        <r>
          <rPr>
            <b/>
            <sz val="9"/>
            <rFont val="宋体"/>
            <family val="3"/>
            <charset val="134"/>
          </rPr>
          <t>HL:</t>
        </r>
        <r>
          <rPr>
            <sz val="9"/>
            <rFont val="宋体"/>
            <family val="3"/>
            <charset val="134"/>
          </rPr>
          <t xml:space="preserve">
2024.06.01-06.30
发票为06.29
因资软生成期间无法调整</t>
        </r>
      </text>
    </comment>
    <comment ref="GN113" authorId="1">
      <text>
        <r>
          <rPr>
            <b/>
            <sz val="9"/>
            <rFont val="宋体"/>
            <family val="3"/>
            <charset val="134"/>
          </rPr>
          <t>HL:</t>
        </r>
        <r>
          <rPr>
            <sz val="9"/>
            <rFont val="宋体"/>
            <family val="3"/>
            <charset val="134"/>
          </rPr>
          <t xml:space="preserve">
2024.06.01-06.30
发票为06.29
因资软生成期间无法调整</t>
        </r>
      </text>
    </comment>
    <comment ref="HH113" authorId="1">
      <text>
        <r>
          <rPr>
            <b/>
            <sz val="9"/>
            <rFont val="宋体"/>
            <family val="3"/>
            <charset val="134"/>
          </rPr>
          <t>HL:</t>
        </r>
        <r>
          <rPr>
            <sz val="9"/>
            <rFont val="宋体"/>
            <family val="3"/>
            <charset val="134"/>
          </rPr>
          <t xml:space="preserve">
2024.09.01-09.29
2024.09.30-09.30</t>
        </r>
      </text>
    </comment>
    <comment ref="HL113" authorId="1">
      <text>
        <r>
          <rPr>
            <b/>
            <sz val="9"/>
            <rFont val="宋体"/>
            <family val="3"/>
            <charset val="134"/>
          </rPr>
          <t>HL:</t>
        </r>
        <r>
          <rPr>
            <sz val="9"/>
            <rFont val="宋体"/>
            <family val="3"/>
            <charset val="134"/>
          </rPr>
          <t xml:space="preserve">
2024.09.01-09.29
2024.09.30-09.30</t>
        </r>
      </text>
    </comment>
    <comment ref="IE113" authorId="1">
      <text>
        <r>
          <rPr>
            <b/>
            <sz val="9"/>
            <rFont val="宋体"/>
            <family val="3"/>
            <charset val="134"/>
          </rPr>
          <t>HL:</t>
        </r>
        <r>
          <rPr>
            <sz val="9"/>
            <rFont val="宋体"/>
            <family val="3"/>
            <charset val="134"/>
          </rPr>
          <t xml:space="preserve">
租期内含免租期为
2024年12月31日至2025年01月30日
本月收2024.12.01-12.30</t>
        </r>
      </text>
    </comment>
    <comment ref="IF113" authorId="1">
      <text>
        <r>
          <rPr>
            <b/>
            <sz val="9"/>
            <rFont val="宋体"/>
            <family val="3"/>
            <charset val="134"/>
          </rPr>
          <t>HL:</t>
        </r>
        <r>
          <rPr>
            <sz val="9"/>
            <rFont val="宋体"/>
            <family val="3"/>
            <charset val="134"/>
          </rPr>
          <t xml:space="preserve">
租期内含免租期为
2024年12月31日至2025年01月30日
本月收2024.12.01-12.30</t>
        </r>
      </text>
    </comment>
    <comment ref="II113" authorId="1">
      <text>
        <r>
          <rPr>
            <b/>
            <sz val="9"/>
            <rFont val="宋体"/>
            <family val="3"/>
            <charset val="134"/>
          </rPr>
          <t>HL:</t>
        </r>
        <r>
          <rPr>
            <sz val="9"/>
            <rFont val="宋体"/>
            <family val="3"/>
            <charset val="134"/>
          </rPr>
          <t xml:space="preserve">
2024.12.01-12.30
2024.12.31</t>
        </r>
      </text>
    </comment>
    <comment ref="IJ113" authorId="1">
      <text>
        <r>
          <rPr>
            <b/>
            <sz val="9"/>
            <rFont val="宋体"/>
            <family val="3"/>
            <charset val="134"/>
          </rPr>
          <t>HL:</t>
        </r>
        <r>
          <rPr>
            <sz val="9"/>
            <rFont val="宋体"/>
            <family val="3"/>
            <charset val="134"/>
          </rPr>
          <t xml:space="preserve">
租期内含免租期为
2024年12月31日至2025年01月30日
本月收2024.12.01-12.30</t>
        </r>
      </text>
    </comment>
    <comment ref="IM113" authorId="1">
      <text>
        <r>
          <rPr>
            <b/>
            <sz val="9"/>
            <rFont val="宋体"/>
            <family val="3"/>
            <charset val="134"/>
          </rPr>
          <t>HL:</t>
        </r>
        <r>
          <rPr>
            <sz val="9"/>
            <rFont val="宋体"/>
            <family val="3"/>
            <charset val="134"/>
          </rPr>
          <t xml:space="preserve">
租期内含免租期为
2024年12月31日至2025年01月30日</t>
        </r>
      </text>
    </comment>
    <comment ref="T114" authorId="1">
      <text>
        <r>
          <rPr>
            <b/>
            <sz val="9"/>
            <rFont val="宋体"/>
            <family val="3"/>
            <charset val="134"/>
          </rPr>
          <t>HL:</t>
        </r>
        <r>
          <rPr>
            <sz val="9"/>
            <rFont val="宋体"/>
            <family val="3"/>
            <charset val="134"/>
          </rPr>
          <t xml:space="preserve">
首期租金为2023年12月25日至2024年1月24日的租金，共计人民币77,298.29元</t>
        </r>
      </text>
    </comment>
    <comment ref="X114" authorId="1">
      <text>
        <r>
          <rPr>
            <b/>
            <sz val="9"/>
            <rFont val="宋体"/>
            <family val="3"/>
            <charset val="134"/>
          </rPr>
          <t>HL:</t>
        </r>
        <r>
          <rPr>
            <sz val="9"/>
            <rFont val="宋体"/>
            <family val="3"/>
            <charset val="134"/>
          </rPr>
          <t xml:space="preserve">
首期物业管理费为2023年12月25日至2024年1月24日的物业管理费，共计人民币12,409.59元</t>
        </r>
      </text>
    </comment>
    <comment ref="EV114" authorId="1">
      <text>
        <r>
          <rPr>
            <b/>
            <sz val="9"/>
            <rFont val="宋体"/>
            <family val="3"/>
            <charset val="134"/>
          </rPr>
          <t>HL:</t>
        </r>
        <r>
          <rPr>
            <sz val="9"/>
            <rFont val="宋体"/>
            <family val="3"/>
            <charset val="134"/>
          </rPr>
          <t xml:space="preserve">
2024.01.01-01.24
2024.01.25-01.31</t>
        </r>
      </text>
    </comment>
    <comment ref="EZ114" authorId="1">
      <text>
        <r>
          <rPr>
            <b/>
            <sz val="9"/>
            <rFont val="宋体"/>
            <family val="3"/>
            <charset val="134"/>
          </rPr>
          <t>HL:</t>
        </r>
        <r>
          <rPr>
            <sz val="9"/>
            <rFont val="宋体"/>
            <family val="3"/>
            <charset val="134"/>
          </rPr>
          <t xml:space="preserve">
2024.01.01-01.24
2024.01.25-01.31</t>
        </r>
      </text>
    </comment>
    <comment ref="FD114" authorId="1">
      <text>
        <r>
          <rPr>
            <b/>
            <sz val="9"/>
            <rFont val="宋体"/>
            <family val="3"/>
            <charset val="134"/>
          </rPr>
          <t>HL:</t>
        </r>
        <r>
          <rPr>
            <sz val="9"/>
            <rFont val="宋体"/>
            <family val="3"/>
            <charset val="134"/>
          </rPr>
          <t xml:space="preserve">
2024.02.01-02.24
2024.02.25-02.29</t>
        </r>
      </text>
    </comment>
    <comment ref="FH114" authorId="1">
      <text>
        <r>
          <rPr>
            <b/>
            <sz val="9"/>
            <rFont val="宋体"/>
            <family val="3"/>
            <charset val="134"/>
          </rPr>
          <t>HL:</t>
        </r>
        <r>
          <rPr>
            <sz val="9"/>
            <rFont val="宋体"/>
            <family val="3"/>
            <charset val="134"/>
          </rPr>
          <t xml:space="preserve">
2024.02.01-02.24
2024.02.25-02.29</t>
        </r>
      </text>
    </comment>
    <comment ref="FL114" authorId="1">
      <text>
        <r>
          <rPr>
            <b/>
            <sz val="9"/>
            <rFont val="宋体"/>
            <family val="3"/>
            <charset val="134"/>
          </rPr>
          <t>HL:</t>
        </r>
        <r>
          <rPr>
            <sz val="9"/>
            <rFont val="宋体"/>
            <family val="3"/>
            <charset val="134"/>
          </rPr>
          <t xml:space="preserve">
2024.03.01-03.30
2024.03.31</t>
        </r>
      </text>
    </comment>
    <comment ref="FP114" authorId="1">
      <text>
        <r>
          <rPr>
            <b/>
            <sz val="9"/>
            <rFont val="宋体"/>
            <family val="3"/>
            <charset val="134"/>
          </rPr>
          <t>HL:</t>
        </r>
        <r>
          <rPr>
            <sz val="9"/>
            <rFont val="宋体"/>
            <family val="3"/>
            <charset val="134"/>
          </rPr>
          <t xml:space="preserve">
2024.03.01-03.30
2024.03.31</t>
        </r>
      </text>
    </comment>
    <comment ref="FT114" authorId="1">
      <text>
        <r>
          <rPr>
            <b/>
            <sz val="9"/>
            <rFont val="宋体"/>
            <family val="3"/>
            <charset val="134"/>
          </rPr>
          <t>HL:</t>
        </r>
        <r>
          <rPr>
            <sz val="9"/>
            <rFont val="宋体"/>
            <family val="3"/>
            <charset val="134"/>
          </rPr>
          <t xml:space="preserve">
2024.04.01-04.24
2024.04.25-04.30</t>
        </r>
      </text>
    </comment>
    <comment ref="FX114" authorId="1">
      <text>
        <r>
          <rPr>
            <b/>
            <sz val="9"/>
            <rFont val="宋体"/>
            <family val="3"/>
            <charset val="134"/>
          </rPr>
          <t>HL:</t>
        </r>
        <r>
          <rPr>
            <sz val="9"/>
            <rFont val="宋体"/>
            <family val="3"/>
            <charset val="134"/>
          </rPr>
          <t xml:space="preserve">
2024.04.01-04.24
2024.04.25-04.30</t>
        </r>
      </text>
    </comment>
    <comment ref="GB114" authorId="1">
      <text>
        <r>
          <rPr>
            <b/>
            <sz val="9"/>
            <rFont val="宋体"/>
            <family val="3"/>
            <charset val="134"/>
          </rPr>
          <t>HL:</t>
        </r>
        <r>
          <rPr>
            <sz val="9"/>
            <rFont val="宋体"/>
            <family val="3"/>
            <charset val="134"/>
          </rPr>
          <t xml:space="preserve">
2024.05.01-05.24
2024.05.25-05.31</t>
        </r>
      </text>
    </comment>
    <comment ref="GF114" authorId="1">
      <text>
        <r>
          <rPr>
            <b/>
            <sz val="9"/>
            <rFont val="宋体"/>
            <family val="3"/>
            <charset val="134"/>
          </rPr>
          <t>HL:</t>
        </r>
        <r>
          <rPr>
            <sz val="9"/>
            <rFont val="宋体"/>
            <family val="3"/>
            <charset val="134"/>
          </rPr>
          <t xml:space="preserve">
2024.05.01-05.24
2024.05.25-05.31</t>
        </r>
      </text>
    </comment>
    <comment ref="GJ114" authorId="1">
      <text>
        <r>
          <rPr>
            <b/>
            <sz val="9"/>
            <rFont val="宋体"/>
            <family val="3"/>
            <charset val="134"/>
          </rPr>
          <t>HL:</t>
        </r>
        <r>
          <rPr>
            <sz val="9"/>
            <rFont val="宋体"/>
            <family val="3"/>
            <charset val="134"/>
          </rPr>
          <t xml:space="preserve">
2024.06.01-06.24
2024.06.25-06.30</t>
        </r>
      </text>
    </comment>
    <comment ref="GN114" authorId="1">
      <text>
        <r>
          <rPr>
            <b/>
            <sz val="9"/>
            <rFont val="宋体"/>
            <family val="3"/>
            <charset val="134"/>
          </rPr>
          <t>HL:</t>
        </r>
        <r>
          <rPr>
            <sz val="9"/>
            <rFont val="宋体"/>
            <family val="3"/>
            <charset val="134"/>
          </rPr>
          <t xml:space="preserve">
2024.06.01-06.24
2024.06.25-06.30</t>
        </r>
      </text>
    </comment>
    <comment ref="GR114" authorId="1">
      <text>
        <r>
          <rPr>
            <b/>
            <sz val="9"/>
            <rFont val="宋体"/>
            <family val="3"/>
            <charset val="134"/>
          </rPr>
          <t>HL:</t>
        </r>
        <r>
          <rPr>
            <sz val="9"/>
            <rFont val="宋体"/>
            <family val="3"/>
            <charset val="134"/>
          </rPr>
          <t xml:space="preserve">
2024.07.01-07.24
2024.07.25-07.31</t>
        </r>
      </text>
    </comment>
    <comment ref="GV114" authorId="1">
      <text>
        <r>
          <rPr>
            <b/>
            <sz val="9"/>
            <rFont val="宋体"/>
            <family val="3"/>
            <charset val="134"/>
          </rPr>
          <t>HL:</t>
        </r>
        <r>
          <rPr>
            <sz val="9"/>
            <rFont val="宋体"/>
            <family val="3"/>
            <charset val="134"/>
          </rPr>
          <t xml:space="preserve">
2024.07.01-07.24
2024.07.25-07.31</t>
        </r>
      </text>
    </comment>
    <comment ref="GZ114" authorId="1">
      <text>
        <r>
          <rPr>
            <b/>
            <sz val="9"/>
            <rFont val="宋体"/>
            <family val="3"/>
            <charset val="134"/>
          </rPr>
          <t>HL:</t>
        </r>
        <r>
          <rPr>
            <sz val="9"/>
            <rFont val="宋体"/>
            <family val="3"/>
            <charset val="134"/>
          </rPr>
          <t xml:space="preserve">
2024.08.01-08.24
2024.08.25-08.31</t>
        </r>
      </text>
    </comment>
    <comment ref="HD114" authorId="1">
      <text>
        <r>
          <rPr>
            <b/>
            <sz val="9"/>
            <rFont val="宋体"/>
            <family val="3"/>
            <charset val="134"/>
          </rPr>
          <t>HL:</t>
        </r>
        <r>
          <rPr>
            <sz val="9"/>
            <rFont val="宋体"/>
            <family val="3"/>
            <charset val="134"/>
          </rPr>
          <t xml:space="preserve">
2024.08.01-08.24
2024.08.25-08.31</t>
        </r>
      </text>
    </comment>
    <comment ref="HH114" authorId="1">
      <text>
        <r>
          <rPr>
            <b/>
            <sz val="9"/>
            <rFont val="宋体"/>
            <family val="3"/>
            <charset val="134"/>
          </rPr>
          <t>HL:</t>
        </r>
        <r>
          <rPr>
            <sz val="9"/>
            <rFont val="宋体"/>
            <family val="3"/>
            <charset val="134"/>
          </rPr>
          <t xml:space="preserve">
2024.09.01-09.24
2024.09.25-09.30
</t>
        </r>
      </text>
    </comment>
    <comment ref="HL114" authorId="1">
      <text>
        <r>
          <rPr>
            <b/>
            <sz val="9"/>
            <rFont val="宋体"/>
            <family val="3"/>
            <charset val="134"/>
          </rPr>
          <t>HL:</t>
        </r>
        <r>
          <rPr>
            <sz val="9"/>
            <rFont val="宋体"/>
            <family val="3"/>
            <charset val="134"/>
          </rPr>
          <t xml:space="preserve">
2024.09.01-09.24
2024.09.25-09.30
</t>
        </r>
      </text>
    </comment>
    <comment ref="HP114" authorId="1">
      <text>
        <r>
          <rPr>
            <b/>
            <sz val="9"/>
            <rFont val="宋体"/>
            <family val="3"/>
            <charset val="134"/>
          </rPr>
          <t>HL:</t>
        </r>
        <r>
          <rPr>
            <sz val="9"/>
            <rFont val="宋体"/>
            <family val="3"/>
            <charset val="134"/>
          </rPr>
          <t xml:space="preserve">
2024.10.01-10.24</t>
        </r>
      </text>
    </comment>
    <comment ref="HT114" authorId="1">
      <text>
        <r>
          <rPr>
            <b/>
            <sz val="9"/>
            <rFont val="宋体"/>
            <family val="3"/>
            <charset val="134"/>
          </rPr>
          <t>HL:</t>
        </r>
        <r>
          <rPr>
            <sz val="9"/>
            <rFont val="宋体"/>
            <family val="3"/>
            <charset val="134"/>
          </rPr>
          <t xml:space="preserve">
2024.10.01-10.24</t>
        </r>
      </text>
    </comment>
    <comment ref="T115" authorId="1">
      <text>
        <r>
          <rPr>
            <b/>
            <sz val="9"/>
            <rFont val="宋体"/>
            <family val="3"/>
            <charset val="134"/>
          </rPr>
          <t>HL:</t>
        </r>
        <r>
          <rPr>
            <sz val="9"/>
            <rFont val="宋体"/>
            <family val="3"/>
            <charset val="134"/>
          </rPr>
          <t xml:space="preserve">
首期租金为2023年12月25日至2024年01月24日的租金，共计人民币40,886.08元</t>
        </r>
      </text>
    </comment>
    <comment ref="X115" authorId="1">
      <text>
        <r>
          <rPr>
            <b/>
            <sz val="9"/>
            <rFont val="宋体"/>
            <family val="3"/>
            <charset val="134"/>
          </rPr>
          <t>HL:</t>
        </r>
        <r>
          <rPr>
            <sz val="9"/>
            <rFont val="宋体"/>
            <family val="3"/>
            <charset val="134"/>
          </rPr>
          <t xml:space="preserve">
首期物业管理费为2023年12月25日至2024年1月24日的物业管理费，共计人民币6,563.92元</t>
        </r>
      </text>
    </comment>
    <comment ref="EV115" authorId="1">
      <text>
        <r>
          <rPr>
            <b/>
            <sz val="9"/>
            <rFont val="宋体"/>
            <family val="3"/>
            <charset val="134"/>
          </rPr>
          <t>HL:</t>
        </r>
        <r>
          <rPr>
            <sz val="9"/>
            <rFont val="宋体"/>
            <family val="3"/>
            <charset val="134"/>
          </rPr>
          <t xml:space="preserve">
2024.01.01-01.24
2024.01.25-01.31</t>
        </r>
      </text>
    </comment>
    <comment ref="EZ115" authorId="1">
      <text>
        <r>
          <rPr>
            <b/>
            <sz val="9"/>
            <rFont val="宋体"/>
            <family val="3"/>
            <charset val="134"/>
          </rPr>
          <t>HL:</t>
        </r>
        <r>
          <rPr>
            <sz val="9"/>
            <rFont val="宋体"/>
            <family val="3"/>
            <charset val="134"/>
          </rPr>
          <t xml:space="preserve">
2024.01.01-01.24
2024.01.25-01.31</t>
        </r>
      </text>
    </comment>
    <comment ref="FD115" authorId="1">
      <text>
        <r>
          <rPr>
            <b/>
            <sz val="9"/>
            <rFont val="宋体"/>
            <family val="3"/>
            <charset val="134"/>
          </rPr>
          <t>HL:</t>
        </r>
        <r>
          <rPr>
            <sz val="9"/>
            <rFont val="宋体"/>
            <family val="3"/>
            <charset val="134"/>
          </rPr>
          <t xml:space="preserve">
2024.02.01-02.24
2024.02.25-02.29</t>
        </r>
      </text>
    </comment>
    <comment ref="FH115" authorId="1">
      <text>
        <r>
          <rPr>
            <b/>
            <sz val="9"/>
            <rFont val="宋体"/>
            <family val="3"/>
            <charset val="134"/>
          </rPr>
          <t>HL:</t>
        </r>
        <r>
          <rPr>
            <sz val="9"/>
            <rFont val="宋体"/>
            <family val="3"/>
            <charset val="134"/>
          </rPr>
          <t xml:space="preserve">
2024.02.01-02.24
2024.02.25-02.29</t>
        </r>
      </text>
    </comment>
    <comment ref="FL115" authorId="1">
      <text>
        <r>
          <rPr>
            <b/>
            <sz val="9"/>
            <rFont val="宋体"/>
            <family val="3"/>
            <charset val="134"/>
          </rPr>
          <t>HL:</t>
        </r>
        <r>
          <rPr>
            <sz val="9"/>
            <rFont val="宋体"/>
            <family val="3"/>
            <charset val="134"/>
          </rPr>
          <t xml:space="preserve">
2024.03.01-03.30
2024.03.31</t>
        </r>
      </text>
    </comment>
    <comment ref="FP115" authorId="1">
      <text>
        <r>
          <rPr>
            <b/>
            <sz val="9"/>
            <rFont val="宋体"/>
            <family val="3"/>
            <charset val="134"/>
          </rPr>
          <t>HL:</t>
        </r>
        <r>
          <rPr>
            <sz val="9"/>
            <rFont val="宋体"/>
            <family val="3"/>
            <charset val="134"/>
          </rPr>
          <t xml:space="preserve">
2024.03.01-03.30
2024.03.31</t>
        </r>
      </text>
    </comment>
    <comment ref="FT115" authorId="1">
      <text>
        <r>
          <rPr>
            <b/>
            <sz val="9"/>
            <rFont val="宋体"/>
            <family val="3"/>
            <charset val="134"/>
          </rPr>
          <t>HL:</t>
        </r>
        <r>
          <rPr>
            <sz val="9"/>
            <rFont val="宋体"/>
            <family val="3"/>
            <charset val="134"/>
          </rPr>
          <t xml:space="preserve">
2024.04.01-04.24
2024.04.25-04.30</t>
        </r>
      </text>
    </comment>
    <comment ref="FX115" authorId="1">
      <text>
        <r>
          <rPr>
            <b/>
            <sz val="9"/>
            <rFont val="宋体"/>
            <family val="3"/>
            <charset val="134"/>
          </rPr>
          <t>HL:</t>
        </r>
        <r>
          <rPr>
            <sz val="9"/>
            <rFont val="宋体"/>
            <family val="3"/>
            <charset val="134"/>
          </rPr>
          <t xml:space="preserve">
2024.04.01-04.24
2024.04.25-04.30</t>
        </r>
      </text>
    </comment>
    <comment ref="GB115" authorId="1">
      <text>
        <r>
          <rPr>
            <b/>
            <sz val="9"/>
            <rFont val="宋体"/>
            <family val="3"/>
            <charset val="134"/>
          </rPr>
          <t>HL:</t>
        </r>
        <r>
          <rPr>
            <sz val="9"/>
            <rFont val="宋体"/>
            <family val="3"/>
            <charset val="134"/>
          </rPr>
          <t xml:space="preserve">
2024.05.01-05.24
2024.05.25-05.31</t>
        </r>
      </text>
    </comment>
    <comment ref="GF115" authorId="1">
      <text>
        <r>
          <rPr>
            <b/>
            <sz val="9"/>
            <rFont val="宋体"/>
            <family val="3"/>
            <charset val="134"/>
          </rPr>
          <t>HL:</t>
        </r>
        <r>
          <rPr>
            <sz val="9"/>
            <rFont val="宋体"/>
            <family val="3"/>
            <charset val="134"/>
          </rPr>
          <t xml:space="preserve">
2024.05.01-05.24
2024.05.25-05.31</t>
        </r>
      </text>
    </comment>
    <comment ref="GJ115" authorId="1">
      <text>
        <r>
          <rPr>
            <b/>
            <sz val="9"/>
            <rFont val="宋体"/>
            <family val="3"/>
            <charset val="134"/>
          </rPr>
          <t>HL:</t>
        </r>
        <r>
          <rPr>
            <sz val="9"/>
            <rFont val="宋体"/>
            <family val="3"/>
            <charset val="134"/>
          </rPr>
          <t xml:space="preserve">
2024.06.01-06.24
2024.06.25-06.30</t>
        </r>
      </text>
    </comment>
    <comment ref="GN115" authorId="1">
      <text>
        <r>
          <rPr>
            <b/>
            <sz val="9"/>
            <rFont val="宋体"/>
            <family val="3"/>
            <charset val="134"/>
          </rPr>
          <t>HL:</t>
        </r>
        <r>
          <rPr>
            <sz val="9"/>
            <rFont val="宋体"/>
            <family val="3"/>
            <charset val="134"/>
          </rPr>
          <t xml:space="preserve">
2024.06.01-06.24
2024.06.25-06.30</t>
        </r>
      </text>
    </comment>
    <comment ref="GR115" authorId="1">
      <text>
        <r>
          <rPr>
            <b/>
            <sz val="9"/>
            <rFont val="宋体"/>
            <family val="3"/>
            <charset val="134"/>
          </rPr>
          <t>HL:</t>
        </r>
        <r>
          <rPr>
            <sz val="9"/>
            <rFont val="宋体"/>
            <family val="3"/>
            <charset val="134"/>
          </rPr>
          <t xml:space="preserve">
2024.07.01-07.24
2024.07.25-07.31</t>
        </r>
      </text>
    </comment>
    <comment ref="GV115" authorId="1">
      <text>
        <r>
          <rPr>
            <b/>
            <sz val="9"/>
            <rFont val="宋体"/>
            <family val="3"/>
            <charset val="134"/>
          </rPr>
          <t>HL:</t>
        </r>
        <r>
          <rPr>
            <sz val="9"/>
            <rFont val="宋体"/>
            <family val="3"/>
            <charset val="134"/>
          </rPr>
          <t xml:space="preserve">
2024.07.01-07.24
2024.07.25-07.31</t>
        </r>
      </text>
    </comment>
    <comment ref="GZ115" authorId="1">
      <text>
        <r>
          <rPr>
            <b/>
            <sz val="9"/>
            <rFont val="宋体"/>
            <family val="3"/>
            <charset val="134"/>
          </rPr>
          <t>HL:</t>
        </r>
        <r>
          <rPr>
            <sz val="9"/>
            <rFont val="宋体"/>
            <family val="3"/>
            <charset val="134"/>
          </rPr>
          <t xml:space="preserve">
2024.08.01-08.24
2024.08.25-08.31</t>
        </r>
      </text>
    </comment>
    <comment ref="HD115" authorId="1">
      <text>
        <r>
          <rPr>
            <b/>
            <sz val="9"/>
            <rFont val="宋体"/>
            <family val="3"/>
            <charset val="134"/>
          </rPr>
          <t>HL:</t>
        </r>
        <r>
          <rPr>
            <sz val="9"/>
            <rFont val="宋体"/>
            <family val="3"/>
            <charset val="134"/>
          </rPr>
          <t xml:space="preserve">
2024.08.01-08.24
2024.08.25-08.31</t>
        </r>
      </text>
    </comment>
    <comment ref="HH115" authorId="1">
      <text>
        <r>
          <rPr>
            <b/>
            <sz val="9"/>
            <rFont val="宋体"/>
            <family val="3"/>
            <charset val="134"/>
          </rPr>
          <t>HL:</t>
        </r>
        <r>
          <rPr>
            <sz val="9"/>
            <rFont val="宋体"/>
            <family val="3"/>
            <charset val="134"/>
          </rPr>
          <t xml:space="preserve">
2024.09.01-09.24
2024.09.25-09.30
</t>
        </r>
      </text>
    </comment>
    <comment ref="HL115" authorId="1">
      <text>
        <r>
          <rPr>
            <b/>
            <sz val="9"/>
            <rFont val="宋体"/>
            <family val="3"/>
            <charset val="134"/>
          </rPr>
          <t>HL:</t>
        </r>
        <r>
          <rPr>
            <sz val="9"/>
            <rFont val="宋体"/>
            <family val="3"/>
            <charset val="134"/>
          </rPr>
          <t xml:space="preserve">
2024.09.01-09.24
2024.09.25-09.30
</t>
        </r>
      </text>
    </comment>
    <comment ref="HP115" authorId="1">
      <text>
        <r>
          <rPr>
            <b/>
            <sz val="9"/>
            <rFont val="宋体"/>
            <family val="3"/>
            <charset val="134"/>
          </rPr>
          <t>HL:</t>
        </r>
        <r>
          <rPr>
            <sz val="9"/>
            <rFont val="宋体"/>
            <family val="3"/>
            <charset val="134"/>
          </rPr>
          <t xml:space="preserve">
2024.10.01-10.24</t>
        </r>
      </text>
    </comment>
    <comment ref="HT115" authorId="1">
      <text>
        <r>
          <rPr>
            <b/>
            <sz val="9"/>
            <rFont val="宋体"/>
            <family val="3"/>
            <charset val="134"/>
          </rPr>
          <t>HL:</t>
        </r>
        <r>
          <rPr>
            <sz val="9"/>
            <rFont val="宋体"/>
            <family val="3"/>
            <charset val="134"/>
          </rPr>
          <t xml:space="preserve">
2024.10.01-10.24</t>
        </r>
      </text>
    </comment>
    <comment ref="J116" authorId="1">
      <text>
        <r>
          <rPr>
            <b/>
            <sz val="9"/>
            <rFont val="宋体"/>
            <family val="3"/>
            <charset val="134"/>
          </rPr>
          <t>HL:</t>
        </r>
        <r>
          <rPr>
            <sz val="9"/>
            <rFont val="宋体"/>
            <family val="3"/>
            <charset val="134"/>
          </rPr>
          <t xml:space="preserve">
租期内含免租期为叁个月
2023年12月31日至2024年01月30日
2024年12月31日至2025年01月30日
2025年12月31日至2026年01月30日</t>
        </r>
      </text>
    </comment>
    <comment ref="T116" authorId="1">
      <text>
        <r>
          <rPr>
            <b/>
            <sz val="9"/>
            <rFont val="宋体"/>
            <family val="3"/>
            <charset val="134"/>
          </rPr>
          <t>HL:</t>
        </r>
        <r>
          <rPr>
            <sz val="9"/>
            <rFont val="宋体"/>
            <family val="3"/>
            <charset val="134"/>
          </rPr>
          <t xml:space="preserve">
2023年12月31日至2025年12月30日，该房屋租金的日单价为4.17元；
月租金3824.15元
2025年12月31日至2026年12月30日，该房屋租金的日单价为4.42元；
月租金4053.42元</t>
        </r>
      </text>
    </comment>
    <comment ref="AN116" authorId="1">
      <text>
        <r>
          <rPr>
            <b/>
            <sz val="9"/>
            <rFont val="宋体"/>
            <family val="3"/>
            <charset val="134"/>
          </rPr>
          <t>HL:</t>
        </r>
        <r>
          <rPr>
            <sz val="9"/>
            <rFont val="宋体"/>
            <family val="3"/>
            <charset val="134"/>
          </rPr>
          <t xml:space="preserve">
租期内含免租期为
2023年12月31日至2024年01月30日
本月收2024.01.31-03.30</t>
        </r>
      </text>
    </comment>
    <comment ref="AO116" authorId="1">
      <text>
        <r>
          <rPr>
            <b/>
            <sz val="9"/>
            <rFont val="宋体"/>
            <family val="3"/>
            <charset val="134"/>
          </rPr>
          <t>HL:</t>
        </r>
        <r>
          <rPr>
            <sz val="9"/>
            <rFont val="宋体"/>
            <family val="3"/>
            <charset val="134"/>
          </rPr>
          <t xml:space="preserve">
租期内含免租期为
2023年12月31日至2024年01月30日
本月收2024.01.31-03.30</t>
        </r>
      </text>
    </comment>
    <comment ref="DX116" authorId="1">
      <text>
        <r>
          <rPr>
            <b/>
            <sz val="9"/>
            <rFont val="宋体"/>
            <family val="3"/>
            <charset val="134"/>
          </rPr>
          <t>HL:</t>
        </r>
        <r>
          <rPr>
            <sz val="9"/>
            <rFont val="宋体"/>
            <family val="3"/>
            <charset val="134"/>
          </rPr>
          <t xml:space="preserve">
租期内含免租期为
2024年12月31日至2025年01月30日
</t>
        </r>
      </text>
    </comment>
    <comment ref="EU116" authorId="1">
      <text>
        <r>
          <rPr>
            <b/>
            <sz val="9"/>
            <rFont val="宋体"/>
            <family val="3"/>
            <charset val="134"/>
          </rPr>
          <t>HL:</t>
        </r>
        <r>
          <rPr>
            <sz val="9"/>
            <rFont val="宋体"/>
            <family val="3"/>
            <charset val="134"/>
          </rPr>
          <t xml:space="preserve">
租期内含免租期为
2023年12月31日至2024年01月30日
本月收2024.01.31
</t>
        </r>
      </text>
    </comment>
    <comment ref="EV116" authorId="1">
      <text>
        <r>
          <rPr>
            <b/>
            <sz val="9"/>
            <rFont val="宋体"/>
            <family val="3"/>
            <charset val="134"/>
          </rPr>
          <t>HL:</t>
        </r>
        <r>
          <rPr>
            <sz val="9"/>
            <rFont val="宋体"/>
            <family val="3"/>
            <charset val="134"/>
          </rPr>
          <t xml:space="preserve">
租期内含免租期为
2023年12月31日至2024年01月30日
本月收2024.01.31
</t>
        </r>
      </text>
    </comment>
    <comment ref="EY116" authorId="1">
      <text>
        <r>
          <rPr>
            <b/>
            <sz val="9"/>
            <rFont val="宋体"/>
            <family val="3"/>
            <charset val="134"/>
          </rPr>
          <t>HL:</t>
        </r>
        <r>
          <rPr>
            <sz val="9"/>
            <rFont val="宋体"/>
            <family val="3"/>
            <charset val="134"/>
          </rPr>
          <t xml:space="preserve">
2023.12.31
2024.01.01-01.31</t>
        </r>
      </text>
    </comment>
    <comment ref="EZ116" authorId="1">
      <text>
        <r>
          <rPr>
            <b/>
            <sz val="9"/>
            <rFont val="宋体"/>
            <family val="3"/>
            <charset val="134"/>
          </rPr>
          <t>HL:</t>
        </r>
        <r>
          <rPr>
            <sz val="9"/>
            <rFont val="宋体"/>
            <family val="3"/>
            <charset val="134"/>
          </rPr>
          <t xml:space="preserve">
2023.12.31
2024.01.01-01.31</t>
        </r>
      </text>
    </comment>
    <comment ref="FL116" authorId="1">
      <text>
        <r>
          <rPr>
            <b/>
            <sz val="9"/>
            <rFont val="宋体"/>
            <family val="3"/>
            <charset val="134"/>
          </rPr>
          <t>HL:</t>
        </r>
        <r>
          <rPr>
            <sz val="9"/>
            <rFont val="宋体"/>
            <family val="3"/>
            <charset val="134"/>
          </rPr>
          <t xml:space="preserve">
2024.03.01-03.30
2024.03.31</t>
        </r>
      </text>
    </comment>
    <comment ref="FP116" authorId="1">
      <text>
        <r>
          <rPr>
            <b/>
            <sz val="9"/>
            <rFont val="宋体"/>
            <family val="3"/>
            <charset val="134"/>
          </rPr>
          <t>HL:</t>
        </r>
        <r>
          <rPr>
            <sz val="9"/>
            <rFont val="宋体"/>
            <family val="3"/>
            <charset val="134"/>
          </rPr>
          <t xml:space="preserve">
2024.03.01-03.30
2024.03.31</t>
        </r>
      </text>
    </comment>
    <comment ref="GJ116" authorId="1">
      <text>
        <r>
          <rPr>
            <b/>
            <sz val="9"/>
            <rFont val="宋体"/>
            <family val="3"/>
            <charset val="134"/>
          </rPr>
          <t>HL:</t>
        </r>
        <r>
          <rPr>
            <sz val="9"/>
            <rFont val="宋体"/>
            <family val="3"/>
            <charset val="134"/>
          </rPr>
          <t xml:space="preserve">
2024.06.01-06.30
发票为06.29
因资软生成期间无法调整</t>
        </r>
      </text>
    </comment>
    <comment ref="GN116" authorId="1">
      <text>
        <r>
          <rPr>
            <b/>
            <sz val="9"/>
            <rFont val="宋体"/>
            <family val="3"/>
            <charset val="134"/>
          </rPr>
          <t>HL:</t>
        </r>
        <r>
          <rPr>
            <sz val="9"/>
            <rFont val="宋体"/>
            <family val="3"/>
            <charset val="134"/>
          </rPr>
          <t xml:space="preserve">
2024.06.01-06.30
发票为06.29
因资软生成期间无法调整</t>
        </r>
      </text>
    </comment>
    <comment ref="HH116" authorId="1">
      <text>
        <r>
          <rPr>
            <b/>
            <sz val="9"/>
            <rFont val="宋体"/>
            <family val="3"/>
            <charset val="134"/>
          </rPr>
          <t>HL:</t>
        </r>
        <r>
          <rPr>
            <sz val="9"/>
            <rFont val="宋体"/>
            <family val="3"/>
            <charset val="134"/>
          </rPr>
          <t xml:space="preserve">
2024.09.01-09.29
2024.09.30-09.30</t>
        </r>
      </text>
    </comment>
    <comment ref="HL116" authorId="1">
      <text>
        <r>
          <rPr>
            <b/>
            <sz val="9"/>
            <rFont val="宋体"/>
            <family val="3"/>
            <charset val="134"/>
          </rPr>
          <t>HL:</t>
        </r>
        <r>
          <rPr>
            <sz val="9"/>
            <rFont val="宋体"/>
            <family val="3"/>
            <charset val="134"/>
          </rPr>
          <t xml:space="preserve">
2024.09.01-09.29
2024.09.30-09.30</t>
        </r>
      </text>
    </comment>
    <comment ref="IE116" authorId="1">
      <text>
        <r>
          <rPr>
            <b/>
            <sz val="9"/>
            <rFont val="宋体"/>
            <family val="3"/>
            <charset val="134"/>
          </rPr>
          <t>HL:</t>
        </r>
        <r>
          <rPr>
            <sz val="9"/>
            <rFont val="宋体"/>
            <family val="3"/>
            <charset val="134"/>
          </rPr>
          <t xml:space="preserve">
租期内含免租期为
2024年12月31日至2025年01月30日
本月收2024.12.01-12.30</t>
        </r>
      </text>
    </comment>
    <comment ref="IF116" authorId="1">
      <text>
        <r>
          <rPr>
            <b/>
            <sz val="9"/>
            <rFont val="宋体"/>
            <family val="3"/>
            <charset val="134"/>
          </rPr>
          <t>HL:</t>
        </r>
        <r>
          <rPr>
            <sz val="9"/>
            <rFont val="宋体"/>
            <family val="3"/>
            <charset val="134"/>
          </rPr>
          <t xml:space="preserve">
租期内含免租期为
2024年12月31日至2025年01月30日
本月收2024.12.01-12.30</t>
        </r>
      </text>
    </comment>
    <comment ref="II116" authorId="1">
      <text>
        <r>
          <rPr>
            <b/>
            <sz val="9"/>
            <rFont val="宋体"/>
            <family val="3"/>
            <charset val="134"/>
          </rPr>
          <t>HL:</t>
        </r>
        <r>
          <rPr>
            <sz val="9"/>
            <rFont val="宋体"/>
            <family val="3"/>
            <charset val="134"/>
          </rPr>
          <t xml:space="preserve">
2024.12.01-12.30
2024.12.31</t>
        </r>
      </text>
    </comment>
    <comment ref="IJ116" authorId="1">
      <text>
        <r>
          <rPr>
            <b/>
            <sz val="9"/>
            <rFont val="宋体"/>
            <family val="3"/>
            <charset val="134"/>
          </rPr>
          <t>HL:</t>
        </r>
        <r>
          <rPr>
            <sz val="9"/>
            <rFont val="宋体"/>
            <family val="3"/>
            <charset val="134"/>
          </rPr>
          <t xml:space="preserve">
租期内含免租期为
2024年12月31日至2025年01月30日
本月收2024.12.01-12.30</t>
        </r>
      </text>
    </comment>
    <comment ref="IM116" authorId="1">
      <text>
        <r>
          <rPr>
            <b/>
            <sz val="9"/>
            <rFont val="宋体"/>
            <family val="3"/>
            <charset val="134"/>
          </rPr>
          <t>HL:</t>
        </r>
        <r>
          <rPr>
            <sz val="9"/>
            <rFont val="宋体"/>
            <family val="3"/>
            <charset val="134"/>
          </rPr>
          <t xml:space="preserve">
租期内含免租期为
2024年12月31日至2025年01月30日</t>
        </r>
      </text>
    </comment>
    <comment ref="J117" authorId="1">
      <text>
        <r>
          <rPr>
            <b/>
            <sz val="9"/>
            <rFont val="宋体"/>
            <family val="3"/>
            <charset val="134"/>
          </rPr>
          <t>HL:</t>
        </r>
        <r>
          <rPr>
            <sz val="9"/>
            <rFont val="宋体"/>
            <family val="3"/>
            <charset val="134"/>
          </rPr>
          <t xml:space="preserve">
租期内含免租期为叁个月
2023年12月31日至2024年01月30日
2024年12月31日至2025年01月30日
2025年12月31日至2026年01月30日</t>
        </r>
      </text>
    </comment>
    <comment ref="T117" authorId="1">
      <text>
        <r>
          <rPr>
            <b/>
            <sz val="9"/>
            <rFont val="宋体"/>
            <family val="3"/>
            <charset val="134"/>
          </rPr>
          <t>HL:</t>
        </r>
        <r>
          <rPr>
            <sz val="9"/>
            <rFont val="宋体"/>
            <family val="3"/>
            <charset val="134"/>
          </rPr>
          <t xml:space="preserve">
2023年12月31日至2025年12月30日，该房屋租金的日单价为4.17元；
月租金3805.13元
2025年12月31日至2026年12月30日，该房屋租金的日单价为4.42元；
月租金4033.25元</t>
        </r>
      </text>
    </comment>
    <comment ref="AN117" authorId="1">
      <text>
        <r>
          <rPr>
            <b/>
            <sz val="9"/>
            <rFont val="宋体"/>
            <family val="3"/>
            <charset val="134"/>
          </rPr>
          <t>HL:</t>
        </r>
        <r>
          <rPr>
            <sz val="9"/>
            <rFont val="宋体"/>
            <family val="3"/>
            <charset val="134"/>
          </rPr>
          <t xml:space="preserve">
租期内含免租期为
2023年12月31日至2024年01月30日
本月收2024.01.31-03.30</t>
        </r>
      </text>
    </comment>
    <comment ref="AO117" authorId="1">
      <text>
        <r>
          <rPr>
            <b/>
            <sz val="9"/>
            <rFont val="宋体"/>
            <family val="3"/>
            <charset val="134"/>
          </rPr>
          <t>HL:</t>
        </r>
        <r>
          <rPr>
            <sz val="9"/>
            <rFont val="宋体"/>
            <family val="3"/>
            <charset val="134"/>
          </rPr>
          <t xml:space="preserve">
租期内含免租期为
2023年12月31日至2024年01月30日
本月收2024.01.31-03.30</t>
        </r>
      </text>
    </comment>
    <comment ref="DX117" authorId="1">
      <text>
        <r>
          <rPr>
            <b/>
            <sz val="9"/>
            <rFont val="宋体"/>
            <family val="3"/>
            <charset val="134"/>
          </rPr>
          <t>HL:</t>
        </r>
        <r>
          <rPr>
            <sz val="9"/>
            <rFont val="宋体"/>
            <family val="3"/>
            <charset val="134"/>
          </rPr>
          <t xml:space="preserve">
租期内含免租期为
2024年12月31日至2025年01月30日
</t>
        </r>
      </text>
    </comment>
    <comment ref="EU117" authorId="1">
      <text>
        <r>
          <rPr>
            <b/>
            <sz val="9"/>
            <rFont val="宋体"/>
            <family val="3"/>
            <charset val="134"/>
          </rPr>
          <t>HL:</t>
        </r>
        <r>
          <rPr>
            <sz val="9"/>
            <rFont val="宋体"/>
            <family val="3"/>
            <charset val="134"/>
          </rPr>
          <t xml:space="preserve">
租期内含免租期为
2023年12月31日至2024年01月30日
本月收2024.01.31
</t>
        </r>
      </text>
    </comment>
    <comment ref="EV117" authorId="1">
      <text>
        <r>
          <rPr>
            <b/>
            <sz val="9"/>
            <rFont val="宋体"/>
            <family val="3"/>
            <charset val="134"/>
          </rPr>
          <t>HL:</t>
        </r>
        <r>
          <rPr>
            <sz val="9"/>
            <rFont val="宋体"/>
            <family val="3"/>
            <charset val="134"/>
          </rPr>
          <t xml:space="preserve">
租期内含免租期为
2023年12月31日至2024年01月30日
本月收2024.01.31
</t>
        </r>
      </text>
    </comment>
    <comment ref="EY117" authorId="1">
      <text>
        <r>
          <rPr>
            <b/>
            <sz val="9"/>
            <rFont val="宋体"/>
            <family val="3"/>
            <charset val="134"/>
          </rPr>
          <t>HL:</t>
        </r>
        <r>
          <rPr>
            <sz val="9"/>
            <rFont val="宋体"/>
            <family val="3"/>
            <charset val="134"/>
          </rPr>
          <t xml:space="preserve">
2023.12.31
2024.01.01-01.31</t>
        </r>
      </text>
    </comment>
    <comment ref="EZ117" authorId="1">
      <text>
        <r>
          <rPr>
            <b/>
            <sz val="9"/>
            <rFont val="宋体"/>
            <family val="3"/>
            <charset val="134"/>
          </rPr>
          <t>HL:</t>
        </r>
        <r>
          <rPr>
            <sz val="9"/>
            <rFont val="宋体"/>
            <family val="3"/>
            <charset val="134"/>
          </rPr>
          <t xml:space="preserve">
2023.12.31
2024.01.01-01.31</t>
        </r>
      </text>
    </comment>
    <comment ref="FL117" authorId="1">
      <text>
        <r>
          <rPr>
            <b/>
            <sz val="9"/>
            <rFont val="宋体"/>
            <family val="3"/>
            <charset val="134"/>
          </rPr>
          <t>HL:</t>
        </r>
        <r>
          <rPr>
            <sz val="9"/>
            <rFont val="宋体"/>
            <family val="3"/>
            <charset val="134"/>
          </rPr>
          <t xml:space="preserve">
2024.03.01-03.30
2024.03.31</t>
        </r>
      </text>
    </comment>
    <comment ref="FP117" authorId="1">
      <text>
        <r>
          <rPr>
            <b/>
            <sz val="9"/>
            <rFont val="宋体"/>
            <family val="3"/>
            <charset val="134"/>
          </rPr>
          <t>HL:</t>
        </r>
        <r>
          <rPr>
            <sz val="9"/>
            <rFont val="宋体"/>
            <family val="3"/>
            <charset val="134"/>
          </rPr>
          <t xml:space="preserve">
2024.03.01-03.30
2024.03.31</t>
        </r>
      </text>
    </comment>
    <comment ref="GJ117" authorId="1">
      <text>
        <r>
          <rPr>
            <b/>
            <sz val="9"/>
            <rFont val="宋体"/>
            <family val="3"/>
            <charset val="134"/>
          </rPr>
          <t>HL:</t>
        </r>
        <r>
          <rPr>
            <sz val="9"/>
            <rFont val="宋体"/>
            <family val="3"/>
            <charset val="134"/>
          </rPr>
          <t xml:space="preserve">
2024.06.01-06.30
发票为06.29
因资软生成期间无法调整</t>
        </r>
      </text>
    </comment>
    <comment ref="GN117" authorId="1">
      <text>
        <r>
          <rPr>
            <b/>
            <sz val="9"/>
            <rFont val="宋体"/>
            <family val="3"/>
            <charset val="134"/>
          </rPr>
          <t>HL:</t>
        </r>
        <r>
          <rPr>
            <sz val="9"/>
            <rFont val="宋体"/>
            <family val="3"/>
            <charset val="134"/>
          </rPr>
          <t xml:space="preserve">
2024.06.01-06.30
发票为06.29
因资软生成期间无法调整</t>
        </r>
      </text>
    </comment>
    <comment ref="HH117" authorId="1">
      <text>
        <r>
          <rPr>
            <b/>
            <sz val="9"/>
            <rFont val="宋体"/>
            <family val="3"/>
            <charset val="134"/>
          </rPr>
          <t>HL:</t>
        </r>
        <r>
          <rPr>
            <sz val="9"/>
            <rFont val="宋体"/>
            <family val="3"/>
            <charset val="134"/>
          </rPr>
          <t xml:space="preserve">
2024.09.01-09.29
2024.09.30-09.30</t>
        </r>
      </text>
    </comment>
    <comment ref="HL117" authorId="1">
      <text>
        <r>
          <rPr>
            <b/>
            <sz val="9"/>
            <rFont val="宋体"/>
            <family val="3"/>
            <charset val="134"/>
          </rPr>
          <t>HL:</t>
        </r>
        <r>
          <rPr>
            <sz val="9"/>
            <rFont val="宋体"/>
            <family val="3"/>
            <charset val="134"/>
          </rPr>
          <t xml:space="preserve">
2024.09.01-09.29
2024.09.30-09.30</t>
        </r>
      </text>
    </comment>
    <comment ref="IE117" authorId="1">
      <text>
        <r>
          <rPr>
            <b/>
            <sz val="9"/>
            <rFont val="宋体"/>
            <family val="3"/>
            <charset val="134"/>
          </rPr>
          <t>HL:</t>
        </r>
        <r>
          <rPr>
            <sz val="9"/>
            <rFont val="宋体"/>
            <family val="3"/>
            <charset val="134"/>
          </rPr>
          <t xml:space="preserve">
租期内含免租期为
2024年12月31日至2025年01月30日
本月收2024.12.01-12.30</t>
        </r>
      </text>
    </comment>
    <comment ref="IF117" authorId="1">
      <text>
        <r>
          <rPr>
            <b/>
            <sz val="9"/>
            <rFont val="宋体"/>
            <family val="3"/>
            <charset val="134"/>
          </rPr>
          <t>HL:</t>
        </r>
        <r>
          <rPr>
            <sz val="9"/>
            <rFont val="宋体"/>
            <family val="3"/>
            <charset val="134"/>
          </rPr>
          <t xml:space="preserve">
租期内含免租期为
2024年12月31日至2025年01月30日
本月收2024.12.01-12.30</t>
        </r>
      </text>
    </comment>
    <comment ref="II117" authorId="1">
      <text>
        <r>
          <rPr>
            <b/>
            <sz val="9"/>
            <rFont val="宋体"/>
            <family val="3"/>
            <charset val="134"/>
          </rPr>
          <t>HL:</t>
        </r>
        <r>
          <rPr>
            <sz val="9"/>
            <rFont val="宋体"/>
            <family val="3"/>
            <charset val="134"/>
          </rPr>
          <t xml:space="preserve">
2024.12.01-12.30
2024.12.31</t>
        </r>
      </text>
    </comment>
    <comment ref="IJ117" authorId="1">
      <text>
        <r>
          <rPr>
            <b/>
            <sz val="9"/>
            <rFont val="宋体"/>
            <family val="3"/>
            <charset val="134"/>
          </rPr>
          <t>HL:</t>
        </r>
        <r>
          <rPr>
            <sz val="9"/>
            <rFont val="宋体"/>
            <family val="3"/>
            <charset val="134"/>
          </rPr>
          <t xml:space="preserve">
租期内含免租期为
2024年12月31日至2025年01月30日
本月收2024.12.01-12.30</t>
        </r>
      </text>
    </comment>
    <comment ref="IM117" authorId="1">
      <text>
        <r>
          <rPr>
            <b/>
            <sz val="9"/>
            <rFont val="宋体"/>
            <family val="3"/>
            <charset val="134"/>
          </rPr>
          <t>HL:</t>
        </r>
        <r>
          <rPr>
            <sz val="9"/>
            <rFont val="宋体"/>
            <family val="3"/>
            <charset val="134"/>
          </rPr>
          <t xml:space="preserve">
租期内含免租期为
2024年12月31日至2025年01月30日</t>
        </r>
      </text>
    </comment>
    <comment ref="J118" authorId="1">
      <text>
        <r>
          <rPr>
            <b/>
            <sz val="9"/>
            <rFont val="宋体"/>
            <family val="3"/>
            <charset val="134"/>
          </rPr>
          <t>HL:</t>
        </r>
        <r>
          <rPr>
            <sz val="9"/>
            <rFont val="宋体"/>
            <family val="3"/>
            <charset val="134"/>
          </rPr>
          <t xml:space="preserve">
客户原合同2023.04.24退租
实际提前退租 2022.02.24提前退租</t>
        </r>
      </text>
    </comment>
    <comment ref="J119" authorId="1">
      <text>
        <r>
          <rPr>
            <b/>
            <sz val="9"/>
            <rFont val="宋体"/>
            <family val="3"/>
            <charset val="134"/>
          </rPr>
          <t>HL:</t>
        </r>
        <r>
          <rPr>
            <sz val="9"/>
            <rFont val="宋体"/>
            <family val="3"/>
            <charset val="134"/>
          </rPr>
          <t xml:space="preserve">
客户原合同2023.04.24退租
实际提前退租 2022.02.24提前退租</t>
        </r>
      </text>
    </comment>
    <comment ref="J120" authorId="1">
      <text>
        <r>
          <rPr>
            <b/>
            <sz val="9"/>
            <rFont val="宋体"/>
            <family val="3"/>
            <charset val="134"/>
          </rPr>
          <t>HL:</t>
        </r>
        <r>
          <rPr>
            <sz val="9"/>
            <rFont val="宋体"/>
            <family val="3"/>
            <charset val="134"/>
          </rPr>
          <t xml:space="preserve">
客户原合同2023.04.24退租
实际提前退租 2022.02.24提前退租</t>
        </r>
      </text>
    </comment>
    <comment ref="J121" authorId="1">
      <text>
        <r>
          <rPr>
            <b/>
            <sz val="9"/>
            <rFont val="宋体"/>
            <family val="3"/>
            <charset val="134"/>
          </rPr>
          <t>HL:</t>
        </r>
        <r>
          <rPr>
            <sz val="9"/>
            <rFont val="宋体"/>
            <family val="3"/>
            <charset val="134"/>
          </rPr>
          <t xml:space="preserve">
客户原合同2023.04.24退租
实际提前退租 2022.02.24提前退租</t>
        </r>
      </text>
    </comment>
    <comment ref="J122" authorId="1">
      <text>
        <r>
          <rPr>
            <b/>
            <sz val="9"/>
            <rFont val="宋体"/>
            <family val="3"/>
            <charset val="134"/>
          </rPr>
          <t>HL:</t>
        </r>
        <r>
          <rPr>
            <sz val="9"/>
            <rFont val="宋体"/>
            <family val="3"/>
            <charset val="134"/>
          </rPr>
          <t xml:space="preserve">
客户原合同2023.04.24退租
实际提前退租 2022.02.24提前退租</t>
        </r>
      </text>
    </comment>
    <comment ref="D123" authorId="2">
      <text>
        <r>
          <rPr>
            <b/>
            <sz val="9"/>
            <rFont val="宋体"/>
            <family val="3"/>
            <charset val="134"/>
          </rPr>
          <t>作者:</t>
        </r>
        <r>
          <rPr>
            <sz val="9"/>
            <rFont val="宋体"/>
            <family val="3"/>
            <charset val="134"/>
          </rPr>
          <t xml:space="preserve">
场地租赁区域建筑面积为153平方米（红色区域），户外坐席使用区域面积为35平方米（蓝色区域）
</t>
        </r>
      </text>
    </comment>
    <comment ref="T123" authorId="2">
      <text>
        <r>
          <rPr>
            <b/>
            <sz val="9"/>
            <rFont val="宋体"/>
            <family val="3"/>
            <charset val="134"/>
          </rPr>
          <t>作者:</t>
        </r>
        <r>
          <rPr>
            <sz val="9"/>
            <rFont val="宋体"/>
            <family val="3"/>
            <charset val="134"/>
          </rPr>
          <t xml:space="preserve">
2020年09月09日至2023年09月08日月租金70,597.39元，年租金847,168.65元
2023年09月09日至2025年09月08日月租金74,320.39元，年租金891,844.65元
</t>
        </r>
      </text>
    </comment>
    <comment ref="D124" authorId="4">
      <text>
        <r>
          <rPr>
            <b/>
            <sz val="9"/>
            <rFont val="宋体"/>
            <family val="3"/>
            <charset val="134"/>
          </rPr>
          <t>HL50:</t>
        </r>
        <r>
          <rPr>
            <sz val="9"/>
            <rFont val="宋体"/>
            <family val="3"/>
            <charset val="134"/>
          </rPr>
          <t xml:space="preserve">
含原F118面积25平方米
F118：  25平方米
F118A： 35平方米</t>
        </r>
      </text>
    </comment>
    <comment ref="AV124" authorId="0">
      <text>
        <r>
          <rPr>
            <b/>
            <sz val="9"/>
            <rFont val="宋体"/>
            <family val="3"/>
            <charset val="134"/>
          </rPr>
          <t>64001:</t>
        </r>
        <r>
          <rPr>
            <sz val="9"/>
            <rFont val="宋体"/>
            <family val="3"/>
            <charset val="134"/>
          </rPr>
          <t xml:space="preserve">
2024.03.01-09.09</t>
        </r>
      </text>
    </comment>
    <comment ref="FK124" authorId="1">
      <text>
        <r>
          <rPr>
            <b/>
            <sz val="9"/>
            <rFont val="宋体"/>
            <family val="3"/>
            <charset val="134"/>
          </rPr>
          <t>HL:</t>
        </r>
        <r>
          <rPr>
            <sz val="9"/>
            <rFont val="宋体"/>
            <family val="3"/>
            <charset val="134"/>
          </rPr>
          <t xml:space="preserve">
2024.03.01-03.09
2024.03.10-03.31</t>
        </r>
      </text>
    </comment>
    <comment ref="FL124" authorId="1">
      <text>
        <r>
          <rPr>
            <b/>
            <sz val="9"/>
            <rFont val="宋体"/>
            <family val="3"/>
            <charset val="134"/>
          </rPr>
          <t>HL:</t>
        </r>
        <r>
          <rPr>
            <sz val="9"/>
            <rFont val="宋体"/>
            <family val="3"/>
            <charset val="134"/>
          </rPr>
          <t xml:space="preserve">
2024.03.01-03.09
2024.03.10-03.31</t>
        </r>
      </text>
    </comment>
    <comment ref="FO124" authorId="1">
      <text>
        <r>
          <rPr>
            <b/>
            <sz val="9"/>
            <rFont val="宋体"/>
            <family val="3"/>
            <charset val="134"/>
          </rPr>
          <t>HL:</t>
        </r>
        <r>
          <rPr>
            <sz val="9"/>
            <rFont val="宋体"/>
            <family val="3"/>
            <charset val="134"/>
          </rPr>
          <t xml:space="preserve">
2024.03.01-03.09
2024.03.10-03.31</t>
        </r>
      </text>
    </comment>
    <comment ref="FP124" authorId="1">
      <text>
        <r>
          <rPr>
            <b/>
            <sz val="9"/>
            <rFont val="宋体"/>
            <family val="3"/>
            <charset val="134"/>
          </rPr>
          <t>HL:</t>
        </r>
        <r>
          <rPr>
            <sz val="9"/>
            <rFont val="宋体"/>
            <family val="3"/>
            <charset val="134"/>
          </rPr>
          <t xml:space="preserve">
2024.03.01-03.09
2024.03.10-03.31</t>
        </r>
      </text>
    </comment>
    <comment ref="GB124" authorId="1">
      <text>
        <r>
          <rPr>
            <b/>
            <sz val="9"/>
            <rFont val="宋体"/>
            <family val="3"/>
            <charset val="134"/>
          </rPr>
          <t>HL:</t>
        </r>
        <r>
          <rPr>
            <sz val="9"/>
            <rFont val="宋体"/>
            <family val="3"/>
            <charset val="134"/>
          </rPr>
          <t xml:space="preserve">
2024.05.01-05.09
2024.05.10-05.31</t>
        </r>
      </text>
    </comment>
    <comment ref="GF124" authorId="1">
      <text>
        <r>
          <rPr>
            <b/>
            <sz val="9"/>
            <rFont val="宋体"/>
            <family val="3"/>
            <charset val="134"/>
          </rPr>
          <t>HL:</t>
        </r>
        <r>
          <rPr>
            <sz val="9"/>
            <rFont val="宋体"/>
            <family val="3"/>
            <charset val="134"/>
          </rPr>
          <t xml:space="preserve">
2024.05.01-05.09
2024.05.10-05.31</t>
        </r>
      </text>
    </comment>
    <comment ref="GJ124" authorId="1">
      <text>
        <r>
          <rPr>
            <b/>
            <sz val="9"/>
            <rFont val="宋体"/>
            <family val="3"/>
            <charset val="134"/>
          </rPr>
          <t>HL:</t>
        </r>
        <r>
          <rPr>
            <sz val="9"/>
            <rFont val="宋体"/>
            <family val="3"/>
            <charset val="134"/>
          </rPr>
          <t xml:space="preserve">
2024.06.01-06.09
2024.06.10-06.30</t>
        </r>
      </text>
    </comment>
    <comment ref="GN124" authorId="1">
      <text>
        <r>
          <rPr>
            <b/>
            <sz val="9"/>
            <rFont val="宋体"/>
            <family val="3"/>
            <charset val="134"/>
          </rPr>
          <t>HL:</t>
        </r>
        <r>
          <rPr>
            <sz val="9"/>
            <rFont val="宋体"/>
            <family val="3"/>
            <charset val="134"/>
          </rPr>
          <t xml:space="preserve">
2024.06.01-06.09
2024.06.10-06.30</t>
        </r>
      </text>
    </comment>
    <comment ref="GR124" authorId="1">
      <text>
        <r>
          <rPr>
            <b/>
            <sz val="9"/>
            <rFont val="宋体"/>
            <family val="3"/>
            <charset val="134"/>
          </rPr>
          <t>HL:</t>
        </r>
        <r>
          <rPr>
            <sz val="9"/>
            <rFont val="宋体"/>
            <family val="3"/>
            <charset val="134"/>
          </rPr>
          <t xml:space="preserve">
2024.07.01-07.09
2024.07.10-07.31</t>
        </r>
      </text>
    </comment>
    <comment ref="GV124" authorId="1">
      <text>
        <r>
          <rPr>
            <b/>
            <sz val="9"/>
            <rFont val="宋体"/>
            <family val="3"/>
            <charset val="134"/>
          </rPr>
          <t>HL:</t>
        </r>
        <r>
          <rPr>
            <sz val="9"/>
            <rFont val="宋体"/>
            <family val="3"/>
            <charset val="134"/>
          </rPr>
          <t xml:space="preserve">
2024.07.01-07.09
2024.07.10-07.31</t>
        </r>
      </text>
    </comment>
    <comment ref="GZ124" authorId="1">
      <text>
        <r>
          <rPr>
            <b/>
            <sz val="9"/>
            <rFont val="宋体"/>
            <family val="3"/>
            <charset val="134"/>
          </rPr>
          <t>HL:</t>
        </r>
        <r>
          <rPr>
            <sz val="9"/>
            <rFont val="宋体"/>
            <family val="3"/>
            <charset val="134"/>
          </rPr>
          <t xml:space="preserve">
2024.08.01-08.09
2024.08.10-08.31</t>
        </r>
      </text>
    </comment>
    <comment ref="HD124" authorId="1">
      <text>
        <r>
          <rPr>
            <b/>
            <sz val="9"/>
            <rFont val="宋体"/>
            <family val="3"/>
            <charset val="134"/>
          </rPr>
          <t>HL:</t>
        </r>
        <r>
          <rPr>
            <sz val="9"/>
            <rFont val="宋体"/>
            <family val="3"/>
            <charset val="134"/>
          </rPr>
          <t xml:space="preserve">
2024.08.01-08.09
2024.08.10-08.31
</t>
        </r>
      </text>
    </comment>
    <comment ref="HH124" authorId="1">
      <text>
        <r>
          <rPr>
            <b/>
            <sz val="9"/>
            <rFont val="宋体"/>
            <family val="3"/>
            <charset val="134"/>
          </rPr>
          <t>HL:</t>
        </r>
        <r>
          <rPr>
            <sz val="9"/>
            <rFont val="宋体"/>
            <family val="3"/>
            <charset val="134"/>
          </rPr>
          <t xml:space="preserve">
2024.09.01-09.09
2024.09.10-09.30</t>
        </r>
      </text>
    </comment>
    <comment ref="HL124" authorId="1">
      <text>
        <r>
          <rPr>
            <b/>
            <sz val="9"/>
            <rFont val="宋体"/>
            <family val="3"/>
            <charset val="134"/>
          </rPr>
          <t>HL:</t>
        </r>
        <r>
          <rPr>
            <sz val="9"/>
            <rFont val="宋体"/>
            <family val="3"/>
            <charset val="134"/>
          </rPr>
          <t xml:space="preserve">
2024.09.01-09.09
2024.09.10-09.30</t>
        </r>
      </text>
    </comment>
    <comment ref="HP124" authorId="1">
      <text>
        <r>
          <rPr>
            <b/>
            <sz val="9"/>
            <rFont val="宋体"/>
            <family val="3"/>
            <charset val="134"/>
          </rPr>
          <t>HL:</t>
        </r>
        <r>
          <rPr>
            <sz val="9"/>
            <rFont val="宋体"/>
            <family val="3"/>
            <charset val="134"/>
          </rPr>
          <t xml:space="preserve">
2024.10.01-10.09
2024.10.10-10.31
</t>
        </r>
      </text>
    </comment>
    <comment ref="HT124" authorId="1">
      <text>
        <r>
          <rPr>
            <b/>
            <sz val="9"/>
            <rFont val="宋体"/>
            <family val="3"/>
            <charset val="134"/>
          </rPr>
          <t>HL:</t>
        </r>
        <r>
          <rPr>
            <sz val="9"/>
            <rFont val="宋体"/>
            <family val="3"/>
            <charset val="134"/>
          </rPr>
          <t xml:space="preserve">
2024.10.01-10.09
2024.10.10-10.31
</t>
        </r>
      </text>
    </comment>
    <comment ref="HX124" authorId="1">
      <text>
        <r>
          <rPr>
            <b/>
            <sz val="9"/>
            <rFont val="宋体"/>
            <family val="3"/>
            <charset val="134"/>
          </rPr>
          <t>HL:</t>
        </r>
        <r>
          <rPr>
            <sz val="9"/>
            <rFont val="宋体"/>
            <family val="3"/>
            <charset val="134"/>
          </rPr>
          <t xml:space="preserve">
2024.11.01-11.09</t>
        </r>
      </text>
    </comment>
    <comment ref="IB124" authorId="1">
      <text>
        <r>
          <rPr>
            <b/>
            <sz val="9"/>
            <rFont val="宋体"/>
            <family val="3"/>
            <charset val="134"/>
          </rPr>
          <t>HL:</t>
        </r>
        <r>
          <rPr>
            <sz val="9"/>
            <rFont val="宋体"/>
            <family val="3"/>
            <charset val="134"/>
          </rPr>
          <t xml:space="preserve">
2024.11.01-11.09
</t>
        </r>
      </text>
    </comment>
    <comment ref="J125" authorId="2">
      <text>
        <r>
          <rPr>
            <b/>
            <sz val="9"/>
            <rFont val="宋体"/>
            <family val="3"/>
            <charset val="134"/>
          </rPr>
          <t>作者:</t>
        </r>
        <r>
          <rPr>
            <sz val="9"/>
            <rFont val="宋体"/>
            <family val="3"/>
            <charset val="134"/>
          </rPr>
          <t xml:space="preserve">
2018年07月10日起至2018年08月09日期间，以及2019年08月01日起至2019年08月31日期间</t>
        </r>
      </text>
    </comment>
    <comment ref="D126" authorId="3">
      <text>
        <r>
          <rPr>
            <b/>
            <sz val="9"/>
            <rFont val="宋体"/>
            <family val="3"/>
            <charset val="134"/>
          </rPr>
          <t>hl82:</t>
        </r>
        <r>
          <rPr>
            <sz val="9"/>
            <rFont val="宋体"/>
            <family val="3"/>
            <charset val="134"/>
          </rPr>
          <t xml:space="preserve">
B01 30.24
B02 50
B03 53
C01-03 138
一层底商（业主回租）315
B01-02和一层底商（业主回租）合计租赁面积368</t>
        </r>
      </text>
    </comment>
    <comment ref="D127" authorId="1">
      <text>
        <r>
          <rPr>
            <b/>
            <sz val="9"/>
            <rFont val="宋体"/>
            <family val="3"/>
            <charset val="134"/>
          </rPr>
          <t>HL:</t>
        </r>
        <r>
          <rPr>
            <sz val="9"/>
            <rFont val="宋体"/>
            <family val="3"/>
            <charset val="134"/>
          </rPr>
          <t xml:space="preserve">
原该位置面积为100平米</t>
        </r>
      </text>
    </comment>
    <comment ref="HH128" authorId="1">
      <text>
        <r>
          <rPr>
            <b/>
            <sz val="9"/>
            <rFont val="宋体"/>
            <family val="3"/>
            <charset val="134"/>
          </rPr>
          <t>HL:</t>
        </r>
        <r>
          <rPr>
            <sz val="9"/>
            <rFont val="宋体"/>
            <family val="3"/>
            <charset val="134"/>
          </rPr>
          <t xml:space="preserve">
2024.09.01-09.07
2024.09.08-09.30</t>
        </r>
      </text>
    </comment>
    <comment ref="HL128" authorId="1">
      <text>
        <r>
          <rPr>
            <b/>
            <sz val="9"/>
            <rFont val="宋体"/>
            <family val="3"/>
            <charset val="134"/>
          </rPr>
          <t>HL:</t>
        </r>
        <r>
          <rPr>
            <sz val="9"/>
            <rFont val="宋体"/>
            <family val="3"/>
            <charset val="134"/>
          </rPr>
          <t xml:space="preserve">
2024.09.01-09.07
2024.09.08-09.30</t>
        </r>
      </text>
    </comment>
    <comment ref="IY128" authorId="1">
      <text>
        <r>
          <rPr>
            <b/>
            <sz val="9"/>
            <rFont val="宋体"/>
            <family val="3"/>
            <charset val="134"/>
          </rPr>
          <t>HL:</t>
        </r>
        <r>
          <rPr>
            <sz val="9"/>
            <rFont val="宋体"/>
            <family val="3"/>
            <charset val="134"/>
          </rPr>
          <t xml:space="preserve">
2024.09.01-09.07</t>
        </r>
      </text>
    </comment>
    <comment ref="JL128" authorId="1">
      <text>
        <r>
          <rPr>
            <b/>
            <sz val="9"/>
            <rFont val="宋体"/>
            <family val="3"/>
            <charset val="134"/>
          </rPr>
          <t>HL:</t>
        </r>
        <r>
          <rPr>
            <sz val="9"/>
            <rFont val="宋体"/>
            <family val="3"/>
            <charset val="134"/>
          </rPr>
          <t xml:space="preserve">
2024.09.01-09.07</t>
        </r>
      </text>
    </comment>
    <comment ref="LL129" authorId="0">
      <text>
        <r>
          <rPr>
            <b/>
            <sz val="9"/>
            <rFont val="宋体"/>
            <family val="3"/>
            <charset val="134"/>
          </rPr>
          <t>64001:</t>
        </r>
        <r>
          <rPr>
            <sz val="9"/>
            <rFont val="宋体"/>
            <family val="3"/>
            <charset val="134"/>
          </rPr>
          <t xml:space="preserve">
甲方同意减免原合同2022.12.01至12.31租金61908.56 元，乙
方租金已交至2022.12.31且已开发票，同意以免费延长原合同租赁期限的形式
进行上述租金及物业费的减免</t>
        </r>
      </text>
    </comment>
    <comment ref="J130" authorId="2">
      <text>
        <r>
          <rPr>
            <b/>
            <sz val="9"/>
            <rFont val="宋体"/>
            <family val="3"/>
            <charset val="134"/>
          </rPr>
          <t>作者:</t>
        </r>
        <r>
          <rPr>
            <sz val="9"/>
            <rFont val="宋体"/>
            <family val="3"/>
            <charset val="134"/>
          </rPr>
          <t xml:space="preserve">
免租期
2018年03月16日至2018年04月15日
2019年03月16日至2019年04月15日
2020年03月16日至2020年04月15日
免除租金及物业管理费。</t>
        </r>
      </text>
    </comment>
    <comment ref="N131" authorId="6">
      <text>
        <r>
          <rPr>
            <b/>
            <sz val="9"/>
            <rFont val="宋体"/>
            <family val="3"/>
            <charset val="134"/>
          </rPr>
          <t>Sky123.Org:</t>
        </r>
        <r>
          <rPr>
            <sz val="9"/>
            <rFont val="宋体"/>
            <family val="3"/>
            <charset val="134"/>
          </rPr>
          <t xml:space="preserve">
B17#北京鑫海岸商贸有限公司2018.12.13交21144.64
B17 李来福20000元押金</t>
        </r>
      </text>
    </comment>
    <comment ref="LL131" authorId="1">
      <text>
        <r>
          <rPr>
            <b/>
            <sz val="9"/>
            <rFont val="宋体"/>
            <family val="3"/>
            <charset val="134"/>
          </rPr>
          <t>HL:</t>
        </r>
        <r>
          <rPr>
            <sz val="9"/>
            <rFont val="宋体"/>
            <family val="3"/>
            <charset val="134"/>
          </rPr>
          <t xml:space="preserve">
甲方同意减免原合同 2022 年 12 月 01 日至 2022 年
12 月 31 日之租金 14280.63 元及物业费 0.00 元，共计人民币
14280.63 元（大写：壹万肆仟贰佰捌拾元陆角叁分）。鉴于乙
方租金已交至 2022 年 12 月 31 日且已开发票，为简化程序，
现经甲乙双方协商一致，同意以免费延长原合同租赁期限的形式
进行上述租金及物业费的减免。
二、原合同将于 2022 年 12 月 31 日期限届满，甲乙双方同
意将原合同租赁期限延长至 2023 年 01 月 31 日，即原合同之租
赁期限变更为，自 2022 年 01 月 01 日起至 2023 年 01 月 31 日
止。自 2023 年 01 月 01 日起至 2023 年 01 月 31 日止，乙方
 2
免交租金，但须缴纳物业管理费及其他应缴费用。</t>
        </r>
      </text>
    </comment>
    <comment ref="KQ137" authorId="1">
      <text>
        <r>
          <rPr>
            <b/>
            <sz val="9"/>
            <rFont val="宋体"/>
            <family val="3"/>
            <charset val="134"/>
          </rPr>
          <t>HL:</t>
        </r>
        <r>
          <rPr>
            <sz val="9"/>
            <rFont val="宋体"/>
            <family val="3"/>
            <charset val="134"/>
          </rPr>
          <t xml:space="preserve">
3层优客工场剩余保证金不退85000元转收客户服务费-中天</t>
        </r>
      </text>
    </comment>
    <comment ref="KQ139" authorId="1">
      <text>
        <r>
          <rPr>
            <b/>
            <sz val="9"/>
            <rFont val="宋体"/>
            <family val="3"/>
            <charset val="134"/>
          </rPr>
          <t>HL:</t>
        </r>
        <r>
          <rPr>
            <sz val="9"/>
            <rFont val="宋体"/>
            <family val="3"/>
            <charset val="134"/>
          </rPr>
          <t xml:space="preserve">
7层字跳到期收复原赔偿费</t>
        </r>
      </text>
    </comment>
    <comment ref="GB143" authorId="1">
      <text>
        <r>
          <rPr>
            <b/>
            <sz val="9"/>
            <rFont val="宋体"/>
            <family val="3"/>
            <charset val="134"/>
          </rPr>
          <t>HL:</t>
        </r>
        <r>
          <rPr>
            <sz val="9"/>
            <rFont val="宋体"/>
            <family val="3"/>
            <charset val="134"/>
          </rPr>
          <t xml:space="preserve">
2024.05.01-05.17
2024.05.18-05.31</t>
        </r>
      </text>
    </comment>
    <comment ref="GC143" authorId="1">
      <text>
        <r>
          <rPr>
            <b/>
            <sz val="9"/>
            <rFont val="宋体"/>
            <family val="3"/>
            <charset val="134"/>
          </rPr>
          <t>HL:</t>
        </r>
        <r>
          <rPr>
            <sz val="9"/>
            <rFont val="宋体"/>
            <family val="3"/>
            <charset val="134"/>
          </rPr>
          <t xml:space="preserve">
2024.05.01-05.17
2024.05.18-05.31</t>
        </r>
      </text>
    </comment>
    <comment ref="EV144" authorId="1">
      <text>
        <r>
          <rPr>
            <b/>
            <sz val="9"/>
            <rFont val="宋体"/>
            <family val="3"/>
            <charset val="134"/>
          </rPr>
          <t>HL:</t>
        </r>
        <r>
          <rPr>
            <sz val="9"/>
            <rFont val="宋体"/>
            <family val="3"/>
            <charset val="134"/>
          </rPr>
          <t xml:space="preserve">
收原客户北京场圈愿景科技有限公司
2024.01.01-01.04；2024.01.05-01.31
43393.65/3/1.05-43393.65/3*12/365*10/1.05：收北京场圈有爱网络科技有限公司2024.01.11-01.31
</t>
        </r>
      </text>
    </comment>
    <comment ref="EW144" authorId="1">
      <text>
        <r>
          <rPr>
            <b/>
            <sz val="9"/>
            <rFont val="宋体"/>
            <family val="3"/>
            <charset val="134"/>
          </rPr>
          <t>HL:</t>
        </r>
        <r>
          <rPr>
            <sz val="9"/>
            <rFont val="宋体"/>
            <family val="3"/>
            <charset val="134"/>
          </rPr>
          <t xml:space="preserve">
收原客户北京场圈愿景科技有限公司
2024.01.01-01.04；2024.01.05-01.31
8637.09/3/1.06-8637.09/3*12/365*10/1.06：收北京场圈有爱网络科技有限公司2024.01.11-01.31
</t>
        </r>
      </text>
    </comment>
    <comment ref="GB144" authorId="1">
      <text>
        <r>
          <rPr>
            <b/>
            <sz val="9"/>
            <rFont val="宋体"/>
            <family val="3"/>
            <charset val="134"/>
          </rPr>
          <t>HL:</t>
        </r>
        <r>
          <rPr>
            <sz val="9"/>
            <rFont val="宋体"/>
            <family val="3"/>
            <charset val="134"/>
          </rPr>
          <t xml:space="preserve">
2024.05.01-05.17
2024.05.18-05.31</t>
        </r>
      </text>
    </comment>
    <comment ref="GC144" authorId="1">
      <text>
        <r>
          <rPr>
            <b/>
            <sz val="9"/>
            <rFont val="宋体"/>
            <family val="3"/>
            <charset val="134"/>
          </rPr>
          <t>HL:</t>
        </r>
        <r>
          <rPr>
            <sz val="9"/>
            <rFont val="宋体"/>
            <family val="3"/>
            <charset val="134"/>
          </rPr>
          <t xml:space="preserve">
2024.05.01-05.17
2024.05.18-05.31</t>
        </r>
      </text>
    </comment>
    <comment ref="GJ144" authorId="1">
      <text>
        <r>
          <rPr>
            <b/>
            <sz val="9"/>
            <rFont val="宋体"/>
            <family val="3"/>
            <charset val="134"/>
          </rPr>
          <t>HL:</t>
        </r>
        <r>
          <rPr>
            <sz val="9"/>
            <rFont val="宋体"/>
            <family val="3"/>
            <charset val="134"/>
          </rPr>
          <t xml:space="preserve">
2024.06.01-06.07
</t>
        </r>
      </text>
    </comment>
    <comment ref="GK144" authorId="1">
      <text>
        <r>
          <rPr>
            <b/>
            <sz val="9"/>
            <rFont val="宋体"/>
            <family val="3"/>
            <charset val="134"/>
          </rPr>
          <t>HL:</t>
        </r>
        <r>
          <rPr>
            <sz val="9"/>
            <rFont val="宋体"/>
            <family val="3"/>
            <charset val="134"/>
          </rPr>
          <t xml:space="preserve">
2024.06.01-06.07
</t>
        </r>
      </text>
    </comment>
    <comment ref="GJ145" authorId="1">
      <text>
        <r>
          <rPr>
            <b/>
            <sz val="9"/>
            <rFont val="宋体"/>
            <family val="3"/>
            <charset val="134"/>
          </rPr>
          <t>HL:</t>
        </r>
        <r>
          <rPr>
            <sz val="9"/>
            <rFont val="宋体"/>
            <family val="3"/>
            <charset val="134"/>
          </rPr>
          <t xml:space="preserve">
2024.06.08-06.30</t>
        </r>
      </text>
    </comment>
    <comment ref="GK145" authorId="1">
      <text>
        <r>
          <rPr>
            <b/>
            <sz val="9"/>
            <rFont val="宋体"/>
            <family val="3"/>
            <charset val="134"/>
          </rPr>
          <t xml:space="preserve">HL:
</t>
        </r>
        <r>
          <rPr>
            <sz val="9"/>
            <rFont val="宋体"/>
            <family val="3"/>
            <charset val="134"/>
          </rPr>
          <t>2024.06.08-06.30</t>
        </r>
      </text>
    </comment>
    <comment ref="EV147" authorId="1">
      <text>
        <r>
          <rPr>
            <b/>
            <sz val="9"/>
            <rFont val="宋体"/>
            <family val="3"/>
            <charset val="134"/>
          </rPr>
          <t>HL:</t>
        </r>
        <r>
          <rPr>
            <sz val="9"/>
            <rFont val="宋体"/>
            <family val="3"/>
            <charset val="134"/>
          </rPr>
          <t xml:space="preserve">
1449.42/1.05：王璐 2024.01.01-01.21
4848.66/1.05-2099.36/1.05*2：正光诚盛2024.01.22-01.31</t>
        </r>
      </text>
    </comment>
    <comment ref="EW147" authorId="1">
      <text>
        <r>
          <rPr>
            <b/>
            <sz val="9"/>
            <rFont val="宋体"/>
            <family val="3"/>
            <charset val="134"/>
          </rPr>
          <t>HL:</t>
        </r>
        <r>
          <rPr>
            <sz val="9"/>
            <rFont val="宋体"/>
            <family val="3"/>
            <charset val="134"/>
          </rPr>
          <t xml:space="preserve">
207.42/1.06：王璐 2024.01.01-01.21
693.87/1.06-300.43/1.06*2：正光诚盛2024.01.22-01.31
</t>
        </r>
      </text>
    </comment>
    <comment ref="EV151" authorId="1">
      <text>
        <r>
          <rPr>
            <b/>
            <sz val="9"/>
            <rFont val="宋体"/>
            <family val="3"/>
            <charset val="134"/>
          </rPr>
          <t>HL:</t>
        </r>
        <r>
          <rPr>
            <sz val="9"/>
            <rFont val="宋体"/>
            <family val="3"/>
            <charset val="134"/>
          </rPr>
          <t xml:space="preserve">
5159.51/1.05：原合同北京场圈未来传媒有限公司 2024.01.01-01.31</t>
        </r>
      </text>
    </comment>
    <comment ref="EW151" authorId="1">
      <text>
        <r>
          <rPr>
            <b/>
            <sz val="9"/>
            <rFont val="宋体"/>
            <family val="3"/>
            <charset val="134"/>
          </rPr>
          <t>HL:</t>
        </r>
        <r>
          <rPr>
            <sz val="9"/>
            <rFont val="宋体"/>
            <family val="3"/>
            <charset val="134"/>
          </rPr>
          <t xml:space="preserve">
828.32/1.06：原合同 北京场圈未来传媒有限公司 2024.01.01-01.31
</t>
        </r>
      </text>
    </comment>
    <comment ref="EV153" authorId="7">
      <text>
        <r>
          <rPr>
            <b/>
            <sz val="9"/>
            <rFont val="宋体"/>
            <family val="3"/>
            <charset val="134"/>
          </rPr>
          <t>coocaa:</t>
        </r>
        <r>
          <rPr>
            <sz val="9"/>
            <rFont val="宋体"/>
            <family val="3"/>
            <charset val="134"/>
          </rPr>
          <t xml:space="preserve">
5174.97/1.05-5174.97/1.05*12/365*10：天洋致信2024.01.11-01.31租金
7036.47/1.05：原合同 北京场圈科技有限公司2024.01.01-01.31
</t>
        </r>
      </text>
    </comment>
    <comment ref="EW153" authorId="7">
      <text>
        <r>
          <rPr>
            <b/>
            <sz val="9"/>
            <rFont val="宋体"/>
            <family val="3"/>
            <charset val="134"/>
          </rPr>
          <t>coocaa:</t>
        </r>
        <r>
          <rPr>
            <sz val="9"/>
            <rFont val="宋体"/>
            <family val="3"/>
            <charset val="134"/>
          </rPr>
          <t xml:space="preserve">
1030.03/1.06-1030.03*12/365*10/1.06：天洋致信2024.01.11-01.31物业费
1030.03/1.06：原合同 北京场圈科技有限公司2024.01.01-01.31物业费</t>
        </r>
      </text>
    </comment>
  </commentList>
</comments>
</file>

<file path=xl/comments8.xml><?xml version="1.0" encoding="utf-8"?>
<comments xmlns="http://schemas.openxmlformats.org/spreadsheetml/2006/main">
  <authors>
    <author>作者</author>
    <author>AutoBVT</author>
    <author>Sky123.Org</author>
    <author>cn</author>
    <author>HL</author>
    <author>HL50</author>
    <author>hl82</author>
  </authors>
  <commentList>
    <comment ref="J4" authorId="0">
      <text>
        <r>
          <rPr>
            <b/>
            <sz val="9"/>
            <rFont val="宋体"/>
            <family val="3"/>
            <charset val="134"/>
          </rPr>
          <t>作者:</t>
        </r>
        <r>
          <rPr>
            <sz val="9"/>
            <rFont val="宋体"/>
            <family val="3"/>
            <charset val="134"/>
          </rPr>
          <t xml:space="preserve">
免租期
2023.03.20-2023.04.19
2024.03.20-2024.04.19
2025.03.20-2025.04.19
2026.03.20-2026.04.19
免租金，须交物业费
</t>
        </r>
      </text>
    </comment>
    <comment ref="N4" authorId="1">
      <text>
        <r>
          <rPr>
            <b/>
            <sz val="9"/>
            <rFont val="宋体"/>
            <family val="3"/>
            <charset val="134"/>
          </rPr>
          <t>AutoBVT:</t>
        </r>
        <r>
          <rPr>
            <sz val="9"/>
            <rFont val="宋体"/>
            <family val="3"/>
            <charset val="134"/>
          </rPr>
          <t xml:space="preserve">
2022.5.16已缴纳合计押金2314391.01元，汇款北京银行中关村海淀园支行</t>
        </r>
      </text>
    </comment>
    <comment ref="Q4" authorId="1">
      <text>
        <r>
          <rPr>
            <b/>
            <sz val="9"/>
            <rFont val="宋体"/>
            <family val="3"/>
            <charset val="134"/>
          </rPr>
          <t>AutoBVT:</t>
        </r>
        <r>
          <rPr>
            <sz val="9"/>
            <rFont val="宋体"/>
            <family val="3"/>
            <charset val="134"/>
          </rPr>
          <t xml:space="preserve">
2022.05.16交物业费押金</t>
        </r>
      </text>
    </comment>
    <comment ref="T4" authorId="0">
      <text>
        <r>
          <rPr>
            <b/>
            <sz val="9"/>
            <rFont val="宋体"/>
            <family val="3"/>
            <charset val="134"/>
          </rPr>
          <t>作者:</t>
        </r>
        <r>
          <rPr>
            <sz val="9"/>
            <rFont val="宋体"/>
            <family val="3"/>
            <charset val="134"/>
          </rPr>
          <t xml:space="preserve">
2022年04月20日至2024年04月19日
单价为5.97元
月租金82306.35元
当年租金总额987676.2元
2024年04月20日至2026年04月19日
单价为6.31元
月租金86993.81元
当年租金总额1043925.77元
2026年04月20日至2026年11月01日
单价为6.67元
月租金91957.01元
当年租金总额1103484.13元
</t>
        </r>
      </text>
    </comment>
    <comment ref="X4" authorId="0">
      <text>
        <r>
          <rPr>
            <b/>
            <sz val="9"/>
            <rFont val="宋体"/>
            <family val="3"/>
            <charset val="134"/>
          </rPr>
          <t>作者:</t>
        </r>
        <r>
          <rPr>
            <sz val="9"/>
            <rFont val="宋体"/>
            <family val="3"/>
            <charset val="134"/>
          </rPr>
          <t xml:space="preserve">
免租期物业费11442.93</t>
        </r>
      </text>
    </comment>
    <comment ref="AB4" authorId="2">
      <text>
        <r>
          <rPr>
            <sz val="9"/>
            <rFont val="宋体"/>
            <family val="3"/>
            <charset val="134"/>
          </rPr>
          <t>乙方须于上一期租金所对应的租期届满前 30日支付下一期租金及物业管理费,交费日期最后一日为节假日的，日期顺延。</t>
        </r>
      </text>
    </comment>
    <comment ref="AM4" authorId="0">
      <text>
        <r>
          <rPr>
            <b/>
            <sz val="9"/>
            <rFont val="宋体"/>
            <family val="3"/>
            <charset val="134"/>
          </rPr>
          <t>作者:</t>
        </r>
        <r>
          <rPr>
            <sz val="9"/>
            <rFont val="宋体"/>
            <family val="3"/>
            <charset val="134"/>
          </rPr>
          <t xml:space="preserve">
免租期
2024.03.20-2024.04.19
免租金，须交物业费
</t>
        </r>
      </text>
    </comment>
    <comment ref="AN4" authorId="0">
      <text>
        <r>
          <rPr>
            <b/>
            <sz val="9"/>
            <rFont val="宋体"/>
            <family val="3"/>
            <charset val="134"/>
          </rPr>
          <t>作者:</t>
        </r>
        <r>
          <rPr>
            <sz val="9"/>
            <rFont val="宋体"/>
            <family val="3"/>
            <charset val="134"/>
          </rPr>
          <t xml:space="preserve">
2022年04月20日至2024年04月19日
单价为5.97元
月租金82306.35元
当年租金总额987676.2元
2024年04月20日至2026年04月19日
单价为6.31元
月租金86993.81元
当年租金总额1043925.77元
免租期
2024.03.20-2024.04.19
免租金，须交物业费
</t>
        </r>
      </text>
    </comment>
    <comment ref="FK4" authorId="0">
      <text>
        <r>
          <rPr>
            <b/>
            <sz val="9"/>
            <rFont val="宋体"/>
            <family val="3"/>
            <charset val="134"/>
          </rPr>
          <t>作者:</t>
        </r>
        <r>
          <rPr>
            <sz val="9"/>
            <rFont val="宋体"/>
            <family val="3"/>
            <charset val="134"/>
          </rPr>
          <t xml:space="preserve">
免租期
2024.03.20-2024.04.19
免租金，须交物业费
2022年04月20日至2024年04月19日
单价为5.97元
月租金82306.35元
当年租金总额987676.2元
2024年04月20日至2026年04月19日
单价为6.31元
月租金86993.81元
当年租金总额1043925.77元
本月收2024.03.01-03.19</t>
        </r>
      </text>
    </comment>
    <comment ref="FL4" authorId="0">
      <text>
        <r>
          <rPr>
            <b/>
            <sz val="9"/>
            <rFont val="宋体"/>
            <family val="3"/>
            <charset val="134"/>
          </rPr>
          <t>作者:</t>
        </r>
        <r>
          <rPr>
            <sz val="9"/>
            <rFont val="宋体"/>
            <family val="3"/>
            <charset val="134"/>
          </rPr>
          <t xml:space="preserve">
免租期
2024.03.20-2024.04.19
免租金，须交物业费
2022年04月20日至2024年04月19日
单价为5.97元
月租金82306.35元
当年租金总额987676.2元
2024年04月20日至2026年04月19日
单价为6.31元
月租金86993.81元
当年租金总额1043925.77元
本月收2024.03.01-03.19</t>
        </r>
      </text>
    </comment>
    <comment ref="FS4" authorId="0">
      <text>
        <r>
          <rPr>
            <b/>
            <sz val="9"/>
            <rFont val="宋体"/>
            <family val="3"/>
            <charset val="134"/>
          </rPr>
          <t>作者:</t>
        </r>
        <r>
          <rPr>
            <sz val="9"/>
            <rFont val="宋体"/>
            <family val="3"/>
            <charset val="134"/>
          </rPr>
          <t xml:space="preserve">
免租期
2024.03.20-2024.04.19
免租金，须交物业费
2022年04月20日至2024年04月19日
单价为5.97元
月租金82306.35元
当年租金总额987676.2元
2024年04月20日至2026年04月19日
单价为6.31元
月租金86993.81元
当年租金总额1043925.77元
本月收2024.04.20-04.30</t>
        </r>
      </text>
    </comment>
    <comment ref="FT4" authorId="0">
      <text>
        <r>
          <rPr>
            <b/>
            <sz val="9"/>
            <rFont val="宋体"/>
            <family val="3"/>
            <charset val="134"/>
          </rPr>
          <t>作者:</t>
        </r>
        <r>
          <rPr>
            <sz val="9"/>
            <rFont val="宋体"/>
            <family val="3"/>
            <charset val="134"/>
          </rPr>
          <t xml:space="preserve">
免租期
2024.03.20-2024.04.19
免租金，须交物业费
2022年04月20日至2024年04月19日
单价为5.97元
月租金82306.35元
当年租金总额987676.2元
2024年04月20日至2026年04月19日
单价为6.31元
月租金86993.81元
当年租金总额1043925.77元
本月收2024.04.20-04.30</t>
        </r>
      </text>
    </comment>
    <comment ref="D5" authorId="3">
      <text>
        <r>
          <rPr>
            <b/>
            <sz val="9"/>
            <rFont val="宋体"/>
            <family val="3"/>
            <charset val="134"/>
          </rPr>
          <t>cn:</t>
        </r>
        <r>
          <rPr>
            <sz val="9"/>
            <rFont val="宋体"/>
            <family val="3"/>
            <charset val="134"/>
          </rPr>
          <t xml:space="preserve">
3528.28：二层部分区域
97.17：239-240号房间
46.71：205号房间</t>
        </r>
      </text>
    </comment>
    <comment ref="H5" authorId="3">
      <text>
        <r>
          <rPr>
            <b/>
            <sz val="9"/>
            <rFont val="宋体"/>
            <family val="3"/>
            <charset val="134"/>
          </rPr>
          <t>cn:</t>
        </r>
        <r>
          <rPr>
            <sz val="9"/>
            <rFont val="宋体"/>
            <family val="3"/>
            <charset val="134"/>
          </rPr>
          <t xml:space="preserve">
3528.28：20220412-00445
97.17：20220412-00449
46.71：20220412-00448</t>
        </r>
      </text>
    </comment>
    <comment ref="J5" authorId="0">
      <text>
        <r>
          <rPr>
            <b/>
            <sz val="9"/>
            <rFont val="宋体"/>
            <family val="3"/>
            <charset val="134"/>
          </rPr>
          <t>作者:</t>
        </r>
        <r>
          <rPr>
            <sz val="9"/>
            <rFont val="宋体"/>
            <family val="3"/>
            <charset val="134"/>
          </rPr>
          <t xml:space="preserve">
免租期
2023.03.20-2023.04.19
2024.03.20-2024.04.19
2025.03.20-2025.04.19
2026.03.20-2026.04.19
免租金，须交物业费
</t>
        </r>
      </text>
    </comment>
    <comment ref="N5" authorId="1">
      <text>
        <r>
          <rPr>
            <b/>
            <sz val="9"/>
            <rFont val="宋体"/>
            <family val="3"/>
            <charset val="134"/>
          </rPr>
          <t>AutoBVT:</t>
        </r>
        <r>
          <rPr>
            <sz val="9"/>
            <rFont val="宋体"/>
            <family val="3"/>
            <charset val="134"/>
          </rPr>
          <t xml:space="preserve">
2022.5.16已缴纳合计押金2314391.01元，汇款北京银行中关村海淀园支行</t>
        </r>
      </text>
    </comment>
    <comment ref="Q5" authorId="1">
      <text>
        <r>
          <rPr>
            <b/>
            <sz val="9"/>
            <rFont val="宋体"/>
            <family val="3"/>
            <charset val="134"/>
          </rPr>
          <t>AutoBVT:</t>
        </r>
        <r>
          <rPr>
            <sz val="9"/>
            <rFont val="宋体"/>
            <family val="3"/>
            <charset val="134"/>
          </rPr>
          <t xml:space="preserve">
2022.05.16交物业费押金</t>
        </r>
      </text>
    </comment>
    <comment ref="T5" authorId="0">
      <text>
        <r>
          <rPr>
            <b/>
            <sz val="9"/>
            <rFont val="宋体"/>
            <family val="3"/>
            <charset val="134"/>
          </rPr>
          <t>作者:</t>
        </r>
        <r>
          <rPr>
            <sz val="9"/>
            <rFont val="宋体"/>
            <family val="3"/>
            <charset val="134"/>
          </rPr>
          <t xml:space="preserve">
2022年04月20日至2024年04月19日
单价为6.17元
月租金689157.32元
当年租金总额8269887.84元
2024年04月20日至2026年04月19日
单价为6.52元
月租金728250.53元
当年租金总额8739006.37元
2026年04月20日至2026年11月01日
单价为6.89元
月租金769577.63元
当年租金总额9234931.58元
</t>
        </r>
      </text>
    </comment>
    <comment ref="X5" authorId="0">
      <text>
        <r>
          <rPr>
            <b/>
            <sz val="9"/>
            <rFont val="宋体"/>
            <family val="3"/>
            <charset val="134"/>
          </rPr>
          <t>作者:</t>
        </r>
        <r>
          <rPr>
            <sz val="9"/>
            <rFont val="宋体"/>
            <family val="3"/>
            <charset val="134"/>
          </rPr>
          <t xml:space="preserve">
免租期间物业管理费
92706.74</t>
        </r>
      </text>
    </comment>
    <comment ref="AB5" authorId="2">
      <text>
        <r>
          <rPr>
            <sz val="9"/>
            <rFont val="宋体"/>
            <family val="3"/>
            <charset val="134"/>
          </rPr>
          <t>乙方须于上一期租金所对应的租期届满前 30日支付下一期租金及物业管理费,交费日期最后一日为节假日的，日期顺延。</t>
        </r>
      </text>
    </comment>
    <comment ref="AM5" authorId="0">
      <text>
        <r>
          <rPr>
            <b/>
            <sz val="9"/>
            <rFont val="宋体"/>
            <family val="3"/>
            <charset val="134"/>
          </rPr>
          <t>作者:</t>
        </r>
        <r>
          <rPr>
            <sz val="9"/>
            <rFont val="宋体"/>
            <family val="3"/>
            <charset val="134"/>
          </rPr>
          <t xml:space="preserve">
免租期
2024.03.20-2024.04.19
免租金，须交物业费
</t>
        </r>
      </text>
    </comment>
    <comment ref="AN5" authorId="0">
      <text>
        <r>
          <rPr>
            <b/>
            <sz val="9"/>
            <rFont val="宋体"/>
            <family val="3"/>
            <charset val="134"/>
          </rPr>
          <t>作者:</t>
        </r>
        <r>
          <rPr>
            <sz val="9"/>
            <rFont val="宋体"/>
            <family val="3"/>
            <charset val="134"/>
          </rPr>
          <t xml:space="preserve">
2022年04月20日至2024年04月19日
单价为6.17元
月租金689157.32元
当年租金总额8269887.84元
2024年04月20日至2026年04月19日
单价为6.52元
月租金728250.53元
当年租金总额8739006.37元
免租期
2024.03.20-2024.04.19
免租金，须交物业费
</t>
        </r>
      </text>
    </comment>
    <comment ref="FK5" authorId="0">
      <text>
        <r>
          <rPr>
            <b/>
            <sz val="9"/>
            <rFont val="宋体"/>
            <family val="3"/>
            <charset val="134"/>
          </rPr>
          <t>作者:</t>
        </r>
        <r>
          <rPr>
            <sz val="9"/>
            <rFont val="宋体"/>
            <family val="3"/>
            <charset val="134"/>
          </rPr>
          <t xml:space="preserve">
免租期
2024.03.20-2024.04.19
免租金，须交物业费
2022年04月20日至2024年04月19日
单价为6.17元
月租金689157.32元
当年租金总额8269887.84元
2024年04月20日至2026年04月19日
单价为6.52元
月租金728250.53元
当年租金总额8739006.37元
本月收2024.03.01-03.19</t>
        </r>
      </text>
    </comment>
    <comment ref="FL5" authorId="0">
      <text>
        <r>
          <rPr>
            <b/>
            <sz val="9"/>
            <rFont val="宋体"/>
            <family val="3"/>
            <charset val="134"/>
          </rPr>
          <t>作者:</t>
        </r>
        <r>
          <rPr>
            <sz val="9"/>
            <rFont val="宋体"/>
            <family val="3"/>
            <charset val="134"/>
          </rPr>
          <t xml:space="preserve">
免租期
2024.03.20-2024.04.19
免租金，须交物业费
2022年04月20日至2024年04月19日
单价为6.17元
月租金689157.32元
当年租金总额8269887.84元
2024年04月20日至2026年04月19日
单价为6.52元
月租金728250.53元
当年租金总额8739006.37元
本月收2024.03.01-03.19</t>
        </r>
      </text>
    </comment>
    <comment ref="FS5" authorId="0">
      <text>
        <r>
          <rPr>
            <b/>
            <sz val="9"/>
            <rFont val="宋体"/>
            <family val="3"/>
            <charset val="134"/>
          </rPr>
          <t>作者:</t>
        </r>
        <r>
          <rPr>
            <sz val="9"/>
            <rFont val="宋体"/>
            <family val="3"/>
            <charset val="134"/>
          </rPr>
          <t xml:space="preserve">
免租期
2024.03.20-2024.04.19
免租金，须交物业费
2022年04月20日至2024年04月19日
单价为6.17元
月租金689157.32元
当年租金总额8269887.84元
2024年04月20日至2026年04月19日
单价为6.52元
月租金728250.53元
当年租金总额8739006.37元
本月收2024.04.20-04.30</t>
        </r>
      </text>
    </comment>
    <comment ref="FT5" authorId="0">
      <text>
        <r>
          <rPr>
            <b/>
            <sz val="9"/>
            <rFont val="宋体"/>
            <family val="3"/>
            <charset val="134"/>
          </rPr>
          <t>作者:</t>
        </r>
        <r>
          <rPr>
            <sz val="9"/>
            <rFont val="宋体"/>
            <family val="3"/>
            <charset val="134"/>
          </rPr>
          <t xml:space="preserve">
免租期
2024.03.20-2024.04.19
免租金，须交物业费
2022年04月20日至2024年04月19日
单价为6.17元
月租金689157.32元
当年租金总额8269887.84元
2024年04月20日至2026年04月19日
单价为6.52元
月租金728250.53元
当年租金总额8739006.37元
本月收2024.04.20-04.30</t>
        </r>
      </text>
    </comment>
    <comment ref="J6" authorId="4">
      <text>
        <r>
          <rPr>
            <b/>
            <sz val="9"/>
            <rFont val="宋体"/>
            <family val="3"/>
            <charset val="134"/>
          </rPr>
          <t>HL:</t>
        </r>
        <r>
          <rPr>
            <sz val="9"/>
            <rFont val="宋体"/>
            <family val="3"/>
            <charset val="134"/>
          </rPr>
          <t xml:space="preserve">
租期内含免租期为 叁 个月，自 2024年07月15日起至2024年08月14日、 2025年07月15日起至2025年08月14日以及 2026年07月15日起至2026年08月14日止，免租期间内乙方免交租金，但须交纳水费、电费及其他应缴费用。</t>
        </r>
      </text>
    </comment>
    <comment ref="T6" authorId="4">
      <text>
        <r>
          <rPr>
            <b/>
            <sz val="9"/>
            <rFont val="宋体"/>
            <family val="3"/>
            <charset val="134"/>
          </rPr>
          <t>HL:</t>
        </r>
        <r>
          <rPr>
            <sz val="9"/>
            <rFont val="宋体"/>
            <family val="3"/>
            <charset val="134"/>
          </rPr>
          <t xml:space="preserve">
2024年07月15日至2025年07月14日，该房屋租金的日单价为4.50元；月租金79339.59元
2025年07月15日至2026年07月14日，该房屋租金的日单价为4.50元；月租金79339.59元
2026年07月15日至2027年07月14日，该房屋租金的日单价为4.77元；月租金84099.97元
</t>
        </r>
      </text>
    </comment>
    <comment ref="AB6" authorId="2">
      <text>
        <r>
          <rPr>
            <sz val="9"/>
            <rFont val="宋体"/>
            <family val="3"/>
            <charset val="134"/>
          </rPr>
          <t>乙方须于上一期租金所对应的租期届满前 30日支付下一期租金及物业管理费,交费日期最后一日为节假日的，日期顺延。</t>
        </r>
      </text>
    </comment>
    <comment ref="CJ6" authorId="4">
      <text>
        <r>
          <rPr>
            <b/>
            <sz val="9"/>
            <rFont val="宋体"/>
            <family val="3"/>
            <charset val="134"/>
          </rPr>
          <t>HL:</t>
        </r>
        <r>
          <rPr>
            <sz val="9"/>
            <rFont val="宋体"/>
            <family val="3"/>
            <charset val="134"/>
          </rPr>
          <t xml:space="preserve">
2024年07月15日起至2024年08月14日免租
本月收2024.08.15-10.14</t>
        </r>
      </text>
    </comment>
    <comment ref="CK6" authorId="4">
      <text>
        <r>
          <rPr>
            <b/>
            <sz val="9"/>
            <rFont val="宋体"/>
            <family val="3"/>
            <charset val="134"/>
          </rPr>
          <t>HL:</t>
        </r>
        <r>
          <rPr>
            <sz val="9"/>
            <rFont val="宋体"/>
            <family val="3"/>
            <charset val="134"/>
          </rPr>
          <t xml:space="preserve">
2024年07月15日起至2024年08月14日免租
本月收2024.08.15-10.14</t>
        </r>
      </text>
    </comment>
    <comment ref="GQ6" authorId="4">
      <text>
        <r>
          <rPr>
            <b/>
            <sz val="9"/>
            <rFont val="宋体"/>
            <family val="3"/>
            <charset val="134"/>
          </rPr>
          <t>HL:</t>
        </r>
        <r>
          <rPr>
            <sz val="9"/>
            <rFont val="宋体"/>
            <family val="3"/>
            <charset val="134"/>
          </rPr>
          <t xml:space="preserve">
2024年07月15日起至2024年08月14日免租
</t>
        </r>
      </text>
    </comment>
    <comment ref="GR6" authorId="4">
      <text>
        <r>
          <rPr>
            <b/>
            <sz val="9"/>
            <rFont val="宋体"/>
            <family val="3"/>
            <charset val="134"/>
          </rPr>
          <t>HL:</t>
        </r>
        <r>
          <rPr>
            <sz val="9"/>
            <rFont val="宋体"/>
            <family val="3"/>
            <charset val="134"/>
          </rPr>
          <t xml:space="preserve">
2024年07月15日起至2024年08月14日免租
</t>
        </r>
      </text>
    </comment>
    <comment ref="GU6" authorId="4">
      <text>
        <r>
          <rPr>
            <b/>
            <sz val="9"/>
            <rFont val="宋体"/>
            <family val="3"/>
            <charset val="134"/>
          </rPr>
          <t>HL:</t>
        </r>
        <r>
          <rPr>
            <sz val="9"/>
            <rFont val="宋体"/>
            <family val="3"/>
            <charset val="134"/>
          </rPr>
          <t xml:space="preserve">
2024.07.15-07.31</t>
        </r>
      </text>
    </comment>
    <comment ref="GV6" authorId="4">
      <text>
        <r>
          <rPr>
            <b/>
            <sz val="9"/>
            <rFont val="宋体"/>
            <family val="3"/>
            <charset val="134"/>
          </rPr>
          <t>HL:</t>
        </r>
        <r>
          <rPr>
            <sz val="9"/>
            <rFont val="宋体"/>
            <family val="3"/>
            <charset val="134"/>
          </rPr>
          <t xml:space="preserve">
2024.07.15-07.31</t>
        </r>
      </text>
    </comment>
    <comment ref="GY6" authorId="4">
      <text>
        <r>
          <rPr>
            <b/>
            <sz val="9"/>
            <rFont val="宋体"/>
            <family val="3"/>
            <charset val="134"/>
          </rPr>
          <t>HL:</t>
        </r>
        <r>
          <rPr>
            <sz val="9"/>
            <rFont val="宋体"/>
            <family val="3"/>
            <charset val="134"/>
          </rPr>
          <t xml:space="preserve">
2024年07月15日起至2024年08月14日免租
本月收2024.08.15-08.31
</t>
        </r>
      </text>
    </comment>
    <comment ref="GZ6" authorId="4">
      <text>
        <r>
          <rPr>
            <b/>
            <sz val="9"/>
            <rFont val="宋体"/>
            <family val="3"/>
            <charset val="134"/>
          </rPr>
          <t>HL:</t>
        </r>
        <r>
          <rPr>
            <sz val="9"/>
            <rFont val="宋体"/>
            <family val="3"/>
            <charset val="134"/>
          </rPr>
          <t xml:space="preserve">
2024年07月15日起至2024年08月14日免租
本月收2024.08.15-08.31</t>
        </r>
      </text>
    </comment>
    <comment ref="HP6" authorId="4">
      <text>
        <r>
          <rPr>
            <b/>
            <sz val="9"/>
            <rFont val="宋体"/>
            <family val="3"/>
            <charset val="134"/>
          </rPr>
          <t>HL:</t>
        </r>
        <r>
          <rPr>
            <sz val="9"/>
            <rFont val="宋体"/>
            <family val="3"/>
            <charset val="134"/>
          </rPr>
          <t xml:space="preserve">
2024.10.01-10.14
2024.10.15-10.31</t>
        </r>
      </text>
    </comment>
    <comment ref="HT6" authorId="4">
      <text>
        <r>
          <rPr>
            <b/>
            <sz val="9"/>
            <rFont val="宋体"/>
            <family val="3"/>
            <charset val="134"/>
          </rPr>
          <t>HL:</t>
        </r>
        <r>
          <rPr>
            <sz val="9"/>
            <rFont val="宋体"/>
            <family val="3"/>
            <charset val="134"/>
          </rPr>
          <t xml:space="preserve">
2024.10.01-10.14
2024.10.15-10.31</t>
        </r>
      </text>
    </comment>
    <comment ref="IQ6" authorId="4">
      <text>
        <r>
          <rPr>
            <b/>
            <sz val="9"/>
            <rFont val="宋体"/>
            <family val="3"/>
            <charset val="134"/>
          </rPr>
          <t>HL:</t>
        </r>
        <r>
          <rPr>
            <sz val="9"/>
            <rFont val="宋体"/>
            <family val="3"/>
            <charset val="134"/>
          </rPr>
          <t xml:space="preserve">
2025.01.01-01.14</t>
        </r>
      </text>
    </comment>
    <comment ref="JD6" authorId="4">
      <text>
        <r>
          <rPr>
            <b/>
            <sz val="9"/>
            <rFont val="宋体"/>
            <family val="3"/>
            <charset val="134"/>
          </rPr>
          <t>HL:</t>
        </r>
        <r>
          <rPr>
            <sz val="9"/>
            <rFont val="宋体"/>
            <family val="3"/>
            <charset val="134"/>
          </rPr>
          <t xml:space="preserve">
2025.01.01-01.14</t>
        </r>
      </text>
    </comment>
    <comment ref="KN6" authorId="4">
      <text>
        <r>
          <rPr>
            <b/>
            <sz val="9"/>
            <rFont val="宋体"/>
            <family val="3"/>
            <charset val="134"/>
          </rPr>
          <t>HL:</t>
        </r>
        <r>
          <rPr>
            <sz val="9"/>
            <rFont val="宋体"/>
            <family val="3"/>
            <charset val="134"/>
          </rPr>
          <t xml:space="preserve">
彼芯托育免租</t>
        </r>
      </text>
    </comment>
    <comment ref="D12" authorId="5">
      <text>
        <r>
          <rPr>
            <b/>
            <sz val="9"/>
            <rFont val="宋体"/>
            <family val="3"/>
            <charset val="134"/>
          </rPr>
          <t>HL50:</t>
        </r>
        <r>
          <rPr>
            <sz val="9"/>
            <rFont val="宋体"/>
            <family val="3"/>
            <charset val="134"/>
          </rPr>
          <t xml:space="preserve">
三层（一）面积 2333.88
三层（二）面积 975.77
三层（三）面积 452.46
 </t>
        </r>
      </text>
    </comment>
    <comment ref="G12" authorId="4">
      <text>
        <r>
          <rPr>
            <b/>
            <sz val="9"/>
            <rFont val="宋体"/>
            <family val="3"/>
            <charset val="134"/>
          </rPr>
          <t>HL:</t>
        </r>
        <r>
          <rPr>
            <sz val="9"/>
            <rFont val="宋体"/>
            <family val="3"/>
            <charset val="134"/>
          </rPr>
          <t xml:space="preserve">
 鉴于乙方办公需求，甲方提供给乙方海龙大厦3层的部分区域作为临时办公使用，使用期为：自2023年03月01日起至2023年04月30日止，乙方应于本合同签订之日向甲方一次性支付场租费540,000.00 元（大写：伍拾肆万元整），且使用期间的电费、水费及其他费用由乙方承担。</t>
        </r>
      </text>
    </comment>
    <comment ref="N12" authorId="5">
      <text>
        <r>
          <rPr>
            <b/>
            <sz val="9"/>
            <rFont val="宋体"/>
            <family val="3"/>
            <charset val="134"/>
          </rPr>
          <t>HL50:</t>
        </r>
        <r>
          <rPr>
            <sz val="9"/>
            <rFont val="宋体"/>
            <family val="3"/>
            <charset val="134"/>
          </rPr>
          <t xml:space="preserve">
原合同已缴纳押金
2464144.41
</t>
        </r>
      </text>
    </comment>
    <comment ref="Q12" authorId="5">
      <text>
        <r>
          <rPr>
            <b/>
            <sz val="9"/>
            <rFont val="宋体"/>
            <family val="3"/>
            <charset val="134"/>
          </rPr>
          <t>HL50:</t>
        </r>
        <r>
          <rPr>
            <sz val="9"/>
            <rFont val="宋体"/>
            <family val="3"/>
            <charset val="134"/>
          </rPr>
          <t xml:space="preserve">
原合同已缴纳押金282158.25</t>
        </r>
      </text>
    </comment>
    <comment ref="T12" authorId="4">
      <text>
        <r>
          <rPr>
            <b/>
            <sz val="9"/>
            <rFont val="宋体"/>
            <family val="3"/>
            <charset val="134"/>
          </rPr>
          <t>HL:</t>
        </r>
        <r>
          <rPr>
            <sz val="9"/>
            <rFont val="宋体"/>
            <family val="3"/>
            <charset val="134"/>
          </rPr>
          <t xml:space="preserve">
场租费
900元/月/位。
262个工位。</t>
        </r>
      </text>
    </comment>
    <comment ref="C13" authorId="4">
      <text>
        <r>
          <rPr>
            <b/>
            <sz val="9"/>
            <rFont val="宋体"/>
            <family val="3"/>
            <charset val="134"/>
          </rPr>
          <t>HL:</t>
        </r>
        <r>
          <rPr>
            <sz val="9"/>
            <rFont val="宋体"/>
            <family val="3"/>
            <charset val="134"/>
          </rPr>
          <t xml:space="preserve">
本合同免租期以本合同不以任何原因提前解除或终止为前提。乙方同意，因乙方原因导致本合同自起租之日起两年内提前终止或解除的，则乙方均不享有上述之免租期，在此情形下，乙方应于本合同提前终止或解除之日起3个工作日内，按合同约定的起租日当年的租金标准向甲方全额补交叁个月的免租期的租金；因乙方原因导致本合同自起租之日起超过两年提前终止或解除的，则乙方享有贰个月的免租期，在此情形下，乙方应于本合同提前终止或解除之日起3个工作日内，按合同约定的起租日当年的租金标准向甲方全额补交壹个月的免租期的租金</t>
        </r>
      </text>
    </comment>
    <comment ref="G13" authorId="4">
      <text>
        <r>
          <rPr>
            <b/>
            <sz val="9"/>
            <rFont val="宋体"/>
            <family val="3"/>
            <charset val="134"/>
          </rPr>
          <t>HL:</t>
        </r>
        <r>
          <rPr>
            <sz val="9"/>
            <rFont val="宋体"/>
            <family val="3"/>
            <charset val="134"/>
          </rPr>
          <t xml:space="preserve">
乙方同意按照每个车位每月人民币 800.00  元的优惠标准向甲方缴纳停车位使用费</t>
        </r>
      </text>
    </comment>
    <comment ref="J13" authorId="4">
      <text>
        <r>
          <rPr>
            <b/>
            <sz val="9"/>
            <rFont val="宋体"/>
            <family val="3"/>
            <charset val="134"/>
          </rPr>
          <t>HL:</t>
        </r>
        <r>
          <rPr>
            <sz val="9"/>
            <rFont val="宋体"/>
            <family val="3"/>
            <charset val="134"/>
          </rPr>
          <t xml:space="preserve">
租期内含免租期为叁个月，自 2023年3 月 15日 起至 2023年6 月14日止
2023年05月29日签订补充协议，调整原合同免租期：由2023.03.15-06.14变为2023.03.15-05.14和2023.07.15-08.14。</t>
        </r>
      </text>
    </comment>
    <comment ref="T13" authorId="4">
      <text>
        <r>
          <rPr>
            <b/>
            <sz val="9"/>
            <rFont val="宋体"/>
            <family val="3"/>
            <charset val="134"/>
          </rPr>
          <t>HL:</t>
        </r>
        <r>
          <rPr>
            <sz val="9"/>
            <rFont val="宋体"/>
            <family val="3"/>
            <charset val="134"/>
          </rPr>
          <t xml:space="preserve">
2023年3月15日至2025年3月14日，该房屋租金的日单价为 4.67元/天/平米
月租金：312500.83
2025年3月15日至2027年3月14日，该房屋租金的日单价为 5.00元/ 天/平米
月租金：334583.33</t>
        </r>
      </text>
    </comment>
    <comment ref="AB13" authorId="2">
      <text>
        <r>
          <rPr>
            <b/>
            <sz val="9"/>
            <rFont val="宋体"/>
            <family val="3"/>
            <charset val="134"/>
          </rPr>
          <t>Sky123.Org:</t>
        </r>
        <r>
          <rPr>
            <sz val="9"/>
            <rFont val="宋体"/>
            <family val="3"/>
            <charset val="134"/>
          </rPr>
          <t xml:space="preserve">
乙方须于上一期租金所对应的租期届满前 15 日，支付下一期租金及物业管理费；交费日期最后一日为节假日的，日期顺延</t>
        </r>
      </text>
    </comment>
    <comment ref="FD13" authorId="4">
      <text>
        <r>
          <rPr>
            <b/>
            <sz val="9"/>
            <rFont val="宋体"/>
            <family val="3"/>
            <charset val="134"/>
          </rPr>
          <t>HL:</t>
        </r>
        <r>
          <rPr>
            <sz val="9"/>
            <rFont val="宋体"/>
            <family val="3"/>
            <charset val="134"/>
          </rPr>
          <t xml:space="preserve">
2024.02.01-02.14
2024.02.15-02.29</t>
        </r>
      </text>
    </comment>
    <comment ref="FH13" authorId="4">
      <text>
        <r>
          <rPr>
            <b/>
            <sz val="9"/>
            <rFont val="宋体"/>
            <family val="3"/>
            <charset val="134"/>
          </rPr>
          <t>HL:</t>
        </r>
        <r>
          <rPr>
            <sz val="9"/>
            <rFont val="宋体"/>
            <family val="3"/>
            <charset val="134"/>
          </rPr>
          <t xml:space="preserve">
2024.02.01-02.14
2024.02.15-02.29</t>
        </r>
      </text>
    </comment>
    <comment ref="FL13" authorId="4">
      <text>
        <r>
          <rPr>
            <b/>
            <sz val="9"/>
            <rFont val="宋体"/>
            <family val="3"/>
            <charset val="134"/>
          </rPr>
          <t>HL:</t>
        </r>
        <r>
          <rPr>
            <sz val="9"/>
            <rFont val="宋体"/>
            <family val="3"/>
            <charset val="134"/>
          </rPr>
          <t xml:space="preserve">
2024.03.01-03.14
2024.03.15-03.31</t>
        </r>
      </text>
    </comment>
    <comment ref="FP13" authorId="4">
      <text>
        <r>
          <rPr>
            <b/>
            <sz val="9"/>
            <rFont val="宋体"/>
            <family val="3"/>
            <charset val="134"/>
          </rPr>
          <t>HL:</t>
        </r>
        <r>
          <rPr>
            <sz val="9"/>
            <rFont val="宋体"/>
            <family val="3"/>
            <charset val="134"/>
          </rPr>
          <t xml:space="preserve">
2024.03.01-03.14
2024.03.15-03.31</t>
        </r>
      </text>
    </comment>
    <comment ref="FT13" authorId="4">
      <text>
        <r>
          <rPr>
            <b/>
            <sz val="9"/>
            <rFont val="宋体"/>
            <family val="3"/>
            <charset val="134"/>
          </rPr>
          <t>HL:</t>
        </r>
        <r>
          <rPr>
            <sz val="9"/>
            <rFont val="宋体"/>
            <family val="3"/>
            <charset val="134"/>
          </rPr>
          <t xml:space="preserve">
2024.04.01-04.14
2024.04.15-04.30</t>
        </r>
      </text>
    </comment>
    <comment ref="FX13" authorId="4">
      <text>
        <r>
          <rPr>
            <b/>
            <sz val="9"/>
            <rFont val="宋体"/>
            <family val="3"/>
            <charset val="134"/>
          </rPr>
          <t>HL:</t>
        </r>
        <r>
          <rPr>
            <sz val="9"/>
            <rFont val="宋体"/>
            <family val="3"/>
            <charset val="134"/>
          </rPr>
          <t xml:space="preserve">
2024.04.01-04.14
2024.04.15-04.30</t>
        </r>
      </text>
    </comment>
    <comment ref="GB13" authorId="4">
      <text>
        <r>
          <rPr>
            <b/>
            <sz val="9"/>
            <rFont val="宋体"/>
            <family val="3"/>
            <charset val="134"/>
          </rPr>
          <t>HL:</t>
        </r>
        <r>
          <rPr>
            <sz val="9"/>
            <rFont val="宋体"/>
            <family val="3"/>
            <charset val="134"/>
          </rPr>
          <t xml:space="preserve">
2024.05.01-05.14
2024.05.15-05.31</t>
        </r>
      </text>
    </comment>
    <comment ref="GF13" authorId="4">
      <text>
        <r>
          <rPr>
            <b/>
            <sz val="9"/>
            <rFont val="宋体"/>
            <family val="3"/>
            <charset val="134"/>
          </rPr>
          <t>HL:</t>
        </r>
        <r>
          <rPr>
            <sz val="9"/>
            <rFont val="宋体"/>
            <family val="3"/>
            <charset val="134"/>
          </rPr>
          <t xml:space="preserve">
2024.05.01-05.14
2024.05.15-05.31</t>
        </r>
      </text>
    </comment>
    <comment ref="GJ13" authorId="4">
      <text>
        <r>
          <rPr>
            <b/>
            <sz val="9"/>
            <rFont val="宋体"/>
            <family val="3"/>
            <charset val="134"/>
          </rPr>
          <t>HL:</t>
        </r>
        <r>
          <rPr>
            <sz val="9"/>
            <rFont val="宋体"/>
            <family val="3"/>
            <charset val="134"/>
          </rPr>
          <t xml:space="preserve">
2024.06.01-06.14
2024.06.15-06.30</t>
        </r>
      </text>
    </comment>
    <comment ref="GN13" authorId="4">
      <text>
        <r>
          <rPr>
            <b/>
            <sz val="9"/>
            <rFont val="宋体"/>
            <family val="3"/>
            <charset val="134"/>
          </rPr>
          <t>HL:</t>
        </r>
        <r>
          <rPr>
            <sz val="9"/>
            <rFont val="宋体"/>
            <family val="3"/>
            <charset val="134"/>
          </rPr>
          <t xml:space="preserve">
2024.06.01-06.14
2024.06.15-06.30</t>
        </r>
      </text>
    </comment>
    <comment ref="GR13" authorId="4">
      <text>
        <r>
          <rPr>
            <b/>
            <sz val="9"/>
            <rFont val="宋体"/>
            <family val="3"/>
            <charset val="134"/>
          </rPr>
          <t>HL:</t>
        </r>
        <r>
          <rPr>
            <sz val="9"/>
            <rFont val="宋体"/>
            <family val="3"/>
            <charset val="134"/>
          </rPr>
          <t xml:space="preserve">
2024.07.01-07.14
2024.07.15-07.31
</t>
        </r>
      </text>
    </comment>
    <comment ref="GV13" authorId="4">
      <text>
        <r>
          <rPr>
            <b/>
            <sz val="9"/>
            <rFont val="宋体"/>
            <family val="3"/>
            <charset val="134"/>
          </rPr>
          <t>HL:</t>
        </r>
        <r>
          <rPr>
            <sz val="9"/>
            <rFont val="宋体"/>
            <family val="3"/>
            <charset val="134"/>
          </rPr>
          <t xml:space="preserve">
2024.07.01-07.14
2024.07.15-07.31
</t>
        </r>
      </text>
    </comment>
    <comment ref="GZ13" authorId="4">
      <text>
        <r>
          <rPr>
            <b/>
            <sz val="9"/>
            <rFont val="宋体"/>
            <family val="3"/>
            <charset val="134"/>
          </rPr>
          <t>HL:</t>
        </r>
        <r>
          <rPr>
            <sz val="9"/>
            <rFont val="宋体"/>
            <family val="3"/>
            <charset val="134"/>
          </rPr>
          <t xml:space="preserve">
2024.08.01-08.14
2024.08.15-08.31
</t>
        </r>
      </text>
    </comment>
    <comment ref="HD13" authorId="4">
      <text>
        <r>
          <rPr>
            <b/>
            <sz val="9"/>
            <rFont val="宋体"/>
            <family val="3"/>
            <charset val="134"/>
          </rPr>
          <t>HL:</t>
        </r>
        <r>
          <rPr>
            <sz val="9"/>
            <rFont val="宋体"/>
            <family val="3"/>
            <charset val="134"/>
          </rPr>
          <t xml:space="preserve">
2024.08.01-08.14
2024.08.15-08.31
</t>
        </r>
      </text>
    </comment>
    <comment ref="HH13" authorId="4">
      <text>
        <r>
          <rPr>
            <b/>
            <sz val="9"/>
            <rFont val="宋体"/>
            <family val="3"/>
            <charset val="134"/>
          </rPr>
          <t>HL:</t>
        </r>
        <r>
          <rPr>
            <sz val="9"/>
            <rFont val="宋体"/>
            <family val="3"/>
            <charset val="134"/>
          </rPr>
          <t xml:space="preserve">
2024.09.01-09.14
2024.09.15-09.30</t>
        </r>
      </text>
    </comment>
    <comment ref="HL13" authorId="4">
      <text>
        <r>
          <rPr>
            <b/>
            <sz val="9"/>
            <rFont val="宋体"/>
            <family val="3"/>
            <charset val="134"/>
          </rPr>
          <t>HL:</t>
        </r>
        <r>
          <rPr>
            <sz val="9"/>
            <rFont val="宋体"/>
            <family val="3"/>
            <charset val="134"/>
          </rPr>
          <t xml:space="preserve">
2024.09.01-09.14
2024.09.15-09.30</t>
        </r>
      </text>
    </comment>
    <comment ref="HP13" authorId="4">
      <text>
        <r>
          <rPr>
            <b/>
            <sz val="9"/>
            <rFont val="宋体"/>
            <family val="3"/>
            <charset val="134"/>
          </rPr>
          <t>HL:</t>
        </r>
        <r>
          <rPr>
            <sz val="9"/>
            <rFont val="宋体"/>
            <family val="3"/>
            <charset val="134"/>
          </rPr>
          <t xml:space="preserve">
2024.10.01-10.14
2024.10.15-10.31</t>
        </r>
      </text>
    </comment>
    <comment ref="HT13" authorId="4">
      <text>
        <r>
          <rPr>
            <b/>
            <sz val="9"/>
            <rFont val="宋体"/>
            <family val="3"/>
            <charset val="134"/>
          </rPr>
          <t>HL:</t>
        </r>
        <r>
          <rPr>
            <sz val="9"/>
            <rFont val="宋体"/>
            <family val="3"/>
            <charset val="134"/>
          </rPr>
          <t xml:space="preserve">
2024.10.01-10.14
2024.10.15-10.31</t>
        </r>
      </text>
    </comment>
    <comment ref="HX13" authorId="4">
      <text>
        <r>
          <rPr>
            <b/>
            <sz val="9"/>
            <rFont val="宋体"/>
            <family val="3"/>
            <charset val="134"/>
          </rPr>
          <t>HL:</t>
        </r>
        <r>
          <rPr>
            <sz val="9"/>
            <rFont val="宋体"/>
            <family val="3"/>
            <charset val="134"/>
          </rPr>
          <t xml:space="preserve">
2024.11.01-11.14</t>
        </r>
      </text>
    </comment>
    <comment ref="IB13" authorId="4">
      <text>
        <r>
          <rPr>
            <b/>
            <sz val="9"/>
            <rFont val="宋体"/>
            <family val="3"/>
            <charset val="134"/>
          </rPr>
          <t>HL:</t>
        </r>
        <r>
          <rPr>
            <sz val="9"/>
            <rFont val="宋体"/>
            <family val="3"/>
            <charset val="134"/>
          </rPr>
          <t xml:space="preserve">
2024.11.01-11.14</t>
        </r>
      </text>
    </comment>
    <comment ref="C14" authorId="4">
      <text>
        <r>
          <rPr>
            <b/>
            <sz val="9"/>
            <rFont val="宋体"/>
            <family val="3"/>
            <charset val="134"/>
          </rPr>
          <t>HL:</t>
        </r>
        <r>
          <rPr>
            <sz val="9"/>
            <rFont val="宋体"/>
            <family val="3"/>
            <charset val="134"/>
          </rPr>
          <t xml:space="preserve">
本合同免租期以本合同不以任何原因提前解除或终止为前提。乙方同意，因乙方原因导致本合同自起租之日起两年内提前终止或解除的，则乙方均不享有上述之免租期，在此情形下，乙方应于本合同提前终止或解除之日起3个工作日内，按合同约定的起租日当年的租金标准向甲方全额补交叁个月的免租期的租金；因乙方原因导致本合同自起租之日起超过两年提前终止或解除的，则乙方享有贰个月的免租期，在此情形下，乙方应于本合同提前终止或解除之日起3个工作日内，按合同约定的起租日当年的租金标准向甲方全额补交壹个月的免租期的租金</t>
        </r>
      </text>
    </comment>
    <comment ref="G14" authorId="4">
      <text>
        <r>
          <rPr>
            <b/>
            <sz val="9"/>
            <rFont val="宋体"/>
            <family val="3"/>
            <charset val="134"/>
          </rPr>
          <t>HL:</t>
        </r>
        <r>
          <rPr>
            <sz val="9"/>
            <rFont val="宋体"/>
            <family val="3"/>
            <charset val="134"/>
          </rPr>
          <t xml:space="preserve">
乙方同意按照每个车位每月人民币 800.00  元的优惠标准向甲方缴纳停车位使用费</t>
        </r>
      </text>
    </comment>
    <comment ref="J14" authorId="4">
      <text>
        <r>
          <rPr>
            <b/>
            <sz val="9"/>
            <rFont val="宋体"/>
            <family val="3"/>
            <charset val="134"/>
          </rPr>
          <t>HL:</t>
        </r>
        <r>
          <rPr>
            <sz val="9"/>
            <rFont val="宋体"/>
            <family val="3"/>
            <charset val="134"/>
          </rPr>
          <t xml:space="preserve">
租期内含免租期为叁个月，自 2023年3 月 15日 起至 2023年6 月14日止
2023年05月29日签订补充协议，调整原合同免租期：由2023.03.15-06.14变为2023.03.15-05.14和2023.07.15-08.14。
</t>
        </r>
      </text>
    </comment>
    <comment ref="T14" authorId="4">
      <text>
        <r>
          <rPr>
            <b/>
            <sz val="9"/>
            <rFont val="宋体"/>
            <family val="3"/>
            <charset val="134"/>
          </rPr>
          <t>HL:</t>
        </r>
        <r>
          <rPr>
            <sz val="9"/>
            <rFont val="宋体"/>
            <family val="3"/>
            <charset val="134"/>
          </rPr>
          <t xml:space="preserve">
 2023年3月15日至2025年3月14日，该房屋租金的日单价为 4.67元/天/平米
月租金：178977.75
2025年3月15日至2027年3月14日，该房屋租金的日单价为 5.00元/ 天/平米
月租金：191625</t>
        </r>
      </text>
    </comment>
    <comment ref="AB14" authorId="2">
      <text>
        <r>
          <rPr>
            <b/>
            <sz val="9"/>
            <rFont val="宋体"/>
            <family val="3"/>
            <charset val="134"/>
          </rPr>
          <t>Sky123.Org:</t>
        </r>
        <r>
          <rPr>
            <sz val="9"/>
            <rFont val="宋体"/>
            <family val="3"/>
            <charset val="134"/>
          </rPr>
          <t xml:space="preserve">
乙方须于上一期租金所对应的租期届满前 15 日，支付下一期租金及物业管理费；交费日期最后一日为节假日的，日期顺延</t>
        </r>
      </text>
    </comment>
    <comment ref="FD14" authorId="4">
      <text>
        <r>
          <rPr>
            <b/>
            <sz val="9"/>
            <rFont val="宋体"/>
            <family val="3"/>
            <charset val="134"/>
          </rPr>
          <t>HL:</t>
        </r>
        <r>
          <rPr>
            <sz val="9"/>
            <rFont val="宋体"/>
            <family val="3"/>
            <charset val="134"/>
          </rPr>
          <t xml:space="preserve">
2024.02.01-02.14
2024.02.15-02.29</t>
        </r>
      </text>
    </comment>
    <comment ref="FH14" authorId="4">
      <text>
        <r>
          <rPr>
            <b/>
            <sz val="9"/>
            <rFont val="宋体"/>
            <family val="3"/>
            <charset val="134"/>
          </rPr>
          <t>HL:</t>
        </r>
        <r>
          <rPr>
            <sz val="9"/>
            <rFont val="宋体"/>
            <family val="3"/>
            <charset val="134"/>
          </rPr>
          <t xml:space="preserve">
2024.02.01-02.14
2024.02.15-02.29</t>
        </r>
      </text>
    </comment>
    <comment ref="FL14" authorId="4">
      <text>
        <r>
          <rPr>
            <b/>
            <sz val="9"/>
            <rFont val="宋体"/>
            <family val="3"/>
            <charset val="134"/>
          </rPr>
          <t>HL:</t>
        </r>
        <r>
          <rPr>
            <sz val="9"/>
            <rFont val="宋体"/>
            <family val="3"/>
            <charset val="134"/>
          </rPr>
          <t xml:space="preserve">
2024.03.01-03.14
2024.03.15-03.31</t>
        </r>
      </text>
    </comment>
    <comment ref="FP14" authorId="4">
      <text>
        <r>
          <rPr>
            <b/>
            <sz val="9"/>
            <rFont val="宋体"/>
            <family val="3"/>
            <charset val="134"/>
          </rPr>
          <t>HL:</t>
        </r>
        <r>
          <rPr>
            <sz val="9"/>
            <rFont val="宋体"/>
            <family val="3"/>
            <charset val="134"/>
          </rPr>
          <t xml:space="preserve">
2024.03.01-03.14
2024.03.15-03.31</t>
        </r>
      </text>
    </comment>
    <comment ref="FT14" authorId="4">
      <text>
        <r>
          <rPr>
            <b/>
            <sz val="9"/>
            <rFont val="宋体"/>
            <family val="3"/>
            <charset val="134"/>
          </rPr>
          <t>HL:</t>
        </r>
        <r>
          <rPr>
            <sz val="9"/>
            <rFont val="宋体"/>
            <family val="3"/>
            <charset val="134"/>
          </rPr>
          <t xml:space="preserve">
2024.04.01-04.14
2024.04.15-04.30</t>
        </r>
      </text>
    </comment>
    <comment ref="FX14" authorId="4">
      <text>
        <r>
          <rPr>
            <b/>
            <sz val="9"/>
            <rFont val="宋体"/>
            <family val="3"/>
            <charset val="134"/>
          </rPr>
          <t>HL:</t>
        </r>
        <r>
          <rPr>
            <sz val="9"/>
            <rFont val="宋体"/>
            <family val="3"/>
            <charset val="134"/>
          </rPr>
          <t xml:space="preserve">
2024.04.01-04.14
2024.04.15-04.30</t>
        </r>
      </text>
    </comment>
    <comment ref="GB14" authorId="4">
      <text>
        <r>
          <rPr>
            <b/>
            <sz val="9"/>
            <rFont val="宋体"/>
            <family val="3"/>
            <charset val="134"/>
          </rPr>
          <t>HL:</t>
        </r>
        <r>
          <rPr>
            <sz val="9"/>
            <rFont val="宋体"/>
            <family val="3"/>
            <charset val="134"/>
          </rPr>
          <t xml:space="preserve">
2024.05.01-05.14
2024.05.15-05.31</t>
        </r>
      </text>
    </comment>
    <comment ref="GF14" authorId="4">
      <text>
        <r>
          <rPr>
            <b/>
            <sz val="9"/>
            <rFont val="宋体"/>
            <family val="3"/>
            <charset val="134"/>
          </rPr>
          <t>HL:</t>
        </r>
        <r>
          <rPr>
            <sz val="9"/>
            <rFont val="宋体"/>
            <family val="3"/>
            <charset val="134"/>
          </rPr>
          <t xml:space="preserve">
2024.05.01-05.14
2024.05.15-05.31</t>
        </r>
      </text>
    </comment>
    <comment ref="GJ14" authorId="4">
      <text>
        <r>
          <rPr>
            <b/>
            <sz val="9"/>
            <rFont val="宋体"/>
            <family val="3"/>
            <charset val="134"/>
          </rPr>
          <t>HL:</t>
        </r>
        <r>
          <rPr>
            <sz val="9"/>
            <rFont val="宋体"/>
            <family val="3"/>
            <charset val="134"/>
          </rPr>
          <t xml:space="preserve">
2024.06.01-06.14
2024.06.15-06.30</t>
        </r>
      </text>
    </comment>
    <comment ref="GN14" authorId="4">
      <text>
        <r>
          <rPr>
            <b/>
            <sz val="9"/>
            <rFont val="宋体"/>
            <family val="3"/>
            <charset val="134"/>
          </rPr>
          <t>HL:</t>
        </r>
        <r>
          <rPr>
            <sz val="9"/>
            <rFont val="宋体"/>
            <family val="3"/>
            <charset val="134"/>
          </rPr>
          <t xml:space="preserve">
2024.06.01-06.14
2024.06.15-06.30</t>
        </r>
      </text>
    </comment>
    <comment ref="GR14" authorId="4">
      <text>
        <r>
          <rPr>
            <b/>
            <sz val="9"/>
            <rFont val="宋体"/>
            <family val="3"/>
            <charset val="134"/>
          </rPr>
          <t>HL:</t>
        </r>
        <r>
          <rPr>
            <sz val="9"/>
            <rFont val="宋体"/>
            <family val="3"/>
            <charset val="134"/>
          </rPr>
          <t xml:space="preserve">
2024.07.01-07.14
2024.07.15-07.31
</t>
        </r>
      </text>
    </comment>
    <comment ref="GV14" authorId="4">
      <text>
        <r>
          <rPr>
            <b/>
            <sz val="9"/>
            <rFont val="宋体"/>
            <family val="3"/>
            <charset val="134"/>
          </rPr>
          <t>HL:</t>
        </r>
        <r>
          <rPr>
            <sz val="9"/>
            <rFont val="宋体"/>
            <family val="3"/>
            <charset val="134"/>
          </rPr>
          <t xml:space="preserve">
2024.07.01-07.14
2024.07.15-07.31
</t>
        </r>
      </text>
    </comment>
    <comment ref="GZ14" authorId="4">
      <text>
        <r>
          <rPr>
            <b/>
            <sz val="9"/>
            <rFont val="宋体"/>
            <family val="3"/>
            <charset val="134"/>
          </rPr>
          <t>HL:</t>
        </r>
        <r>
          <rPr>
            <sz val="9"/>
            <rFont val="宋体"/>
            <family val="3"/>
            <charset val="134"/>
          </rPr>
          <t xml:space="preserve">
2024.08.01-08.14
2024.08.15-08.31
</t>
        </r>
      </text>
    </comment>
    <comment ref="HD14" authorId="4">
      <text>
        <r>
          <rPr>
            <b/>
            <sz val="9"/>
            <rFont val="宋体"/>
            <family val="3"/>
            <charset val="134"/>
          </rPr>
          <t>HL:</t>
        </r>
        <r>
          <rPr>
            <sz val="9"/>
            <rFont val="宋体"/>
            <family val="3"/>
            <charset val="134"/>
          </rPr>
          <t xml:space="preserve">
2024.08.01-08.14
2024.08.15-08.31
</t>
        </r>
      </text>
    </comment>
    <comment ref="HH14" authorId="4">
      <text>
        <r>
          <rPr>
            <b/>
            <sz val="9"/>
            <rFont val="宋体"/>
            <family val="3"/>
            <charset val="134"/>
          </rPr>
          <t>HL:</t>
        </r>
        <r>
          <rPr>
            <sz val="9"/>
            <rFont val="宋体"/>
            <family val="3"/>
            <charset val="134"/>
          </rPr>
          <t xml:space="preserve">
2024.09.01-09.14
2024.09.15-09.30</t>
        </r>
      </text>
    </comment>
    <comment ref="HL14" authorId="4">
      <text>
        <r>
          <rPr>
            <b/>
            <sz val="9"/>
            <rFont val="宋体"/>
            <family val="3"/>
            <charset val="134"/>
          </rPr>
          <t>HL:</t>
        </r>
        <r>
          <rPr>
            <sz val="9"/>
            <rFont val="宋体"/>
            <family val="3"/>
            <charset val="134"/>
          </rPr>
          <t xml:space="preserve">
2024.09.01-09.14
2024.09.15-09.30</t>
        </r>
      </text>
    </comment>
    <comment ref="HP14" authorId="4">
      <text>
        <r>
          <rPr>
            <b/>
            <sz val="9"/>
            <rFont val="宋体"/>
            <family val="3"/>
            <charset val="134"/>
          </rPr>
          <t>HL:</t>
        </r>
        <r>
          <rPr>
            <sz val="9"/>
            <rFont val="宋体"/>
            <family val="3"/>
            <charset val="134"/>
          </rPr>
          <t xml:space="preserve">
2024.10.01-10.14
2024.10.15-10.31</t>
        </r>
      </text>
    </comment>
    <comment ref="HT14" authorId="4">
      <text>
        <r>
          <rPr>
            <b/>
            <sz val="9"/>
            <rFont val="宋体"/>
            <family val="3"/>
            <charset val="134"/>
          </rPr>
          <t>HL:</t>
        </r>
        <r>
          <rPr>
            <sz val="9"/>
            <rFont val="宋体"/>
            <family val="3"/>
            <charset val="134"/>
          </rPr>
          <t xml:space="preserve">
2024.10.01-10.14
2024.10.15-10.31</t>
        </r>
      </text>
    </comment>
    <comment ref="HX14" authorId="4">
      <text>
        <r>
          <rPr>
            <b/>
            <sz val="9"/>
            <rFont val="宋体"/>
            <family val="3"/>
            <charset val="134"/>
          </rPr>
          <t>HL:</t>
        </r>
        <r>
          <rPr>
            <sz val="9"/>
            <rFont val="宋体"/>
            <family val="3"/>
            <charset val="134"/>
          </rPr>
          <t xml:space="preserve">
2024.11.01-11.14</t>
        </r>
      </text>
    </comment>
    <comment ref="IB14" authorId="4">
      <text>
        <r>
          <rPr>
            <b/>
            <sz val="9"/>
            <rFont val="宋体"/>
            <family val="3"/>
            <charset val="134"/>
          </rPr>
          <t>HL:</t>
        </r>
        <r>
          <rPr>
            <sz val="9"/>
            <rFont val="宋体"/>
            <family val="3"/>
            <charset val="134"/>
          </rPr>
          <t xml:space="preserve">
2024.11.01-11.14</t>
        </r>
      </text>
    </comment>
    <comment ref="C15" authorId="4">
      <text>
        <r>
          <rPr>
            <b/>
            <sz val="9"/>
            <rFont val="宋体"/>
            <family val="3"/>
            <charset val="134"/>
          </rPr>
          <t>HL:</t>
        </r>
        <r>
          <rPr>
            <sz val="9"/>
            <rFont val="宋体"/>
            <family val="3"/>
            <charset val="134"/>
          </rPr>
          <t xml:space="preserve">
本合同免租期以本合同不以任何原因提前解除或终止为前提。乙方同意，因乙方原因导致本合同自起租之日起两年内提前终止或解除的，则乙方均不享有上述之免租期，在此情形下，乙方应于本合同提前终止或解除之日起3个工作日内，按合同约定的起租日当年的租金标准向甲方全额补交叁个月的免租期的租金；因乙方原因导致本合同自起租之日起超过两年提前终止或解除的，则乙方享有贰个月的免租期，在此情形下，乙方应于本合同提前终止或解除之日起3个工作日内，按合同约定的起租日当年的租金标准向甲方全额补交壹个月的免租期的租金</t>
        </r>
      </text>
    </comment>
    <comment ref="G15" authorId="4">
      <text>
        <r>
          <rPr>
            <b/>
            <sz val="9"/>
            <rFont val="宋体"/>
            <family val="3"/>
            <charset val="134"/>
          </rPr>
          <t>HL:</t>
        </r>
        <r>
          <rPr>
            <sz val="9"/>
            <rFont val="宋体"/>
            <family val="3"/>
            <charset val="134"/>
          </rPr>
          <t xml:space="preserve">
乙方同意按照每个车位每月人民币 800.00  元的优惠标准向甲方缴纳停车位使用费</t>
        </r>
      </text>
    </comment>
    <comment ref="J15" authorId="4">
      <text>
        <r>
          <rPr>
            <b/>
            <sz val="9"/>
            <rFont val="宋体"/>
            <family val="3"/>
            <charset val="134"/>
          </rPr>
          <t>HL:</t>
        </r>
        <r>
          <rPr>
            <sz val="9"/>
            <rFont val="宋体"/>
            <family val="3"/>
            <charset val="134"/>
          </rPr>
          <t xml:space="preserve">
租期内含免租期为叁个月，自 2023年3 月 15日 起至 2023年6 月14日止
2023年05月29日签订补充协议，调整原合同免租期：由2023.03.15-06.14变为2023.03.15-05.14和2023.07.15-08.14。
</t>
        </r>
      </text>
    </comment>
    <comment ref="T15" authorId="4">
      <text>
        <r>
          <rPr>
            <b/>
            <sz val="9"/>
            <rFont val="宋体"/>
            <family val="3"/>
            <charset val="134"/>
          </rPr>
          <t>HL:</t>
        </r>
        <r>
          <rPr>
            <sz val="9"/>
            <rFont val="宋体"/>
            <family val="3"/>
            <charset val="134"/>
          </rPr>
          <t xml:space="preserve">
 2023年3月15日至2025年3月14日，该房屋租金的日单价为 4.67元/天/平米
月租金：45760.07
2025年3月15日至2027年3月14日，该房屋租金的日单价为 5.00元/ 天/平米
月租金：48993.65</t>
        </r>
      </text>
    </comment>
    <comment ref="AB15" authorId="2">
      <text>
        <r>
          <rPr>
            <b/>
            <sz val="9"/>
            <rFont val="宋体"/>
            <family val="3"/>
            <charset val="134"/>
          </rPr>
          <t>Sky123.Org:</t>
        </r>
        <r>
          <rPr>
            <sz val="9"/>
            <rFont val="宋体"/>
            <family val="3"/>
            <charset val="134"/>
          </rPr>
          <t xml:space="preserve">
乙方须于上一期租金所对应的租期届满前 15 日，支付下一期租金及物业管理费；交费日期最后一日为节假日的，日期顺延</t>
        </r>
      </text>
    </comment>
    <comment ref="FD15" authorId="4">
      <text>
        <r>
          <rPr>
            <b/>
            <sz val="9"/>
            <rFont val="宋体"/>
            <family val="3"/>
            <charset val="134"/>
          </rPr>
          <t>HL:</t>
        </r>
        <r>
          <rPr>
            <sz val="9"/>
            <rFont val="宋体"/>
            <family val="3"/>
            <charset val="134"/>
          </rPr>
          <t xml:space="preserve">
2024.02.01-02.14
2024.02.15-02.29</t>
        </r>
      </text>
    </comment>
    <comment ref="FH15" authorId="4">
      <text>
        <r>
          <rPr>
            <b/>
            <sz val="9"/>
            <rFont val="宋体"/>
            <family val="3"/>
            <charset val="134"/>
          </rPr>
          <t>HL:</t>
        </r>
        <r>
          <rPr>
            <sz val="9"/>
            <rFont val="宋体"/>
            <family val="3"/>
            <charset val="134"/>
          </rPr>
          <t xml:space="preserve">
2024.02.01-02.14
2024.02.15-02.29</t>
        </r>
      </text>
    </comment>
    <comment ref="FL15" authorId="4">
      <text>
        <r>
          <rPr>
            <b/>
            <sz val="9"/>
            <rFont val="宋体"/>
            <family val="3"/>
            <charset val="134"/>
          </rPr>
          <t>HL:</t>
        </r>
        <r>
          <rPr>
            <sz val="9"/>
            <rFont val="宋体"/>
            <family val="3"/>
            <charset val="134"/>
          </rPr>
          <t xml:space="preserve">
2024.03.01-03.14
2024.03.15-03.31</t>
        </r>
      </text>
    </comment>
    <comment ref="FP15" authorId="4">
      <text>
        <r>
          <rPr>
            <b/>
            <sz val="9"/>
            <rFont val="宋体"/>
            <family val="3"/>
            <charset val="134"/>
          </rPr>
          <t>HL:</t>
        </r>
        <r>
          <rPr>
            <sz val="9"/>
            <rFont val="宋体"/>
            <family val="3"/>
            <charset val="134"/>
          </rPr>
          <t xml:space="preserve">
2024.03.01-03.14
2024.03.15-03.31</t>
        </r>
      </text>
    </comment>
    <comment ref="FT15" authorId="4">
      <text>
        <r>
          <rPr>
            <b/>
            <sz val="9"/>
            <rFont val="宋体"/>
            <family val="3"/>
            <charset val="134"/>
          </rPr>
          <t>HL:</t>
        </r>
        <r>
          <rPr>
            <sz val="9"/>
            <rFont val="宋体"/>
            <family val="3"/>
            <charset val="134"/>
          </rPr>
          <t xml:space="preserve">
2024.04.01-04.14
2024.04.15-04.30</t>
        </r>
      </text>
    </comment>
    <comment ref="FX15" authorId="4">
      <text>
        <r>
          <rPr>
            <b/>
            <sz val="9"/>
            <rFont val="宋体"/>
            <family val="3"/>
            <charset val="134"/>
          </rPr>
          <t>HL:</t>
        </r>
        <r>
          <rPr>
            <sz val="9"/>
            <rFont val="宋体"/>
            <family val="3"/>
            <charset val="134"/>
          </rPr>
          <t xml:space="preserve">
2024.04.01-04.14
2024.04.15-04.30</t>
        </r>
      </text>
    </comment>
    <comment ref="GB15" authorId="4">
      <text>
        <r>
          <rPr>
            <b/>
            <sz val="9"/>
            <rFont val="宋体"/>
            <family val="3"/>
            <charset val="134"/>
          </rPr>
          <t>HL:</t>
        </r>
        <r>
          <rPr>
            <sz val="9"/>
            <rFont val="宋体"/>
            <family val="3"/>
            <charset val="134"/>
          </rPr>
          <t xml:space="preserve">
2024.05.01-05.14
2024.05.15-05.31</t>
        </r>
      </text>
    </comment>
    <comment ref="GF15" authorId="4">
      <text>
        <r>
          <rPr>
            <b/>
            <sz val="9"/>
            <rFont val="宋体"/>
            <family val="3"/>
            <charset val="134"/>
          </rPr>
          <t>HL:</t>
        </r>
        <r>
          <rPr>
            <sz val="9"/>
            <rFont val="宋体"/>
            <family val="3"/>
            <charset val="134"/>
          </rPr>
          <t xml:space="preserve">
2024.05.01-05.14
2024.05.15-05.31</t>
        </r>
      </text>
    </comment>
    <comment ref="GJ15" authorId="4">
      <text>
        <r>
          <rPr>
            <b/>
            <sz val="9"/>
            <rFont val="宋体"/>
            <family val="3"/>
            <charset val="134"/>
          </rPr>
          <t>HL:</t>
        </r>
        <r>
          <rPr>
            <sz val="9"/>
            <rFont val="宋体"/>
            <family val="3"/>
            <charset val="134"/>
          </rPr>
          <t xml:space="preserve">
2024.06.01-06.14
2024.06.15-06.30</t>
        </r>
      </text>
    </comment>
    <comment ref="GN15" authorId="4">
      <text>
        <r>
          <rPr>
            <b/>
            <sz val="9"/>
            <rFont val="宋体"/>
            <family val="3"/>
            <charset val="134"/>
          </rPr>
          <t>HL:</t>
        </r>
        <r>
          <rPr>
            <sz val="9"/>
            <rFont val="宋体"/>
            <family val="3"/>
            <charset val="134"/>
          </rPr>
          <t xml:space="preserve">
2024.06.01-06.14
2024.06.15-06.30</t>
        </r>
      </text>
    </comment>
    <comment ref="GR15" authorId="4">
      <text>
        <r>
          <rPr>
            <b/>
            <sz val="9"/>
            <rFont val="宋体"/>
            <family val="3"/>
            <charset val="134"/>
          </rPr>
          <t>HL:</t>
        </r>
        <r>
          <rPr>
            <sz val="9"/>
            <rFont val="宋体"/>
            <family val="3"/>
            <charset val="134"/>
          </rPr>
          <t xml:space="preserve">
2024.07.01-07.14
2024.07.15-07.31
</t>
        </r>
      </text>
    </comment>
    <comment ref="GV15" authorId="4">
      <text>
        <r>
          <rPr>
            <b/>
            <sz val="9"/>
            <rFont val="宋体"/>
            <family val="3"/>
            <charset val="134"/>
          </rPr>
          <t>HL:</t>
        </r>
        <r>
          <rPr>
            <sz val="9"/>
            <rFont val="宋体"/>
            <family val="3"/>
            <charset val="134"/>
          </rPr>
          <t xml:space="preserve">
2024.07.01-07.14
2024.07.15-07.31
</t>
        </r>
      </text>
    </comment>
    <comment ref="GZ15" authorId="4">
      <text>
        <r>
          <rPr>
            <b/>
            <sz val="9"/>
            <rFont val="宋体"/>
            <family val="3"/>
            <charset val="134"/>
          </rPr>
          <t>HL:</t>
        </r>
        <r>
          <rPr>
            <sz val="9"/>
            <rFont val="宋体"/>
            <family val="3"/>
            <charset val="134"/>
          </rPr>
          <t xml:space="preserve">
2024.08.01-08.14
2024.08.15-08.31
</t>
        </r>
      </text>
    </comment>
    <comment ref="HD15" authorId="4">
      <text>
        <r>
          <rPr>
            <b/>
            <sz val="9"/>
            <rFont val="宋体"/>
            <family val="3"/>
            <charset val="134"/>
          </rPr>
          <t>HL:</t>
        </r>
        <r>
          <rPr>
            <sz val="9"/>
            <rFont val="宋体"/>
            <family val="3"/>
            <charset val="134"/>
          </rPr>
          <t xml:space="preserve">
2024.08.01-08.14
2024.08.15-08.31
</t>
        </r>
      </text>
    </comment>
    <comment ref="HH15" authorId="4">
      <text>
        <r>
          <rPr>
            <b/>
            <sz val="9"/>
            <rFont val="宋体"/>
            <family val="3"/>
            <charset val="134"/>
          </rPr>
          <t>HL:</t>
        </r>
        <r>
          <rPr>
            <sz val="9"/>
            <rFont val="宋体"/>
            <family val="3"/>
            <charset val="134"/>
          </rPr>
          <t xml:space="preserve">
2024.09.01-09.14
2024.09.15-09.30</t>
        </r>
      </text>
    </comment>
    <comment ref="HL15" authorId="4">
      <text>
        <r>
          <rPr>
            <b/>
            <sz val="9"/>
            <rFont val="宋体"/>
            <family val="3"/>
            <charset val="134"/>
          </rPr>
          <t>HL:</t>
        </r>
        <r>
          <rPr>
            <sz val="9"/>
            <rFont val="宋体"/>
            <family val="3"/>
            <charset val="134"/>
          </rPr>
          <t xml:space="preserve">
2024.09.01-09.14
2024.09.15-09.30</t>
        </r>
      </text>
    </comment>
    <comment ref="HP15" authorId="4">
      <text>
        <r>
          <rPr>
            <b/>
            <sz val="9"/>
            <rFont val="宋体"/>
            <family val="3"/>
            <charset val="134"/>
          </rPr>
          <t>HL:</t>
        </r>
        <r>
          <rPr>
            <sz val="9"/>
            <rFont val="宋体"/>
            <family val="3"/>
            <charset val="134"/>
          </rPr>
          <t xml:space="preserve">
2024.10.01-10.14
2024.10.15-10.31</t>
        </r>
      </text>
    </comment>
    <comment ref="HT15" authorId="4">
      <text>
        <r>
          <rPr>
            <b/>
            <sz val="9"/>
            <rFont val="宋体"/>
            <family val="3"/>
            <charset val="134"/>
          </rPr>
          <t>HL:</t>
        </r>
        <r>
          <rPr>
            <sz val="9"/>
            <rFont val="宋体"/>
            <family val="3"/>
            <charset val="134"/>
          </rPr>
          <t xml:space="preserve">
2024.10.01-10.14
2024.10.15-10.31</t>
        </r>
      </text>
    </comment>
    <comment ref="HX15" authorId="4">
      <text>
        <r>
          <rPr>
            <b/>
            <sz val="9"/>
            <rFont val="宋体"/>
            <family val="3"/>
            <charset val="134"/>
          </rPr>
          <t>HL:</t>
        </r>
        <r>
          <rPr>
            <sz val="9"/>
            <rFont val="宋体"/>
            <family val="3"/>
            <charset val="134"/>
          </rPr>
          <t xml:space="preserve">
2024.11.01-11.14</t>
        </r>
      </text>
    </comment>
    <comment ref="IB15" authorId="4">
      <text>
        <r>
          <rPr>
            <b/>
            <sz val="9"/>
            <rFont val="宋体"/>
            <family val="3"/>
            <charset val="134"/>
          </rPr>
          <t>HL:</t>
        </r>
        <r>
          <rPr>
            <sz val="9"/>
            <rFont val="宋体"/>
            <family val="3"/>
            <charset val="134"/>
          </rPr>
          <t xml:space="preserve">
2024.11.01-11.14</t>
        </r>
      </text>
    </comment>
    <comment ref="J16" authorId="4">
      <text>
        <r>
          <rPr>
            <b/>
            <sz val="9"/>
            <rFont val="宋体"/>
            <family val="3"/>
            <charset val="134"/>
          </rPr>
          <t>HL:</t>
        </r>
        <r>
          <rPr>
            <sz val="9"/>
            <rFont val="宋体"/>
            <family val="3"/>
            <charset val="134"/>
          </rPr>
          <t xml:space="preserve">
2023年12月16日起至2024年02月15日止
2024年12月16日起至2025年01月15日止
及2025年12月16日起至2026年01月15日
免租期间内乙方免交租金，但须交纳水费、电费、物业管理费。</t>
        </r>
      </text>
    </comment>
    <comment ref="T16" authorId="4">
      <text>
        <r>
          <rPr>
            <b/>
            <sz val="9"/>
            <rFont val="宋体"/>
            <family val="3"/>
            <charset val="134"/>
          </rPr>
          <t>HL:</t>
        </r>
        <r>
          <rPr>
            <sz val="9"/>
            <rFont val="宋体"/>
            <family val="3"/>
            <charset val="134"/>
          </rPr>
          <t xml:space="preserve">
2023年12月16日至2025年12月15日
该房屋租金的日单价为4.17元；
月租金479718.45
2025年12月16日至2026年12月15日
该房屋租金的日单价为4.38元
月租金503876.93</t>
        </r>
      </text>
    </comment>
    <comment ref="AB16" authorId="2">
      <text>
        <r>
          <rPr>
            <b/>
            <sz val="9"/>
            <rFont val="宋体"/>
            <family val="3"/>
            <charset val="134"/>
          </rPr>
          <t>Sky123.Org:</t>
        </r>
        <r>
          <rPr>
            <sz val="9"/>
            <rFont val="宋体"/>
            <family val="3"/>
            <charset val="134"/>
          </rPr>
          <t xml:space="preserve">
乙方须于上一期租金所对应的租期届满前 30日，支付下一期租金及物业管理费；交费日期最后一日为节假日的，日期顺延。</t>
        </r>
      </text>
    </comment>
    <comment ref="DW16" authorId="4">
      <text>
        <r>
          <rPr>
            <b/>
            <sz val="9"/>
            <rFont val="宋体"/>
            <family val="3"/>
            <charset val="134"/>
          </rPr>
          <t>HL:</t>
        </r>
        <r>
          <rPr>
            <sz val="9"/>
            <rFont val="宋体"/>
            <family val="3"/>
            <charset val="134"/>
          </rPr>
          <t xml:space="preserve">
2024年12月16日起至2025年01月15日止
免租期间内乙方免交租金，但须交纳水费、电费、物业管理费。</t>
        </r>
      </text>
    </comment>
    <comment ref="DX16" authorId="4">
      <text>
        <r>
          <rPr>
            <b/>
            <sz val="9"/>
            <rFont val="宋体"/>
            <family val="3"/>
            <charset val="134"/>
          </rPr>
          <t>HL:</t>
        </r>
        <r>
          <rPr>
            <sz val="9"/>
            <rFont val="宋体"/>
            <family val="3"/>
            <charset val="134"/>
          </rPr>
          <t xml:space="preserve">
2024年12月16日起至2025年01月15日止
免租期间内乙方免交租金，但须交纳水费、电费、物业管理费。
本月收2025.01.16-03.15</t>
        </r>
      </text>
    </comment>
    <comment ref="EU16" authorId="4">
      <text>
        <r>
          <rPr>
            <b/>
            <sz val="9"/>
            <rFont val="宋体"/>
            <family val="3"/>
            <charset val="134"/>
          </rPr>
          <t>HL:</t>
        </r>
        <r>
          <rPr>
            <sz val="9"/>
            <rFont val="宋体"/>
            <family val="3"/>
            <charset val="134"/>
          </rPr>
          <t xml:space="preserve">
2023年12月16日起至2024年02月15日止
2024年12月16日起至2025年01月15日止
及2025年12月16日起至2026年01月15日
免租期间内乙方免交租金，但须交纳水费、电费、物业管理费。</t>
        </r>
      </text>
    </comment>
    <comment ref="EV16" authorId="4">
      <text>
        <r>
          <rPr>
            <b/>
            <sz val="9"/>
            <rFont val="宋体"/>
            <family val="3"/>
            <charset val="134"/>
          </rPr>
          <t>HL:</t>
        </r>
        <r>
          <rPr>
            <sz val="9"/>
            <rFont val="宋体"/>
            <family val="3"/>
            <charset val="134"/>
          </rPr>
          <t xml:space="preserve">
2023年12月16日起至2024年02月15日止免租</t>
        </r>
      </text>
    </comment>
    <comment ref="FC16" authorId="4">
      <text>
        <r>
          <rPr>
            <b/>
            <sz val="9"/>
            <rFont val="宋体"/>
            <family val="3"/>
            <charset val="134"/>
          </rPr>
          <t>HL:</t>
        </r>
        <r>
          <rPr>
            <sz val="9"/>
            <rFont val="宋体"/>
            <family val="3"/>
            <charset val="134"/>
          </rPr>
          <t xml:space="preserve">
2023年12月16日起至2024年02月15日止，免租期间内乙方免交租金，但须交纳水费、电费、物业管理费。
2024.02.16-2024.02.29</t>
        </r>
      </text>
    </comment>
    <comment ref="FD16" authorId="4">
      <text>
        <r>
          <rPr>
            <b/>
            <sz val="9"/>
            <rFont val="宋体"/>
            <family val="3"/>
            <charset val="134"/>
          </rPr>
          <t>HL:</t>
        </r>
        <r>
          <rPr>
            <sz val="9"/>
            <rFont val="宋体"/>
            <family val="3"/>
            <charset val="134"/>
          </rPr>
          <t xml:space="preserve">
2023年12月16日起至2024年02月15日止，免租期间内乙方免交租金，但须交纳水费、电费、物业管理费。
2024.02.16-2024.02.29</t>
        </r>
      </text>
    </comment>
    <comment ref="FL16" authorId="4">
      <text>
        <r>
          <rPr>
            <b/>
            <sz val="9"/>
            <rFont val="宋体"/>
            <family val="3"/>
            <charset val="134"/>
          </rPr>
          <t>HL:</t>
        </r>
        <r>
          <rPr>
            <sz val="9"/>
            <rFont val="宋体"/>
            <family val="3"/>
            <charset val="134"/>
          </rPr>
          <t xml:space="preserve">
2024.03.01-03.15
2024.03.16-03.31</t>
        </r>
      </text>
    </comment>
    <comment ref="FP16" authorId="4">
      <text>
        <r>
          <rPr>
            <b/>
            <sz val="9"/>
            <rFont val="宋体"/>
            <family val="3"/>
            <charset val="134"/>
          </rPr>
          <t>HL:</t>
        </r>
        <r>
          <rPr>
            <sz val="9"/>
            <rFont val="宋体"/>
            <family val="3"/>
            <charset val="134"/>
          </rPr>
          <t xml:space="preserve">
2024.03.01-03.15
2024.03.16-03.31</t>
        </r>
      </text>
    </comment>
    <comment ref="GJ16" authorId="4">
      <text>
        <r>
          <rPr>
            <b/>
            <sz val="9"/>
            <rFont val="宋体"/>
            <family val="3"/>
            <charset val="134"/>
          </rPr>
          <t>HL:</t>
        </r>
        <r>
          <rPr>
            <sz val="9"/>
            <rFont val="宋体"/>
            <family val="3"/>
            <charset val="134"/>
          </rPr>
          <t xml:space="preserve">
2024.06.01-2024.06.15
2024.06.16-06.30</t>
        </r>
      </text>
    </comment>
    <comment ref="GN16" authorId="4">
      <text>
        <r>
          <rPr>
            <b/>
            <sz val="9"/>
            <rFont val="宋体"/>
            <family val="3"/>
            <charset val="134"/>
          </rPr>
          <t>HL:</t>
        </r>
        <r>
          <rPr>
            <sz val="9"/>
            <rFont val="宋体"/>
            <family val="3"/>
            <charset val="134"/>
          </rPr>
          <t xml:space="preserve">
2024.06.01-2024.06.15
2024.06.16-06.30</t>
        </r>
      </text>
    </comment>
    <comment ref="HH16" authorId="4">
      <text>
        <r>
          <rPr>
            <b/>
            <sz val="9"/>
            <rFont val="宋体"/>
            <family val="3"/>
            <charset val="134"/>
          </rPr>
          <t>HL:</t>
        </r>
        <r>
          <rPr>
            <sz val="9"/>
            <rFont val="宋体"/>
            <family val="3"/>
            <charset val="134"/>
          </rPr>
          <t xml:space="preserve">
2024.09.01-09.15
2024.09.16-09.30</t>
        </r>
      </text>
    </comment>
    <comment ref="HL16" authorId="4">
      <text>
        <r>
          <rPr>
            <b/>
            <sz val="9"/>
            <rFont val="宋体"/>
            <family val="3"/>
            <charset val="134"/>
          </rPr>
          <t>HL:</t>
        </r>
        <r>
          <rPr>
            <sz val="9"/>
            <rFont val="宋体"/>
            <family val="3"/>
            <charset val="134"/>
          </rPr>
          <t xml:space="preserve">
2024.09.01-09.15
2024.09.16-09.30</t>
        </r>
      </text>
    </comment>
    <comment ref="IE16" authorId="4">
      <text>
        <r>
          <rPr>
            <b/>
            <sz val="9"/>
            <rFont val="宋体"/>
            <family val="3"/>
            <charset val="134"/>
          </rPr>
          <t>HL:</t>
        </r>
        <r>
          <rPr>
            <sz val="9"/>
            <rFont val="宋体"/>
            <family val="3"/>
            <charset val="134"/>
          </rPr>
          <t xml:space="preserve">
2024年12月16日起至2025年01月15日止
免租期间内乙方免交租金，但须交纳水费、电费、物业管理费。
本月收2024.12.01-12.15</t>
        </r>
      </text>
    </comment>
    <comment ref="IF16" authorId="4">
      <text>
        <r>
          <rPr>
            <b/>
            <sz val="9"/>
            <rFont val="宋体"/>
            <family val="3"/>
            <charset val="134"/>
          </rPr>
          <t>HL:</t>
        </r>
        <r>
          <rPr>
            <sz val="9"/>
            <rFont val="宋体"/>
            <family val="3"/>
            <charset val="134"/>
          </rPr>
          <t xml:space="preserve">
2024.12.01-12.15
2024年12月16日起至2025年01月15日免租</t>
        </r>
      </text>
    </comment>
    <comment ref="IJ16" authorId="4">
      <text>
        <r>
          <rPr>
            <b/>
            <sz val="9"/>
            <rFont val="宋体"/>
            <family val="3"/>
            <charset val="134"/>
          </rPr>
          <t>HL:</t>
        </r>
        <r>
          <rPr>
            <sz val="9"/>
            <rFont val="宋体"/>
            <family val="3"/>
            <charset val="134"/>
          </rPr>
          <t xml:space="preserve">
2024.12.01-12.15</t>
        </r>
      </text>
    </comment>
    <comment ref="IL16" authorId="4">
      <text>
        <r>
          <rPr>
            <b/>
            <sz val="9"/>
            <rFont val="宋体"/>
            <family val="3"/>
            <charset val="134"/>
          </rPr>
          <t>HL:</t>
        </r>
        <r>
          <rPr>
            <sz val="9"/>
            <rFont val="宋体"/>
            <family val="3"/>
            <charset val="134"/>
          </rPr>
          <t xml:space="preserve">
2024年12月16日起至2025年01月15日止
免租期间内乙方免交租金，但须交纳水费、电费、物业管理费。</t>
        </r>
      </text>
    </comment>
    <comment ref="IM16" authorId="4">
      <text>
        <r>
          <rPr>
            <b/>
            <sz val="9"/>
            <rFont val="宋体"/>
            <family val="3"/>
            <charset val="134"/>
          </rPr>
          <t>HL:</t>
        </r>
        <r>
          <rPr>
            <sz val="9"/>
            <rFont val="宋体"/>
            <family val="3"/>
            <charset val="134"/>
          </rPr>
          <t xml:space="preserve">
2024年12月16日起至2025年01月15日止
免租期间内乙方免交租金，但须交纳水费、电费、物业管理费。
应收2025.01.16-03.15</t>
        </r>
      </text>
    </comment>
    <comment ref="JQ16" authorId="4">
      <text>
        <r>
          <rPr>
            <b/>
            <sz val="9"/>
            <rFont val="宋体"/>
            <family val="3"/>
            <charset val="134"/>
          </rPr>
          <t>HL:</t>
        </r>
        <r>
          <rPr>
            <sz val="9"/>
            <rFont val="宋体"/>
            <family val="3"/>
            <charset val="134"/>
          </rPr>
          <t xml:space="preserve">
2023年12月16日起至2024年02月15日止
免租期间内乙方免交租金，但须交纳水费、电费、物业管理费。</t>
        </r>
      </text>
    </comment>
    <comment ref="H17" authorId="6">
      <text>
        <r>
          <rPr>
            <b/>
            <sz val="9"/>
            <rFont val="宋体"/>
            <family val="3"/>
            <charset val="134"/>
          </rPr>
          <t>hl82:</t>
        </r>
        <r>
          <rPr>
            <sz val="9"/>
            <rFont val="宋体"/>
            <family val="3"/>
            <charset val="134"/>
          </rPr>
          <t xml:space="preserve">
2020.06.01起签署补充协议，海龙中天</t>
        </r>
      </text>
    </comment>
    <comment ref="J17" authorId="0">
      <text>
        <r>
          <rPr>
            <b/>
            <sz val="9"/>
            <rFont val="宋体"/>
            <family val="3"/>
            <charset val="134"/>
          </rPr>
          <t>作者:</t>
        </r>
        <r>
          <rPr>
            <sz val="9"/>
            <rFont val="宋体"/>
            <family val="3"/>
            <charset val="134"/>
          </rPr>
          <t xml:space="preserve">
6个月免租,免租金不免物业费
2014.03.01-03.31；
2015.03.01-03.31；
2016.03.01-03.31；
2017.03.01-03.31；
2018.03.01-03.31；
2019.03.01-03.31；
</t>
        </r>
        <r>
          <rPr>
            <b/>
            <sz val="9"/>
            <rFont val="宋体"/>
            <family val="3"/>
            <charset val="134"/>
          </rPr>
          <t>2022.01.19提前退租，2022.01.20-02.28期间租金物业费作为违约金不予退还</t>
        </r>
      </text>
    </comment>
    <comment ref="T17" authorId="0">
      <text>
        <r>
          <rPr>
            <b/>
            <sz val="9"/>
            <rFont val="宋体"/>
            <family val="3"/>
            <charset val="134"/>
          </rPr>
          <t>作者</t>
        </r>
        <r>
          <rPr>
            <b/>
            <sz val="9"/>
            <rFont val="Tahoma"/>
            <family val="2"/>
          </rPr>
          <t>:</t>
        </r>
        <r>
          <rPr>
            <sz val="9"/>
            <rFont val="Tahoma"/>
            <family val="2"/>
          </rPr>
          <t xml:space="preserve">
2014.03.01-2017.02.28</t>
        </r>
        <r>
          <rPr>
            <sz val="9"/>
            <rFont val="宋体"/>
            <family val="3"/>
            <charset val="134"/>
          </rPr>
          <t>第一年</t>
        </r>
        <r>
          <rPr>
            <sz val="9"/>
            <rFont val="Tahoma"/>
            <family val="2"/>
          </rPr>
          <t>-</t>
        </r>
        <r>
          <rPr>
            <sz val="9"/>
            <rFont val="宋体"/>
            <family val="3"/>
            <charset val="134"/>
          </rPr>
          <t>第三年</t>
        </r>
        <r>
          <rPr>
            <sz val="9"/>
            <rFont val="Tahoma"/>
            <family val="2"/>
          </rPr>
          <t>5</t>
        </r>
        <r>
          <rPr>
            <sz val="9"/>
            <rFont val="宋体"/>
            <family val="3"/>
            <charset val="134"/>
          </rPr>
          <t>元</t>
        </r>
        <r>
          <rPr>
            <sz val="9"/>
            <rFont val="Tahoma"/>
            <family val="2"/>
          </rPr>
          <t>/</t>
        </r>
        <r>
          <rPr>
            <sz val="9"/>
            <rFont val="宋体"/>
            <family val="3"/>
            <charset val="134"/>
          </rPr>
          <t>天</t>
        </r>
        <r>
          <rPr>
            <sz val="9"/>
            <rFont val="Tahoma"/>
            <family val="2"/>
          </rPr>
          <t>/</t>
        </r>
        <r>
          <rPr>
            <sz val="9"/>
            <rFont val="宋体"/>
            <family val="3"/>
            <charset val="134"/>
          </rPr>
          <t>平米，月租金含物业费</t>
        </r>
        <r>
          <rPr>
            <sz val="9"/>
            <rFont val="Tahoma"/>
            <family val="2"/>
          </rPr>
          <t>575202</t>
        </r>
        <r>
          <rPr>
            <sz val="9"/>
            <rFont val="宋体"/>
            <family val="3"/>
            <charset val="134"/>
          </rPr>
          <t xml:space="preserve">元
</t>
        </r>
        <r>
          <rPr>
            <sz val="9"/>
            <rFont val="Tahoma"/>
            <family val="2"/>
          </rPr>
          <t>2017.03.01-2020.02.28</t>
        </r>
        <r>
          <rPr>
            <sz val="9"/>
            <rFont val="宋体"/>
            <family val="3"/>
            <charset val="134"/>
          </rPr>
          <t>第四年</t>
        </r>
        <r>
          <rPr>
            <sz val="9"/>
            <rFont val="Tahoma"/>
            <family val="2"/>
          </rPr>
          <t>-</t>
        </r>
        <r>
          <rPr>
            <sz val="9"/>
            <rFont val="宋体"/>
            <family val="3"/>
            <charset val="134"/>
          </rPr>
          <t>第六年</t>
        </r>
        <r>
          <rPr>
            <sz val="9"/>
            <rFont val="Tahoma"/>
            <family val="2"/>
          </rPr>
          <t>5.35</t>
        </r>
        <r>
          <rPr>
            <sz val="9"/>
            <rFont val="宋体"/>
            <family val="3"/>
            <charset val="134"/>
          </rPr>
          <t>元</t>
        </r>
        <r>
          <rPr>
            <sz val="9"/>
            <rFont val="Tahoma"/>
            <family val="2"/>
          </rPr>
          <t>/</t>
        </r>
        <r>
          <rPr>
            <sz val="9"/>
            <rFont val="宋体"/>
            <family val="3"/>
            <charset val="134"/>
          </rPr>
          <t>天</t>
        </r>
        <r>
          <rPr>
            <sz val="9"/>
            <rFont val="Tahoma"/>
            <family val="2"/>
          </rPr>
          <t>/</t>
        </r>
        <r>
          <rPr>
            <sz val="9"/>
            <rFont val="宋体"/>
            <family val="3"/>
            <charset val="134"/>
          </rPr>
          <t>平米，月租金</t>
        </r>
        <r>
          <rPr>
            <sz val="9"/>
            <rFont val="Tahoma"/>
            <family val="2"/>
          </rPr>
          <t>615466.12</t>
        </r>
        <r>
          <rPr>
            <sz val="9"/>
            <rFont val="宋体"/>
            <family val="3"/>
            <charset val="134"/>
          </rPr>
          <t xml:space="preserve">元含物业费
</t>
        </r>
        <r>
          <rPr>
            <sz val="9"/>
            <rFont val="Tahoma"/>
            <family val="2"/>
          </rPr>
          <t>2020.03.01-2024.03.31</t>
        </r>
        <r>
          <rPr>
            <sz val="9"/>
            <rFont val="宋体"/>
            <family val="3"/>
            <charset val="134"/>
          </rPr>
          <t>第七年</t>
        </r>
        <r>
          <rPr>
            <sz val="9"/>
            <rFont val="Tahoma"/>
            <family val="2"/>
          </rPr>
          <t>-</t>
        </r>
        <r>
          <rPr>
            <sz val="9"/>
            <rFont val="宋体"/>
            <family val="3"/>
            <charset val="134"/>
          </rPr>
          <t>第十年</t>
        </r>
        <r>
          <rPr>
            <sz val="9"/>
            <rFont val="Tahoma"/>
            <family val="2"/>
          </rPr>
          <t>5.72</t>
        </r>
        <r>
          <rPr>
            <sz val="9"/>
            <rFont val="宋体"/>
            <family val="3"/>
            <charset val="134"/>
          </rPr>
          <t>元</t>
        </r>
        <r>
          <rPr>
            <sz val="9"/>
            <rFont val="Tahoma"/>
            <family val="2"/>
          </rPr>
          <t>/</t>
        </r>
        <r>
          <rPr>
            <sz val="9"/>
            <rFont val="宋体"/>
            <family val="3"/>
            <charset val="134"/>
          </rPr>
          <t>天</t>
        </r>
        <r>
          <rPr>
            <sz val="9"/>
            <rFont val="Tahoma"/>
            <family val="2"/>
          </rPr>
          <t>/</t>
        </r>
        <r>
          <rPr>
            <sz val="9"/>
            <rFont val="宋体"/>
            <family val="3"/>
            <charset val="134"/>
          </rPr>
          <t>平米月租金</t>
        </r>
        <r>
          <rPr>
            <sz val="9"/>
            <rFont val="Tahoma"/>
            <family val="2"/>
          </rPr>
          <t>658031.06</t>
        </r>
        <r>
          <rPr>
            <sz val="9"/>
            <rFont val="宋体"/>
            <family val="3"/>
            <charset val="134"/>
          </rPr>
          <t>元
单价均含物业费，标准</t>
        </r>
        <r>
          <rPr>
            <sz val="9"/>
            <rFont val="Tahoma"/>
            <family val="2"/>
          </rPr>
          <t>25</t>
        </r>
        <r>
          <rPr>
            <sz val="9"/>
            <rFont val="宋体"/>
            <family val="3"/>
            <charset val="134"/>
          </rPr>
          <t>元</t>
        </r>
        <r>
          <rPr>
            <sz val="9"/>
            <rFont val="Tahoma"/>
            <family val="2"/>
          </rPr>
          <t>/</t>
        </r>
        <r>
          <rPr>
            <sz val="9"/>
            <rFont val="宋体"/>
            <family val="3"/>
            <charset val="134"/>
          </rPr>
          <t>月</t>
        </r>
        <r>
          <rPr>
            <sz val="9"/>
            <rFont val="Tahoma"/>
            <family val="2"/>
          </rPr>
          <t>/</t>
        </r>
        <r>
          <rPr>
            <sz val="9"/>
            <rFont val="宋体"/>
            <family val="3"/>
            <charset val="134"/>
          </rPr>
          <t>平米</t>
        </r>
      </text>
    </comment>
    <comment ref="AB17" authorId="2">
      <text>
        <r>
          <rPr>
            <b/>
            <sz val="9"/>
            <rFont val="宋体"/>
            <family val="3"/>
            <charset val="134"/>
          </rPr>
          <t>Sky123.Org:</t>
        </r>
        <r>
          <rPr>
            <sz val="9"/>
            <rFont val="宋体"/>
            <family val="3"/>
            <charset val="134"/>
          </rPr>
          <t xml:space="preserve">
按季度缴付
季付首月5日前</t>
        </r>
      </text>
    </comment>
    <comment ref="AE19" authorId="4">
      <text>
        <r>
          <rPr>
            <b/>
            <sz val="9"/>
            <rFont val="宋体"/>
            <family val="3"/>
            <charset val="134"/>
          </rPr>
          <t>HL:</t>
        </r>
        <r>
          <rPr>
            <sz val="9"/>
            <rFont val="宋体"/>
            <family val="3"/>
            <charset val="134"/>
          </rPr>
          <t xml:space="preserve">
85000：收3层优客服务费</t>
        </r>
      </text>
    </comment>
    <comment ref="EI19" authorId="4">
      <text>
        <r>
          <rPr>
            <b/>
            <sz val="9"/>
            <rFont val="宋体"/>
            <family val="3"/>
            <charset val="134"/>
          </rPr>
          <t>HL:</t>
        </r>
        <r>
          <rPr>
            <sz val="9"/>
            <rFont val="宋体"/>
            <family val="3"/>
            <charset val="134"/>
          </rPr>
          <t xml:space="preserve">
80188.68：3层优客工场剩余保证金不退85000元转收客户服务费（6%）</t>
        </r>
      </text>
    </comment>
    <comment ref="FD19" authorId="4">
      <text>
        <r>
          <rPr>
            <b/>
            <sz val="9"/>
            <rFont val="宋体"/>
            <family val="3"/>
            <charset val="134"/>
          </rPr>
          <t>HL:</t>
        </r>
        <r>
          <rPr>
            <sz val="9"/>
            <rFont val="宋体"/>
            <family val="3"/>
            <charset val="134"/>
          </rPr>
          <t xml:space="preserve">
3层优客工场剩余保证金不退85000元转收客户服务费</t>
        </r>
      </text>
    </comment>
    <comment ref="KO19" authorId="4">
      <text>
        <r>
          <rPr>
            <b/>
            <sz val="9"/>
            <rFont val="宋体"/>
            <family val="3"/>
            <charset val="134"/>
          </rPr>
          <t>HL:</t>
        </r>
        <r>
          <rPr>
            <sz val="9"/>
            <rFont val="宋体"/>
            <family val="3"/>
            <charset val="134"/>
          </rPr>
          <t xml:space="preserve">
3层优客工场剩余保证金不退85000元转收客户服务费</t>
        </r>
      </text>
    </comment>
  </commentList>
</comments>
</file>

<file path=xl/comments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sharedStrings.xml><?xml version="1.0" encoding="utf-8"?>
<sst xmlns="http://schemas.openxmlformats.org/spreadsheetml/2006/main" count="14133" uniqueCount="5228">
  <si>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</si>
  <si>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</si>
  <si>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</si>
  <si>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</si>
  <si>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</si>
  <si>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</si>
  <si>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</si>
  <si>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</si>
  <si>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</si>
  <si>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</si>
  <si>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</si>
  <si>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</si>
  <si>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</si>
  <si>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</si>
  <si>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</si>
  <si>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</si>
  <si>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</si>
  <si>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</si>
  <si>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</si>
  <si>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</si>
  <si>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</si>
  <si>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</si>
  <si>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</si>
  <si>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</si>
  <si>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</si>
  <si>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</si>
  <si>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</si>
  <si>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</si>
  <si>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</si>
  <si>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</si>
  <si>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</si>
  <si>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</si>
  <si>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</si>
  <si>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</si>
  <si>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</si>
  <si>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</si>
  <si>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</si>
  <si>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</si>
  <si>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</si>
  <si>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</si>
  <si>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</si>
  <si>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</si>
  <si>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</si>
  <si>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</si>
  <si>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</si>
  <si>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</si>
  <si>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</si>
  <si>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</si>
  <si>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</si>
  <si>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</si>
  <si>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</si>
  <si>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</si>
  <si>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</si>
  <si>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</si>
  <si>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</si>
  <si>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</si>
  <si>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</si>
  <si>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</si>
  <si>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</si>
  <si>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</si>
  <si>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</si>
  <si>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</si>
  <si>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</si>
  <si>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</si>
  <si>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</si>
  <si>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</si>
  <si>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</si>
  <si>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</si>
  <si>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</si>
  <si>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</si>
  <si>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</si>
  <si>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</si>
  <si>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</si>
  <si>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</si>
  <si>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</si>
  <si>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</si>
  <si>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</si>
  <si>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</si>
  <si>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</si>
  <si>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</si>
  <si>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</si>
  <si>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</si>
  <si>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</si>
  <si>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</si>
  <si>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</si>
  <si>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</si>
  <si>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</si>
  <si>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</si>
  <si>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</si>
  <si>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</si>
  <si>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</si>
  <si>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</si>
  <si>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</si>
  <si>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</si>
  <si>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</si>
  <si>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</si>
  <si>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</si>
  <si>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</si>
  <si>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</si>
  <si>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</si>
  <si>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</si>
  <si>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</si>
  <si>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</si>
  <si>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</si>
  <si>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</si>
  <si>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</si>
  <si>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</si>
  <si>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</si>
  <si>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</si>
  <si>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</si>
  <si>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</si>
  <si>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</si>
  <si>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</si>
  <si>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</si>
  <si>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</si>
  <si>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</si>
  <si>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</si>
  <si>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</si>
  <si>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</si>
  <si>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</si>
  <si>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</si>
  <si>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</si>
  <si>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</si>
  <si>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</si>
  <si>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</si>
  <si>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</si>
  <si>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</si>
  <si>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</si>
  <si>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</si>
  <si>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</si>
  <si>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</si>
  <si>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</si>
  <si>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</si>
  <si>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</si>
  <si>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</si>
  <si>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</si>
  <si>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</si>
  <si>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</si>
  <si>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</si>
  <si>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</si>
  <si>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</si>
  <si>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</si>
  <si>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</si>
  <si>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</si>
  <si>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</si>
  <si>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</si>
  <si>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</si>
  <si>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</si>
  <si>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</si>
  <si>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</si>
  <si>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</si>
  <si>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</si>
  <si>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</si>
  <si>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</si>
  <si>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</si>
  <si>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</si>
  <si>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</si>
  <si>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</si>
  <si>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</si>
  <si>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</si>
  <si>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</si>
  <si>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</si>
  <si>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</si>
  <si>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</si>
  <si>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</si>
  <si>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</si>
  <si>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</si>
  <si>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</si>
  <si>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</si>
  <si>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</si>
  <si>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</si>
  <si>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</si>
  <si>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</si>
  <si>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</si>
  <si>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</si>
  <si>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</si>
  <si>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</si>
  <si>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</si>
  <si>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</si>
  <si>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</si>
  <si>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</si>
  <si>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</si>
  <si>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</si>
  <si>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</si>
  <si>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</si>
  <si>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</si>
  <si>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</si>
  <si>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</si>
  <si>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</si>
  <si>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</si>
  <si>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</si>
  <si>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</si>
  <si>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</si>
  <si>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</si>
  <si>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</si>
  <si>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</si>
  <si>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</si>
  <si>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</si>
  <si>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</si>
  <si>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</si>
  <si>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</si>
  <si>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</si>
  <si>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</si>
  <si>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</si>
  <si>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</si>
  <si>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</si>
  <si>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</si>
  <si>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</si>
  <si>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</si>
  <si>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</si>
  <si>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</si>
  <si>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</si>
  <si>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</si>
  <si>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</si>
  <si>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</si>
  <si>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</si>
  <si>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</si>
  <si>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</si>
  <si>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</si>
  <si>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</si>
  <si>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</si>
  <si>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</si>
  <si>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</si>
  <si>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</si>
  <si>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</si>
  <si>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</si>
  <si>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</si>
  <si>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</si>
  <si>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</si>
  <si>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</si>
  <si>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</si>
  <si>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</si>
  <si>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</si>
  <si>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</si>
  <si>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</si>
  <si>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</si>
  <si>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</si>
  <si>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</si>
  <si>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</si>
  <si>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</si>
  <si>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</si>
  <si>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</si>
  <si>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</si>
  <si>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</si>
  <si>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</si>
  <si>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</si>
  <si>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</si>
  <si>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</si>
  <si>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</si>
  <si>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</si>
  <si>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</si>
  <si>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</si>
  <si>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</si>
  <si>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</si>
  <si>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</si>
  <si>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</si>
  <si>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</si>
  <si>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</si>
  <si>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</si>
  <si>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</si>
  <si>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</si>
  <si>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</si>
  <si>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</si>
  <si>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</si>
  <si>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</si>
  <si>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</si>
  <si>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</si>
  <si>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</si>
  <si>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</si>
  <si>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</si>
  <si>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</si>
  <si>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</si>
  <si>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</si>
  <si>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</si>
  <si>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</si>
  <si>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</si>
  <si>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</si>
  <si>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</si>
  <si>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</si>
  <si>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</si>
  <si>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</si>
  <si>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</si>
  <si>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</si>
  <si>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</si>
  <si>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</si>
  <si>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</si>
  <si>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</si>
  <si>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</si>
  <si>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</si>
  <si>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</si>
  <si>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</si>
  <si>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</si>
  <si>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</si>
  <si>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</si>
  <si>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</si>
  <si>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</si>
  <si>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</si>
  <si>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</si>
  <si>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</si>
  <si>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</si>
  <si>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</si>
  <si>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</si>
  <si>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</si>
  <si>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</si>
  <si>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</si>
  <si>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</si>
  <si>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</si>
  <si>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</si>
  <si>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</si>
  <si>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</si>
  <si>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</si>
  <si>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</si>
  <si>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</si>
  <si>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</si>
  <si>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</si>
  <si>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</si>
  <si>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</si>
  <si>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</si>
  <si>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</si>
  <si>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</si>
  <si>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</si>
  <si>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</si>
  <si>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</si>
  <si>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</si>
  <si>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</si>
  <si>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</si>
  <si>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</si>
  <si>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</si>
  <si>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</si>
  <si>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</si>
  <si>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</si>
  <si>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</si>
  <si>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</si>
  <si>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</si>
  <si>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</si>
  <si>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</si>
  <si>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</si>
  <si>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</si>
  <si>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</si>
  <si>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</si>
  <si>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</si>
  <si>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</si>
  <si>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</si>
  <si>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</si>
  <si>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</si>
  <si>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</si>
  <si>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</si>
  <si>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</si>
  <si>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</si>
  <si>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</si>
  <si>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</si>
  <si>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</si>
  <si>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</si>
  <si>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</si>
  <si>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</si>
  <si>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</si>
  <si>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</si>
  <si>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</si>
  <si>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</si>
  <si>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</si>
  <si>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</si>
  <si>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</si>
  <si>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</si>
  <si>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</si>
  <si>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</si>
  <si>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</si>
  <si>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</si>
  <si>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</si>
  <si>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</si>
  <si>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</si>
  <si>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</si>
  <si>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</si>
  <si>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</si>
  <si>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</si>
  <si>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</si>
  <si>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</si>
  <si>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</si>
  <si>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</si>
  <si>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</si>
  <si>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</si>
  <si>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</si>
  <si>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</si>
  <si>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</si>
  <si>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</si>
  <si>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</si>
  <si>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</si>
  <si>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</si>
  <si>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</si>
  <si>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</si>
  <si>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</si>
  <si>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</si>
  <si>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</si>
  <si>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</si>
  <si>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</si>
  <si>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</si>
  <si>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</si>
  <si>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</si>
  <si>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</si>
  <si>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</si>
  <si>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</si>
  <si>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</si>
  <si>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</si>
  <si>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</si>
  <si>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</si>
  <si>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</si>
  <si>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</si>
  <si>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</si>
  <si>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</si>
  <si>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</si>
  <si>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</si>
  <si>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</si>
  <si>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</si>
  <si>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</si>
  <si>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</si>
  <si>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</si>
  <si>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</si>
  <si>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</si>
  <si>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</si>
  <si>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</si>
  <si>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</si>
  <si>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</si>
  <si>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</si>
  <si>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</si>
  <si>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</si>
  <si>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</si>
  <si>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</si>
  <si>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</si>
  <si>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</si>
  <si>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</si>
  <si>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</si>
  <si>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</si>
  <si>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</si>
  <si>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</si>
  <si>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</si>
  <si>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</si>
  <si>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</si>
  <si>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</si>
  <si>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</si>
  <si>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</si>
  <si>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</si>
  <si>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</si>
  <si>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</si>
  <si>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</si>
  <si>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</si>
  <si>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</si>
  <si>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</si>
  <si>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</si>
  <si>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</si>
  <si>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</si>
  <si>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</si>
  <si>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</si>
  <si>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</si>
  <si>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</si>
  <si>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</si>
  <si>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</si>
  <si>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</si>
  <si>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</si>
  <si>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</si>
  <si>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</si>
  <si>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</si>
  <si>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</si>
  <si>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</si>
  <si>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</si>
  <si>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</si>
  <si>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</si>
  <si>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</si>
  <si>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</si>
  <si>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</si>
  <si>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</si>
  <si>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</si>
  <si>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</si>
  <si>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</si>
  <si>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</si>
  <si>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</si>
  <si>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</si>
  <si>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</si>
  <si>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</si>
  <si>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</si>
  <si>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</si>
  <si>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</si>
  <si>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</si>
  <si>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</si>
  <si>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</si>
  <si>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</si>
  <si>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</si>
  <si>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</si>
  <si>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</si>
  <si>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</si>
  <si>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</si>
  <si>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</si>
  <si>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</si>
  <si>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</si>
  <si>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</si>
  <si>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</si>
  <si>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</si>
  <si>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</si>
  <si>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</si>
  <si>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</si>
  <si>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</si>
  <si>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</si>
  <si>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</si>
  <si>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</si>
  <si>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</si>
  <si>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</si>
  <si>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</si>
  <si>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</si>
  <si>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</si>
  <si>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</si>
  <si>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</si>
  <si>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</si>
  <si>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</si>
  <si>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</si>
  <si>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</si>
  <si>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</si>
  <si>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</si>
  <si>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</si>
  <si>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</si>
  <si>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</si>
  <si>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</si>
  <si>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</si>
  <si>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</si>
  <si>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</si>
  <si>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</si>
  <si>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</si>
  <si>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</si>
  <si>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</si>
  <si>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</si>
  <si>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</si>
  <si>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</si>
  <si>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</si>
  <si>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</si>
  <si>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</si>
  <si>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</si>
  <si>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</si>
  <si>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</si>
  <si>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</si>
  <si>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</si>
  <si>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</si>
  <si>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</si>
  <si>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</si>
  <si>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</si>
  <si>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</si>
  <si>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</si>
  <si>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</si>
  <si>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</si>
  <si>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</si>
  <si>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</si>
  <si>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</si>
  <si>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</si>
  <si>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</si>
  <si>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</si>
  <si>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</si>
  <si>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</si>
  <si>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</si>
  <si>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</si>
  <si>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</si>
  <si>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</si>
  <si>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</si>
  <si>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</si>
  <si>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</si>
  <si>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</si>
  <si>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</si>
  <si>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</si>
  <si>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</si>
  <si>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</si>
  <si>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</si>
  <si>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</si>
  <si>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</si>
  <si>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</si>
  <si>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</si>
  <si>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</si>
  <si>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</si>
  <si>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</si>
  <si>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</si>
  <si>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</si>
  <si>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</si>
  <si>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</si>
  <si>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</si>
  <si>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</si>
  <si>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</si>
  <si>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</si>
  <si>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</si>
  <si>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</si>
  <si>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</si>
  <si>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</si>
  <si>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</si>
  <si>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</si>
  <si>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</si>
  <si>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</si>
  <si>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</si>
  <si>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</si>
  <si>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</si>
  <si>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</si>
  <si>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</si>
  <si>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</si>
  <si>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</si>
  <si>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</si>
  <si>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</si>
  <si>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</si>
  <si>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</si>
  <si>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</si>
  <si>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</si>
  <si>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</si>
  <si>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</si>
  <si>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</si>
  <si>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</si>
  <si>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</si>
  <si>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</si>
  <si>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</si>
  <si>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</si>
  <si>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</si>
  <si>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</si>
  <si>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</si>
  <si>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</si>
  <si>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</si>
  <si>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</si>
  <si>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</si>
  <si>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</si>
  <si>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</si>
  <si>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</si>
  <si>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</si>
  <si>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</si>
  <si>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</si>
  <si>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</si>
  <si>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</si>
  <si>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</si>
  <si>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</si>
  <si>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</si>
  <si>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</si>
  <si>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</si>
  <si>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</si>
  <si>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</si>
  <si>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</si>
  <si>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</si>
  <si>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</si>
  <si>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</si>
  <si>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</si>
  <si>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</si>
  <si>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</si>
  <si>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</si>
  <si>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</si>
  <si>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</si>
  <si>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</si>
  <si>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</si>
  <si>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</si>
  <si>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</si>
  <si>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</si>
  <si>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</si>
  <si>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</si>
  <si>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</si>
  <si>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</si>
  <si>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</si>
  <si>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</si>
  <si>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</si>
  <si>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</si>
  <si>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</si>
  <si>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</si>
  <si>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</si>
  <si>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</si>
  <si>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</si>
  <si>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</si>
  <si>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</si>
  <si>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</si>
  <si>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</si>
  <si>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</si>
  <si>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</si>
  <si>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</si>
  <si>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</si>
  <si>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</si>
  <si>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</si>
  <si>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</si>
  <si>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</si>
  <si>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</si>
  <si>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</si>
  <si>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</si>
  <si>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</si>
  <si>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</si>
  <si>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</si>
  <si>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</si>
  <si>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</si>
  <si>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</si>
  <si>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</si>
  <si>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</si>
  <si>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</si>
  <si>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</si>
  <si>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</si>
  <si>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</si>
  <si>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</si>
  <si>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</si>
  <si>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</si>
  <si>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</si>
  <si>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</si>
  <si>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</si>
  <si>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</si>
  <si>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</si>
  <si>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</si>
  <si>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</si>
  <si>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</si>
  <si>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</si>
  <si>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</si>
  <si>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</si>
  <si>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</si>
  <si>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</si>
  <si>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</si>
  <si>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</si>
  <si>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</si>
  <si>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</si>
  <si>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</si>
  <si>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</si>
  <si>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</si>
  <si>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</si>
  <si>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</si>
  <si>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</si>
  <si>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</si>
  <si>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</si>
  <si>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</si>
  <si>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</si>
  <si>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</si>
  <si>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</si>
  <si>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</si>
  <si>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</si>
  <si>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</si>
  <si>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</si>
  <si>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</si>
  <si>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</si>
  <si>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</si>
  <si>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</si>
  <si>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</si>
  <si>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</si>
  <si>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</si>
  <si>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</si>
  <si>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</si>
  <si>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</si>
  <si>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</si>
  <si>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</si>
  <si>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</si>
  <si>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</si>
  <si>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</si>
  <si>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</si>
  <si>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</si>
  <si>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</si>
  <si>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</si>
  <si>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</si>
  <si>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</si>
  <si>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</si>
  <si>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</si>
  <si>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</si>
  <si>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</si>
  <si>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</si>
  <si>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</si>
  <si>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</si>
  <si>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</si>
  <si>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</si>
  <si>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</si>
  <si>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</si>
  <si>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</si>
  <si>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</si>
  <si>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</si>
  <si>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</si>
  <si>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</si>
  <si>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</si>
  <si>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</si>
  <si>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</si>
  <si>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</si>
  <si>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</si>
  <si>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</si>
  <si>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</si>
  <si>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</si>
  <si>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</si>
  <si>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</si>
  <si>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</si>
  <si>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</si>
  <si>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</si>
  <si>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</si>
  <si>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</si>
  <si>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</si>
  <si>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</si>
  <si>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</si>
  <si>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</si>
  <si>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</si>
  <si>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</si>
  <si>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</si>
  <si>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</si>
  <si>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</si>
  <si>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</si>
  <si>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</si>
  <si>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</si>
  <si>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</si>
  <si>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</si>
  <si>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</si>
  <si>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</si>
  <si>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</si>
  <si>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</si>
  <si>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</si>
  <si>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</si>
  <si>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</si>
  <si>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</si>
  <si>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</si>
  <si>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</si>
  <si>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</si>
  <si>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</si>
  <si>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</si>
  <si>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</si>
  <si>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</si>
  <si>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</si>
  <si>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</si>
  <si>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</si>
  <si>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</si>
  <si>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</si>
  <si>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</si>
  <si>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</si>
  <si>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</si>
  <si>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</si>
  <si>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</si>
  <si>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</si>
  <si>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</si>
  <si>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</si>
  <si>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</si>
  <si>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</si>
  <si>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</si>
  <si>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</si>
  <si>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</si>
  <si>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</si>
  <si>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</si>
  <si>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</si>
  <si>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</si>
  <si>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</si>
  <si>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</si>
  <si>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</si>
  <si>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</si>
  <si>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</si>
  <si>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</si>
  <si>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</si>
  <si>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</si>
  <si>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</si>
  <si>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</si>
  <si>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</si>
  <si>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</si>
  <si>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</si>
  <si>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</si>
  <si>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</si>
  <si>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</si>
  <si>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</si>
  <si>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</si>
  <si>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</si>
  <si>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</si>
  <si>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</si>
  <si>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</si>
  <si>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</si>
  <si>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</si>
  <si>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</si>
  <si>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</si>
  <si>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</si>
  <si>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</si>
  <si>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</si>
  <si>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</si>
  <si>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</si>
  <si>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</si>
  <si>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</si>
  <si>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</si>
  <si>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</si>
  <si>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</si>
  <si>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</si>
  <si>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</si>
  <si>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</si>
  <si>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</si>
  <si>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</si>
  <si>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</si>
  <si>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</si>
  <si>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</si>
  <si>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</si>
  <si>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</si>
  <si>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</si>
  <si>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</si>
  <si>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</si>
  <si>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</si>
  <si>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</si>
  <si>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</si>
  <si>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</si>
  <si>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</si>
  <si>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</si>
  <si>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</si>
  <si>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</si>
  <si>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</si>
  <si>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</si>
  <si>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</si>
  <si>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</si>
  <si>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</si>
  <si>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</si>
  <si>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</si>
  <si>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</si>
  <si>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</si>
  <si>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</si>
  <si>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</si>
  <si>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</si>
  <si>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</si>
  <si>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</si>
  <si>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</si>
  <si>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</si>
  <si>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</si>
  <si>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</si>
  <si>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</si>
  <si>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</si>
  <si>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</si>
  <si>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</si>
  <si>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</si>
  <si>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</si>
  <si>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</si>
  <si>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</si>
  <si>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</si>
  <si>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</si>
  <si>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</si>
  <si>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</si>
  <si>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</si>
  <si>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</si>
  <si>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</si>
  <si>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</si>
  <si>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</si>
  <si>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</si>
  <si>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</si>
  <si>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</si>
  <si>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</si>
  <si>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</si>
  <si>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</si>
  <si>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</si>
  <si>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</si>
  <si>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</si>
  <si>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</si>
  <si>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</si>
  <si>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</si>
  <si>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</si>
  <si>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</si>
  <si>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</si>
  <si>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</si>
  <si>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</si>
  <si>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</si>
  <si>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</si>
  <si>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</si>
  <si>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</si>
  <si>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</si>
  <si>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</si>
  <si>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</si>
  <si>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</si>
  <si>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</si>
  <si>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</si>
  <si>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</si>
  <si>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</si>
  <si>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</si>
  <si>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</si>
  <si>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</si>
  <si>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</si>
  <si>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</si>
  <si>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</si>
  <si>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</si>
  <si>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</si>
  <si>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</si>
  <si>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</si>
  <si>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</si>
  <si>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</si>
  <si>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</si>
  <si>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</si>
  <si>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</si>
  <si>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</si>
  <si>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</si>
  <si>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</si>
  <si>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</si>
  <si>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</si>
  <si>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</si>
  <si>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</si>
  <si>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</si>
  <si>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</si>
  <si>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</si>
  <si>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</si>
  <si>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</si>
  <si>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</si>
  <si>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</si>
  <si>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</si>
  <si>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</si>
  <si>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</si>
  <si>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</si>
  <si>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</si>
  <si>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</si>
  <si>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</si>
  <si>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</si>
  <si>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</si>
  <si>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</si>
  <si>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</si>
  <si>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</si>
  <si>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</si>
  <si>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</si>
  <si>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</si>
  <si>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</si>
  <si>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</si>
  <si>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</si>
  <si>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</si>
  <si>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</si>
  <si>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</si>
  <si>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</si>
  <si>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</si>
  <si>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</si>
  <si>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</si>
  <si>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</si>
  <si>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</si>
  <si>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</si>
  <si>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</si>
  <si>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</si>
  <si>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</si>
  <si>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</si>
  <si>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</si>
  <si>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</si>
  <si>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</si>
  <si>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</si>
  <si>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</si>
  <si>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</si>
  <si>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</si>
  <si>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</si>
  <si>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</si>
  <si>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</si>
  <si>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</si>
  <si>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</si>
  <si>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</si>
  <si>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</si>
  <si>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</si>
  <si>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</si>
  <si>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</si>
  <si>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</si>
  <si>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</si>
  <si>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</si>
  <si>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</si>
  <si>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</si>
  <si>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</si>
  <si>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</si>
  <si>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</si>
  <si>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</si>
  <si>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</si>
  <si>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</si>
  <si>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</si>
  <si>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</si>
  <si>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</si>
  <si>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</si>
  <si>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</si>
  <si>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</si>
  <si>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</si>
  <si>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</si>
  <si>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</si>
  <si>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</si>
  <si>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</si>
  <si>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</si>
  <si>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</si>
  <si>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</si>
  <si>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</si>
  <si>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</si>
  <si>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</si>
  <si>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</si>
  <si>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</si>
  <si>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</si>
  <si>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</si>
  <si>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</si>
  <si>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</si>
  <si>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</si>
  <si>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</si>
  <si>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</si>
  <si>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</si>
  <si>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</si>
  <si>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</si>
  <si>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</si>
  <si>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</si>
  <si>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</si>
  <si>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</si>
  <si>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</si>
  <si>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</si>
  <si>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</si>
  <si>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</si>
  <si>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</si>
  <si>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</si>
  <si>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</si>
  <si>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</si>
  <si>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</si>
  <si>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</si>
  <si>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</si>
  <si>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</si>
  <si>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</si>
  <si>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</si>
  <si>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</si>
  <si>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</si>
  <si>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</si>
  <si>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</si>
  <si>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</si>
  <si>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</si>
  <si>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</si>
  <si>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</si>
  <si>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</si>
  <si>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</si>
  <si>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</si>
  <si>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</si>
  <si>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</si>
  <si>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</si>
  <si>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</si>
  <si>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</si>
  <si>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</si>
  <si>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</si>
  <si>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</si>
  <si>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</si>
  <si>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</si>
  <si>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</si>
  <si>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</si>
  <si>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</si>
  <si>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</si>
  <si>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</si>
  <si>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</si>
  <si>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</si>
  <si>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</si>
  <si>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</si>
  <si>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</si>
  <si>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</si>
  <si>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</si>
  <si>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</si>
  <si>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</si>
  <si>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</si>
  <si>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</si>
  <si>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</si>
  <si>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</si>
  <si>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</si>
  <si>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</si>
  <si>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</si>
  <si>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</si>
  <si>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</si>
  <si>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</si>
  <si>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</si>
  <si>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</si>
  <si>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</si>
  <si>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</si>
  <si>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</si>
  <si>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</si>
  <si>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</si>
  <si>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</si>
  <si>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</si>
  <si>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</si>
  <si>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</si>
  <si>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</si>
  <si>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</si>
  <si>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</si>
  <si>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</si>
  <si>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</si>
  <si>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</si>
  <si>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</si>
  <si>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</si>
  <si>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</si>
  <si>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</si>
  <si>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</si>
  <si>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</si>
  <si>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</si>
  <si>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</si>
  <si>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</si>
  <si>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</si>
  <si>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</si>
  <si>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</si>
  <si>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</si>
  <si>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</si>
  <si>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</si>
  <si>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</si>
  <si>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</si>
  <si>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</si>
  <si>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</si>
  <si>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</si>
  <si>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</si>
  <si>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</si>
  <si>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</si>
  <si>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</si>
  <si>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</si>
  <si>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</si>
  <si>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</si>
  <si>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</si>
  <si>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</si>
  <si>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</si>
  <si>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</si>
  <si>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</si>
  <si>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</si>
  <si>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</si>
  <si>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</si>
  <si>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</si>
  <si>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</si>
  <si>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</si>
  <si>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</si>
  <si>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</si>
  <si>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</si>
  <si>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</si>
  <si>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</si>
  <si>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</si>
  <si>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</si>
  <si>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</si>
  <si>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</si>
  <si>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</si>
  <si>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</si>
  <si>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</si>
  <si>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</si>
  <si>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</si>
  <si>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</si>
  <si>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</si>
  <si>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</si>
  <si>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</si>
  <si>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</si>
  <si>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</si>
  <si>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</si>
  <si>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</si>
  <si>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</si>
  <si>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</si>
  <si>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</si>
  <si>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</si>
  <si>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</si>
  <si>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</si>
  <si>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</si>
  <si>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</si>
  <si>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</si>
  <si>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</si>
  <si>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</si>
  <si>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</si>
  <si>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</si>
  <si>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</si>
  <si>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</si>
  <si>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</si>
  <si>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</si>
  <si>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</si>
  <si>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</si>
  <si>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</si>
  <si>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</si>
  <si>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</si>
  <si>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</si>
  <si>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</si>
  <si>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</si>
  <si>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</si>
  <si>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</si>
  <si>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</si>
  <si>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</si>
  <si>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</si>
  <si>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</si>
  <si>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</si>
  <si>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</si>
  <si>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</si>
  <si>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</si>
  <si>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</si>
  <si>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</si>
  <si>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</si>
  <si>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</si>
  <si>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</si>
  <si>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</si>
  <si>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</si>
  <si>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</si>
  <si>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</si>
  <si>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</si>
  <si>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</si>
  <si>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</si>
  <si>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</si>
  <si>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</si>
  <si>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</si>
  <si>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</si>
  <si>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</si>
  <si>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</si>
  <si>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</si>
  <si>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</si>
  <si>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</si>
  <si>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</si>
  <si>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</si>
  <si>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</si>
  <si>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</si>
  <si>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</si>
  <si>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</si>
  <si>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</si>
  <si>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</si>
  <si>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</si>
  <si>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</si>
  <si>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</si>
  <si>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</si>
  <si>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</si>
  <si>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</si>
  <si>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</si>
  <si>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</si>
  <si>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</si>
  <si>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</si>
  <si>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</si>
  <si>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</si>
  <si>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</si>
  <si>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</si>
  <si>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</si>
  <si>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</si>
  <si>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</si>
  <si>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</si>
  <si>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</si>
  <si>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</si>
  <si>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</si>
  <si>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</si>
  <si>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</si>
  <si>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</si>
  <si>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</si>
  <si>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</si>
  <si>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</si>
  <si>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</si>
  <si>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</si>
  <si>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</si>
  <si>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</si>
  <si>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</si>
  <si>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</si>
  <si>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</si>
  <si>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</si>
  <si>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</si>
  <si>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</si>
  <si>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</si>
  <si>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</si>
  <si>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</si>
  <si>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</si>
  <si>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</si>
  <si>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</si>
  <si>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</si>
  <si>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</si>
  <si>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</si>
  <si>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</si>
  <si>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</si>
  <si>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</si>
  <si>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</si>
  <si>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</si>
  <si>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</si>
  <si>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</si>
  <si>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</si>
  <si>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</si>
  <si>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</si>
  <si>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</si>
  <si>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</si>
  <si>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</si>
  <si>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</si>
  <si>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</si>
  <si>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</si>
  <si>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</si>
  <si>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</si>
  <si>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</si>
  <si>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</si>
  <si>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</si>
  <si>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</si>
  <si>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</si>
  <si>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</si>
  <si>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</si>
  <si>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</si>
  <si>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</si>
  <si>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</si>
  <si>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</si>
  <si>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</si>
  <si>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</si>
  <si>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</si>
  <si>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</si>
  <si>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</si>
  <si>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</si>
  <si>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</si>
  <si>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</si>
  <si>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</si>
  <si>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</si>
  <si>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</si>
  <si>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</si>
  <si>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</si>
  <si>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</si>
  <si>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</si>
  <si>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</si>
  <si>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</si>
  <si>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</si>
  <si>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</si>
  <si>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</si>
  <si>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</si>
  <si>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</si>
  <si>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</si>
  <si>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</si>
  <si>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</si>
  <si>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</si>
  <si>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</si>
  <si>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</si>
  <si>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</si>
  <si>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</si>
  <si>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</si>
  <si>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</si>
  <si>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</si>
  <si>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</si>
  <si>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</si>
  <si>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</si>
  <si>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</si>
  <si>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</si>
  <si>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</si>
  <si>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</si>
  <si>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</si>
  <si>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</si>
  <si>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</si>
  <si>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</si>
  <si>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</si>
  <si>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</si>
  <si>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</si>
  <si>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</si>
  <si>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</si>
  <si>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</si>
  <si>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</si>
  <si>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</si>
  <si>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</si>
  <si>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</si>
  <si>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</si>
  <si>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</si>
  <si>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</si>
  <si>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</si>
  <si>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</si>
  <si>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</si>
  <si>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</si>
  <si>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</si>
  <si>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</si>
  <si>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</si>
  <si>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</si>
  <si>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</si>
  <si>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</si>
  <si>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</si>
  <si>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</si>
  <si>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</si>
  <si>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</si>
  <si>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</si>
  <si>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</si>
  <si>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</si>
  <si>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</si>
  <si>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</si>
  <si>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</si>
  <si>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</si>
  <si>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</si>
  <si>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</si>
  <si>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</si>
  <si>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</si>
  <si>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</si>
  <si>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</si>
  <si>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</si>
  <si>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</si>
  <si>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</si>
  <si>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</si>
  <si>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</si>
  <si>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</si>
  <si>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</si>
  <si>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</si>
  <si>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</si>
  <si>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</si>
  <si>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</si>
  <si>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</si>
  <si>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</si>
  <si>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</si>
  <si>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</si>
  <si>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</si>
  <si>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</si>
  <si>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</si>
  <si>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</si>
  <si>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</si>
  <si>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</si>
  <si>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</si>
  <si>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</si>
  <si>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</si>
  <si>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</si>
  <si>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</si>
  <si>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</si>
  <si>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</si>
  <si>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</si>
  <si>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</si>
  <si>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</si>
  <si>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</si>
  <si>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</si>
  <si>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</si>
  <si>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</si>
  <si>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</si>
  <si>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</si>
  <si>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</si>
  <si>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</si>
  <si>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</si>
  <si>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</si>
  <si>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</si>
  <si>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</si>
  <si>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</si>
  <si>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</si>
  <si>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</si>
  <si>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</si>
  <si>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</si>
  <si>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</si>
  <si>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</si>
  <si>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</si>
  <si>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</si>
  <si>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</si>
  <si>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</si>
  <si>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</si>
  <si>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</si>
  <si>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</si>
  <si>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</si>
  <si>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</si>
  <si>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</si>
  <si>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</si>
  <si>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</si>
  <si>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</si>
  <si>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</si>
  <si>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</si>
  <si>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</si>
  <si>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</si>
  <si>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</si>
  <si>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</si>
  <si>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</si>
  <si>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</si>
  <si>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</si>
  <si>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</si>
  <si>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</si>
  <si>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</si>
  <si>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</si>
  <si>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</si>
  <si>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</si>
  <si>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</si>
  <si>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</si>
  <si>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</si>
  <si>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</si>
  <si>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</si>
  <si>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</si>
  <si>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</si>
  <si>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</si>
  <si>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</si>
  <si>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</si>
  <si>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</si>
  <si>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</si>
  <si>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</si>
  <si>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</si>
  <si>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</si>
  <si>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</si>
  <si>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</si>
  <si>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</si>
  <si>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</si>
  <si>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</si>
  <si>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</si>
  <si>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</si>
  <si>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</si>
  <si>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</si>
  <si>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</si>
  <si>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</si>
  <si>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</si>
  <si>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</si>
  <si>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</si>
  <si>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</si>
  <si>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</si>
  <si>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</si>
  <si>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</si>
  <si>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</si>
  <si>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</si>
  <si>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</si>
  <si>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</si>
  <si>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</si>
  <si>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</si>
  <si>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</si>
  <si>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</si>
  <si>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</si>
  <si>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</si>
  <si>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</si>
  <si>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</si>
  <si>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</si>
  <si>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</si>
  <si>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</si>
  <si>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</si>
  <si>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</si>
  <si>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</si>
  <si>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</si>
  <si>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</si>
  <si>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</si>
  <si>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</si>
  <si>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</si>
  <si>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</si>
  <si>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</si>
  <si>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</si>
  <si>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</si>
  <si>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</si>
  <si>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</si>
  <si>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</si>
  <si>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</si>
  <si>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</si>
  <si>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</si>
  <si>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</si>
  <si>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</si>
  <si>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</si>
  <si>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</si>
  <si>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</si>
  <si>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</si>
  <si>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</si>
  <si>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</si>
  <si>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</si>
  <si>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</si>
  <si>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</si>
  <si>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</si>
  <si>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</si>
  <si>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</si>
  <si>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</si>
  <si>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</si>
  <si>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</si>
  <si>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</si>
  <si>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</si>
  <si>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</si>
  <si>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</si>
  <si>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</si>
  <si>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</si>
  <si>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</si>
  <si>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</si>
  <si>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</si>
  <si>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</si>
  <si>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</si>
  <si>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</si>
  <si>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</si>
  <si>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</si>
  <si>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</si>
  <si>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</si>
  <si>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</si>
  <si>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</si>
  <si>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</si>
  <si>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</si>
  <si>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</si>
  <si>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</si>
  <si>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</si>
  <si>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</si>
  <si>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</si>
  <si>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</si>
  <si>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</si>
  <si>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</si>
  <si>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</si>
  <si>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</si>
  <si>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</si>
  <si>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</si>
  <si>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</si>
  <si>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</si>
  <si>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</si>
  <si>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</si>
  <si>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</si>
  <si>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</si>
  <si>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</si>
  <si>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</si>
  <si>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</si>
  <si>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</si>
  <si>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</si>
  <si>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</si>
  <si>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</si>
  <si>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</si>
  <si>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</si>
  <si>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</si>
  <si>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</si>
  <si>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</si>
  <si>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</si>
  <si>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</si>
  <si>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</si>
  <si>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</si>
  <si>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</si>
  <si>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</si>
  <si>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</si>
  <si>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</si>
  <si>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</si>
  <si>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</si>
  <si>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</si>
  <si>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</si>
  <si>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</si>
  <si>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</si>
  <si>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</si>
  <si>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</si>
  <si>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</si>
  <si>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</si>
  <si>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</si>
  <si>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</si>
  <si>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</si>
  <si>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</si>
  <si>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</si>
  <si>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</si>
  <si>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</si>
  <si>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</si>
  <si>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</si>
  <si>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</si>
  <si>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</si>
  <si>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</si>
  <si>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</si>
  <si>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</si>
  <si>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</si>
  <si>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</si>
  <si>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</si>
  <si>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</si>
  <si>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</si>
  <si>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</si>
  <si>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</si>
  <si>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</si>
  <si>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</si>
  <si>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</si>
  <si>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</si>
  <si>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</si>
  <si>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</si>
  <si>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</si>
  <si>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</si>
  <si>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</si>
  <si>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</si>
  <si>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</si>
  <si>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</si>
  <si>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</si>
  <si>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</si>
  <si>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</si>
  <si>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</si>
  <si>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</si>
  <si>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</si>
  <si>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</si>
  <si>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</si>
  <si>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</si>
  <si>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</si>
  <si>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</si>
  <si>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</si>
  <si>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</si>
  <si>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</si>
  <si>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</si>
  <si>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</si>
  <si>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</si>
  <si>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</si>
  <si>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</si>
  <si>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</si>
  <si>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</si>
  <si>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</si>
  <si>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</si>
  <si>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</si>
  <si>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</si>
  <si>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</si>
  <si>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</si>
  <si>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</si>
  <si>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</si>
  <si>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</si>
  <si>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</si>
  <si>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</si>
  <si>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</si>
  <si>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</si>
  <si>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</si>
  <si>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</si>
  <si>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</si>
  <si>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</si>
  <si>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</si>
  <si>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</si>
  <si>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</si>
  <si>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</si>
  <si>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</si>
  <si>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</si>
  <si>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</si>
  <si>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</si>
  <si>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</si>
  <si>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</si>
  <si>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</si>
  <si>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</si>
  <si>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</si>
  <si>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</si>
  <si>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</si>
  <si>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</si>
  <si>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</si>
  <si>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</si>
  <si>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</si>
  <si>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</si>
  <si>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</si>
  <si>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</si>
  <si>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</si>
  <si>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</si>
  <si>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</si>
  <si>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</si>
  <si>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</si>
  <si>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</si>
  <si>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</si>
  <si>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</si>
  <si>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</si>
  <si>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</si>
  <si>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</si>
  <si>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</si>
  <si>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</si>
  <si>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</si>
  <si>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</si>
  <si>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</si>
  <si>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</si>
  <si>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</si>
  <si>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</si>
  <si>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</si>
  <si>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</si>
  <si>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</si>
  <si>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</si>
  <si>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</si>
  <si>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</si>
  <si>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</si>
  <si>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</si>
  <si>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</si>
  <si>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</si>
  <si>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</si>
  <si>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</si>
  <si>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</si>
  <si>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</si>
  <si>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</si>
  <si>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</si>
  <si>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</si>
  <si>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</si>
  <si>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</si>
  <si>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</si>
  <si>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</si>
  <si>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</si>
  <si>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</si>
  <si>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</si>
  <si>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</si>
  <si>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</si>
  <si>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</si>
  <si>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</si>
  <si>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</si>
  <si>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</si>
  <si>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</si>
  <si>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</si>
  <si>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</si>
  <si>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</si>
  <si>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</si>
  <si>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</si>
  <si>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</si>
  <si>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</si>
  <si>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</si>
  <si>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</si>
  <si>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</si>
  <si>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</si>
  <si>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</si>
  <si>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</si>
  <si>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</si>
  <si>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</si>
  <si>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</si>
  <si>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</si>
  <si>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</si>
  <si>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</si>
  <si>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</si>
  <si>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</si>
  <si>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</si>
  <si>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</si>
  <si>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</si>
  <si>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</si>
  <si>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</si>
  <si>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</si>
  <si>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</si>
  <si>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</si>
  <si>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</si>
  <si>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</si>
  <si>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</si>
  <si>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</si>
  <si>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</si>
  <si>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</si>
  <si>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</si>
  <si>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</si>
  <si>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</si>
  <si>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</si>
  <si>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</si>
  <si>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</si>
  <si>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</si>
  <si>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</si>
  <si>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</si>
  <si>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</si>
  <si>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</si>
  <si>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</si>
  <si>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</si>
  <si>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</si>
  <si>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</si>
  <si>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</si>
  <si>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</si>
  <si>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</si>
  <si>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</si>
  <si>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</si>
  <si>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</si>
  <si>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</si>
  <si>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</si>
  <si>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</si>
  <si>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</si>
  <si>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</si>
  <si>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</si>
  <si>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</si>
  <si>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</si>
  <si>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</si>
  <si>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</si>
  <si>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</si>
  <si>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</si>
  <si>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</si>
  <si>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</si>
  <si>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</si>
  <si>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</si>
  <si>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</si>
  <si>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</si>
  <si>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</si>
  <si>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</si>
  <si>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</si>
  <si>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</si>
  <si>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</si>
  <si>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</si>
  <si>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</si>
  <si>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</si>
  <si>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</si>
  <si>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</si>
  <si>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</si>
  <si>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</si>
  <si>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</si>
  <si>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</si>
  <si>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</si>
  <si>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</si>
  <si>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</si>
  <si>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</si>
  <si>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</si>
  <si>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</si>
  <si>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</si>
  <si>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</si>
  <si>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</si>
  <si>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</si>
  <si>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</si>
  <si>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</si>
  <si>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</si>
  <si>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</si>
  <si>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</si>
  <si>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</si>
  <si>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</si>
  <si>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</si>
  <si>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</si>
  <si>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</si>
  <si>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</si>
  <si>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</si>
  <si>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</si>
  <si>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</si>
  <si>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</si>
  <si>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</si>
  <si>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</si>
  <si>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</si>
  <si>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</si>
  <si>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</si>
  <si>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</si>
  <si>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</si>
  <si>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</si>
  <si>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</si>
  <si>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</si>
  <si>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</si>
  <si>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</si>
  <si>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</si>
  <si>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</si>
  <si>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</si>
  <si>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</si>
  <si>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</si>
  <si>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</si>
  <si>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</si>
  <si>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</si>
  <si>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</si>
  <si>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</si>
  <si>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</si>
  <si>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</si>
  <si>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</si>
  <si>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</si>
  <si>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</si>
  <si>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</si>
  <si>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</si>
  <si>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</si>
  <si>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</si>
  <si>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</si>
  <si>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</si>
  <si>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</si>
  <si>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</si>
  <si>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</si>
  <si>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</si>
  <si>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</si>
  <si>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</si>
  <si>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</si>
  <si>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</si>
  <si>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</si>
  <si>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</si>
  <si>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</si>
  <si>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</si>
  <si>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</si>
  <si>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</si>
  <si>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</si>
  <si>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</si>
  <si>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</si>
  <si>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</si>
  <si>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</si>
  <si>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</si>
  <si>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</si>
  <si>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</si>
  <si>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</si>
  <si>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</si>
  <si>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</si>
  <si>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</si>
  <si>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</si>
  <si>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</si>
  <si>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</si>
  <si>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</si>
  <si>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</si>
  <si>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</si>
  <si>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</si>
  <si>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</si>
  <si>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</si>
  <si>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</si>
  <si>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</si>
  <si>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</si>
  <si>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</si>
  <si>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</si>
  <si>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</si>
  <si>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</si>
  <si>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</si>
  <si>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</si>
  <si>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</si>
  <si>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</si>
  <si>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</si>
  <si>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</si>
  <si>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</si>
  <si>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</si>
  <si>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</si>
  <si>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</si>
  <si>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</si>
  <si>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</si>
  <si>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</si>
  <si>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</si>
  <si>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</si>
  <si>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</si>
  <si>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</si>
  <si>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</si>
  <si>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</si>
  <si>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</si>
  <si>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</si>
  <si>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</si>
  <si>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</si>
  <si>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</si>
  <si>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</si>
  <si>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</si>
  <si>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</si>
  <si>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</si>
  <si>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</si>
  <si>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</si>
  <si>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</si>
  <si>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</si>
  <si>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</si>
  <si>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</si>
  <si>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</si>
  <si>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</si>
  <si>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</si>
  <si>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</si>
  <si>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</si>
  <si>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</si>
  <si>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</si>
  <si>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</si>
  <si>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</si>
  <si>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</si>
  <si>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</si>
  <si>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</si>
  <si>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</si>
  <si>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</si>
  <si>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</si>
  <si>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</si>
  <si>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</si>
  <si>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</si>
  <si>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</si>
  <si>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</si>
  <si>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</si>
  <si>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</si>
  <si>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</si>
  <si>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</si>
  <si>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</si>
  <si>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</si>
  <si>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</si>
  <si>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</si>
  <si>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</si>
  <si>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</si>
  <si>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</si>
  <si>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</si>
  <si>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</si>
  <si>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</si>
  <si>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</si>
  <si>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</si>
  <si>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</si>
  <si>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</si>
  <si>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</si>
  <si>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</si>
  <si>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</si>
  <si>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</si>
  <si>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</si>
  <si>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</si>
  <si>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</si>
  <si>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</si>
  <si>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</si>
  <si>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</si>
  <si>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</si>
  <si>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</si>
  <si>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</si>
  <si>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</si>
  <si>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</si>
  <si>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</si>
  <si>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</si>
  <si>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</si>
  <si>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</si>
  <si>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</si>
  <si>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</si>
  <si>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</si>
  <si>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</si>
  <si>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</si>
  <si>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</si>
  <si>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</si>
  <si>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</si>
  <si>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</si>
  <si>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</si>
  <si>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</si>
  <si>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</si>
  <si>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</si>
  <si>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</si>
  <si>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</si>
  <si>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</si>
  <si>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</si>
  <si>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</si>
  <si>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</si>
  <si>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</si>
  <si>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</si>
  <si>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</si>
  <si>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</si>
  <si>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</si>
  <si>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</si>
  <si>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</si>
  <si>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</si>
  <si>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</si>
  <si>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</si>
  <si>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</si>
  <si>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</si>
  <si>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</si>
  <si>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</si>
  <si>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</si>
  <si>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</si>
  <si>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</si>
  <si>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</si>
  <si>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</si>
  <si>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</si>
  <si>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</si>
  <si>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</si>
  <si>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</si>
  <si>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</si>
  <si>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</si>
  <si>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</si>
  <si>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</si>
  <si>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</si>
  <si>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</si>
  <si>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</si>
  <si>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</si>
  <si>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</si>
  <si>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</si>
  <si>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</si>
  <si>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</si>
  <si>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</si>
  <si>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</si>
  <si>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</si>
  <si>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</si>
  <si>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</si>
  <si>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</si>
  <si>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</si>
  <si>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</si>
  <si>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</si>
  <si>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</si>
  <si>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</si>
  <si>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</si>
  <si>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</si>
  <si>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</si>
  <si>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</si>
  <si>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</si>
  <si>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</si>
  <si>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</si>
  <si>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</si>
  <si>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</si>
  <si>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</si>
  <si>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</si>
  <si>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</si>
  <si>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</si>
  <si>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</si>
  <si>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</si>
  <si>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</si>
  <si>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</si>
  <si>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</si>
  <si>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</si>
  <si>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</si>
  <si>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</si>
  <si>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</si>
  <si>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</si>
  <si>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</si>
  <si>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</si>
  <si>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</si>
  <si>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</si>
  <si>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</si>
  <si>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</si>
  <si>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</si>
  <si>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</si>
  <si>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</si>
  <si>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</si>
  <si>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</si>
  <si>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</si>
  <si>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</si>
  <si>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</si>
  <si>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</si>
  <si>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</si>
  <si>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</si>
  <si>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</si>
  <si>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</si>
  <si>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</si>
  <si>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</si>
  <si>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</si>
  <si>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</si>
  <si>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</si>
  <si>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</si>
  <si>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</si>
  <si>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</si>
  <si>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</si>
  <si>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</si>
  <si>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</si>
  <si>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</si>
  <si>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</si>
  <si>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</si>
  <si>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</si>
  <si>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</si>
  <si>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</si>
  <si>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</si>
  <si>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</si>
  <si>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</si>
  <si>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</si>
  <si>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</si>
  <si>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</si>
  <si>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</si>
  <si>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</si>
  <si>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</si>
  <si>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</si>
  <si>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</si>
  <si>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</si>
  <si>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</si>
  <si>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</si>
  <si>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</si>
  <si>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</si>
  <si>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</si>
  <si>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</si>
  <si>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</si>
  <si>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</si>
  <si>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</si>
  <si>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</si>
  <si>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</si>
  <si>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</si>
  <si>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</si>
  <si>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</si>
  <si>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</si>
  <si>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</si>
  <si>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</si>
  <si>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</si>
  <si>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</si>
  <si>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</si>
  <si>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</si>
  <si>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</si>
  <si>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</si>
  <si>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</si>
  <si>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</si>
  <si>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</si>
  <si>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</si>
  <si>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</si>
  <si>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</si>
  <si>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</si>
  <si>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</si>
  <si>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</si>
  <si>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</si>
  <si>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</si>
  <si>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</si>
  <si>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</si>
  <si>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</si>
  <si>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</si>
  <si>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</si>
  <si>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</si>
  <si>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</si>
  <si>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</si>
  <si>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</si>
  <si>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</si>
  <si>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</si>
  <si>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</si>
  <si>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</si>
  <si>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</si>
  <si>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</si>
  <si>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</si>
  <si>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</si>
  <si>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</si>
  <si>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</si>
  <si>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</si>
  <si>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</si>
  <si>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</si>
  <si>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</si>
  <si>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</si>
  <si>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</si>
  <si>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</si>
  <si>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</si>
  <si>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</si>
  <si>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</si>
  <si>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</si>
  <si>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</si>
  <si>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</si>
  <si>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</si>
  <si>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</si>
  <si>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</si>
  <si>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</si>
  <si>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</si>
  <si>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</si>
  <si>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</si>
  <si>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</si>
  <si>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</si>
  <si>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</si>
  <si>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</si>
  <si>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</si>
  <si>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</si>
  <si>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</si>
  <si>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</si>
  <si>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</si>
  <si>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</si>
  <si>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</si>
  <si>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</si>
  <si>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</si>
  <si>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</si>
  <si>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</si>
  <si>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</si>
  <si>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</si>
  <si>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</si>
  <si>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</si>
  <si>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</si>
  <si>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</si>
  <si>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</si>
  <si>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</si>
  <si>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</si>
  <si>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</si>
  <si>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</si>
  <si>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</si>
  <si>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</si>
  <si>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</si>
  <si>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</si>
  <si>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</si>
  <si>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</si>
  <si>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</si>
  <si>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</si>
  <si>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</si>
  <si>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</si>
  <si>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</si>
  <si>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</si>
  <si>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</si>
  <si>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</si>
  <si>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</si>
  <si>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</si>
  <si>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</si>
  <si>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</si>
  <si>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</si>
  <si>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</si>
  <si>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</si>
  <si>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</si>
  <si>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</si>
  <si>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</si>
  <si>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</si>
  <si>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</si>
  <si>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</si>
  <si>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</si>
  <si>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</si>
  <si>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</si>
  <si>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</si>
  <si>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</si>
  <si>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</si>
  <si>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</si>
  <si>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</si>
  <si>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</si>
  <si>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</si>
  <si>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</si>
  <si>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</si>
  <si>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</si>
  <si>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</si>
  <si>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</si>
  <si>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</si>
  <si>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</si>
  <si>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</si>
  <si>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</si>
  <si>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</si>
  <si>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</si>
  <si>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</si>
  <si>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</si>
  <si>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</si>
  <si>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</si>
  <si>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</si>
  <si>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</si>
  <si>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</si>
  <si>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</si>
  <si>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</si>
  <si>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</si>
  <si>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</si>
  <si>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</si>
  <si>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</si>
  <si>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</si>
  <si>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</si>
  <si>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</si>
  <si>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</si>
  <si>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</si>
  <si>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</si>
  <si>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</si>
  <si>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</si>
  <si>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</si>
  <si>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</si>
  <si>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</si>
  <si>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</si>
  <si>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</si>
  <si>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</si>
  <si>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</si>
  <si>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</si>
  <si>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</si>
  <si>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</si>
  <si>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</si>
  <si>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</si>
  <si>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</si>
  <si>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</si>
  <si>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</si>
  <si>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</si>
  <si>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</si>
  <si>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</si>
  <si>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</si>
  <si>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</si>
  <si>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</si>
  <si>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</si>
  <si>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</si>
  <si>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</si>
  <si>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</si>
  <si>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</si>
  <si>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</si>
  <si>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</si>
  <si>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</si>
  <si>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</si>
  <si>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</si>
  <si>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</si>
  <si>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</si>
  <si>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</si>
  <si>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</si>
  <si>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</si>
  <si>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</si>
  <si>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</si>
  <si>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</si>
  <si>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</si>
  <si>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</si>
  <si>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</si>
  <si>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</si>
  <si>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</si>
  <si>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</si>
  <si>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</si>
  <si>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</si>
  <si>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</si>
  <si>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</si>
  <si>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</si>
  <si>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</si>
  <si>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</si>
  <si>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</si>
  <si>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</si>
  <si>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</si>
  <si>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</si>
  <si>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</si>
  <si>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</si>
  <si>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</si>
  <si>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</si>
  <si>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</si>
  <si>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</si>
  <si>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</si>
  <si>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</si>
  <si>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</si>
  <si>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</si>
  <si>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</si>
  <si>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</si>
  <si>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</si>
  <si>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</si>
  <si>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</si>
  <si>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</si>
  <si>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</si>
  <si>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</si>
  <si>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</si>
  <si>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</si>
  <si>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</si>
  <si>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</si>
  <si>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</si>
  <si>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</si>
  <si>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</si>
  <si>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</si>
  <si>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</si>
  <si>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</si>
  <si>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</si>
  <si>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</si>
  <si>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</si>
  <si>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</si>
  <si>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</si>
  <si>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</si>
  <si>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</si>
  <si>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</si>
  <si>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</si>
  <si>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</si>
  <si>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</si>
  <si>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</si>
  <si>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</si>
  <si>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</si>
  <si>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</si>
  <si>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</si>
  <si>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</si>
  <si>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</si>
  <si>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</si>
  <si>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</si>
  <si>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</si>
  <si>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</si>
  <si>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</si>
  <si>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</si>
  <si>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</si>
  <si>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</si>
  <si>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</si>
  <si>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</si>
  <si>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</si>
  <si>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</si>
  <si>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</si>
  <si>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</si>
  <si>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</si>
  <si>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</si>
  <si>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</si>
  <si>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</si>
  <si>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</si>
  <si>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</si>
  <si>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</si>
  <si>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</si>
  <si>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</si>
  <si>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</si>
  <si>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</si>
  <si>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</si>
  <si>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</si>
  <si>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</si>
  <si>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</si>
  <si>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</si>
  <si>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</si>
  <si>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</si>
  <si>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</si>
  <si>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</si>
  <si>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</si>
  <si>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</si>
  <si>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</si>
  <si>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</si>
  <si>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</si>
  <si>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</si>
  <si>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</si>
  <si>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</si>
  <si>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</si>
  <si>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</si>
  <si>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</si>
  <si>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</si>
  <si>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</si>
  <si>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</si>
  <si>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</si>
  <si>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</si>
  <si>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</si>
  <si>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</si>
  <si>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</si>
  <si>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</si>
  <si>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</si>
  <si>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</si>
  <si>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</si>
  <si>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</si>
  <si>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</si>
  <si>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</si>
  <si>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</si>
  <si>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</si>
  <si>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</si>
  <si>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</si>
  <si>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</si>
  <si>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</si>
  <si>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</si>
  <si>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</si>
  <si>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</si>
  <si>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</si>
  <si>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</si>
  <si>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</si>
  <si>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</si>
  <si>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</si>
  <si>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</si>
  <si>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</si>
  <si>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</si>
  <si>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</si>
  <si>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</si>
  <si>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</si>
  <si>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</si>
  <si>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</si>
  <si>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</si>
  <si>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</si>
  <si>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</si>
  <si>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</si>
  <si>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</si>
  <si>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</si>
  <si>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</si>
  <si>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</si>
  <si>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</si>
  <si>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</si>
  <si>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</si>
  <si>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</si>
  <si>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</si>
  <si>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</si>
  <si>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</si>
  <si>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</si>
  <si>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</si>
  <si>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</si>
  <si>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</si>
  <si>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</si>
  <si>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</si>
  <si>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</si>
  <si>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</si>
  <si>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</si>
  <si>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</si>
  <si>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</si>
  <si>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</si>
  <si>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</si>
  <si>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</si>
  <si>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</si>
  <si>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</si>
  <si>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</si>
  <si>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</si>
  <si>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</si>
  <si>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</si>
  <si>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</si>
  <si>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</si>
  <si>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</si>
  <si>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</si>
  <si>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</si>
  <si>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</si>
  <si>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</si>
  <si>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</si>
  <si>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</si>
  <si>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</si>
  <si>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</si>
  <si>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</si>
  <si>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</si>
  <si>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</si>
  <si>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</si>
  <si>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</si>
  <si>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</si>
  <si>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</si>
  <si>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</si>
  <si>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</si>
  <si>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</si>
  <si>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</si>
  <si>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</si>
  <si>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</si>
  <si>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</si>
  <si>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</si>
  <si>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</si>
  <si>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</si>
  <si>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</si>
  <si>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</si>
  <si>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</si>
  <si>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</si>
  <si>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</si>
  <si>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</si>
  <si>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</si>
  <si>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</si>
  <si>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</si>
  <si>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</si>
  <si>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</si>
  <si>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</si>
  <si>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</si>
  <si>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</si>
  <si>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</si>
  <si>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</si>
  <si>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</si>
  <si>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</si>
  <si>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</si>
  <si>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</si>
  <si>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</si>
  <si>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</si>
  <si>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</si>
  <si>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</si>
  <si>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</si>
  <si>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</si>
  <si>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</si>
  <si>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</si>
  <si>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</si>
  <si>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</si>
  <si>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</si>
  <si>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</si>
  <si>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</si>
  <si>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</si>
  <si>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</si>
  <si>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</si>
  <si>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</si>
  <si>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</si>
  <si>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</si>
  <si>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</si>
  <si>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</si>
  <si>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</si>
  <si>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</si>
  <si>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</si>
  <si>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</si>
  <si>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</si>
  <si>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</si>
  <si>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</si>
  <si>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</si>
  <si>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</si>
  <si>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</si>
  <si>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</si>
  <si>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</si>
  <si>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</si>
  <si>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</si>
  <si>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</si>
  <si>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</si>
  <si>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</si>
  <si>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</si>
  <si>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</si>
  <si>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</si>
  <si>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</si>
  <si>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</si>
  <si>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</si>
  <si>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</si>
  <si>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</si>
  <si>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</si>
  <si>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</si>
  <si>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</si>
  <si>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</si>
  <si>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</si>
  <si>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</si>
  <si>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</si>
  <si>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</si>
  <si>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</si>
  <si>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</si>
  <si>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</si>
  <si>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</si>
  <si>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</si>
  <si>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</si>
  <si>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</si>
  <si>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</si>
  <si>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</si>
  <si>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</si>
  <si>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</si>
  <si>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</si>
  <si>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</si>
  <si>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</si>
  <si>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</si>
  <si>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</si>
  <si>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</si>
  <si>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</si>
  <si>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</si>
  <si>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</si>
  <si>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</si>
  <si>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</si>
  <si>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</si>
  <si>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</si>
  <si>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</si>
  <si>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</si>
  <si>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</si>
  <si>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</si>
  <si>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</si>
  <si>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</si>
  <si>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</si>
  <si>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</si>
  <si>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</si>
  <si>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</si>
  <si>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</si>
  <si>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</si>
  <si>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</si>
  <si>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</si>
  <si>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</si>
  <si>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</si>
  <si>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</si>
  <si>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</si>
  <si>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</si>
  <si>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</si>
  <si>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</si>
  <si>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</si>
  <si>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</si>
  <si>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</si>
  <si>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</si>
  <si>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</si>
  <si>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</si>
  <si>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</si>
  <si>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</si>
  <si>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</si>
  <si>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</si>
  <si>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</si>
  <si>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</si>
  <si>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</si>
  <si>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</si>
  <si>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</si>
  <si>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</si>
  <si>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</si>
  <si>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</si>
  <si>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</si>
  <si>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</si>
  <si>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</si>
  <si>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</si>
  <si>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</si>
  <si>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</si>
  <si>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</si>
  <si>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</si>
  <si>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</si>
  <si>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</si>
  <si>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</si>
  <si>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</si>
  <si>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</si>
  <si>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</si>
  <si>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</si>
  <si>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</si>
  <si>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</si>
  <si>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</si>
  <si>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</si>
  <si>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</si>
  <si>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</si>
  <si>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</si>
  <si>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</si>
  <si>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</si>
  <si>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</si>
  <si>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</si>
  <si>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</si>
  <si>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</si>
  <si>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</si>
  <si>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</si>
  <si>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</si>
  <si>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</si>
  <si>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</si>
  <si>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</si>
  <si>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</si>
  <si>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</si>
  <si>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</si>
  <si>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</si>
  <si>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</si>
  <si>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</si>
  <si>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</si>
  <si>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</si>
  <si>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</si>
  <si>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</si>
  <si>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</si>
  <si>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</si>
  <si>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</si>
  <si>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</si>
  <si>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</si>
  <si>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</si>
  <si>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</si>
  <si>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</si>
  <si>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</si>
  <si>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</si>
  <si>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</si>
  <si>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</si>
  <si>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</si>
  <si>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</si>
  <si>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</si>
  <si>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</si>
  <si>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</si>
  <si>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</si>
  <si>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</si>
  <si>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</si>
  <si>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</si>
  <si>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</si>
  <si>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</si>
  <si>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</si>
  <si>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</si>
  <si>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</si>
  <si>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</si>
  <si>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</si>
  <si>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</si>
  <si>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</si>
  <si>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</si>
  <si>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</si>
  <si>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</si>
  <si>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</si>
  <si>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</si>
  <si>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</si>
  <si>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</si>
  <si>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</si>
  <si>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</si>
  <si>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</si>
  <si>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</si>
  <si>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</si>
  <si>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</si>
  <si>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</si>
  <si>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</si>
  <si>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</si>
  <si>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</si>
  <si>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</si>
  <si>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</si>
  <si>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</si>
  <si>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</si>
  <si>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</si>
  <si>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</si>
  <si>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</si>
  <si>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</si>
  <si>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</si>
  <si>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</si>
  <si>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</si>
  <si>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</si>
  <si>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</si>
  <si>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</si>
  <si>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</si>
  <si>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</si>
  <si>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</si>
  <si>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</si>
  <si>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</si>
  <si>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</si>
  <si>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</si>
  <si>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</si>
  <si>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</si>
  <si>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</si>
  <si>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</si>
  <si>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</si>
  <si>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</si>
  <si>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</si>
  <si>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</si>
  <si>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</si>
  <si>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</si>
  <si>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</si>
  <si>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</si>
  <si>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</si>
  <si>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</si>
  <si>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</si>
  <si>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</si>
  <si>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</si>
  <si>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</si>
  <si>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</si>
  <si>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</si>
  <si>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</si>
  <si>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</si>
  <si>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</si>
  <si>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</si>
  <si>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</si>
  <si>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</si>
  <si>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</si>
  <si>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</si>
  <si>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</si>
  <si>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</si>
  <si>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</si>
  <si>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</si>
  <si>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</si>
  <si>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</si>
  <si>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</si>
  <si>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</si>
  <si>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</si>
  <si>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</si>
  <si>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</si>
  <si>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</si>
  <si>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</si>
  <si>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</si>
  <si>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</si>
  <si>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</si>
  <si>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</si>
  <si>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</si>
  <si>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</si>
  <si>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</si>
  <si>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</si>
  <si>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</si>
  <si>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</si>
  <si>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</si>
  <si>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</si>
  <si>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</si>
  <si>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</si>
  <si>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</si>
  <si>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</si>
  <si>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</si>
  <si>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</si>
  <si>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</si>
  <si>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</si>
  <si>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</si>
  <si>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</si>
  <si>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</si>
  <si>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</si>
  <si>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</si>
  <si>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</si>
  <si>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</si>
  <si>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</si>
  <si>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</si>
  <si>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</si>
  <si>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</si>
  <si>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</si>
  <si>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</si>
  <si>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</si>
  <si>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</si>
  <si>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</si>
  <si>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</si>
  <si>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</si>
  <si>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</si>
  <si>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</si>
  <si>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</si>
  <si>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</si>
  <si>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</si>
  <si>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</si>
  <si>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</si>
  <si>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</si>
  <si>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</si>
  <si>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</si>
  <si>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</si>
  <si>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</si>
  <si>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</si>
  <si>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</si>
  <si>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</si>
  <si>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</si>
  <si>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</si>
  <si>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</si>
  <si>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</si>
  <si>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</si>
  <si>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</si>
  <si>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</si>
  <si>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</si>
  <si>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</si>
  <si>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</si>
  <si>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</si>
  <si>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</si>
  <si>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</si>
  <si>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</si>
  <si>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</si>
  <si>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</si>
  <si>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</si>
  <si>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</si>
  <si>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</si>
  <si>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</si>
  <si>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</si>
  <si>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</si>
  <si>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</si>
  <si>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</si>
  <si>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</si>
  <si>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</si>
  <si>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</si>
  <si>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</si>
  <si>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</si>
  <si>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</si>
  <si>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</si>
  <si>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</si>
  <si>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</si>
  <si>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</si>
  <si>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</si>
  <si>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</si>
  <si>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</si>
  <si>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</si>
  <si>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</si>
  <si>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</si>
  <si>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</si>
  <si>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</si>
  <si>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</si>
  <si>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</si>
  <si>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</si>
  <si>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</si>
  <si>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</si>
  <si>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</si>
  <si>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</si>
  <si>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</si>
  <si>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</si>
  <si>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</si>
  <si>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</si>
  <si>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</si>
  <si>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</si>
  <si>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</si>
  <si>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</si>
  <si>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</si>
  <si>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</si>
  <si>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</si>
  <si>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</si>
  <si>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</si>
  <si>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</si>
  <si>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</si>
  <si>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</si>
  <si>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</si>
  <si>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</si>
  <si>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</si>
  <si>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</si>
  <si>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</si>
  <si>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</si>
  <si>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</si>
  <si>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</si>
  <si>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</si>
  <si>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</si>
  <si>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</si>
  <si>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</si>
  <si>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</si>
  <si>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</si>
  <si>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</si>
  <si>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</si>
  <si>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</si>
  <si>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</si>
  <si>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</si>
  <si>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</si>
  <si>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</si>
  <si>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</si>
  <si>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</si>
  <si>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</si>
  <si>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</si>
  <si>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</si>
  <si>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</si>
  <si>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</si>
  <si>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</si>
  <si>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</si>
  <si>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</si>
  <si>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</si>
  <si>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</si>
  <si>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</si>
  <si>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</si>
  <si>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</si>
  <si>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</si>
  <si>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</si>
  <si>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</si>
  <si>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</si>
  <si>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</si>
  <si>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</si>
  <si>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</si>
  <si>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</si>
  <si>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</si>
  <si>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</si>
  <si>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</si>
  <si>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</si>
  <si>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</si>
  <si>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</si>
  <si>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</si>
  <si>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</si>
  <si>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</si>
  <si>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</si>
  <si>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</si>
  <si>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</si>
  <si>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</si>
  <si>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</si>
  <si>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</si>
  <si>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</si>
  <si>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</si>
  <si>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</si>
  <si>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</si>
  <si>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</si>
  <si>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</si>
  <si>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</si>
  <si>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</si>
  <si>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</si>
  <si>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</si>
  <si>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</si>
  <si>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</si>
  <si>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</si>
  <si>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</si>
  <si>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</si>
  <si>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</si>
  <si>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</si>
  <si>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</si>
  <si>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</si>
  <si>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</si>
  <si>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</si>
  <si>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</si>
  <si>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</si>
  <si>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</si>
  <si>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</si>
  <si>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</si>
  <si>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</si>
  <si>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</si>
  <si>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</si>
  <si>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</si>
  <si>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</si>
  <si>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</si>
  <si>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</si>
  <si>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</si>
  <si>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</si>
  <si>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</si>
  <si>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</si>
  <si>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</si>
  <si>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</si>
  <si>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</si>
  <si>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</si>
  <si>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</si>
  <si>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</si>
  <si>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</si>
  <si>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</si>
  <si>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</si>
  <si>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</si>
  <si>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</si>
  <si>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</si>
  <si>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</si>
  <si>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</si>
  <si>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</si>
  <si>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</si>
  <si>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</si>
  <si>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</si>
  <si>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</si>
  <si>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</si>
  <si>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</si>
  <si>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</si>
  <si>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</si>
  <si>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</si>
  <si>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</si>
  <si>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</si>
  <si>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</si>
  <si>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</si>
  <si>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</si>
  <si>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</si>
  <si>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</si>
  <si>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</si>
  <si>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</si>
  <si>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</si>
  <si>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</si>
  <si>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</si>
  <si>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</si>
  <si>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</si>
  <si>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</si>
  <si>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</si>
  <si>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</si>
  <si>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</si>
  <si>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</si>
  <si>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</si>
  <si>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</si>
  <si>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</si>
  <si>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</si>
  <si>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</si>
  <si>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</si>
  <si>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</si>
  <si>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</si>
  <si>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</si>
  <si>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</si>
  <si>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</si>
  <si>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</si>
  <si>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</si>
  <si>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</si>
  <si>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</si>
  <si>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</si>
  <si>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</si>
  <si>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</si>
  <si>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</si>
  <si>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</si>
  <si>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</si>
  <si>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</si>
  <si>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</si>
  <si>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</si>
  <si>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</si>
  <si>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</si>
  <si>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</si>
  <si>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</si>
  <si>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</si>
  <si>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</si>
  <si>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</si>
  <si>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</si>
  <si>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</si>
  <si>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</si>
  <si>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</si>
  <si>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</si>
  <si>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</si>
  <si>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</si>
  <si>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</si>
  <si>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</si>
  <si>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</si>
  <si>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</si>
  <si>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</si>
  <si>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</si>
  <si>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</si>
  <si>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</si>
  <si>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</si>
  <si>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</si>
  <si>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</si>
  <si>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</si>
  <si>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</si>
  <si>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</si>
  <si>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</si>
  <si>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</si>
  <si>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</si>
  <si>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</si>
  <si>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</si>
  <si>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</si>
  <si>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</si>
  <si>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</si>
  <si>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</si>
  <si>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</si>
  <si>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</si>
  <si>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</si>
  <si>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</si>
  <si>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</si>
  <si>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</si>
  <si>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</si>
  <si>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</si>
  <si>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</si>
  <si>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</si>
  <si>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</si>
  <si>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</si>
  <si>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</si>
  <si>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</si>
  <si>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</si>
  <si>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</si>
  <si>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</si>
  <si>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</si>
  <si>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</si>
  <si>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</si>
  <si>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</si>
  <si>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</si>
  <si>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</si>
  <si>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</si>
  <si>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</si>
  <si>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</si>
  <si>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</si>
  <si>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</si>
  <si>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</si>
  <si>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</si>
  <si>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</si>
  <si>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</si>
  <si>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</si>
  <si>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</si>
  <si>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</si>
  <si>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</si>
  <si>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</si>
  <si>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</si>
  <si>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</si>
  <si>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</si>
  <si>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</si>
  <si>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</si>
  <si>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</si>
  <si>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</si>
  <si>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</si>
  <si>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</si>
  <si>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</si>
  <si>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</si>
  <si>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</si>
  <si>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</si>
  <si>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</si>
  <si>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</si>
  <si>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</si>
  <si>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</si>
  <si>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</si>
  <si>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</si>
  <si>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</si>
  <si>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</si>
  <si>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</si>
  <si>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</si>
  <si>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</si>
  <si>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</si>
  <si>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</si>
  <si>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</si>
  <si>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</si>
  <si>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</si>
  <si>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</si>
  <si>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</si>
  <si>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</si>
  <si>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</si>
  <si>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</si>
  <si>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</si>
  <si>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</si>
  <si>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</si>
  <si>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</si>
  <si>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</si>
  <si>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</si>
  <si>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</si>
  <si>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</si>
  <si>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</si>
  <si>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</si>
  <si>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</si>
  <si>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</si>
  <si>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</si>
  <si>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</si>
  <si>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</si>
  <si>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</si>
  <si>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</si>
  <si>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</si>
  <si>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</si>
  <si>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</si>
  <si>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</si>
  <si>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</si>
  <si>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</si>
  <si>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</si>
  <si>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</si>
  <si>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</si>
  <si>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</si>
  <si>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</si>
  <si>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</si>
  <si>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</si>
  <si>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</si>
  <si>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</si>
  <si>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</si>
  <si>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</si>
  <si>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</si>
  <si>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</si>
  <si>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</si>
  <si>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</si>
  <si>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</si>
  <si>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</si>
  <si>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</si>
  <si>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</si>
  <si>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</si>
  <si>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</si>
  <si>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</si>
  <si>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</si>
  <si>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</si>
  <si>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</si>
  <si>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</si>
  <si>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</si>
  <si>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</si>
  <si>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</si>
  <si>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</si>
  <si>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</si>
  <si>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</si>
  <si>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</si>
  <si>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</si>
  <si>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</si>
  <si>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</si>
  <si>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</si>
  <si>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</si>
  <si>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</si>
  <si>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</si>
  <si>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</si>
  <si>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</si>
  <si>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</si>
  <si>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</si>
  <si>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</si>
  <si>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</si>
  <si>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</si>
  <si>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</si>
  <si>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</si>
  <si>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</si>
  <si>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2024-4</t>
    <phoneticPr fontId="3" type="noConversion"/>
  </si>
  <si>
    <t>2024-2</t>
    <phoneticPr fontId="3" type="noConversion"/>
  </si>
  <si>
    <t>2024-4</t>
    <phoneticPr fontId="3" type="noConversion"/>
  </si>
  <si>
    <t>2024-2</t>
    <phoneticPr fontId="3" type="noConversion"/>
  </si>
  <si>
    <t>工商银行</t>
    <phoneticPr fontId="6" type="noConversion"/>
  </si>
  <si>
    <t>抵押</t>
  </si>
  <si>
    <t>房地产抵押价值</t>
  </si>
  <si>
    <t>北京市</t>
  </si>
  <si>
    <t>企业</t>
  </si>
  <si>
    <t>综合项目（商业、办公）</t>
  </si>
  <si>
    <t>无</t>
  </si>
  <si>
    <t>全部为保障性住房</t>
  </si>
  <si>
    <t>现房</t>
  </si>
  <si>
    <t>是</t>
  </si>
  <si>
    <t>地上</t>
  </si>
  <si>
    <t>地下</t>
  </si>
  <si>
    <t>车库—办公</t>
  </si>
  <si>
    <t>产证号</t>
    <phoneticPr fontId="134" type="noConversion"/>
  </si>
  <si>
    <t>京房权证海其移字第0083091号</t>
    <phoneticPr fontId="134" type="noConversion"/>
  </si>
  <si>
    <t>不动产权利人</t>
    <phoneticPr fontId="134" type="noConversion"/>
  </si>
  <si>
    <t>北京海龙资产经营集团有限公司</t>
    <phoneticPr fontId="134" type="noConversion"/>
  </si>
  <si>
    <t>楼号或幢号</t>
    <phoneticPr fontId="134" type="noConversion"/>
  </si>
  <si>
    <t>所在楼层</t>
    <phoneticPr fontId="134" type="noConversion"/>
  </si>
  <si>
    <t>部位及房号</t>
    <phoneticPr fontId="134" type="noConversion"/>
  </si>
  <si>
    <t>建筑面积</t>
    <phoneticPr fontId="134" type="noConversion"/>
  </si>
  <si>
    <t>分摊土地面积</t>
    <phoneticPr fontId="134" type="noConversion"/>
  </si>
  <si>
    <t>房屋用途</t>
    <phoneticPr fontId="134" type="noConversion"/>
  </si>
  <si>
    <t>总层数</t>
    <phoneticPr fontId="134" type="noConversion"/>
  </si>
  <si>
    <r>
      <t>1</t>
    </r>
    <r>
      <rPr>
        <sz val="11"/>
        <color theme="1"/>
        <rFont val="宋体"/>
        <family val="3"/>
        <charset val="134"/>
        <scheme val="minor"/>
      </rPr>
      <t>8（-03）</t>
    </r>
    <phoneticPr fontId="134" type="noConversion"/>
  </si>
  <si>
    <t>7层</t>
    <phoneticPr fontId="134" type="noConversion"/>
  </si>
  <si>
    <r>
      <t>1</t>
    </r>
    <r>
      <rPr>
        <sz val="11"/>
        <color theme="1"/>
        <rFont val="宋体"/>
        <family val="3"/>
        <charset val="134"/>
        <scheme val="minor"/>
      </rPr>
      <t>1层</t>
    </r>
    <phoneticPr fontId="134" type="noConversion"/>
  </si>
  <si>
    <r>
      <t>1</t>
    </r>
    <r>
      <rPr>
        <sz val="11"/>
        <color theme="1"/>
        <rFont val="宋体"/>
        <family val="3"/>
        <charset val="134"/>
        <scheme val="minor"/>
      </rPr>
      <t>5层</t>
    </r>
    <phoneticPr fontId="134" type="noConversion"/>
  </si>
  <si>
    <r>
      <t>16层</t>
    </r>
    <r>
      <rPr>
        <sz val="11"/>
        <color theme="1"/>
        <rFont val="宋体"/>
        <family val="3"/>
        <charset val="134"/>
        <scheme val="minor"/>
      </rPr>
      <t/>
    </r>
  </si>
  <si>
    <r>
      <t>17层</t>
    </r>
    <r>
      <rPr>
        <sz val="11"/>
        <color theme="1"/>
        <rFont val="宋体"/>
        <family val="3"/>
        <charset val="134"/>
        <scheme val="minor"/>
      </rPr>
      <t/>
    </r>
  </si>
  <si>
    <t>地下1层</t>
    <phoneticPr fontId="134" type="noConversion"/>
  </si>
  <si>
    <t>综合</t>
    <phoneticPr fontId="134" type="noConversion"/>
  </si>
  <si>
    <t>地下车库</t>
    <phoneticPr fontId="134" type="noConversion"/>
  </si>
  <si>
    <t>个数</t>
    <phoneticPr fontId="134" type="noConversion"/>
  </si>
  <si>
    <t>7层全部</t>
    <phoneticPr fontId="134" type="noConversion"/>
  </si>
  <si>
    <t>11层全部</t>
    <phoneticPr fontId="134" type="noConversion"/>
  </si>
  <si>
    <t>15层全部</t>
    <phoneticPr fontId="134" type="noConversion"/>
  </si>
  <si>
    <t>16层全部</t>
  </si>
  <si>
    <t>17层全部</t>
  </si>
  <si>
    <t>地下1层全部</t>
    <phoneticPr fontId="134" type="noConversion"/>
  </si>
  <si>
    <t>小计</t>
    <phoneticPr fontId="134" type="noConversion"/>
  </si>
  <si>
    <t>京房权证海其移字第0109621号</t>
    <phoneticPr fontId="134" type="noConversion"/>
  </si>
  <si>
    <t>北京海龙中天科技发展有限公司</t>
    <phoneticPr fontId="134" type="noConversion"/>
  </si>
  <si>
    <t>坐落</t>
    <phoneticPr fontId="134" type="noConversion"/>
  </si>
  <si>
    <t>18（-03）</t>
    <phoneticPr fontId="134" type="noConversion"/>
  </si>
  <si>
    <t>2层</t>
    <phoneticPr fontId="134" type="noConversion"/>
  </si>
  <si>
    <t>3层</t>
  </si>
  <si>
    <t>4-5层</t>
    <phoneticPr fontId="134" type="noConversion"/>
  </si>
  <si>
    <t>2层局部</t>
    <phoneticPr fontId="134" type="noConversion"/>
  </si>
  <si>
    <t>3层局部</t>
    <phoneticPr fontId="134" type="noConversion"/>
  </si>
  <si>
    <t>4-5层全部</t>
    <phoneticPr fontId="134" type="noConversion"/>
  </si>
  <si>
    <t>合计</t>
    <phoneticPr fontId="134" type="noConversion"/>
  </si>
  <si>
    <t>X京房权证海其字第019912号</t>
    <phoneticPr fontId="134" type="noConversion"/>
  </si>
  <si>
    <t>6层</t>
    <phoneticPr fontId="134" type="noConversion"/>
  </si>
  <si>
    <t>6层全部</t>
    <phoneticPr fontId="134" type="noConversion"/>
  </si>
  <si>
    <t>/</t>
    <phoneticPr fontId="134" type="noConversion"/>
  </si>
  <si>
    <r>
      <t>7</t>
    </r>
    <r>
      <rPr>
        <sz val="10"/>
        <color indexed="8"/>
        <rFont val="宋体"/>
        <family val="3"/>
        <charset val="134"/>
      </rPr>
      <t>层</t>
    </r>
    <phoneticPr fontId="3" type="noConversion"/>
  </si>
  <si>
    <t>产证车库建面</t>
    <phoneticPr fontId="134" type="noConversion"/>
  </si>
  <si>
    <t>其余办公</t>
    <phoneticPr fontId="3" type="noConversion"/>
  </si>
  <si>
    <t>7层办公</t>
  </si>
  <si>
    <t>7层办公</t>
    <phoneticPr fontId="7" type="noConversion"/>
  </si>
  <si>
    <t>其余办公</t>
    <phoneticPr fontId="7" type="noConversion"/>
  </si>
  <si>
    <t>成新度</t>
  </si>
  <si>
    <t>收益法</t>
  </si>
  <si>
    <t>押一</t>
  </si>
  <si>
    <t>钢混</t>
  </si>
  <si>
    <t>非生产用房</t>
  </si>
  <si>
    <t>否</t>
  </si>
  <si>
    <t>项目模式</t>
  </si>
  <si>
    <t>售价</t>
  </si>
  <si>
    <t>海龙大厦</t>
    <phoneticPr fontId="3" type="noConversion"/>
  </si>
  <si>
    <t>正常</t>
  </si>
  <si>
    <t>办公</t>
    <phoneticPr fontId="31" type="noConversion"/>
  </si>
  <si>
    <t>报价</t>
  </si>
  <si>
    <t>报价</t>
    <phoneticPr fontId="31" type="noConversion"/>
  </si>
  <si>
    <t>高楼层</t>
  </si>
  <si>
    <t>高楼层</t>
    <phoneticPr fontId="31" type="noConversion"/>
  </si>
  <si>
    <t>中楼层</t>
  </si>
  <si>
    <t>中楼层</t>
    <phoneticPr fontId="31" type="noConversion"/>
  </si>
  <si>
    <t>低楼层</t>
  </si>
  <si>
    <t>低楼层</t>
    <phoneticPr fontId="31" type="noConversion"/>
  </si>
  <si>
    <t>办公楼</t>
  </si>
  <si>
    <t>办公楼</t>
    <phoneticPr fontId="31" type="noConversion"/>
  </si>
  <si>
    <t>钢混</t>
    <phoneticPr fontId="31" type="noConversion"/>
  </si>
  <si>
    <t>精装修</t>
  </si>
  <si>
    <t>精装修</t>
    <phoneticPr fontId="31" type="noConversion"/>
  </si>
  <si>
    <t>甲级</t>
    <phoneticPr fontId="31" type="noConversion"/>
  </si>
  <si>
    <t>七通</t>
    <phoneticPr fontId="31" type="noConversion"/>
  </si>
  <si>
    <t>六通</t>
    <phoneticPr fontId="31" type="noConversion"/>
  </si>
  <si>
    <t>五通</t>
    <phoneticPr fontId="31" type="noConversion"/>
  </si>
  <si>
    <t>四通</t>
    <phoneticPr fontId="31" type="noConversion"/>
  </si>
  <si>
    <t>三通</t>
    <phoneticPr fontId="31" type="noConversion"/>
  </si>
  <si>
    <t>标准层高</t>
  </si>
  <si>
    <t>标准层高</t>
    <phoneticPr fontId="31" type="noConversion"/>
  </si>
  <si>
    <t>普通装修</t>
  </si>
  <si>
    <t>普通装修</t>
    <phoneticPr fontId="31" type="noConversion"/>
  </si>
  <si>
    <t>简单装修</t>
    <phoneticPr fontId="31" type="noConversion"/>
  </si>
  <si>
    <t>毛坯</t>
    <phoneticPr fontId="31" type="noConversion"/>
  </si>
  <si>
    <t>北京海龙中天科技发展有限公司</t>
    <phoneticPr fontId="134" type="noConversion"/>
  </si>
  <si>
    <t>直线</t>
    <phoneticPr fontId="3" type="noConversion"/>
  </si>
  <si>
    <t>观察</t>
    <phoneticPr fontId="3" type="noConversion"/>
  </si>
  <si>
    <t>综合</t>
    <phoneticPr fontId="3" type="noConversion"/>
  </si>
  <si>
    <t>1+1大厦</t>
    <phoneticPr fontId="3" type="noConversion"/>
  </si>
  <si>
    <t>新中关大厦</t>
    <phoneticPr fontId="3" type="noConversion"/>
  </si>
  <si>
    <t>建成年代</t>
    <phoneticPr fontId="31" type="noConversion"/>
  </si>
  <si>
    <t>中关村SOHO</t>
    <phoneticPr fontId="3" type="noConversion"/>
  </si>
  <si>
    <t>租金</t>
  </si>
  <si>
    <t>海淀区中关村大街1号</t>
    <phoneticPr fontId="134" type="noConversion"/>
  </si>
  <si>
    <t>比较法-办公</t>
  </si>
  <si>
    <t>商务金融用地</t>
  </si>
  <si>
    <t>自定义容积率</t>
  </si>
  <si>
    <t>不临65条商业街</t>
  </si>
  <si>
    <t>与级别开发程度不一致</t>
  </si>
  <si>
    <t>通路</t>
  </si>
  <si>
    <t>通电</t>
  </si>
  <si>
    <t>通讯</t>
  </si>
  <si>
    <t>通上水</t>
  </si>
  <si>
    <t>通下水</t>
  </si>
  <si>
    <t>通热</t>
  </si>
  <si>
    <t>平整</t>
  </si>
  <si>
    <t>较好</t>
  </si>
  <si>
    <t>好</t>
  </si>
  <si>
    <t>楼面单价</t>
  </si>
  <si>
    <t>收益比率</t>
  </si>
  <si>
    <t>地下车库</t>
  </si>
  <si>
    <t>收益法-车位</t>
  </si>
  <si>
    <t>自定义</t>
  </si>
  <si>
    <t>车位</t>
    <phoneticPr fontId="3" type="noConversion"/>
  </si>
  <si>
    <t>总面积</t>
    <phoneticPr fontId="3" type="noConversion"/>
  </si>
  <si>
    <t>单个面积</t>
    <phoneticPr fontId="3" type="noConversion"/>
  </si>
  <si>
    <t>个数</t>
    <phoneticPr fontId="3" type="noConversion"/>
  </si>
  <si>
    <t>月租金</t>
    <phoneticPr fontId="3" type="noConversion"/>
  </si>
  <si>
    <t>日租金</t>
    <phoneticPr fontId="3" type="noConversion"/>
  </si>
  <si>
    <t>全部缴纳</t>
  </si>
  <si>
    <t>已包含在土地取得成本中</t>
  </si>
  <si>
    <t>成本法</t>
  </si>
  <si>
    <t>办公</t>
    <phoneticPr fontId="134" type="noConversion"/>
  </si>
  <si>
    <t>车位</t>
    <phoneticPr fontId="134" type="noConversion"/>
  </si>
  <si>
    <r>
      <rPr>
        <b/>
        <sz val="16"/>
        <color theme="1"/>
        <rFont val="Arial"/>
        <family val="2"/>
      </rPr>
      <t>2024</t>
    </r>
    <r>
      <rPr>
        <b/>
        <sz val="16"/>
        <color theme="1"/>
        <rFont val="宋体"/>
        <family val="3"/>
        <charset val="134"/>
      </rPr>
      <t>年海龙集团应收明细表</t>
    </r>
    <r>
      <rPr>
        <b/>
        <sz val="16"/>
        <color theme="1"/>
        <rFont val="Arial"/>
        <family val="2"/>
      </rPr>
      <t>-</t>
    </r>
    <r>
      <rPr>
        <b/>
        <sz val="16"/>
        <color theme="1"/>
        <rFont val="宋体"/>
        <family val="3"/>
        <charset val="134"/>
      </rPr>
      <t>中天公司</t>
    </r>
    <r>
      <rPr>
        <b/>
        <sz val="16"/>
        <color theme="1"/>
        <rFont val="Arial"/>
        <family val="2"/>
      </rPr>
      <t>-</t>
    </r>
    <r>
      <rPr>
        <b/>
        <sz val="16"/>
        <color theme="1"/>
        <rFont val="宋体"/>
        <family val="3"/>
        <charset val="134"/>
      </rPr>
      <t>海龙大厦</t>
    </r>
  </si>
  <si>
    <r>
      <rPr>
        <sz val="11"/>
        <color theme="1"/>
        <rFont val="宋体"/>
        <family val="3"/>
        <charset val="134"/>
      </rPr>
      <t>新租</t>
    </r>
    <r>
      <rPr>
        <sz val="11"/>
        <color theme="1"/>
        <rFont val="Arial"/>
        <family val="2"/>
      </rPr>
      <t>-</t>
    </r>
    <r>
      <rPr>
        <sz val="11"/>
        <color theme="1"/>
        <rFont val="宋体"/>
        <family val="3"/>
        <charset val="134"/>
      </rPr>
      <t>正常</t>
    </r>
  </si>
  <si>
    <r>
      <rPr>
        <sz val="11"/>
        <color theme="1"/>
        <rFont val="宋体"/>
        <family val="3"/>
        <charset val="134"/>
      </rPr>
      <t>预计空置</t>
    </r>
    <r>
      <rPr>
        <sz val="11"/>
        <color theme="1"/>
        <rFont val="Arial"/>
        <family val="2"/>
      </rPr>
      <t>-</t>
    </r>
    <r>
      <rPr>
        <sz val="11"/>
        <color theme="1"/>
        <rFont val="宋体"/>
        <family val="3"/>
        <charset val="134"/>
      </rPr>
      <t>续租</t>
    </r>
  </si>
  <si>
    <r>
      <rPr>
        <sz val="11"/>
        <color theme="1"/>
        <rFont val="宋体"/>
        <family val="3"/>
        <charset val="134"/>
      </rPr>
      <t>预计退租</t>
    </r>
    <r>
      <rPr>
        <sz val="11"/>
        <color theme="1"/>
        <rFont val="Arial"/>
        <family val="2"/>
      </rPr>
      <t>-</t>
    </r>
    <r>
      <rPr>
        <sz val="11"/>
        <color theme="1"/>
        <rFont val="宋体"/>
        <family val="3"/>
        <charset val="134"/>
      </rPr>
      <t>合同正常，预算错</t>
    </r>
  </si>
  <si>
    <r>
      <rPr>
        <b/>
        <sz val="10"/>
        <rFont val="宋体"/>
        <family val="3"/>
        <charset val="134"/>
      </rPr>
      <t>序号</t>
    </r>
  </si>
  <si>
    <r>
      <rPr>
        <b/>
        <sz val="10"/>
        <rFont val="宋体"/>
        <family val="3"/>
        <charset val="134"/>
      </rPr>
      <t>座落地址</t>
    </r>
  </si>
  <si>
    <r>
      <rPr>
        <b/>
        <sz val="10"/>
        <rFont val="宋体"/>
        <family val="3"/>
        <charset val="134"/>
      </rPr>
      <t>房间号</t>
    </r>
  </si>
  <si>
    <r>
      <rPr>
        <b/>
        <sz val="10"/>
        <rFont val="宋体"/>
        <family val="3"/>
        <charset val="134"/>
      </rPr>
      <t>面积</t>
    </r>
  </si>
  <si>
    <r>
      <rPr>
        <b/>
        <sz val="10"/>
        <rFont val="宋体"/>
        <family val="3"/>
        <charset val="134"/>
      </rPr>
      <t>状态</t>
    </r>
  </si>
  <si>
    <r>
      <rPr>
        <b/>
        <sz val="10"/>
        <rFont val="宋体"/>
        <family val="3"/>
        <charset val="134"/>
      </rPr>
      <t>合同甲方名称</t>
    </r>
  </si>
  <si>
    <t>合同乙方名称</t>
  </si>
  <si>
    <r>
      <rPr>
        <b/>
        <sz val="10"/>
        <rFont val="Arial"/>
        <family val="2"/>
      </rPr>
      <t>“</t>
    </r>
    <r>
      <rPr>
        <b/>
        <sz val="10"/>
        <rFont val="宋体"/>
        <family val="3"/>
        <charset val="134"/>
      </rPr>
      <t>资产合同</t>
    </r>
    <r>
      <rPr>
        <b/>
        <sz val="10"/>
        <rFont val="Arial"/>
        <family val="2"/>
      </rPr>
      <t>”</t>
    </r>
    <r>
      <rPr>
        <b/>
        <sz val="10"/>
        <rFont val="宋体"/>
        <family val="3"/>
        <charset val="134"/>
      </rPr>
      <t>编号</t>
    </r>
  </si>
  <si>
    <r>
      <rPr>
        <b/>
        <sz val="10"/>
        <rFont val="宋体"/>
        <family val="3"/>
        <charset val="134"/>
      </rPr>
      <t>合同起租日</t>
    </r>
  </si>
  <si>
    <r>
      <rPr>
        <b/>
        <sz val="10"/>
        <rFont val="宋体"/>
        <family val="3"/>
        <charset val="134"/>
      </rPr>
      <t>合同到期日</t>
    </r>
  </si>
  <si>
    <r>
      <rPr>
        <b/>
        <sz val="10"/>
        <rFont val="宋体"/>
        <family val="3"/>
        <charset val="134"/>
      </rPr>
      <t>合同年限</t>
    </r>
  </si>
  <si>
    <r>
      <rPr>
        <b/>
        <sz val="10"/>
        <rFont val="宋体"/>
        <family val="3"/>
        <charset val="134"/>
      </rPr>
      <t>免租期间</t>
    </r>
  </si>
  <si>
    <r>
      <rPr>
        <b/>
        <sz val="10"/>
        <rFont val="宋体"/>
        <family val="3"/>
        <charset val="134"/>
      </rPr>
      <t>应收保证金</t>
    </r>
  </si>
  <si>
    <r>
      <rPr>
        <b/>
        <sz val="10"/>
        <rFont val="宋体"/>
        <family val="3"/>
        <charset val="134"/>
      </rPr>
      <t>实收保证金</t>
    </r>
  </si>
  <si>
    <r>
      <rPr>
        <b/>
        <sz val="10"/>
        <rFont val="宋体"/>
        <family val="3"/>
        <charset val="134"/>
      </rPr>
      <t>保证金差异</t>
    </r>
  </si>
  <si>
    <r>
      <rPr>
        <b/>
        <sz val="10"/>
        <rFont val="宋体"/>
        <family val="3"/>
        <charset val="134"/>
      </rPr>
      <t>应收物业费押金</t>
    </r>
  </si>
  <si>
    <r>
      <rPr>
        <b/>
        <sz val="10"/>
        <rFont val="宋体"/>
        <family val="3"/>
        <charset val="134"/>
      </rPr>
      <t>实收物业费押金</t>
    </r>
  </si>
  <si>
    <r>
      <rPr>
        <b/>
        <sz val="10"/>
        <rFont val="宋体"/>
        <family val="3"/>
        <charset val="134"/>
      </rPr>
      <t>物业费押金差异</t>
    </r>
  </si>
  <si>
    <r>
      <rPr>
        <b/>
        <sz val="10"/>
        <rFont val="宋体"/>
        <family val="3"/>
        <charset val="134"/>
      </rPr>
      <t>租金单价</t>
    </r>
  </si>
  <si>
    <r>
      <rPr>
        <b/>
        <sz val="10"/>
        <rFont val="宋体"/>
        <family val="3"/>
        <charset val="134"/>
      </rPr>
      <t>月租金</t>
    </r>
  </si>
  <si>
    <r>
      <rPr>
        <b/>
        <sz val="10"/>
        <rFont val="宋体"/>
        <family val="3"/>
        <charset val="134"/>
      </rPr>
      <t>年租金</t>
    </r>
  </si>
  <si>
    <r>
      <rPr>
        <b/>
        <sz val="10"/>
        <rFont val="宋体"/>
        <family val="3"/>
        <charset val="134"/>
      </rPr>
      <t>合同租金总额</t>
    </r>
  </si>
  <si>
    <r>
      <rPr>
        <b/>
        <sz val="10"/>
        <rFont val="宋体"/>
        <family val="3"/>
        <charset val="134"/>
      </rPr>
      <t>物业费单价</t>
    </r>
  </si>
  <si>
    <r>
      <rPr>
        <b/>
        <sz val="10"/>
        <rFont val="宋体"/>
        <family val="3"/>
        <charset val="134"/>
      </rPr>
      <t>月物业费</t>
    </r>
  </si>
  <si>
    <r>
      <rPr>
        <b/>
        <sz val="10"/>
        <rFont val="宋体"/>
        <family val="3"/>
        <charset val="134"/>
      </rPr>
      <t>年物业费</t>
    </r>
  </si>
  <si>
    <r>
      <rPr>
        <b/>
        <sz val="10"/>
        <rFont val="宋体"/>
        <family val="3"/>
        <charset val="134"/>
      </rPr>
      <t>合同物业费总额</t>
    </r>
  </si>
  <si>
    <r>
      <rPr>
        <b/>
        <sz val="10"/>
        <rFont val="宋体"/>
        <family val="3"/>
        <charset val="134"/>
      </rPr>
      <t>递增情况</t>
    </r>
  </si>
  <si>
    <r>
      <rPr>
        <b/>
        <sz val="10"/>
        <rFont val="宋体"/>
        <family val="3"/>
        <charset val="134"/>
      </rPr>
      <t>付款方式</t>
    </r>
  </si>
  <si>
    <r>
      <rPr>
        <b/>
        <sz val="10"/>
        <color theme="1"/>
        <rFont val="宋体"/>
        <family val="3"/>
        <charset val="134"/>
      </rPr>
      <t>现金流情况：</t>
    </r>
  </si>
  <si>
    <r>
      <rPr>
        <b/>
        <sz val="10"/>
        <color theme="1"/>
        <rFont val="宋体"/>
        <family val="3"/>
        <charset val="134"/>
      </rPr>
      <t>权责情况：</t>
    </r>
  </si>
  <si>
    <r>
      <rPr>
        <b/>
        <sz val="11"/>
        <color theme="1"/>
        <rFont val="Arial"/>
        <family val="2"/>
      </rPr>
      <t>2024.09</t>
    </r>
    <r>
      <rPr>
        <b/>
        <sz val="11"/>
        <color theme="1"/>
        <rFont val="宋体"/>
        <family val="3"/>
        <charset val="134"/>
      </rPr>
      <t>权责预算收入差异</t>
    </r>
  </si>
  <si>
    <r>
      <rPr>
        <b/>
        <sz val="11"/>
        <color theme="1"/>
        <rFont val="宋体"/>
        <family val="3"/>
        <charset val="134"/>
      </rPr>
      <t>租金物业费差异合计</t>
    </r>
  </si>
  <si>
    <r>
      <rPr>
        <b/>
        <sz val="11"/>
        <color theme="1"/>
        <rFont val="Arial"/>
        <family val="2"/>
      </rPr>
      <t>2022</t>
    </r>
    <r>
      <rPr>
        <b/>
        <sz val="11"/>
        <color theme="1"/>
        <rFont val="宋体"/>
        <family val="3"/>
        <charset val="134"/>
      </rPr>
      <t>年帮扶月份</t>
    </r>
  </si>
  <si>
    <r>
      <rPr>
        <b/>
        <sz val="11"/>
        <color theme="1"/>
        <rFont val="宋体"/>
        <family val="3"/>
        <charset val="134"/>
      </rPr>
      <t>帮扶金额（含税）</t>
    </r>
  </si>
  <si>
    <r>
      <rPr>
        <b/>
        <sz val="10"/>
        <rFont val="宋体"/>
        <family val="3"/>
        <charset val="134"/>
      </rPr>
      <t>租金年度应收</t>
    </r>
  </si>
  <si>
    <r>
      <rPr>
        <b/>
        <sz val="10"/>
        <rFont val="宋体"/>
        <family val="3"/>
        <charset val="134"/>
      </rPr>
      <t>租金累计应收</t>
    </r>
  </si>
  <si>
    <r>
      <rPr>
        <b/>
        <sz val="10"/>
        <rFont val="宋体"/>
        <family val="3"/>
        <charset val="134"/>
      </rPr>
      <t>租金累计实收</t>
    </r>
  </si>
  <si>
    <r>
      <rPr>
        <b/>
        <sz val="10"/>
        <rFont val="宋体"/>
        <family val="3"/>
        <charset val="134"/>
      </rPr>
      <t>累计差异</t>
    </r>
  </si>
  <si>
    <r>
      <rPr>
        <b/>
        <sz val="10"/>
        <rFont val="宋体"/>
        <family val="3"/>
        <charset val="134"/>
      </rPr>
      <t>差异说明</t>
    </r>
  </si>
  <si>
    <r>
      <rPr>
        <b/>
        <sz val="10"/>
        <rFont val="宋体"/>
        <family val="3"/>
        <charset val="134"/>
      </rPr>
      <t>物业费年度应收</t>
    </r>
  </si>
  <si>
    <r>
      <rPr>
        <b/>
        <sz val="10"/>
        <rFont val="宋体"/>
        <family val="3"/>
        <charset val="134"/>
      </rPr>
      <t>物业费累计应收</t>
    </r>
  </si>
  <si>
    <r>
      <rPr>
        <b/>
        <sz val="10"/>
        <rFont val="宋体"/>
        <family val="3"/>
        <charset val="134"/>
      </rPr>
      <t>物业费累计实收</t>
    </r>
  </si>
  <si>
    <r>
      <rPr>
        <b/>
        <sz val="10"/>
        <rFont val="Arial"/>
        <family val="2"/>
      </rPr>
      <t>1</t>
    </r>
    <r>
      <rPr>
        <b/>
        <sz val="10"/>
        <rFont val="宋体"/>
        <family val="3"/>
        <charset val="134"/>
      </rPr>
      <t>月应收期间</t>
    </r>
  </si>
  <si>
    <r>
      <rPr>
        <b/>
        <sz val="10"/>
        <color rgb="FF0070C0"/>
        <rFont val="Arial"/>
        <family val="2"/>
      </rPr>
      <t>1</t>
    </r>
    <r>
      <rPr>
        <b/>
        <sz val="10"/>
        <color rgb="FF0070C0"/>
        <rFont val="宋体"/>
        <family val="3"/>
        <charset val="134"/>
      </rPr>
      <t>月租金应收</t>
    </r>
  </si>
  <si>
    <r>
      <rPr>
        <b/>
        <sz val="10"/>
        <color rgb="FFFF0000"/>
        <rFont val="Arial"/>
        <family val="2"/>
      </rPr>
      <t>1</t>
    </r>
    <r>
      <rPr>
        <b/>
        <sz val="10"/>
        <color rgb="FFFF0000"/>
        <rFont val="宋体"/>
        <family val="3"/>
        <charset val="134"/>
      </rPr>
      <t>月租金实收</t>
    </r>
  </si>
  <si>
    <r>
      <rPr>
        <b/>
        <sz val="10"/>
        <rFont val="宋体"/>
        <family val="3"/>
        <charset val="134"/>
      </rPr>
      <t>差额</t>
    </r>
  </si>
  <si>
    <r>
      <rPr>
        <b/>
        <sz val="10"/>
        <color rgb="FF0070C0"/>
        <rFont val="Arial"/>
        <family val="2"/>
      </rPr>
      <t>1</t>
    </r>
    <r>
      <rPr>
        <b/>
        <sz val="10"/>
        <color rgb="FF0070C0"/>
        <rFont val="宋体"/>
        <family val="3"/>
        <charset val="134"/>
      </rPr>
      <t>月物业费应收</t>
    </r>
  </si>
  <si>
    <r>
      <rPr>
        <b/>
        <sz val="10"/>
        <color rgb="FFFF0000"/>
        <rFont val="Arial"/>
        <family val="2"/>
      </rPr>
      <t>1</t>
    </r>
    <r>
      <rPr>
        <b/>
        <sz val="10"/>
        <color rgb="FFFF0000"/>
        <rFont val="宋体"/>
        <family val="3"/>
        <charset val="134"/>
      </rPr>
      <t>月物业费实收</t>
    </r>
  </si>
  <si>
    <r>
      <rPr>
        <b/>
        <sz val="10"/>
        <rFont val="宋体"/>
        <family val="3"/>
        <charset val="134"/>
      </rPr>
      <t>缴费情况备注</t>
    </r>
  </si>
  <si>
    <r>
      <rPr>
        <b/>
        <sz val="10"/>
        <rFont val="Arial"/>
        <family val="2"/>
      </rPr>
      <t>2</t>
    </r>
    <r>
      <rPr>
        <b/>
        <sz val="10"/>
        <rFont val="宋体"/>
        <family val="3"/>
        <charset val="134"/>
      </rPr>
      <t>月应收期间</t>
    </r>
  </si>
  <si>
    <r>
      <rPr>
        <b/>
        <sz val="10"/>
        <color rgb="FF0070C0"/>
        <rFont val="Arial"/>
        <family val="2"/>
      </rPr>
      <t>2</t>
    </r>
    <r>
      <rPr>
        <b/>
        <sz val="10"/>
        <color rgb="FF0070C0"/>
        <rFont val="宋体"/>
        <family val="3"/>
        <charset val="134"/>
      </rPr>
      <t>月租金应收</t>
    </r>
  </si>
  <si>
    <r>
      <rPr>
        <b/>
        <sz val="10"/>
        <color rgb="FFFF0000"/>
        <rFont val="Arial"/>
        <family val="2"/>
      </rPr>
      <t>2</t>
    </r>
    <r>
      <rPr>
        <b/>
        <sz val="10"/>
        <color rgb="FFFF0000"/>
        <rFont val="宋体"/>
        <family val="3"/>
        <charset val="134"/>
      </rPr>
      <t>月租金实收</t>
    </r>
  </si>
  <si>
    <r>
      <rPr>
        <b/>
        <sz val="10"/>
        <color theme="1"/>
        <rFont val="宋体"/>
        <family val="3"/>
        <charset val="134"/>
      </rPr>
      <t>差额</t>
    </r>
  </si>
  <si>
    <r>
      <rPr>
        <b/>
        <sz val="10"/>
        <color rgb="FF0070C0"/>
        <rFont val="Arial"/>
        <family val="2"/>
      </rPr>
      <t>2</t>
    </r>
    <r>
      <rPr>
        <b/>
        <sz val="10"/>
        <color rgb="FF0070C0"/>
        <rFont val="宋体"/>
        <family val="3"/>
        <charset val="134"/>
      </rPr>
      <t>月物业费应收</t>
    </r>
  </si>
  <si>
    <r>
      <rPr>
        <b/>
        <sz val="10"/>
        <color rgb="FFFF0000"/>
        <rFont val="Arial"/>
        <family val="2"/>
      </rPr>
      <t>2</t>
    </r>
    <r>
      <rPr>
        <b/>
        <sz val="10"/>
        <color rgb="FFFF0000"/>
        <rFont val="宋体"/>
        <family val="3"/>
        <charset val="134"/>
      </rPr>
      <t>月物业费实收</t>
    </r>
  </si>
  <si>
    <r>
      <rPr>
        <b/>
        <sz val="10"/>
        <rFont val="Arial"/>
        <family val="2"/>
      </rPr>
      <t>3</t>
    </r>
    <r>
      <rPr>
        <b/>
        <sz val="10"/>
        <rFont val="宋体"/>
        <family val="3"/>
        <charset val="134"/>
      </rPr>
      <t>月应收期间</t>
    </r>
  </si>
  <si>
    <r>
      <rPr>
        <b/>
        <sz val="10"/>
        <color rgb="FF0070C0"/>
        <rFont val="Arial"/>
        <family val="2"/>
      </rPr>
      <t>3</t>
    </r>
    <r>
      <rPr>
        <b/>
        <sz val="10"/>
        <color rgb="FF0070C0"/>
        <rFont val="宋体"/>
        <family val="3"/>
        <charset val="134"/>
      </rPr>
      <t>月租金应收</t>
    </r>
  </si>
  <si>
    <r>
      <rPr>
        <b/>
        <sz val="10"/>
        <color rgb="FFFF0000"/>
        <rFont val="Arial"/>
        <family val="2"/>
      </rPr>
      <t>3</t>
    </r>
    <r>
      <rPr>
        <b/>
        <sz val="10"/>
        <color rgb="FFFF0000"/>
        <rFont val="宋体"/>
        <family val="3"/>
        <charset val="134"/>
      </rPr>
      <t>月租金实收</t>
    </r>
  </si>
  <si>
    <r>
      <rPr>
        <b/>
        <sz val="10"/>
        <color rgb="FF0070C0"/>
        <rFont val="Arial"/>
        <family val="2"/>
      </rPr>
      <t>3</t>
    </r>
    <r>
      <rPr>
        <b/>
        <sz val="10"/>
        <color rgb="FF0070C0"/>
        <rFont val="宋体"/>
        <family val="3"/>
        <charset val="134"/>
      </rPr>
      <t>月物业费应收</t>
    </r>
  </si>
  <si>
    <r>
      <rPr>
        <b/>
        <sz val="10"/>
        <color indexed="10"/>
        <rFont val="Arial"/>
        <family val="2"/>
      </rPr>
      <t>3</t>
    </r>
    <r>
      <rPr>
        <b/>
        <sz val="10"/>
        <color indexed="10"/>
        <rFont val="宋体"/>
        <family val="3"/>
        <charset val="134"/>
      </rPr>
      <t>月物业费实收</t>
    </r>
  </si>
  <si>
    <r>
      <rPr>
        <b/>
        <sz val="10"/>
        <rFont val="Arial"/>
        <family val="2"/>
      </rPr>
      <t>4</t>
    </r>
    <r>
      <rPr>
        <b/>
        <sz val="10"/>
        <rFont val="宋体"/>
        <family val="3"/>
        <charset val="134"/>
      </rPr>
      <t>月应收期间</t>
    </r>
  </si>
  <si>
    <r>
      <rPr>
        <b/>
        <sz val="10"/>
        <color rgb="FF0070C0"/>
        <rFont val="Arial"/>
        <family val="2"/>
      </rPr>
      <t>4</t>
    </r>
    <r>
      <rPr>
        <b/>
        <sz val="10"/>
        <color rgb="FF0070C0"/>
        <rFont val="宋体"/>
        <family val="3"/>
        <charset val="134"/>
      </rPr>
      <t>月租金应收</t>
    </r>
  </si>
  <si>
    <r>
      <rPr>
        <b/>
        <sz val="10"/>
        <color rgb="FFFF0000"/>
        <rFont val="Arial"/>
        <family val="2"/>
      </rPr>
      <t>4</t>
    </r>
    <r>
      <rPr>
        <b/>
        <sz val="10"/>
        <color rgb="FFFF0000"/>
        <rFont val="宋体"/>
        <family val="3"/>
        <charset val="134"/>
      </rPr>
      <t>月租金实收</t>
    </r>
  </si>
  <si>
    <r>
      <rPr>
        <b/>
        <sz val="10"/>
        <color rgb="FF0070C0"/>
        <rFont val="Arial"/>
        <family val="2"/>
      </rPr>
      <t>4</t>
    </r>
    <r>
      <rPr>
        <b/>
        <sz val="10"/>
        <color rgb="FF0070C0"/>
        <rFont val="宋体"/>
        <family val="3"/>
        <charset val="134"/>
      </rPr>
      <t>月物业费应收</t>
    </r>
  </si>
  <si>
    <r>
      <rPr>
        <b/>
        <sz val="10"/>
        <color rgb="FFFF0000"/>
        <rFont val="Arial"/>
        <family val="2"/>
      </rPr>
      <t>4</t>
    </r>
    <r>
      <rPr>
        <b/>
        <sz val="10"/>
        <color rgb="FFFF0000"/>
        <rFont val="宋体"/>
        <family val="3"/>
        <charset val="134"/>
      </rPr>
      <t>月物业费实收</t>
    </r>
  </si>
  <si>
    <r>
      <rPr>
        <b/>
        <sz val="10"/>
        <rFont val="Arial"/>
        <family val="2"/>
      </rPr>
      <t>5</t>
    </r>
    <r>
      <rPr>
        <b/>
        <sz val="10"/>
        <rFont val="宋体"/>
        <family val="3"/>
        <charset val="134"/>
      </rPr>
      <t>月应收期间</t>
    </r>
  </si>
  <si>
    <r>
      <rPr>
        <b/>
        <sz val="10"/>
        <color rgb="FF0070C0"/>
        <rFont val="Arial"/>
        <family val="2"/>
      </rPr>
      <t>5</t>
    </r>
    <r>
      <rPr>
        <b/>
        <sz val="10"/>
        <color rgb="FF0070C0"/>
        <rFont val="宋体"/>
        <family val="3"/>
        <charset val="134"/>
      </rPr>
      <t>月租金应收</t>
    </r>
  </si>
  <si>
    <r>
      <rPr>
        <b/>
        <sz val="10"/>
        <color rgb="FFFF0000"/>
        <rFont val="Arial"/>
        <family val="2"/>
      </rPr>
      <t>5</t>
    </r>
    <r>
      <rPr>
        <b/>
        <sz val="10"/>
        <color rgb="FFFF0000"/>
        <rFont val="宋体"/>
        <family val="3"/>
        <charset val="134"/>
      </rPr>
      <t>月租金实收</t>
    </r>
  </si>
  <si>
    <r>
      <rPr>
        <b/>
        <sz val="10"/>
        <color rgb="FF0070C0"/>
        <rFont val="Arial"/>
        <family val="2"/>
      </rPr>
      <t>5</t>
    </r>
    <r>
      <rPr>
        <b/>
        <sz val="10"/>
        <color rgb="FF0070C0"/>
        <rFont val="宋体"/>
        <family val="3"/>
        <charset val="134"/>
      </rPr>
      <t>月物业费应收</t>
    </r>
  </si>
  <si>
    <r>
      <rPr>
        <b/>
        <sz val="10"/>
        <color rgb="FFFF0000"/>
        <rFont val="Arial"/>
        <family val="2"/>
      </rPr>
      <t>5</t>
    </r>
    <r>
      <rPr>
        <b/>
        <sz val="10"/>
        <color rgb="FFFF0000"/>
        <rFont val="宋体"/>
        <family val="3"/>
        <charset val="134"/>
      </rPr>
      <t>月物业费实收</t>
    </r>
  </si>
  <si>
    <r>
      <rPr>
        <b/>
        <sz val="10"/>
        <rFont val="Arial"/>
        <family val="2"/>
      </rPr>
      <t>6</t>
    </r>
    <r>
      <rPr>
        <b/>
        <sz val="10"/>
        <rFont val="宋体"/>
        <family val="3"/>
        <charset val="134"/>
      </rPr>
      <t>月应收期间</t>
    </r>
  </si>
  <si>
    <r>
      <rPr>
        <b/>
        <sz val="10"/>
        <color rgb="FF0070C0"/>
        <rFont val="Arial"/>
        <family val="2"/>
      </rPr>
      <t>6</t>
    </r>
    <r>
      <rPr>
        <b/>
        <sz val="10"/>
        <color rgb="FF0070C0"/>
        <rFont val="宋体"/>
        <family val="3"/>
        <charset val="134"/>
      </rPr>
      <t>月租金应收</t>
    </r>
  </si>
  <si>
    <r>
      <rPr>
        <b/>
        <sz val="10"/>
        <color rgb="FFFF0000"/>
        <rFont val="Arial"/>
        <family val="2"/>
      </rPr>
      <t>6</t>
    </r>
    <r>
      <rPr>
        <b/>
        <sz val="10"/>
        <color rgb="FFFF0000"/>
        <rFont val="宋体"/>
        <family val="3"/>
        <charset val="134"/>
      </rPr>
      <t>月租金实收</t>
    </r>
  </si>
  <si>
    <r>
      <rPr>
        <b/>
        <sz val="10"/>
        <color rgb="FF0070C0"/>
        <rFont val="Arial"/>
        <family val="2"/>
      </rPr>
      <t>6</t>
    </r>
    <r>
      <rPr>
        <b/>
        <sz val="10"/>
        <color rgb="FF0070C0"/>
        <rFont val="宋体"/>
        <family val="3"/>
        <charset val="134"/>
      </rPr>
      <t>月物业费应收</t>
    </r>
  </si>
  <si>
    <r>
      <rPr>
        <b/>
        <sz val="10"/>
        <color rgb="FFFF0000"/>
        <rFont val="Arial"/>
        <family val="2"/>
      </rPr>
      <t>6</t>
    </r>
    <r>
      <rPr>
        <b/>
        <sz val="10"/>
        <color rgb="FFFF0000"/>
        <rFont val="宋体"/>
        <family val="3"/>
        <charset val="134"/>
      </rPr>
      <t>月物业费实收</t>
    </r>
  </si>
  <si>
    <r>
      <rPr>
        <b/>
        <sz val="10"/>
        <rFont val="Arial"/>
        <family val="2"/>
      </rPr>
      <t>7</t>
    </r>
    <r>
      <rPr>
        <b/>
        <sz val="10"/>
        <rFont val="宋体"/>
        <family val="3"/>
        <charset val="134"/>
      </rPr>
      <t>月应收期间</t>
    </r>
  </si>
  <si>
    <r>
      <rPr>
        <b/>
        <sz val="10"/>
        <color rgb="FF0070C0"/>
        <rFont val="Arial"/>
        <family val="2"/>
      </rPr>
      <t>7</t>
    </r>
    <r>
      <rPr>
        <b/>
        <sz val="10"/>
        <color rgb="FF0070C0"/>
        <rFont val="宋体"/>
        <family val="3"/>
        <charset val="134"/>
      </rPr>
      <t>月租金应收</t>
    </r>
  </si>
  <si>
    <r>
      <rPr>
        <b/>
        <sz val="10"/>
        <color rgb="FFFF0000"/>
        <rFont val="Arial"/>
        <family val="2"/>
      </rPr>
      <t>7</t>
    </r>
    <r>
      <rPr>
        <b/>
        <sz val="10"/>
        <color rgb="FFFF0000"/>
        <rFont val="宋体"/>
        <family val="3"/>
        <charset val="134"/>
      </rPr>
      <t>月租金实收</t>
    </r>
  </si>
  <si>
    <r>
      <rPr>
        <b/>
        <sz val="10"/>
        <color rgb="FF0070C0"/>
        <rFont val="Arial"/>
        <family val="2"/>
      </rPr>
      <t>7</t>
    </r>
    <r>
      <rPr>
        <b/>
        <sz val="10"/>
        <color rgb="FF0070C0"/>
        <rFont val="宋体"/>
        <family val="3"/>
        <charset val="134"/>
      </rPr>
      <t>月物业费应收</t>
    </r>
  </si>
  <si>
    <r>
      <rPr>
        <b/>
        <sz val="10"/>
        <color rgb="FFFF0000"/>
        <rFont val="Arial"/>
        <family val="2"/>
      </rPr>
      <t>7</t>
    </r>
    <r>
      <rPr>
        <b/>
        <sz val="10"/>
        <color rgb="FFFF0000"/>
        <rFont val="宋体"/>
        <family val="3"/>
        <charset val="134"/>
      </rPr>
      <t>月物业费实收</t>
    </r>
  </si>
  <si>
    <r>
      <rPr>
        <b/>
        <sz val="10"/>
        <rFont val="Arial"/>
        <family val="2"/>
      </rPr>
      <t>8</t>
    </r>
    <r>
      <rPr>
        <b/>
        <sz val="10"/>
        <rFont val="宋体"/>
        <family val="3"/>
        <charset val="134"/>
      </rPr>
      <t>月应收期间</t>
    </r>
  </si>
  <si>
    <r>
      <rPr>
        <b/>
        <sz val="10"/>
        <color rgb="FF0070C0"/>
        <rFont val="Arial"/>
        <family val="2"/>
      </rPr>
      <t>8</t>
    </r>
    <r>
      <rPr>
        <b/>
        <sz val="10"/>
        <color rgb="FF0070C0"/>
        <rFont val="宋体"/>
        <family val="3"/>
        <charset val="134"/>
      </rPr>
      <t>月租金应收</t>
    </r>
  </si>
  <si>
    <r>
      <rPr>
        <b/>
        <sz val="10"/>
        <color rgb="FFFF0000"/>
        <rFont val="Arial"/>
        <family val="2"/>
      </rPr>
      <t>8</t>
    </r>
    <r>
      <rPr>
        <b/>
        <sz val="10"/>
        <color rgb="FFFF0000"/>
        <rFont val="宋体"/>
        <family val="3"/>
        <charset val="134"/>
      </rPr>
      <t>月租金实收</t>
    </r>
  </si>
  <si>
    <r>
      <rPr>
        <b/>
        <sz val="10"/>
        <color rgb="FF0070C0"/>
        <rFont val="Arial"/>
        <family val="2"/>
      </rPr>
      <t>8</t>
    </r>
    <r>
      <rPr>
        <b/>
        <sz val="10"/>
        <color rgb="FF0070C0"/>
        <rFont val="宋体"/>
        <family val="3"/>
        <charset val="134"/>
      </rPr>
      <t>月物业费应收</t>
    </r>
  </si>
  <si>
    <r>
      <rPr>
        <b/>
        <sz val="10"/>
        <color rgb="FFFF0000"/>
        <rFont val="Arial"/>
        <family val="2"/>
      </rPr>
      <t>8</t>
    </r>
    <r>
      <rPr>
        <b/>
        <sz val="10"/>
        <color rgb="FFFF0000"/>
        <rFont val="宋体"/>
        <family val="3"/>
        <charset val="134"/>
      </rPr>
      <t>月物业费实收</t>
    </r>
  </si>
  <si>
    <r>
      <rPr>
        <b/>
        <sz val="10"/>
        <rFont val="Arial"/>
        <family val="2"/>
      </rPr>
      <t>9</t>
    </r>
    <r>
      <rPr>
        <b/>
        <sz val="10"/>
        <rFont val="宋体"/>
        <family val="3"/>
        <charset val="134"/>
      </rPr>
      <t>月应收期间</t>
    </r>
  </si>
  <si>
    <r>
      <rPr>
        <b/>
        <sz val="10"/>
        <color rgb="FF0070C0"/>
        <rFont val="Arial"/>
        <family val="2"/>
      </rPr>
      <t>9</t>
    </r>
    <r>
      <rPr>
        <b/>
        <sz val="10"/>
        <color rgb="FF0070C0"/>
        <rFont val="宋体"/>
        <family val="3"/>
        <charset val="134"/>
      </rPr>
      <t>月租金应收</t>
    </r>
  </si>
  <si>
    <r>
      <rPr>
        <b/>
        <sz val="10"/>
        <color rgb="FFFF0000"/>
        <rFont val="Arial"/>
        <family val="2"/>
      </rPr>
      <t>9</t>
    </r>
    <r>
      <rPr>
        <b/>
        <sz val="10"/>
        <color rgb="FFFF0000"/>
        <rFont val="宋体"/>
        <family val="3"/>
        <charset val="134"/>
      </rPr>
      <t>月租金实收</t>
    </r>
  </si>
  <si>
    <r>
      <rPr>
        <b/>
        <sz val="10"/>
        <color rgb="FF0070C0"/>
        <rFont val="Arial"/>
        <family val="2"/>
      </rPr>
      <t>9</t>
    </r>
    <r>
      <rPr>
        <b/>
        <sz val="10"/>
        <color rgb="FF0070C0"/>
        <rFont val="宋体"/>
        <family val="3"/>
        <charset val="134"/>
      </rPr>
      <t>月物业费应收</t>
    </r>
  </si>
  <si>
    <r>
      <rPr>
        <b/>
        <sz val="10"/>
        <color rgb="FFFF0000"/>
        <rFont val="Arial"/>
        <family val="2"/>
      </rPr>
      <t>9</t>
    </r>
    <r>
      <rPr>
        <b/>
        <sz val="10"/>
        <color rgb="FFFF0000"/>
        <rFont val="宋体"/>
        <family val="3"/>
        <charset val="134"/>
      </rPr>
      <t>月物业费实收</t>
    </r>
  </si>
  <si>
    <r>
      <rPr>
        <b/>
        <sz val="10"/>
        <rFont val="Arial"/>
        <family val="2"/>
      </rPr>
      <t>10</t>
    </r>
    <r>
      <rPr>
        <b/>
        <sz val="10"/>
        <rFont val="宋体"/>
        <family val="3"/>
        <charset val="134"/>
      </rPr>
      <t>月应收期间</t>
    </r>
  </si>
  <si>
    <r>
      <rPr>
        <b/>
        <sz val="10"/>
        <color rgb="FF0070C0"/>
        <rFont val="Arial"/>
        <family val="2"/>
      </rPr>
      <t>10</t>
    </r>
    <r>
      <rPr>
        <b/>
        <sz val="10"/>
        <color rgb="FF0070C0"/>
        <rFont val="宋体"/>
        <family val="3"/>
        <charset val="134"/>
      </rPr>
      <t>月租金应收</t>
    </r>
  </si>
  <si>
    <r>
      <rPr>
        <b/>
        <sz val="10"/>
        <color rgb="FFFF0000"/>
        <rFont val="Arial"/>
        <family val="2"/>
      </rPr>
      <t>10</t>
    </r>
    <r>
      <rPr>
        <b/>
        <sz val="10"/>
        <color rgb="FFFF0000"/>
        <rFont val="宋体"/>
        <family val="3"/>
        <charset val="134"/>
      </rPr>
      <t>月租金实收</t>
    </r>
  </si>
  <si>
    <r>
      <rPr>
        <b/>
        <sz val="10"/>
        <color rgb="FF0070C0"/>
        <rFont val="Arial"/>
        <family val="2"/>
      </rPr>
      <t>10</t>
    </r>
    <r>
      <rPr>
        <b/>
        <sz val="10"/>
        <color rgb="FF0070C0"/>
        <rFont val="宋体"/>
        <family val="3"/>
        <charset val="134"/>
      </rPr>
      <t>月物业费应收</t>
    </r>
  </si>
  <si>
    <r>
      <rPr>
        <b/>
        <sz val="10"/>
        <color rgb="FFFF0000"/>
        <rFont val="Arial"/>
        <family val="2"/>
      </rPr>
      <t>10</t>
    </r>
    <r>
      <rPr>
        <b/>
        <sz val="10"/>
        <color rgb="FFFF0000"/>
        <rFont val="宋体"/>
        <family val="3"/>
        <charset val="134"/>
      </rPr>
      <t>月物业费实收</t>
    </r>
  </si>
  <si>
    <r>
      <rPr>
        <b/>
        <sz val="10"/>
        <rFont val="Arial"/>
        <family val="2"/>
      </rPr>
      <t>11</t>
    </r>
    <r>
      <rPr>
        <b/>
        <sz val="10"/>
        <rFont val="宋体"/>
        <family val="3"/>
        <charset val="134"/>
      </rPr>
      <t>月应收期间</t>
    </r>
  </si>
  <si>
    <r>
      <rPr>
        <b/>
        <sz val="10"/>
        <color rgb="FF0070C0"/>
        <rFont val="Arial"/>
        <family val="2"/>
      </rPr>
      <t>11</t>
    </r>
    <r>
      <rPr>
        <b/>
        <sz val="10"/>
        <color rgb="FF0070C0"/>
        <rFont val="宋体"/>
        <family val="3"/>
        <charset val="134"/>
      </rPr>
      <t>月租金应收</t>
    </r>
  </si>
  <si>
    <r>
      <rPr>
        <b/>
        <sz val="10"/>
        <color rgb="FFFF0000"/>
        <rFont val="Arial"/>
        <family val="2"/>
      </rPr>
      <t>11</t>
    </r>
    <r>
      <rPr>
        <b/>
        <sz val="10"/>
        <color rgb="FFFF0000"/>
        <rFont val="宋体"/>
        <family val="3"/>
        <charset val="134"/>
      </rPr>
      <t>月租金实收</t>
    </r>
  </si>
  <si>
    <r>
      <rPr>
        <b/>
        <sz val="10"/>
        <color rgb="FF0070C0"/>
        <rFont val="Arial"/>
        <family val="2"/>
      </rPr>
      <t>11</t>
    </r>
    <r>
      <rPr>
        <b/>
        <sz val="10"/>
        <color rgb="FF0070C0"/>
        <rFont val="宋体"/>
        <family val="3"/>
        <charset val="134"/>
      </rPr>
      <t>月物业费应收</t>
    </r>
  </si>
  <si>
    <r>
      <rPr>
        <b/>
        <sz val="10"/>
        <color rgb="FFFF0000"/>
        <rFont val="Arial"/>
        <family val="2"/>
      </rPr>
      <t>11</t>
    </r>
    <r>
      <rPr>
        <b/>
        <sz val="10"/>
        <color rgb="FFFF0000"/>
        <rFont val="宋体"/>
        <family val="3"/>
        <charset val="134"/>
      </rPr>
      <t>月物业费实收</t>
    </r>
  </si>
  <si>
    <r>
      <rPr>
        <b/>
        <sz val="10"/>
        <rFont val="Arial"/>
        <family val="2"/>
      </rPr>
      <t>12</t>
    </r>
    <r>
      <rPr>
        <b/>
        <sz val="10"/>
        <rFont val="宋体"/>
        <family val="3"/>
        <charset val="134"/>
      </rPr>
      <t>月应收期间</t>
    </r>
  </si>
  <si>
    <r>
      <rPr>
        <b/>
        <sz val="10"/>
        <color rgb="FF0070C0"/>
        <rFont val="Arial"/>
        <family val="2"/>
      </rPr>
      <t>12</t>
    </r>
    <r>
      <rPr>
        <b/>
        <sz val="10"/>
        <color rgb="FF0070C0"/>
        <rFont val="宋体"/>
        <family val="3"/>
        <charset val="134"/>
      </rPr>
      <t>月租金应收</t>
    </r>
  </si>
  <si>
    <r>
      <rPr>
        <b/>
        <sz val="10"/>
        <color rgb="FFFF0000"/>
        <rFont val="Arial"/>
        <family val="2"/>
      </rPr>
      <t>12</t>
    </r>
    <r>
      <rPr>
        <b/>
        <sz val="10"/>
        <color rgb="FFFF0000"/>
        <rFont val="宋体"/>
        <family val="3"/>
        <charset val="134"/>
      </rPr>
      <t>月租金实收</t>
    </r>
  </si>
  <si>
    <r>
      <rPr>
        <b/>
        <sz val="10"/>
        <color rgb="FF0070C0"/>
        <rFont val="Arial"/>
        <family val="2"/>
      </rPr>
      <t>12</t>
    </r>
    <r>
      <rPr>
        <b/>
        <sz val="10"/>
        <color rgb="FF0070C0"/>
        <rFont val="宋体"/>
        <family val="3"/>
        <charset val="134"/>
      </rPr>
      <t>月物业费应收</t>
    </r>
  </si>
  <si>
    <r>
      <rPr>
        <b/>
        <sz val="10"/>
        <color rgb="FFFF0000"/>
        <rFont val="Arial"/>
        <family val="2"/>
      </rPr>
      <t>12</t>
    </r>
    <r>
      <rPr>
        <b/>
        <sz val="10"/>
        <color rgb="FFFF0000"/>
        <rFont val="宋体"/>
        <family val="3"/>
        <charset val="134"/>
      </rPr>
      <t>月物业费实收</t>
    </r>
  </si>
  <si>
    <r>
      <rPr>
        <b/>
        <sz val="10"/>
        <rFont val="宋体"/>
        <family val="3"/>
        <charset val="134"/>
      </rPr>
      <t>权责租金</t>
    </r>
    <r>
      <rPr>
        <b/>
        <sz val="10"/>
        <color rgb="FFFF0000"/>
        <rFont val="宋体"/>
        <family val="3"/>
        <charset val="134"/>
      </rPr>
      <t>年度预算</t>
    </r>
  </si>
  <si>
    <r>
      <rPr>
        <b/>
        <sz val="10"/>
        <rFont val="宋体"/>
        <family val="3"/>
        <charset val="134"/>
      </rPr>
      <t>权责租金累计预算</t>
    </r>
  </si>
  <si>
    <r>
      <rPr>
        <b/>
        <sz val="10"/>
        <rFont val="宋体"/>
        <family val="3"/>
        <charset val="134"/>
      </rPr>
      <t>权责租金累计应收</t>
    </r>
  </si>
  <si>
    <r>
      <rPr>
        <b/>
        <sz val="10"/>
        <rFont val="宋体"/>
        <family val="3"/>
        <charset val="134"/>
      </rPr>
      <t>权责租金累计实收</t>
    </r>
  </si>
  <si>
    <r>
      <rPr>
        <b/>
        <sz val="10"/>
        <rFont val="宋体"/>
        <family val="3"/>
        <charset val="134"/>
      </rPr>
      <t>累计预算差异</t>
    </r>
  </si>
  <si>
    <r>
      <rPr>
        <b/>
        <sz val="10"/>
        <rFont val="宋体"/>
        <family val="3"/>
        <charset val="134"/>
      </rPr>
      <t>累计应收差异</t>
    </r>
  </si>
  <si>
    <r>
      <rPr>
        <b/>
        <sz val="10"/>
        <rFont val="宋体"/>
        <family val="3"/>
        <charset val="134"/>
      </rPr>
      <t>权责物业费年度预算</t>
    </r>
  </si>
  <si>
    <r>
      <rPr>
        <b/>
        <sz val="10"/>
        <rFont val="宋体"/>
        <family val="3"/>
        <charset val="134"/>
      </rPr>
      <t>权责物业费累计预算</t>
    </r>
  </si>
  <si>
    <r>
      <rPr>
        <b/>
        <sz val="10"/>
        <rFont val="宋体"/>
        <family val="3"/>
        <charset val="134"/>
      </rPr>
      <t>权责物业费累计应收</t>
    </r>
  </si>
  <si>
    <r>
      <rPr>
        <b/>
        <sz val="10"/>
        <rFont val="宋体"/>
        <family val="3"/>
        <charset val="134"/>
      </rPr>
      <t>权责物业费累计实收</t>
    </r>
  </si>
  <si>
    <r>
      <rPr>
        <b/>
        <sz val="10"/>
        <color rgb="FF0070C0"/>
        <rFont val="Arial"/>
        <family val="2"/>
      </rPr>
      <t>1</t>
    </r>
    <r>
      <rPr>
        <b/>
        <sz val="10"/>
        <color rgb="FF0070C0"/>
        <rFont val="宋体"/>
        <family val="3"/>
        <charset val="134"/>
      </rPr>
      <t>月权责租金预算</t>
    </r>
  </si>
  <si>
    <r>
      <rPr>
        <b/>
        <sz val="10"/>
        <color theme="4"/>
        <rFont val="Arial"/>
        <family val="2"/>
      </rPr>
      <t>1</t>
    </r>
    <r>
      <rPr>
        <b/>
        <sz val="10"/>
        <color theme="4"/>
        <rFont val="宋体"/>
        <family val="3"/>
        <charset val="134"/>
      </rPr>
      <t>月权责租金应收</t>
    </r>
  </si>
  <si>
    <r>
      <rPr>
        <b/>
        <sz val="10"/>
        <color rgb="FFFF0000"/>
        <rFont val="Arial"/>
        <family val="2"/>
      </rPr>
      <t>1</t>
    </r>
    <r>
      <rPr>
        <b/>
        <sz val="10"/>
        <color rgb="FFFF0000"/>
        <rFont val="宋体"/>
        <family val="3"/>
        <charset val="134"/>
      </rPr>
      <t>月权责租金实收</t>
    </r>
  </si>
  <si>
    <r>
      <rPr>
        <b/>
        <sz val="10"/>
        <color rgb="FF0070C0"/>
        <rFont val="Arial"/>
        <family val="2"/>
      </rPr>
      <t>1</t>
    </r>
    <r>
      <rPr>
        <b/>
        <sz val="10"/>
        <color rgb="FF0070C0"/>
        <rFont val="宋体"/>
        <family val="3"/>
        <charset val="134"/>
      </rPr>
      <t>月权责物业费预算</t>
    </r>
  </si>
  <si>
    <r>
      <rPr>
        <b/>
        <sz val="10"/>
        <color theme="4"/>
        <rFont val="Arial"/>
        <family val="2"/>
      </rPr>
      <t>1</t>
    </r>
    <r>
      <rPr>
        <b/>
        <sz val="10"/>
        <color theme="4"/>
        <rFont val="宋体"/>
        <family val="3"/>
        <charset val="134"/>
      </rPr>
      <t>月权责物业费应收</t>
    </r>
  </si>
  <si>
    <r>
      <rPr>
        <b/>
        <sz val="10"/>
        <color rgb="FFFF0000"/>
        <rFont val="Arial"/>
        <family val="2"/>
      </rPr>
      <t>1</t>
    </r>
    <r>
      <rPr>
        <b/>
        <sz val="10"/>
        <color rgb="FFFF0000"/>
        <rFont val="宋体"/>
        <family val="3"/>
        <charset val="134"/>
      </rPr>
      <t>月权责物业费实收</t>
    </r>
  </si>
  <si>
    <r>
      <rPr>
        <b/>
        <sz val="10"/>
        <color rgb="FF0070C0"/>
        <rFont val="Arial"/>
        <family val="2"/>
      </rPr>
      <t>2</t>
    </r>
    <r>
      <rPr>
        <b/>
        <sz val="10"/>
        <color rgb="FF0070C0"/>
        <rFont val="宋体"/>
        <family val="3"/>
        <charset val="134"/>
      </rPr>
      <t>月权责租金预算</t>
    </r>
  </si>
  <si>
    <r>
      <rPr>
        <b/>
        <sz val="10"/>
        <color theme="4"/>
        <rFont val="Arial"/>
        <family val="2"/>
      </rPr>
      <t>2</t>
    </r>
    <r>
      <rPr>
        <b/>
        <sz val="10"/>
        <color theme="4"/>
        <rFont val="宋体"/>
        <family val="3"/>
        <charset val="134"/>
      </rPr>
      <t>月权责租金应收</t>
    </r>
  </si>
  <si>
    <r>
      <rPr>
        <b/>
        <sz val="10"/>
        <color rgb="FFFF0000"/>
        <rFont val="Arial"/>
        <family val="2"/>
      </rPr>
      <t>2</t>
    </r>
    <r>
      <rPr>
        <b/>
        <sz val="10"/>
        <color rgb="FFFF0000"/>
        <rFont val="宋体"/>
        <family val="3"/>
        <charset val="134"/>
      </rPr>
      <t>月权责租金实收</t>
    </r>
  </si>
  <si>
    <r>
      <rPr>
        <b/>
        <sz val="10"/>
        <color rgb="FF0070C0"/>
        <rFont val="Arial"/>
        <family val="2"/>
      </rPr>
      <t>2</t>
    </r>
    <r>
      <rPr>
        <b/>
        <sz val="10"/>
        <color rgb="FF0070C0"/>
        <rFont val="宋体"/>
        <family val="3"/>
        <charset val="134"/>
      </rPr>
      <t>月权责物业费预算</t>
    </r>
  </si>
  <si>
    <r>
      <rPr>
        <b/>
        <sz val="10"/>
        <color theme="4"/>
        <rFont val="Arial"/>
        <family val="2"/>
      </rPr>
      <t>2</t>
    </r>
    <r>
      <rPr>
        <b/>
        <sz val="10"/>
        <color theme="4"/>
        <rFont val="宋体"/>
        <family val="3"/>
        <charset val="134"/>
      </rPr>
      <t>月权责物业费应收</t>
    </r>
  </si>
  <si>
    <r>
      <rPr>
        <b/>
        <sz val="10"/>
        <color rgb="FFFF0000"/>
        <rFont val="Arial"/>
        <family val="2"/>
      </rPr>
      <t>2</t>
    </r>
    <r>
      <rPr>
        <b/>
        <sz val="10"/>
        <color rgb="FFFF0000"/>
        <rFont val="宋体"/>
        <family val="3"/>
        <charset val="134"/>
      </rPr>
      <t>月权责物业费实收</t>
    </r>
  </si>
  <si>
    <r>
      <rPr>
        <b/>
        <sz val="10"/>
        <color rgb="FF0070C0"/>
        <rFont val="Arial"/>
        <family val="2"/>
      </rPr>
      <t>3</t>
    </r>
    <r>
      <rPr>
        <b/>
        <sz val="10"/>
        <color rgb="FF0070C0"/>
        <rFont val="宋体"/>
        <family val="3"/>
        <charset val="134"/>
      </rPr>
      <t>月权责租金预算</t>
    </r>
  </si>
  <si>
    <r>
      <rPr>
        <b/>
        <sz val="10"/>
        <color theme="4"/>
        <rFont val="Arial"/>
        <family val="2"/>
      </rPr>
      <t>3</t>
    </r>
    <r>
      <rPr>
        <b/>
        <sz val="10"/>
        <color theme="4"/>
        <rFont val="宋体"/>
        <family val="3"/>
        <charset val="134"/>
      </rPr>
      <t>月权责租金应收</t>
    </r>
  </si>
  <si>
    <r>
      <rPr>
        <b/>
        <sz val="10"/>
        <color rgb="FFFF0000"/>
        <rFont val="Arial"/>
        <family val="2"/>
      </rPr>
      <t>3</t>
    </r>
    <r>
      <rPr>
        <b/>
        <sz val="10"/>
        <color rgb="FFFF0000"/>
        <rFont val="宋体"/>
        <family val="3"/>
        <charset val="134"/>
      </rPr>
      <t>月权责租金实收</t>
    </r>
  </si>
  <si>
    <r>
      <rPr>
        <b/>
        <sz val="10"/>
        <color rgb="FF0070C0"/>
        <rFont val="Arial"/>
        <family val="2"/>
      </rPr>
      <t>3</t>
    </r>
    <r>
      <rPr>
        <b/>
        <sz val="10"/>
        <color rgb="FF0070C0"/>
        <rFont val="宋体"/>
        <family val="3"/>
        <charset val="134"/>
      </rPr>
      <t>月权责物业费预算</t>
    </r>
  </si>
  <si>
    <r>
      <rPr>
        <b/>
        <sz val="10"/>
        <color theme="4"/>
        <rFont val="Arial"/>
        <family val="2"/>
      </rPr>
      <t>3</t>
    </r>
    <r>
      <rPr>
        <b/>
        <sz val="10"/>
        <color theme="4"/>
        <rFont val="宋体"/>
        <family val="3"/>
        <charset val="134"/>
      </rPr>
      <t>月权责物业费应收</t>
    </r>
  </si>
  <si>
    <r>
      <rPr>
        <b/>
        <sz val="10"/>
        <color rgb="FFFF0000"/>
        <rFont val="Arial"/>
        <family val="2"/>
      </rPr>
      <t>3</t>
    </r>
    <r>
      <rPr>
        <b/>
        <sz val="10"/>
        <color rgb="FFFF0000"/>
        <rFont val="宋体"/>
        <family val="3"/>
        <charset val="134"/>
      </rPr>
      <t>月权责物业费实收</t>
    </r>
  </si>
  <si>
    <r>
      <rPr>
        <b/>
        <sz val="10"/>
        <color rgb="FF0070C0"/>
        <rFont val="Arial"/>
        <family val="2"/>
      </rPr>
      <t>4</t>
    </r>
    <r>
      <rPr>
        <b/>
        <sz val="10"/>
        <color rgb="FF0070C0"/>
        <rFont val="宋体"/>
        <family val="3"/>
        <charset val="134"/>
      </rPr>
      <t>月权责租金预算</t>
    </r>
  </si>
  <si>
    <r>
      <rPr>
        <b/>
        <sz val="10"/>
        <color theme="4"/>
        <rFont val="Arial"/>
        <family val="2"/>
      </rPr>
      <t>4</t>
    </r>
    <r>
      <rPr>
        <b/>
        <sz val="10"/>
        <color theme="4"/>
        <rFont val="宋体"/>
        <family val="3"/>
        <charset val="134"/>
      </rPr>
      <t>月权责租金应收</t>
    </r>
  </si>
  <si>
    <r>
      <rPr>
        <b/>
        <sz val="10"/>
        <color rgb="FFFF0000"/>
        <rFont val="Arial"/>
        <family val="2"/>
      </rPr>
      <t>4</t>
    </r>
    <r>
      <rPr>
        <b/>
        <sz val="10"/>
        <color rgb="FFFF0000"/>
        <rFont val="宋体"/>
        <family val="3"/>
        <charset val="134"/>
      </rPr>
      <t>月权责租金实收</t>
    </r>
  </si>
  <si>
    <r>
      <rPr>
        <b/>
        <sz val="10"/>
        <color rgb="FF0070C0"/>
        <rFont val="Arial"/>
        <family val="2"/>
      </rPr>
      <t>4</t>
    </r>
    <r>
      <rPr>
        <b/>
        <sz val="10"/>
        <color rgb="FF0070C0"/>
        <rFont val="宋体"/>
        <family val="3"/>
        <charset val="134"/>
      </rPr>
      <t>月权责物业费预算</t>
    </r>
  </si>
  <si>
    <r>
      <rPr>
        <b/>
        <sz val="10"/>
        <color theme="4"/>
        <rFont val="Arial"/>
        <family val="2"/>
      </rPr>
      <t>4</t>
    </r>
    <r>
      <rPr>
        <b/>
        <sz val="10"/>
        <color theme="4"/>
        <rFont val="宋体"/>
        <family val="3"/>
        <charset val="134"/>
      </rPr>
      <t>月权责物业费应收</t>
    </r>
  </si>
  <si>
    <r>
      <rPr>
        <b/>
        <sz val="10"/>
        <color rgb="FFFF0000"/>
        <rFont val="Arial"/>
        <family val="2"/>
      </rPr>
      <t>4</t>
    </r>
    <r>
      <rPr>
        <b/>
        <sz val="10"/>
        <color rgb="FFFF0000"/>
        <rFont val="宋体"/>
        <family val="3"/>
        <charset val="134"/>
      </rPr>
      <t>月权责物业费实收</t>
    </r>
  </si>
  <si>
    <r>
      <rPr>
        <b/>
        <sz val="10"/>
        <color rgb="FF0070C0"/>
        <rFont val="Arial"/>
        <family val="2"/>
      </rPr>
      <t>5</t>
    </r>
    <r>
      <rPr>
        <b/>
        <sz val="10"/>
        <color rgb="FF0070C0"/>
        <rFont val="宋体"/>
        <family val="3"/>
        <charset val="134"/>
      </rPr>
      <t>月权责租金预算</t>
    </r>
  </si>
  <si>
    <r>
      <rPr>
        <b/>
        <sz val="10"/>
        <color theme="4"/>
        <rFont val="Arial"/>
        <family val="2"/>
      </rPr>
      <t>5</t>
    </r>
    <r>
      <rPr>
        <b/>
        <sz val="10"/>
        <color theme="4"/>
        <rFont val="宋体"/>
        <family val="3"/>
        <charset val="134"/>
      </rPr>
      <t>月权责租金应收</t>
    </r>
  </si>
  <si>
    <r>
      <rPr>
        <b/>
        <sz val="10"/>
        <color rgb="FFFF0000"/>
        <rFont val="Arial"/>
        <family val="2"/>
      </rPr>
      <t>5</t>
    </r>
    <r>
      <rPr>
        <b/>
        <sz val="10"/>
        <color rgb="FFFF0000"/>
        <rFont val="宋体"/>
        <family val="3"/>
        <charset val="134"/>
      </rPr>
      <t>月权责租金实收</t>
    </r>
  </si>
  <si>
    <r>
      <rPr>
        <b/>
        <sz val="10"/>
        <color rgb="FF0070C0"/>
        <rFont val="Arial"/>
        <family val="2"/>
      </rPr>
      <t>5</t>
    </r>
    <r>
      <rPr>
        <b/>
        <sz val="10"/>
        <color rgb="FF0070C0"/>
        <rFont val="宋体"/>
        <family val="3"/>
        <charset val="134"/>
      </rPr>
      <t>月权责物业费预算</t>
    </r>
  </si>
  <si>
    <r>
      <rPr>
        <b/>
        <sz val="10"/>
        <color theme="4"/>
        <rFont val="Arial"/>
        <family val="2"/>
      </rPr>
      <t>5</t>
    </r>
    <r>
      <rPr>
        <b/>
        <sz val="10"/>
        <color theme="4"/>
        <rFont val="宋体"/>
        <family val="3"/>
        <charset val="134"/>
      </rPr>
      <t>月权责物业费应收</t>
    </r>
  </si>
  <si>
    <r>
      <rPr>
        <b/>
        <sz val="10"/>
        <color rgb="FFFF0000"/>
        <rFont val="Arial"/>
        <family val="2"/>
      </rPr>
      <t>5</t>
    </r>
    <r>
      <rPr>
        <b/>
        <sz val="10"/>
        <color rgb="FFFF0000"/>
        <rFont val="宋体"/>
        <family val="3"/>
        <charset val="134"/>
      </rPr>
      <t>月权责物业费实收</t>
    </r>
  </si>
  <si>
    <r>
      <rPr>
        <b/>
        <sz val="10"/>
        <color rgb="FF0070C0"/>
        <rFont val="Arial"/>
        <family val="2"/>
      </rPr>
      <t>6</t>
    </r>
    <r>
      <rPr>
        <b/>
        <sz val="10"/>
        <color rgb="FF0070C0"/>
        <rFont val="宋体"/>
        <family val="3"/>
        <charset val="134"/>
      </rPr>
      <t>月权责租金预算</t>
    </r>
  </si>
  <si>
    <r>
      <rPr>
        <b/>
        <sz val="10"/>
        <color theme="4"/>
        <rFont val="Arial"/>
        <family val="2"/>
      </rPr>
      <t>6</t>
    </r>
    <r>
      <rPr>
        <b/>
        <sz val="10"/>
        <color theme="4"/>
        <rFont val="宋体"/>
        <family val="3"/>
        <charset val="134"/>
      </rPr>
      <t>月权责租金应收</t>
    </r>
  </si>
  <si>
    <r>
      <rPr>
        <b/>
        <sz val="10"/>
        <color rgb="FFFF0000"/>
        <rFont val="Arial"/>
        <family val="2"/>
      </rPr>
      <t>6</t>
    </r>
    <r>
      <rPr>
        <b/>
        <sz val="10"/>
        <color rgb="FFFF0000"/>
        <rFont val="宋体"/>
        <family val="3"/>
        <charset val="134"/>
      </rPr>
      <t>月权责租金实收</t>
    </r>
  </si>
  <si>
    <r>
      <rPr>
        <b/>
        <sz val="10"/>
        <color rgb="FF0070C0"/>
        <rFont val="Arial"/>
        <family val="2"/>
      </rPr>
      <t>6</t>
    </r>
    <r>
      <rPr>
        <b/>
        <sz val="10"/>
        <color rgb="FF0070C0"/>
        <rFont val="宋体"/>
        <family val="3"/>
        <charset val="134"/>
      </rPr>
      <t>月权责物业费预算</t>
    </r>
  </si>
  <si>
    <r>
      <rPr>
        <b/>
        <sz val="10"/>
        <color theme="4"/>
        <rFont val="Arial"/>
        <family val="2"/>
      </rPr>
      <t>6</t>
    </r>
    <r>
      <rPr>
        <b/>
        <sz val="10"/>
        <color theme="4"/>
        <rFont val="宋体"/>
        <family val="3"/>
        <charset val="134"/>
      </rPr>
      <t>月权责物业费应收</t>
    </r>
  </si>
  <si>
    <r>
      <rPr>
        <b/>
        <sz val="10"/>
        <color rgb="FFFF0000"/>
        <rFont val="Arial"/>
        <family val="2"/>
      </rPr>
      <t>6</t>
    </r>
    <r>
      <rPr>
        <b/>
        <sz val="10"/>
        <color rgb="FFFF0000"/>
        <rFont val="宋体"/>
        <family val="3"/>
        <charset val="134"/>
      </rPr>
      <t>月权责物业费实收</t>
    </r>
  </si>
  <si>
    <r>
      <rPr>
        <b/>
        <sz val="10"/>
        <color rgb="FF0070C0"/>
        <rFont val="Arial"/>
        <family val="2"/>
      </rPr>
      <t>7</t>
    </r>
    <r>
      <rPr>
        <b/>
        <sz val="10"/>
        <color rgb="FF0070C0"/>
        <rFont val="宋体"/>
        <family val="3"/>
        <charset val="134"/>
      </rPr>
      <t>月权责租金预算</t>
    </r>
  </si>
  <si>
    <r>
      <rPr>
        <b/>
        <sz val="10"/>
        <color theme="4"/>
        <rFont val="Arial"/>
        <family val="2"/>
      </rPr>
      <t>7</t>
    </r>
    <r>
      <rPr>
        <b/>
        <sz val="10"/>
        <color theme="4"/>
        <rFont val="宋体"/>
        <family val="3"/>
        <charset val="134"/>
      </rPr>
      <t>月权责租金应收</t>
    </r>
  </si>
  <si>
    <r>
      <rPr>
        <b/>
        <sz val="10"/>
        <color rgb="FFFF0000"/>
        <rFont val="Arial"/>
        <family val="2"/>
      </rPr>
      <t>7</t>
    </r>
    <r>
      <rPr>
        <b/>
        <sz val="10"/>
        <color rgb="FFFF0000"/>
        <rFont val="宋体"/>
        <family val="3"/>
        <charset val="134"/>
      </rPr>
      <t>月权责租金实收</t>
    </r>
  </si>
  <si>
    <r>
      <rPr>
        <b/>
        <sz val="10"/>
        <color rgb="FF0070C0"/>
        <rFont val="Arial"/>
        <family val="2"/>
      </rPr>
      <t>7</t>
    </r>
    <r>
      <rPr>
        <b/>
        <sz val="10"/>
        <color rgb="FF0070C0"/>
        <rFont val="宋体"/>
        <family val="3"/>
        <charset val="134"/>
      </rPr>
      <t>月权责物业费预算</t>
    </r>
  </si>
  <si>
    <r>
      <rPr>
        <b/>
        <sz val="10"/>
        <color theme="4"/>
        <rFont val="Arial"/>
        <family val="2"/>
      </rPr>
      <t>7</t>
    </r>
    <r>
      <rPr>
        <b/>
        <sz val="10"/>
        <color theme="4"/>
        <rFont val="宋体"/>
        <family val="3"/>
        <charset val="134"/>
      </rPr>
      <t>月权责物业费应收</t>
    </r>
  </si>
  <si>
    <r>
      <rPr>
        <b/>
        <sz val="10"/>
        <color rgb="FFFF0000"/>
        <rFont val="Arial"/>
        <family val="2"/>
      </rPr>
      <t>7</t>
    </r>
    <r>
      <rPr>
        <b/>
        <sz val="10"/>
        <color rgb="FFFF0000"/>
        <rFont val="宋体"/>
        <family val="3"/>
        <charset val="134"/>
      </rPr>
      <t>月权责物业费实收</t>
    </r>
  </si>
  <si>
    <r>
      <rPr>
        <b/>
        <sz val="10"/>
        <color rgb="FF0070C0"/>
        <rFont val="Arial"/>
        <family val="2"/>
      </rPr>
      <t>8</t>
    </r>
    <r>
      <rPr>
        <b/>
        <sz val="10"/>
        <color rgb="FF0070C0"/>
        <rFont val="宋体"/>
        <family val="3"/>
        <charset val="134"/>
      </rPr>
      <t>月权责租金预算</t>
    </r>
  </si>
  <si>
    <r>
      <rPr>
        <b/>
        <sz val="10"/>
        <color theme="4"/>
        <rFont val="Arial"/>
        <family val="2"/>
      </rPr>
      <t>8</t>
    </r>
    <r>
      <rPr>
        <b/>
        <sz val="10"/>
        <color theme="4"/>
        <rFont val="宋体"/>
        <family val="3"/>
        <charset val="134"/>
      </rPr>
      <t>月权责租金应收</t>
    </r>
  </si>
  <si>
    <r>
      <rPr>
        <b/>
        <sz val="10"/>
        <color rgb="FFFF0000"/>
        <rFont val="Arial"/>
        <family val="2"/>
      </rPr>
      <t>8</t>
    </r>
    <r>
      <rPr>
        <b/>
        <sz val="10"/>
        <color rgb="FFFF0000"/>
        <rFont val="宋体"/>
        <family val="3"/>
        <charset val="134"/>
      </rPr>
      <t>月权责租金实收</t>
    </r>
  </si>
  <si>
    <r>
      <rPr>
        <b/>
        <sz val="10"/>
        <color rgb="FF0070C0"/>
        <rFont val="Arial"/>
        <family val="2"/>
      </rPr>
      <t>8</t>
    </r>
    <r>
      <rPr>
        <b/>
        <sz val="10"/>
        <color rgb="FF0070C0"/>
        <rFont val="宋体"/>
        <family val="3"/>
        <charset val="134"/>
      </rPr>
      <t>月权责物业费预算</t>
    </r>
  </si>
  <si>
    <r>
      <rPr>
        <b/>
        <sz val="10"/>
        <color theme="4"/>
        <rFont val="Arial"/>
        <family val="2"/>
      </rPr>
      <t>8</t>
    </r>
    <r>
      <rPr>
        <b/>
        <sz val="10"/>
        <color theme="4"/>
        <rFont val="宋体"/>
        <family val="3"/>
        <charset val="134"/>
      </rPr>
      <t>月权责物业费应收</t>
    </r>
  </si>
  <si>
    <r>
      <rPr>
        <b/>
        <sz val="10"/>
        <color rgb="FFFF0000"/>
        <rFont val="Arial"/>
        <family val="2"/>
      </rPr>
      <t>8</t>
    </r>
    <r>
      <rPr>
        <b/>
        <sz val="10"/>
        <color rgb="FFFF0000"/>
        <rFont val="宋体"/>
        <family val="3"/>
        <charset val="134"/>
      </rPr>
      <t>月权责物业费实收</t>
    </r>
  </si>
  <si>
    <r>
      <rPr>
        <b/>
        <sz val="10"/>
        <color rgb="FF0070C0"/>
        <rFont val="Arial"/>
        <family val="2"/>
      </rPr>
      <t>9</t>
    </r>
    <r>
      <rPr>
        <b/>
        <sz val="10"/>
        <color rgb="FF0070C0"/>
        <rFont val="宋体"/>
        <family val="3"/>
        <charset val="134"/>
      </rPr>
      <t>月权责租金预算</t>
    </r>
  </si>
  <si>
    <r>
      <rPr>
        <b/>
        <sz val="10"/>
        <color theme="4"/>
        <rFont val="Arial"/>
        <family val="2"/>
      </rPr>
      <t>9</t>
    </r>
    <r>
      <rPr>
        <b/>
        <sz val="10"/>
        <color theme="4"/>
        <rFont val="宋体"/>
        <family val="3"/>
        <charset val="134"/>
      </rPr>
      <t>月权责租金应收</t>
    </r>
  </si>
  <si>
    <r>
      <rPr>
        <b/>
        <sz val="10"/>
        <color rgb="FFFF0000"/>
        <rFont val="Arial"/>
        <family val="2"/>
      </rPr>
      <t>9</t>
    </r>
    <r>
      <rPr>
        <b/>
        <sz val="10"/>
        <color rgb="FFFF0000"/>
        <rFont val="宋体"/>
        <family val="3"/>
        <charset val="134"/>
      </rPr>
      <t>月权责租金实收</t>
    </r>
  </si>
  <si>
    <r>
      <rPr>
        <b/>
        <sz val="10"/>
        <color rgb="FF0070C0"/>
        <rFont val="Arial"/>
        <family val="2"/>
      </rPr>
      <t>9</t>
    </r>
    <r>
      <rPr>
        <b/>
        <sz val="10"/>
        <color rgb="FF0070C0"/>
        <rFont val="宋体"/>
        <family val="3"/>
        <charset val="134"/>
      </rPr>
      <t>月权责物业费预算</t>
    </r>
  </si>
  <si>
    <r>
      <rPr>
        <b/>
        <sz val="10"/>
        <color theme="4"/>
        <rFont val="Arial"/>
        <family val="2"/>
      </rPr>
      <t>9</t>
    </r>
    <r>
      <rPr>
        <b/>
        <sz val="10"/>
        <color theme="4"/>
        <rFont val="宋体"/>
        <family val="3"/>
        <charset val="134"/>
      </rPr>
      <t>月权责物业费应收</t>
    </r>
  </si>
  <si>
    <r>
      <rPr>
        <b/>
        <sz val="10"/>
        <color rgb="FFFF0000"/>
        <rFont val="Arial"/>
        <family val="2"/>
      </rPr>
      <t>9</t>
    </r>
    <r>
      <rPr>
        <b/>
        <sz val="10"/>
        <color rgb="FFFF0000"/>
        <rFont val="宋体"/>
        <family val="3"/>
        <charset val="134"/>
      </rPr>
      <t>月权责物业费实收</t>
    </r>
  </si>
  <si>
    <r>
      <rPr>
        <b/>
        <sz val="10"/>
        <color rgb="FF0070C0"/>
        <rFont val="Arial"/>
        <family val="2"/>
      </rPr>
      <t>10</t>
    </r>
    <r>
      <rPr>
        <b/>
        <sz val="10"/>
        <color rgb="FF0070C0"/>
        <rFont val="宋体"/>
        <family val="3"/>
        <charset val="134"/>
      </rPr>
      <t>月权责租金预算</t>
    </r>
  </si>
  <si>
    <r>
      <rPr>
        <b/>
        <sz val="10"/>
        <color theme="4"/>
        <rFont val="Arial"/>
        <family val="2"/>
      </rPr>
      <t>10</t>
    </r>
    <r>
      <rPr>
        <b/>
        <sz val="10"/>
        <color theme="4"/>
        <rFont val="宋体"/>
        <family val="3"/>
        <charset val="134"/>
      </rPr>
      <t>月权责租金应收</t>
    </r>
  </si>
  <si>
    <r>
      <rPr>
        <b/>
        <sz val="10"/>
        <color rgb="FFFF0000"/>
        <rFont val="Arial"/>
        <family val="2"/>
      </rPr>
      <t>10</t>
    </r>
    <r>
      <rPr>
        <b/>
        <sz val="10"/>
        <color rgb="FFFF0000"/>
        <rFont val="宋体"/>
        <family val="3"/>
        <charset val="134"/>
      </rPr>
      <t>月权责租金实收</t>
    </r>
  </si>
  <si>
    <r>
      <rPr>
        <b/>
        <sz val="10"/>
        <color rgb="FF0070C0"/>
        <rFont val="Arial"/>
        <family val="2"/>
      </rPr>
      <t>10</t>
    </r>
    <r>
      <rPr>
        <b/>
        <sz val="10"/>
        <color rgb="FF0070C0"/>
        <rFont val="宋体"/>
        <family val="3"/>
        <charset val="134"/>
      </rPr>
      <t>月权责物业费预算</t>
    </r>
  </si>
  <si>
    <r>
      <rPr>
        <b/>
        <sz val="10"/>
        <color theme="4"/>
        <rFont val="Arial"/>
        <family val="2"/>
      </rPr>
      <t>10</t>
    </r>
    <r>
      <rPr>
        <b/>
        <sz val="10"/>
        <color theme="4"/>
        <rFont val="宋体"/>
        <family val="3"/>
        <charset val="134"/>
      </rPr>
      <t>月权责物业费应收</t>
    </r>
  </si>
  <si>
    <r>
      <rPr>
        <b/>
        <sz val="10"/>
        <color rgb="FFFF0000"/>
        <rFont val="Arial"/>
        <family val="2"/>
      </rPr>
      <t>10</t>
    </r>
    <r>
      <rPr>
        <b/>
        <sz val="10"/>
        <color rgb="FFFF0000"/>
        <rFont val="宋体"/>
        <family val="3"/>
        <charset val="134"/>
      </rPr>
      <t>月权责物业费实收</t>
    </r>
  </si>
  <si>
    <r>
      <rPr>
        <b/>
        <sz val="10"/>
        <color rgb="FF0070C0"/>
        <rFont val="Arial"/>
        <family val="2"/>
      </rPr>
      <t>11</t>
    </r>
    <r>
      <rPr>
        <b/>
        <sz val="10"/>
        <color rgb="FF0070C0"/>
        <rFont val="宋体"/>
        <family val="3"/>
        <charset val="134"/>
      </rPr>
      <t>月权责租金预算</t>
    </r>
  </si>
  <si>
    <r>
      <rPr>
        <b/>
        <sz val="10"/>
        <color theme="4"/>
        <rFont val="Arial"/>
        <family val="2"/>
      </rPr>
      <t>11</t>
    </r>
    <r>
      <rPr>
        <b/>
        <sz val="10"/>
        <color theme="4"/>
        <rFont val="宋体"/>
        <family val="3"/>
        <charset val="134"/>
      </rPr>
      <t>月权责租金应收</t>
    </r>
  </si>
  <si>
    <r>
      <rPr>
        <b/>
        <sz val="10"/>
        <color rgb="FFFF0000"/>
        <rFont val="Arial"/>
        <family val="2"/>
      </rPr>
      <t>11</t>
    </r>
    <r>
      <rPr>
        <b/>
        <sz val="10"/>
        <color rgb="FFFF0000"/>
        <rFont val="宋体"/>
        <family val="3"/>
        <charset val="134"/>
      </rPr>
      <t>月权责租金实收</t>
    </r>
  </si>
  <si>
    <r>
      <rPr>
        <b/>
        <sz val="10"/>
        <color rgb="FF0070C0"/>
        <rFont val="Arial"/>
        <family val="2"/>
      </rPr>
      <t>11</t>
    </r>
    <r>
      <rPr>
        <b/>
        <sz val="10"/>
        <color rgb="FF0070C0"/>
        <rFont val="宋体"/>
        <family val="3"/>
        <charset val="134"/>
      </rPr>
      <t>月权责物业费预算</t>
    </r>
  </si>
  <si>
    <r>
      <rPr>
        <b/>
        <sz val="10"/>
        <color theme="4"/>
        <rFont val="Arial"/>
        <family val="2"/>
      </rPr>
      <t>11</t>
    </r>
    <r>
      <rPr>
        <b/>
        <sz val="10"/>
        <color theme="4"/>
        <rFont val="宋体"/>
        <family val="3"/>
        <charset val="134"/>
      </rPr>
      <t>月权责物业费应收</t>
    </r>
  </si>
  <si>
    <r>
      <rPr>
        <b/>
        <sz val="10"/>
        <color rgb="FFFF0000"/>
        <rFont val="Arial"/>
        <family val="2"/>
      </rPr>
      <t>11</t>
    </r>
    <r>
      <rPr>
        <b/>
        <sz val="10"/>
        <color rgb="FFFF0000"/>
        <rFont val="宋体"/>
        <family val="3"/>
        <charset val="134"/>
      </rPr>
      <t>月权责物业费实收</t>
    </r>
  </si>
  <si>
    <r>
      <rPr>
        <b/>
        <sz val="10"/>
        <color rgb="FF0070C0"/>
        <rFont val="Arial"/>
        <family val="2"/>
      </rPr>
      <t>12</t>
    </r>
    <r>
      <rPr>
        <b/>
        <sz val="10"/>
        <color rgb="FF0070C0"/>
        <rFont val="宋体"/>
        <family val="3"/>
        <charset val="134"/>
      </rPr>
      <t>月权责租金预算</t>
    </r>
  </si>
  <si>
    <r>
      <rPr>
        <b/>
        <sz val="10"/>
        <color theme="4"/>
        <rFont val="Arial"/>
        <family val="2"/>
      </rPr>
      <t>12</t>
    </r>
    <r>
      <rPr>
        <b/>
        <sz val="10"/>
        <color theme="4"/>
        <rFont val="宋体"/>
        <family val="3"/>
        <charset val="134"/>
      </rPr>
      <t>月权责租金应收</t>
    </r>
  </si>
  <si>
    <r>
      <rPr>
        <b/>
        <sz val="10"/>
        <color rgb="FFFF0000"/>
        <rFont val="Arial"/>
        <family val="2"/>
      </rPr>
      <t>12</t>
    </r>
    <r>
      <rPr>
        <b/>
        <sz val="10"/>
        <color rgb="FFFF0000"/>
        <rFont val="宋体"/>
        <family val="3"/>
        <charset val="134"/>
      </rPr>
      <t>月权责租金实收</t>
    </r>
  </si>
  <si>
    <r>
      <rPr>
        <b/>
        <sz val="10"/>
        <color rgb="FF0070C0"/>
        <rFont val="Arial"/>
        <family val="2"/>
      </rPr>
      <t>12</t>
    </r>
    <r>
      <rPr>
        <b/>
        <sz val="10"/>
        <color rgb="FF0070C0"/>
        <rFont val="宋体"/>
        <family val="3"/>
        <charset val="134"/>
      </rPr>
      <t>月权责物业费预算</t>
    </r>
  </si>
  <si>
    <r>
      <rPr>
        <b/>
        <sz val="10"/>
        <color theme="4"/>
        <rFont val="Arial"/>
        <family val="2"/>
      </rPr>
      <t>12</t>
    </r>
    <r>
      <rPr>
        <b/>
        <sz val="10"/>
        <color theme="4"/>
        <rFont val="宋体"/>
        <family val="3"/>
        <charset val="134"/>
      </rPr>
      <t>月权责物业费应收</t>
    </r>
  </si>
  <si>
    <r>
      <rPr>
        <b/>
        <sz val="10"/>
        <color rgb="FFFF0000"/>
        <rFont val="Arial"/>
        <family val="2"/>
      </rPr>
      <t>12</t>
    </r>
    <r>
      <rPr>
        <b/>
        <sz val="10"/>
        <color rgb="FFFF0000"/>
        <rFont val="宋体"/>
        <family val="3"/>
        <charset val="134"/>
      </rPr>
      <t>月权责物业费实收</t>
    </r>
  </si>
  <si>
    <r>
      <rPr>
        <b/>
        <sz val="10"/>
        <color theme="1"/>
        <rFont val="宋体"/>
        <family val="3"/>
        <charset val="134"/>
      </rPr>
      <t>预收</t>
    </r>
    <r>
      <rPr>
        <b/>
        <sz val="10"/>
        <color theme="1"/>
        <rFont val="Arial"/>
        <family val="2"/>
      </rPr>
      <t>2025</t>
    </r>
    <r>
      <rPr>
        <b/>
        <sz val="10"/>
        <color theme="1"/>
        <rFont val="宋体"/>
        <family val="3"/>
        <charset val="134"/>
      </rPr>
      <t>年期间应收</t>
    </r>
  </si>
  <si>
    <r>
      <rPr>
        <b/>
        <sz val="10"/>
        <color theme="1"/>
        <rFont val="宋体"/>
        <family val="3"/>
        <charset val="134"/>
      </rPr>
      <t>预收</t>
    </r>
    <r>
      <rPr>
        <b/>
        <sz val="10"/>
        <color theme="1"/>
        <rFont val="Arial"/>
        <family val="2"/>
      </rPr>
      <t>2025</t>
    </r>
    <r>
      <rPr>
        <b/>
        <sz val="10"/>
        <color theme="1"/>
        <rFont val="宋体"/>
        <family val="3"/>
        <charset val="134"/>
      </rPr>
      <t>年租金应收</t>
    </r>
  </si>
  <si>
    <r>
      <rPr>
        <b/>
        <sz val="10"/>
        <color theme="1"/>
        <rFont val="宋体"/>
        <family val="3"/>
        <charset val="134"/>
      </rPr>
      <t>预收</t>
    </r>
    <r>
      <rPr>
        <b/>
        <sz val="10"/>
        <color theme="1"/>
        <rFont val="Arial"/>
        <family val="2"/>
      </rPr>
      <t>2025</t>
    </r>
    <r>
      <rPr>
        <b/>
        <sz val="10"/>
        <color theme="1"/>
        <rFont val="宋体"/>
        <family val="3"/>
        <charset val="134"/>
      </rPr>
      <t>年物业费应收</t>
    </r>
  </si>
  <si>
    <r>
      <rPr>
        <b/>
        <sz val="10"/>
        <rFont val="宋体"/>
        <family val="3"/>
        <charset val="134"/>
      </rPr>
      <t>预收</t>
    </r>
    <r>
      <rPr>
        <b/>
        <sz val="10"/>
        <rFont val="Arial"/>
        <family val="2"/>
      </rPr>
      <t>2025</t>
    </r>
    <r>
      <rPr>
        <b/>
        <sz val="10"/>
        <rFont val="宋体"/>
        <family val="3"/>
        <charset val="134"/>
      </rPr>
      <t>年期间实收</t>
    </r>
  </si>
  <si>
    <r>
      <rPr>
        <b/>
        <sz val="10"/>
        <rFont val="宋体"/>
        <family val="3"/>
        <charset val="134"/>
      </rPr>
      <t>预收</t>
    </r>
    <r>
      <rPr>
        <b/>
        <sz val="10"/>
        <rFont val="Arial"/>
        <family val="2"/>
      </rPr>
      <t>2025</t>
    </r>
    <r>
      <rPr>
        <b/>
        <sz val="10"/>
        <rFont val="宋体"/>
        <family val="3"/>
        <charset val="134"/>
      </rPr>
      <t>年租金实收</t>
    </r>
  </si>
  <si>
    <r>
      <rPr>
        <b/>
        <sz val="10"/>
        <rFont val="宋体"/>
        <family val="3"/>
        <charset val="134"/>
      </rPr>
      <t>预收</t>
    </r>
    <r>
      <rPr>
        <b/>
        <sz val="10"/>
        <rFont val="Arial"/>
        <family val="2"/>
      </rPr>
      <t>1</t>
    </r>
    <r>
      <rPr>
        <b/>
        <sz val="10"/>
        <rFont val="宋体"/>
        <family val="3"/>
        <charset val="134"/>
      </rPr>
      <t>月租金</t>
    </r>
  </si>
  <si>
    <r>
      <rPr>
        <b/>
        <sz val="10"/>
        <rFont val="宋体"/>
        <family val="3"/>
        <charset val="134"/>
      </rPr>
      <t>预收</t>
    </r>
    <r>
      <rPr>
        <b/>
        <sz val="10"/>
        <rFont val="Arial"/>
        <family val="2"/>
      </rPr>
      <t>2</t>
    </r>
    <r>
      <rPr>
        <b/>
        <sz val="10"/>
        <rFont val="宋体"/>
        <family val="3"/>
        <charset val="134"/>
      </rPr>
      <t>月租金</t>
    </r>
  </si>
  <si>
    <r>
      <rPr>
        <b/>
        <sz val="10"/>
        <rFont val="宋体"/>
        <family val="3"/>
        <charset val="134"/>
      </rPr>
      <t>预收</t>
    </r>
    <r>
      <rPr>
        <b/>
        <sz val="10"/>
        <rFont val="Arial"/>
        <family val="2"/>
      </rPr>
      <t>3</t>
    </r>
    <r>
      <rPr>
        <b/>
        <sz val="10"/>
        <rFont val="宋体"/>
        <family val="3"/>
        <charset val="134"/>
      </rPr>
      <t>月租金</t>
    </r>
  </si>
  <si>
    <r>
      <rPr>
        <b/>
        <sz val="10"/>
        <rFont val="宋体"/>
        <family val="3"/>
        <charset val="134"/>
      </rPr>
      <t>预收</t>
    </r>
    <r>
      <rPr>
        <b/>
        <sz val="10"/>
        <rFont val="Arial"/>
        <family val="2"/>
      </rPr>
      <t>4</t>
    </r>
    <r>
      <rPr>
        <b/>
        <sz val="10"/>
        <rFont val="宋体"/>
        <family val="3"/>
        <charset val="134"/>
      </rPr>
      <t>月租金</t>
    </r>
  </si>
  <si>
    <r>
      <rPr>
        <b/>
        <sz val="10"/>
        <rFont val="宋体"/>
        <family val="3"/>
        <charset val="134"/>
      </rPr>
      <t>预收</t>
    </r>
    <r>
      <rPr>
        <b/>
        <sz val="10"/>
        <rFont val="Arial"/>
        <family val="2"/>
      </rPr>
      <t>5</t>
    </r>
    <r>
      <rPr>
        <b/>
        <sz val="10"/>
        <rFont val="宋体"/>
        <family val="3"/>
        <charset val="134"/>
      </rPr>
      <t>月租金</t>
    </r>
  </si>
  <si>
    <r>
      <rPr>
        <b/>
        <sz val="10"/>
        <rFont val="宋体"/>
        <family val="3"/>
        <charset val="134"/>
      </rPr>
      <t>预收</t>
    </r>
    <r>
      <rPr>
        <b/>
        <sz val="10"/>
        <rFont val="Arial"/>
        <family val="2"/>
      </rPr>
      <t>6</t>
    </r>
    <r>
      <rPr>
        <b/>
        <sz val="10"/>
        <rFont val="宋体"/>
        <family val="3"/>
        <charset val="134"/>
      </rPr>
      <t>月租金</t>
    </r>
  </si>
  <si>
    <r>
      <rPr>
        <b/>
        <sz val="10"/>
        <rFont val="宋体"/>
        <family val="3"/>
        <charset val="134"/>
      </rPr>
      <t>预收</t>
    </r>
    <r>
      <rPr>
        <b/>
        <sz val="10"/>
        <rFont val="Arial"/>
        <family val="2"/>
      </rPr>
      <t>7</t>
    </r>
    <r>
      <rPr>
        <b/>
        <sz val="10"/>
        <rFont val="宋体"/>
        <family val="3"/>
        <charset val="134"/>
      </rPr>
      <t>月租金</t>
    </r>
  </si>
  <si>
    <r>
      <rPr>
        <b/>
        <sz val="10"/>
        <rFont val="宋体"/>
        <family val="3"/>
        <charset val="134"/>
      </rPr>
      <t>预收</t>
    </r>
    <r>
      <rPr>
        <b/>
        <sz val="10"/>
        <rFont val="Arial"/>
        <family val="2"/>
      </rPr>
      <t>8</t>
    </r>
    <r>
      <rPr>
        <b/>
        <sz val="10"/>
        <rFont val="宋体"/>
        <family val="3"/>
        <charset val="134"/>
      </rPr>
      <t>月租金</t>
    </r>
  </si>
  <si>
    <r>
      <rPr>
        <b/>
        <sz val="10"/>
        <rFont val="宋体"/>
        <family val="3"/>
        <charset val="134"/>
      </rPr>
      <t>预收</t>
    </r>
    <r>
      <rPr>
        <b/>
        <sz val="10"/>
        <rFont val="Arial"/>
        <family val="2"/>
      </rPr>
      <t>9</t>
    </r>
    <r>
      <rPr>
        <b/>
        <sz val="10"/>
        <rFont val="宋体"/>
        <family val="3"/>
        <charset val="134"/>
      </rPr>
      <t>月租金</t>
    </r>
  </si>
  <si>
    <r>
      <rPr>
        <b/>
        <sz val="10"/>
        <rFont val="宋体"/>
        <family val="3"/>
        <charset val="134"/>
      </rPr>
      <t>预收</t>
    </r>
    <r>
      <rPr>
        <b/>
        <sz val="10"/>
        <rFont val="Arial"/>
        <family val="2"/>
      </rPr>
      <t>10</t>
    </r>
    <r>
      <rPr>
        <b/>
        <sz val="10"/>
        <rFont val="宋体"/>
        <family val="3"/>
        <charset val="134"/>
      </rPr>
      <t>月租金</t>
    </r>
  </si>
  <si>
    <r>
      <rPr>
        <b/>
        <sz val="10"/>
        <rFont val="宋体"/>
        <family val="3"/>
        <charset val="134"/>
      </rPr>
      <t>预收</t>
    </r>
    <r>
      <rPr>
        <b/>
        <sz val="10"/>
        <rFont val="Arial"/>
        <family val="2"/>
      </rPr>
      <t>11</t>
    </r>
    <r>
      <rPr>
        <b/>
        <sz val="10"/>
        <rFont val="宋体"/>
        <family val="3"/>
        <charset val="134"/>
      </rPr>
      <t>月租金</t>
    </r>
  </si>
  <si>
    <r>
      <rPr>
        <b/>
        <sz val="10"/>
        <rFont val="宋体"/>
        <family val="3"/>
        <charset val="134"/>
      </rPr>
      <t>预收</t>
    </r>
    <r>
      <rPr>
        <b/>
        <sz val="10"/>
        <rFont val="Arial"/>
        <family val="2"/>
      </rPr>
      <t>12</t>
    </r>
    <r>
      <rPr>
        <b/>
        <sz val="10"/>
        <rFont val="宋体"/>
        <family val="3"/>
        <charset val="134"/>
      </rPr>
      <t>月租金</t>
    </r>
  </si>
  <si>
    <r>
      <rPr>
        <b/>
        <sz val="10"/>
        <rFont val="宋体"/>
        <family val="3"/>
        <charset val="134"/>
      </rPr>
      <t>预收</t>
    </r>
    <r>
      <rPr>
        <b/>
        <sz val="10"/>
        <rFont val="Arial"/>
        <family val="2"/>
      </rPr>
      <t>2025</t>
    </r>
    <r>
      <rPr>
        <b/>
        <sz val="10"/>
        <rFont val="宋体"/>
        <family val="3"/>
        <charset val="134"/>
      </rPr>
      <t>年物业费实收</t>
    </r>
  </si>
  <si>
    <r>
      <rPr>
        <b/>
        <sz val="10"/>
        <rFont val="宋体"/>
        <family val="3"/>
        <charset val="134"/>
      </rPr>
      <t>预收</t>
    </r>
    <r>
      <rPr>
        <b/>
        <sz val="10"/>
        <rFont val="Arial"/>
        <family val="2"/>
      </rPr>
      <t>1</t>
    </r>
    <r>
      <rPr>
        <b/>
        <sz val="10"/>
        <rFont val="宋体"/>
        <family val="3"/>
        <charset val="134"/>
      </rPr>
      <t>月物业费</t>
    </r>
  </si>
  <si>
    <r>
      <rPr>
        <b/>
        <sz val="10"/>
        <rFont val="宋体"/>
        <family val="3"/>
        <charset val="134"/>
      </rPr>
      <t>预收</t>
    </r>
    <r>
      <rPr>
        <b/>
        <sz val="10"/>
        <rFont val="Arial"/>
        <family val="2"/>
      </rPr>
      <t>2</t>
    </r>
    <r>
      <rPr>
        <b/>
        <sz val="10"/>
        <rFont val="宋体"/>
        <family val="3"/>
        <charset val="134"/>
      </rPr>
      <t>月物业费</t>
    </r>
  </si>
  <si>
    <r>
      <rPr>
        <b/>
        <sz val="10"/>
        <rFont val="宋体"/>
        <family val="3"/>
        <charset val="134"/>
      </rPr>
      <t>预收</t>
    </r>
    <r>
      <rPr>
        <b/>
        <sz val="10"/>
        <rFont val="Arial"/>
        <family val="2"/>
      </rPr>
      <t>3</t>
    </r>
    <r>
      <rPr>
        <b/>
        <sz val="10"/>
        <rFont val="宋体"/>
        <family val="3"/>
        <charset val="134"/>
      </rPr>
      <t>月物业费</t>
    </r>
  </si>
  <si>
    <r>
      <rPr>
        <b/>
        <sz val="10"/>
        <rFont val="宋体"/>
        <family val="3"/>
        <charset val="134"/>
      </rPr>
      <t>预收</t>
    </r>
    <r>
      <rPr>
        <b/>
        <sz val="10"/>
        <rFont val="Arial"/>
        <family val="2"/>
      </rPr>
      <t>4</t>
    </r>
    <r>
      <rPr>
        <b/>
        <sz val="10"/>
        <rFont val="宋体"/>
        <family val="3"/>
        <charset val="134"/>
      </rPr>
      <t>月物业费</t>
    </r>
  </si>
  <si>
    <r>
      <rPr>
        <b/>
        <sz val="10"/>
        <rFont val="宋体"/>
        <family val="3"/>
        <charset val="134"/>
      </rPr>
      <t>预收</t>
    </r>
    <r>
      <rPr>
        <b/>
        <sz val="10"/>
        <rFont val="Arial"/>
        <family val="2"/>
      </rPr>
      <t>5</t>
    </r>
    <r>
      <rPr>
        <b/>
        <sz val="10"/>
        <rFont val="宋体"/>
        <family val="3"/>
        <charset val="134"/>
      </rPr>
      <t>月物业费</t>
    </r>
  </si>
  <si>
    <r>
      <rPr>
        <b/>
        <sz val="10"/>
        <rFont val="宋体"/>
        <family val="3"/>
        <charset val="134"/>
      </rPr>
      <t>预收</t>
    </r>
    <r>
      <rPr>
        <b/>
        <sz val="10"/>
        <rFont val="Arial"/>
        <family val="2"/>
      </rPr>
      <t>6</t>
    </r>
    <r>
      <rPr>
        <b/>
        <sz val="10"/>
        <rFont val="宋体"/>
        <family val="3"/>
        <charset val="134"/>
      </rPr>
      <t>月物业费</t>
    </r>
  </si>
  <si>
    <r>
      <rPr>
        <b/>
        <sz val="10"/>
        <rFont val="宋体"/>
        <family val="3"/>
        <charset val="134"/>
      </rPr>
      <t>预收</t>
    </r>
    <r>
      <rPr>
        <b/>
        <sz val="10"/>
        <rFont val="Arial"/>
        <family val="2"/>
      </rPr>
      <t>7</t>
    </r>
    <r>
      <rPr>
        <b/>
        <sz val="10"/>
        <rFont val="宋体"/>
        <family val="3"/>
        <charset val="134"/>
      </rPr>
      <t>月物业费</t>
    </r>
  </si>
  <si>
    <r>
      <rPr>
        <b/>
        <sz val="10"/>
        <rFont val="宋体"/>
        <family val="3"/>
        <charset val="134"/>
      </rPr>
      <t>预收</t>
    </r>
    <r>
      <rPr>
        <b/>
        <sz val="10"/>
        <rFont val="Arial"/>
        <family val="2"/>
      </rPr>
      <t>8</t>
    </r>
    <r>
      <rPr>
        <b/>
        <sz val="10"/>
        <rFont val="宋体"/>
        <family val="3"/>
        <charset val="134"/>
      </rPr>
      <t>月物业费</t>
    </r>
  </si>
  <si>
    <r>
      <rPr>
        <b/>
        <sz val="10"/>
        <rFont val="宋体"/>
        <family val="3"/>
        <charset val="134"/>
      </rPr>
      <t>预收</t>
    </r>
    <r>
      <rPr>
        <b/>
        <sz val="10"/>
        <rFont val="Arial"/>
        <family val="2"/>
      </rPr>
      <t>9</t>
    </r>
    <r>
      <rPr>
        <b/>
        <sz val="10"/>
        <rFont val="宋体"/>
        <family val="3"/>
        <charset val="134"/>
      </rPr>
      <t>月物业费</t>
    </r>
  </si>
  <si>
    <r>
      <rPr>
        <b/>
        <sz val="10"/>
        <rFont val="宋体"/>
        <family val="3"/>
        <charset val="134"/>
      </rPr>
      <t>预收</t>
    </r>
    <r>
      <rPr>
        <b/>
        <sz val="10"/>
        <rFont val="Arial"/>
        <family val="2"/>
      </rPr>
      <t>10</t>
    </r>
    <r>
      <rPr>
        <b/>
        <sz val="10"/>
        <rFont val="宋体"/>
        <family val="3"/>
        <charset val="134"/>
      </rPr>
      <t>月物业费</t>
    </r>
  </si>
  <si>
    <r>
      <rPr>
        <b/>
        <sz val="10"/>
        <rFont val="宋体"/>
        <family val="3"/>
        <charset val="134"/>
      </rPr>
      <t>预收</t>
    </r>
    <r>
      <rPr>
        <b/>
        <sz val="10"/>
        <rFont val="Arial"/>
        <family val="2"/>
      </rPr>
      <t>11</t>
    </r>
    <r>
      <rPr>
        <b/>
        <sz val="10"/>
        <rFont val="宋体"/>
        <family val="3"/>
        <charset val="134"/>
      </rPr>
      <t>月物业费</t>
    </r>
  </si>
  <si>
    <r>
      <rPr>
        <b/>
        <sz val="10"/>
        <rFont val="宋体"/>
        <family val="3"/>
        <charset val="134"/>
      </rPr>
      <t>预收</t>
    </r>
    <r>
      <rPr>
        <b/>
        <sz val="10"/>
        <rFont val="Arial"/>
        <family val="2"/>
      </rPr>
      <t>12</t>
    </r>
    <r>
      <rPr>
        <b/>
        <sz val="10"/>
        <rFont val="宋体"/>
        <family val="3"/>
        <charset val="134"/>
      </rPr>
      <t>月物业费</t>
    </r>
  </si>
  <si>
    <r>
      <rPr>
        <b/>
        <sz val="10"/>
        <color theme="1"/>
        <rFont val="宋体"/>
        <family val="3"/>
        <charset val="134"/>
      </rPr>
      <t>期间</t>
    </r>
  </si>
  <si>
    <r>
      <rPr>
        <b/>
        <sz val="10"/>
        <rFont val="Arial"/>
        <family val="2"/>
      </rPr>
      <t>2024</t>
    </r>
    <r>
      <rPr>
        <b/>
        <sz val="10"/>
        <rFont val="宋体"/>
        <family val="3"/>
        <charset val="134"/>
      </rPr>
      <t>年初余额租金</t>
    </r>
  </si>
  <si>
    <r>
      <rPr>
        <b/>
        <sz val="10"/>
        <rFont val="Arial"/>
        <family val="2"/>
      </rPr>
      <t>2024</t>
    </r>
    <r>
      <rPr>
        <b/>
        <sz val="10"/>
        <rFont val="宋体"/>
        <family val="3"/>
        <charset val="134"/>
      </rPr>
      <t>年初余额物业费</t>
    </r>
  </si>
  <si>
    <r>
      <rPr>
        <b/>
        <sz val="11"/>
        <rFont val="宋体"/>
        <family val="3"/>
        <charset val="134"/>
      </rPr>
      <t>应收租金差额</t>
    </r>
  </si>
  <si>
    <r>
      <rPr>
        <b/>
        <sz val="11"/>
        <rFont val="宋体"/>
        <family val="3"/>
        <charset val="134"/>
      </rPr>
      <t>应收物业费差额</t>
    </r>
  </si>
  <si>
    <r>
      <rPr>
        <b/>
        <sz val="11"/>
        <rFont val="宋体"/>
        <family val="3"/>
        <charset val="134"/>
      </rPr>
      <t>预收租金差额</t>
    </r>
  </si>
  <si>
    <r>
      <rPr>
        <b/>
        <sz val="11"/>
        <rFont val="宋体"/>
        <family val="3"/>
        <charset val="134"/>
      </rPr>
      <t>预收物业费差额</t>
    </r>
  </si>
  <si>
    <r>
      <rPr>
        <b/>
        <sz val="11"/>
        <rFont val="Arial"/>
        <family val="2"/>
      </rPr>
      <t>NC</t>
    </r>
    <r>
      <rPr>
        <b/>
        <sz val="11"/>
        <rFont val="宋体"/>
        <family val="3"/>
        <charset val="134"/>
      </rPr>
      <t>账上租金余额</t>
    </r>
  </si>
  <si>
    <r>
      <rPr>
        <b/>
        <sz val="11"/>
        <rFont val="Arial"/>
        <family val="2"/>
      </rPr>
      <t>NC</t>
    </r>
    <r>
      <rPr>
        <b/>
        <sz val="11"/>
        <rFont val="宋体"/>
        <family val="3"/>
        <charset val="134"/>
      </rPr>
      <t>账上物业费余额</t>
    </r>
  </si>
  <si>
    <r>
      <rPr>
        <b/>
        <sz val="11"/>
        <rFont val="宋体"/>
        <family val="3"/>
        <charset val="134"/>
      </rPr>
      <t>原因</t>
    </r>
    <r>
      <rPr>
        <b/>
        <sz val="11"/>
        <rFont val="Arial"/>
        <family val="2"/>
      </rPr>
      <t>1</t>
    </r>
  </si>
  <si>
    <r>
      <rPr>
        <b/>
        <sz val="11"/>
        <rFont val="宋体"/>
        <family val="3"/>
        <charset val="134"/>
      </rPr>
      <t>原因</t>
    </r>
    <r>
      <rPr>
        <b/>
        <sz val="11"/>
        <rFont val="Arial"/>
        <family val="2"/>
      </rPr>
      <t>2</t>
    </r>
  </si>
  <si>
    <r>
      <rPr>
        <b/>
        <sz val="11"/>
        <rFont val="宋体"/>
        <family val="3"/>
        <charset val="134"/>
      </rPr>
      <t>原因</t>
    </r>
    <r>
      <rPr>
        <b/>
        <sz val="11"/>
        <rFont val="Arial"/>
        <family val="2"/>
      </rPr>
      <t>3</t>
    </r>
  </si>
  <si>
    <r>
      <rPr>
        <b/>
        <sz val="11"/>
        <rFont val="宋体"/>
        <family val="3"/>
        <charset val="134"/>
      </rPr>
      <t>合计</t>
    </r>
  </si>
  <si>
    <r>
      <rPr>
        <b/>
        <sz val="11"/>
        <rFont val="宋体"/>
        <family val="3"/>
        <charset val="134"/>
      </rPr>
      <t>说明</t>
    </r>
  </si>
  <si>
    <t>新租（减少空置）</t>
  </si>
  <si>
    <r>
      <rPr>
        <b/>
        <sz val="11"/>
        <rFont val="宋体"/>
        <family val="3"/>
        <charset val="134"/>
      </rPr>
      <t>收回以前欠费</t>
    </r>
  </si>
  <si>
    <t>预计空置未空置</t>
  </si>
  <si>
    <r>
      <rPr>
        <b/>
        <sz val="11"/>
        <rFont val="宋体"/>
        <family val="3"/>
        <charset val="134"/>
      </rPr>
      <t>涨租</t>
    </r>
  </si>
  <si>
    <r>
      <rPr>
        <b/>
        <sz val="11"/>
        <rFont val="宋体"/>
        <family val="3"/>
        <charset val="134"/>
      </rPr>
      <t>保证金转收入</t>
    </r>
  </si>
  <si>
    <r>
      <rPr>
        <b/>
        <sz val="11"/>
        <rFont val="宋体"/>
        <family val="3"/>
        <charset val="134"/>
      </rPr>
      <t>欠费</t>
    </r>
  </si>
  <si>
    <t>退租空置</t>
  </si>
  <si>
    <r>
      <rPr>
        <b/>
        <sz val="11"/>
        <rFont val="宋体"/>
        <family val="3"/>
        <charset val="134"/>
      </rPr>
      <t>降租</t>
    </r>
  </si>
  <si>
    <t>免租</t>
  </si>
  <si>
    <r>
      <rPr>
        <b/>
        <sz val="11"/>
        <rFont val="宋体"/>
        <family val="3"/>
        <charset val="134"/>
      </rPr>
      <t>收据</t>
    </r>
  </si>
  <si>
    <r>
      <rPr>
        <b/>
        <sz val="11"/>
        <rFont val="宋体"/>
        <family val="3"/>
        <charset val="134"/>
      </rPr>
      <t>预算差异</t>
    </r>
  </si>
  <si>
    <r>
      <rPr>
        <b/>
        <sz val="11"/>
        <rFont val="宋体"/>
        <family val="3"/>
        <charset val="134"/>
      </rPr>
      <t>差额</t>
    </r>
  </si>
  <si>
    <r>
      <rPr>
        <b/>
        <sz val="10"/>
        <color theme="1"/>
        <rFont val="宋体"/>
        <family val="3"/>
        <charset val="134"/>
      </rPr>
      <t>月物业服务费（不含税）</t>
    </r>
  </si>
  <si>
    <r>
      <rPr>
        <b/>
        <sz val="10"/>
        <color theme="1"/>
        <rFont val="宋体"/>
        <family val="3"/>
        <charset val="134"/>
      </rPr>
      <t>累计实收物业服务费</t>
    </r>
  </si>
  <si>
    <r>
      <rPr>
        <b/>
        <sz val="10"/>
        <color theme="1"/>
        <rFont val="Arial"/>
        <family val="2"/>
      </rPr>
      <t>1</t>
    </r>
    <r>
      <rPr>
        <b/>
        <sz val="10"/>
        <color theme="1"/>
        <rFont val="宋体"/>
        <family val="3"/>
        <charset val="134"/>
      </rPr>
      <t>月权责实收</t>
    </r>
  </si>
  <si>
    <r>
      <rPr>
        <b/>
        <sz val="10"/>
        <color theme="1"/>
        <rFont val="Arial"/>
        <family val="2"/>
      </rPr>
      <t>2</t>
    </r>
    <r>
      <rPr>
        <b/>
        <sz val="10"/>
        <color theme="1"/>
        <rFont val="宋体"/>
        <family val="3"/>
        <charset val="134"/>
      </rPr>
      <t>月权责实收</t>
    </r>
  </si>
  <si>
    <r>
      <rPr>
        <b/>
        <sz val="10"/>
        <color theme="1"/>
        <rFont val="Arial"/>
        <family val="2"/>
      </rPr>
      <t>3</t>
    </r>
    <r>
      <rPr>
        <b/>
        <sz val="10"/>
        <color theme="1"/>
        <rFont val="宋体"/>
        <family val="3"/>
        <charset val="134"/>
      </rPr>
      <t>月权责实收</t>
    </r>
  </si>
  <si>
    <r>
      <rPr>
        <b/>
        <sz val="10"/>
        <color theme="1"/>
        <rFont val="Arial"/>
        <family val="2"/>
      </rPr>
      <t>4</t>
    </r>
    <r>
      <rPr>
        <b/>
        <sz val="10"/>
        <color theme="1"/>
        <rFont val="宋体"/>
        <family val="3"/>
        <charset val="134"/>
      </rPr>
      <t>月权责实收</t>
    </r>
  </si>
  <si>
    <r>
      <rPr>
        <b/>
        <sz val="10"/>
        <color theme="1"/>
        <rFont val="Arial"/>
        <family val="2"/>
      </rPr>
      <t>5</t>
    </r>
    <r>
      <rPr>
        <b/>
        <sz val="10"/>
        <color theme="1"/>
        <rFont val="宋体"/>
        <family val="3"/>
        <charset val="134"/>
      </rPr>
      <t>月权责实收</t>
    </r>
  </si>
  <si>
    <r>
      <rPr>
        <b/>
        <sz val="10"/>
        <color theme="1"/>
        <rFont val="Arial"/>
        <family val="2"/>
      </rPr>
      <t>6</t>
    </r>
    <r>
      <rPr>
        <b/>
        <sz val="10"/>
        <color theme="1"/>
        <rFont val="宋体"/>
        <family val="3"/>
        <charset val="134"/>
      </rPr>
      <t>月权责实收</t>
    </r>
  </si>
  <si>
    <r>
      <rPr>
        <b/>
        <sz val="10"/>
        <color theme="1"/>
        <rFont val="Arial"/>
        <family val="2"/>
      </rPr>
      <t>7</t>
    </r>
    <r>
      <rPr>
        <b/>
        <sz val="10"/>
        <color theme="1"/>
        <rFont val="宋体"/>
        <family val="3"/>
        <charset val="134"/>
      </rPr>
      <t>月权责实收</t>
    </r>
  </si>
  <si>
    <r>
      <rPr>
        <b/>
        <sz val="10"/>
        <color theme="1"/>
        <rFont val="Arial"/>
        <family val="2"/>
      </rPr>
      <t>8</t>
    </r>
    <r>
      <rPr>
        <b/>
        <sz val="10"/>
        <color theme="1"/>
        <rFont val="宋体"/>
        <family val="3"/>
        <charset val="134"/>
      </rPr>
      <t>月权责实收</t>
    </r>
  </si>
  <si>
    <r>
      <rPr>
        <b/>
        <sz val="10"/>
        <color theme="1"/>
        <rFont val="Arial"/>
        <family val="2"/>
      </rPr>
      <t>9</t>
    </r>
    <r>
      <rPr>
        <b/>
        <sz val="10"/>
        <color theme="1"/>
        <rFont val="宋体"/>
        <family val="3"/>
        <charset val="134"/>
      </rPr>
      <t>月权责实收</t>
    </r>
  </si>
  <si>
    <r>
      <rPr>
        <b/>
        <sz val="10"/>
        <color theme="1"/>
        <rFont val="Arial"/>
        <family val="2"/>
      </rPr>
      <t>10</t>
    </r>
    <r>
      <rPr>
        <b/>
        <sz val="10"/>
        <color theme="1"/>
        <rFont val="宋体"/>
        <family val="3"/>
        <charset val="134"/>
      </rPr>
      <t>月权责实收</t>
    </r>
  </si>
  <si>
    <r>
      <rPr>
        <b/>
        <sz val="10"/>
        <color theme="1"/>
        <rFont val="Arial"/>
        <family val="2"/>
      </rPr>
      <t>11</t>
    </r>
    <r>
      <rPr>
        <b/>
        <sz val="10"/>
        <color theme="1"/>
        <rFont val="宋体"/>
        <family val="3"/>
        <charset val="134"/>
      </rPr>
      <t>月权责实收</t>
    </r>
  </si>
  <si>
    <r>
      <rPr>
        <b/>
        <sz val="10"/>
        <color theme="1"/>
        <rFont val="Arial"/>
        <family val="2"/>
      </rPr>
      <t>12</t>
    </r>
    <r>
      <rPr>
        <b/>
        <sz val="10"/>
        <color theme="1"/>
        <rFont val="宋体"/>
        <family val="3"/>
        <charset val="134"/>
      </rPr>
      <t>月权责实收</t>
    </r>
  </si>
  <si>
    <r>
      <rPr>
        <b/>
        <sz val="10"/>
        <color theme="1"/>
        <rFont val="Arial"/>
        <family val="2"/>
      </rPr>
      <t>NC</t>
    </r>
    <r>
      <rPr>
        <b/>
        <sz val="10"/>
        <color theme="1"/>
        <rFont val="宋体"/>
        <family val="3"/>
        <charset val="134"/>
      </rPr>
      <t>账上物业服务费余额</t>
    </r>
  </si>
  <si>
    <r>
      <rPr>
        <b/>
        <sz val="10"/>
        <color theme="1"/>
        <rFont val="宋体"/>
        <family val="3"/>
        <charset val="134"/>
      </rPr>
      <t>备注</t>
    </r>
  </si>
  <si>
    <r>
      <rPr>
        <sz val="10"/>
        <rFont val="宋体"/>
        <family val="3"/>
        <charset val="134"/>
      </rPr>
      <t>海龙大厦</t>
    </r>
    <r>
      <rPr>
        <sz val="10"/>
        <rFont val="Arial"/>
        <family val="2"/>
      </rPr>
      <t>7</t>
    </r>
    <r>
      <rPr>
        <sz val="10"/>
        <rFont val="宋体"/>
        <family val="3"/>
        <charset val="134"/>
      </rPr>
      <t>层</t>
    </r>
  </si>
  <si>
    <r>
      <rPr>
        <sz val="10"/>
        <rFont val="Arial"/>
        <family val="2"/>
      </rPr>
      <t>703</t>
    </r>
    <r>
      <rPr>
        <sz val="10"/>
        <rFont val="宋体"/>
        <family val="3"/>
        <charset val="134"/>
      </rPr>
      <t>、</t>
    </r>
    <r>
      <rPr>
        <sz val="10"/>
        <rFont val="Arial"/>
        <family val="2"/>
      </rPr>
      <t>07H</t>
    </r>
  </si>
  <si>
    <r>
      <rPr>
        <sz val="10"/>
        <rFont val="宋体"/>
        <family val="3"/>
        <charset val="134"/>
      </rPr>
      <t>空</t>
    </r>
  </si>
  <si>
    <r>
      <rPr>
        <sz val="10"/>
        <rFont val="宋体"/>
        <family val="3"/>
        <charset val="134"/>
      </rPr>
      <t>集团</t>
    </r>
  </si>
  <si>
    <t>北京字跳网络技术有限公司</t>
  </si>
  <si>
    <t>20210629-01311</t>
  </si>
  <si>
    <t>2021.07.01</t>
  </si>
  <si>
    <t>2023.12.31</t>
  </si>
  <si>
    <r>
      <rPr>
        <sz val="10"/>
        <rFont val="Arial"/>
        <family val="2"/>
      </rPr>
      <t>96</t>
    </r>
    <r>
      <rPr>
        <sz val="10"/>
        <rFont val="宋体"/>
        <family val="3"/>
        <charset val="134"/>
      </rPr>
      <t>个月</t>
    </r>
    <r>
      <rPr>
        <sz val="10"/>
        <rFont val="Arial"/>
        <family val="2"/>
      </rPr>
      <t>14</t>
    </r>
    <r>
      <rPr>
        <sz val="10"/>
        <rFont val="宋体"/>
        <family val="3"/>
        <charset val="134"/>
      </rPr>
      <t>天</t>
    </r>
  </si>
  <si>
    <r>
      <rPr>
        <sz val="10"/>
        <rFont val="宋体"/>
        <family val="3"/>
        <charset val="134"/>
      </rPr>
      <t>合同到期</t>
    </r>
  </si>
  <si>
    <r>
      <rPr>
        <sz val="10"/>
        <color theme="1"/>
        <rFont val="Arial"/>
        <family val="2"/>
      </rPr>
      <t>2023.09.08</t>
    </r>
    <r>
      <rPr>
        <sz val="10"/>
        <color theme="1"/>
        <rFont val="宋体"/>
        <family val="3"/>
        <charset val="134"/>
      </rPr>
      <t>交</t>
    </r>
    <r>
      <rPr>
        <sz val="10"/>
        <color theme="1"/>
        <rFont val="Arial"/>
        <family val="2"/>
      </rPr>
      <t>2023.10.01-12.31</t>
    </r>
    <r>
      <rPr>
        <sz val="10"/>
        <color theme="1"/>
        <rFont val="宋体"/>
        <family val="3"/>
        <charset val="134"/>
      </rPr>
      <t>、到期</t>
    </r>
  </si>
  <si>
    <t>0701-0706</t>
  </si>
  <si>
    <r>
      <rPr>
        <sz val="10"/>
        <rFont val="宋体"/>
        <family val="3"/>
        <charset val="134"/>
      </rPr>
      <t>租</t>
    </r>
  </si>
  <si>
    <t>北京云迹科技股份有限公司</t>
  </si>
  <si>
    <t>20240112-00051</t>
  </si>
  <si>
    <t>2024.01.16</t>
  </si>
  <si>
    <t>2025.01.15</t>
  </si>
  <si>
    <r>
      <rPr>
        <sz val="10"/>
        <rFont val="宋体"/>
        <family val="3"/>
        <charset val="134"/>
      </rPr>
      <t>季付提前</t>
    </r>
    <r>
      <rPr>
        <sz val="10"/>
        <rFont val="Arial"/>
        <family val="2"/>
      </rPr>
      <t>30</t>
    </r>
    <r>
      <rPr>
        <sz val="10"/>
        <rFont val="宋体"/>
        <family val="3"/>
        <charset val="134"/>
      </rPr>
      <t>日</t>
    </r>
  </si>
  <si>
    <r>
      <rPr>
        <sz val="10"/>
        <rFont val="宋体"/>
        <family val="3"/>
        <charset val="134"/>
      </rPr>
      <t>欠费</t>
    </r>
    <r>
      <rPr>
        <sz val="10"/>
        <rFont val="Arial"/>
        <family val="2"/>
      </rPr>
      <t>18675</t>
    </r>
  </si>
  <si>
    <t>2024.01.16-04.15</t>
  </si>
  <si>
    <r>
      <rPr>
        <sz val="10"/>
        <color theme="1"/>
        <rFont val="Arial"/>
        <family val="2"/>
      </rPr>
      <t>2024.01.12</t>
    </r>
    <r>
      <rPr>
        <sz val="10"/>
        <color theme="1"/>
        <rFont val="宋体"/>
        <family val="3"/>
        <charset val="134"/>
      </rPr>
      <t>交</t>
    </r>
    <r>
      <rPr>
        <sz val="10"/>
        <color theme="1"/>
        <rFont val="Arial"/>
        <family val="2"/>
      </rPr>
      <t>2024.01.01-01.15</t>
    </r>
    <r>
      <rPr>
        <sz val="10"/>
        <color theme="1"/>
        <rFont val="宋体"/>
        <family val="3"/>
        <charset val="134"/>
      </rPr>
      <t>物业费（欠费）；</t>
    </r>
    <r>
      <rPr>
        <sz val="10"/>
        <color theme="1"/>
        <rFont val="Arial"/>
        <family val="2"/>
      </rPr>
      <t>2024.01.25</t>
    </r>
    <r>
      <rPr>
        <sz val="10"/>
        <color theme="1"/>
        <rFont val="宋体"/>
        <family val="3"/>
        <charset val="134"/>
      </rPr>
      <t>交</t>
    </r>
    <r>
      <rPr>
        <sz val="10"/>
        <color theme="1"/>
        <rFont val="Arial"/>
        <family val="2"/>
      </rPr>
      <t>2024.01.16-04.15</t>
    </r>
  </si>
  <si>
    <t>2024.04.16-07.15</t>
  </si>
  <si>
    <r>
      <rPr>
        <sz val="10"/>
        <color theme="1"/>
        <rFont val="Arial"/>
        <family val="2"/>
      </rPr>
      <t>2024.03.20</t>
    </r>
    <r>
      <rPr>
        <sz val="10"/>
        <color theme="1"/>
        <rFont val="宋体"/>
        <family val="3"/>
        <charset val="134"/>
      </rPr>
      <t>交</t>
    </r>
    <r>
      <rPr>
        <sz val="10"/>
        <color theme="1"/>
        <rFont val="Arial"/>
        <family val="2"/>
      </rPr>
      <t>2024.04.16-07.15</t>
    </r>
  </si>
  <si>
    <t>2024.07.16-10.15</t>
  </si>
  <si>
    <r>
      <rPr>
        <sz val="10"/>
        <color theme="1"/>
        <rFont val="Arial"/>
        <family val="2"/>
      </rPr>
      <t>2024.07.24</t>
    </r>
    <r>
      <rPr>
        <sz val="10"/>
        <color theme="1"/>
        <rFont val="宋体"/>
        <family val="3"/>
        <charset val="134"/>
      </rPr>
      <t>交</t>
    </r>
    <r>
      <rPr>
        <sz val="10"/>
        <color theme="1"/>
        <rFont val="Arial"/>
        <family val="2"/>
      </rPr>
      <t>2024.07.16-10.15</t>
    </r>
    <r>
      <rPr>
        <sz val="10"/>
        <color theme="1"/>
        <rFont val="宋体"/>
        <family val="3"/>
        <charset val="134"/>
      </rPr>
      <t>租金（收欠费）</t>
    </r>
  </si>
  <si>
    <t>2024.10.16-2025.01.15</t>
  </si>
  <si>
    <t>2025.01.01-01.15</t>
  </si>
  <si>
    <t>2024.01.01-01.15</t>
  </si>
  <si>
    <t>降租</t>
  </si>
  <si>
    <t>07G</t>
  </si>
  <si>
    <t>北京宏信智博商贸有限公司</t>
  </si>
  <si>
    <t>20230427-00642</t>
  </si>
  <si>
    <t>2024.06.06</t>
  </si>
  <si>
    <t>2025.06.05</t>
  </si>
  <si>
    <r>
      <rPr>
        <sz val="10"/>
        <rFont val="宋体"/>
        <family val="3"/>
        <charset val="134"/>
      </rPr>
      <t>两月付提前</t>
    </r>
    <r>
      <rPr>
        <sz val="10"/>
        <rFont val="Arial"/>
        <family val="2"/>
      </rPr>
      <t>30</t>
    </r>
    <r>
      <rPr>
        <sz val="10"/>
        <rFont val="宋体"/>
        <family val="3"/>
        <charset val="134"/>
      </rPr>
      <t>日</t>
    </r>
  </si>
  <si>
    <t>2024.02.01-02.29</t>
  </si>
  <si>
    <r>
      <rPr>
        <sz val="10"/>
        <color theme="1"/>
        <rFont val="Arial"/>
        <family val="2"/>
      </rPr>
      <t>2024.01.19</t>
    </r>
    <r>
      <rPr>
        <sz val="10"/>
        <color theme="1"/>
        <rFont val="宋体"/>
        <family val="3"/>
        <charset val="134"/>
      </rPr>
      <t>交</t>
    </r>
    <r>
      <rPr>
        <sz val="10"/>
        <color theme="1"/>
        <rFont val="Arial"/>
        <family val="2"/>
      </rPr>
      <t>2024.02.01-02.29</t>
    </r>
  </si>
  <si>
    <t>2024.03.01-03.31</t>
  </si>
  <si>
    <r>
      <rPr>
        <sz val="10"/>
        <color theme="1"/>
        <rFont val="Arial"/>
        <family val="2"/>
      </rPr>
      <t>2024.02.21</t>
    </r>
    <r>
      <rPr>
        <sz val="10"/>
        <color theme="1"/>
        <rFont val="宋体"/>
        <family val="3"/>
        <charset val="134"/>
      </rPr>
      <t>交</t>
    </r>
    <r>
      <rPr>
        <sz val="10"/>
        <color theme="1"/>
        <rFont val="Arial"/>
        <family val="2"/>
      </rPr>
      <t>2024.03.01-03.31</t>
    </r>
  </si>
  <si>
    <t>2024.04.01-04.30</t>
  </si>
  <si>
    <r>
      <rPr>
        <sz val="10"/>
        <color theme="1"/>
        <rFont val="Arial"/>
        <family val="2"/>
      </rPr>
      <t>2024.03.07</t>
    </r>
    <r>
      <rPr>
        <sz val="10"/>
        <color theme="1"/>
        <rFont val="宋体"/>
        <family val="3"/>
        <charset val="134"/>
      </rPr>
      <t>交</t>
    </r>
    <r>
      <rPr>
        <sz val="10"/>
        <color theme="1"/>
        <rFont val="Arial"/>
        <family val="2"/>
      </rPr>
      <t>2024.04.01-04.30</t>
    </r>
    <r>
      <rPr>
        <sz val="10"/>
        <color theme="1"/>
        <rFont val="宋体"/>
        <family val="3"/>
        <charset val="134"/>
      </rPr>
      <t>、预收</t>
    </r>
    <r>
      <rPr>
        <sz val="10"/>
        <color theme="1"/>
        <rFont val="Arial"/>
        <family val="2"/>
      </rPr>
      <t>2024.05.01-05.05</t>
    </r>
  </si>
  <si>
    <r>
      <rPr>
        <sz val="10"/>
        <rFont val="Arial"/>
        <family val="2"/>
      </rPr>
      <t>2024.05.01-05.05</t>
    </r>
    <r>
      <rPr>
        <sz val="10"/>
        <rFont val="宋体"/>
        <family val="3"/>
        <charset val="134"/>
      </rPr>
      <t>、到期</t>
    </r>
  </si>
  <si>
    <t>2024.06.06-08.05</t>
  </si>
  <si>
    <r>
      <rPr>
        <sz val="10"/>
        <color theme="1"/>
        <rFont val="Arial"/>
        <family val="2"/>
      </rPr>
      <t>2024.06.11</t>
    </r>
    <r>
      <rPr>
        <sz val="10"/>
        <color theme="1"/>
        <rFont val="宋体"/>
        <family val="3"/>
        <charset val="134"/>
      </rPr>
      <t>交</t>
    </r>
    <r>
      <rPr>
        <sz val="10"/>
        <color theme="1"/>
        <rFont val="Arial"/>
        <family val="2"/>
      </rPr>
      <t>2024.06.06-07.05</t>
    </r>
    <r>
      <rPr>
        <sz val="10"/>
        <color theme="1"/>
        <rFont val="宋体"/>
        <family val="3"/>
        <charset val="134"/>
      </rPr>
      <t>租金、</t>
    </r>
    <r>
      <rPr>
        <sz val="10"/>
        <color theme="1"/>
        <rFont val="Arial"/>
        <family val="2"/>
      </rPr>
      <t>2024.06.06-08.05</t>
    </r>
    <r>
      <rPr>
        <sz val="10"/>
        <color theme="1"/>
        <rFont val="宋体"/>
        <family val="3"/>
        <charset val="134"/>
      </rPr>
      <t>物业费</t>
    </r>
  </si>
  <si>
    <t>2024.08.06-10.05</t>
  </si>
  <si>
    <r>
      <rPr>
        <sz val="10"/>
        <color theme="1"/>
        <rFont val="Arial"/>
        <family val="2"/>
      </rPr>
      <t>2024.07.09</t>
    </r>
    <r>
      <rPr>
        <sz val="10"/>
        <color theme="1"/>
        <rFont val="宋体"/>
        <family val="3"/>
        <charset val="134"/>
      </rPr>
      <t>交</t>
    </r>
    <r>
      <rPr>
        <sz val="10"/>
        <color theme="1"/>
        <rFont val="Arial"/>
        <family val="2"/>
      </rPr>
      <t>2024.08.06-10.05</t>
    </r>
  </si>
  <si>
    <t>2024.10.06-12.05</t>
  </si>
  <si>
    <r>
      <rPr>
        <sz val="10"/>
        <color theme="1"/>
        <rFont val="Arial"/>
        <family val="2"/>
      </rPr>
      <t>2024.09.09</t>
    </r>
    <r>
      <rPr>
        <sz val="10"/>
        <color theme="1"/>
        <rFont val="宋体"/>
        <family val="3"/>
        <charset val="134"/>
      </rPr>
      <t>交</t>
    </r>
    <r>
      <rPr>
        <sz val="10"/>
        <color theme="1"/>
        <rFont val="Arial"/>
        <family val="2"/>
      </rPr>
      <t>2024.10.06-12.05</t>
    </r>
  </si>
  <si>
    <t>2024.12.06-2025.02.05</t>
  </si>
  <si>
    <t>2025.01.01-02.05</t>
  </si>
  <si>
    <t>2024.01.01-01.31</t>
  </si>
  <si>
    <t>0709-0710</t>
  </si>
  <si>
    <r>
      <rPr>
        <sz val="10"/>
        <rFont val="宋体"/>
        <family val="3"/>
        <charset val="134"/>
      </rPr>
      <t>北京无元数字科技有限公司</t>
    </r>
  </si>
  <si>
    <t>20231101-01723</t>
  </si>
  <si>
    <r>
      <rPr>
        <sz val="10"/>
        <rFont val="宋体"/>
        <family val="3"/>
        <charset val="134"/>
      </rPr>
      <t>七层</t>
    </r>
  </si>
  <si>
    <r>
      <rPr>
        <sz val="10"/>
        <rFont val="宋体"/>
        <family val="3"/>
        <charset val="134"/>
      </rPr>
      <t>占</t>
    </r>
  </si>
  <si>
    <r>
      <rPr>
        <sz val="10"/>
        <color theme="1"/>
        <rFont val="Arial"/>
        <family val="2"/>
      </rPr>
      <t>2022.10.20</t>
    </r>
    <r>
      <rPr>
        <sz val="10"/>
        <color theme="1"/>
        <rFont val="宋体"/>
        <family val="3"/>
        <charset val="134"/>
      </rPr>
      <t>交</t>
    </r>
    <r>
      <rPr>
        <sz val="10"/>
        <color theme="1"/>
        <rFont val="Arial"/>
        <family val="2"/>
      </rPr>
      <t>2022.10.01-10.10/</t>
    </r>
    <r>
      <rPr>
        <sz val="10"/>
        <color theme="1"/>
        <rFont val="宋体"/>
        <family val="3"/>
        <charset val="134"/>
      </rPr>
      <t>押金转收入、物业服务费</t>
    </r>
  </si>
  <si>
    <r>
      <rPr>
        <sz val="10"/>
        <color rgb="FFFF0000"/>
        <rFont val="宋体"/>
        <family val="3"/>
        <charset val="134"/>
      </rPr>
      <t>七层</t>
    </r>
    <r>
      <rPr>
        <sz val="10"/>
        <color rgb="FFFF0000"/>
        <rFont val="Arial"/>
        <family val="2"/>
      </rPr>
      <t>-2</t>
    </r>
  </si>
  <si>
    <t>占</t>
  </si>
  <si>
    <r>
      <rPr>
        <sz val="10"/>
        <color rgb="FFFF0000"/>
        <rFont val="宋体"/>
        <family val="3"/>
        <charset val="134"/>
      </rPr>
      <t>员工餐厅自用</t>
    </r>
    <r>
      <rPr>
        <sz val="10"/>
        <color rgb="FFFF0000"/>
        <rFont val="Arial"/>
        <family val="2"/>
      </rPr>
      <t>709.45</t>
    </r>
    <r>
      <rPr>
        <sz val="10"/>
        <color rgb="FFFF0000"/>
        <rFont val="宋体"/>
        <family val="3"/>
        <charset val="134"/>
      </rPr>
      <t>平米、</t>
    </r>
    <r>
      <rPr>
        <sz val="10"/>
        <color rgb="FFFF0000"/>
        <rFont val="Arial"/>
        <family val="2"/>
      </rPr>
      <t>07H</t>
    </r>
    <r>
      <rPr>
        <sz val="10"/>
        <color rgb="FFFF0000"/>
        <rFont val="宋体"/>
        <family val="3"/>
        <charset val="134"/>
      </rPr>
      <t>施工方临时占用</t>
    </r>
    <r>
      <rPr>
        <sz val="10"/>
        <color rgb="FFFF0000"/>
        <rFont val="Arial"/>
        <family val="2"/>
      </rPr>
      <t>124.30</t>
    </r>
    <r>
      <rPr>
        <sz val="10"/>
        <color rgb="FFFF0000"/>
        <rFont val="宋体"/>
        <family val="3"/>
        <charset val="134"/>
      </rPr>
      <t>平米</t>
    </r>
  </si>
  <si>
    <t>07B</t>
  </si>
  <si>
    <r>
      <rPr>
        <sz val="10"/>
        <rFont val="宋体"/>
        <family val="3"/>
        <charset val="134"/>
      </rPr>
      <t>海龙大厦</t>
    </r>
    <r>
      <rPr>
        <sz val="10"/>
        <rFont val="Arial"/>
        <family val="2"/>
      </rPr>
      <t>8</t>
    </r>
    <r>
      <rPr>
        <sz val="10"/>
        <rFont val="宋体"/>
        <family val="3"/>
        <charset val="134"/>
      </rPr>
      <t>层</t>
    </r>
  </si>
  <si>
    <t>0800</t>
  </si>
  <si>
    <t>北京浩顺和光电子技术有限公司</t>
  </si>
  <si>
    <t>20240129-00117</t>
  </si>
  <si>
    <t>2024.05.18</t>
  </si>
  <si>
    <t>2027.02.17</t>
  </si>
  <si>
    <r>
      <rPr>
        <sz val="10"/>
        <color theme="1"/>
        <rFont val="Arial"/>
        <family val="2"/>
      </rPr>
      <t>2019.08.08</t>
    </r>
    <r>
      <rPr>
        <sz val="10"/>
        <color theme="1"/>
        <rFont val="宋体"/>
        <family val="3"/>
        <charset val="134"/>
      </rPr>
      <t>交</t>
    </r>
    <r>
      <rPr>
        <sz val="10"/>
        <color theme="1"/>
        <rFont val="Arial"/>
        <family val="2"/>
      </rPr>
      <t>2019.09.01-09.24/</t>
    </r>
    <r>
      <rPr>
        <sz val="10"/>
        <color theme="1"/>
        <rFont val="宋体"/>
        <family val="3"/>
        <charset val="134"/>
      </rPr>
      <t>退租</t>
    </r>
  </si>
  <si>
    <t>2024.02.18-05.17</t>
  </si>
  <si>
    <r>
      <rPr>
        <sz val="10"/>
        <color theme="1"/>
        <rFont val="Arial"/>
        <family val="2"/>
      </rPr>
      <t>2024.01.31</t>
    </r>
    <r>
      <rPr>
        <sz val="10"/>
        <color theme="1"/>
        <rFont val="宋体"/>
        <family val="3"/>
        <charset val="134"/>
      </rPr>
      <t>交</t>
    </r>
    <r>
      <rPr>
        <sz val="10"/>
        <color theme="1"/>
        <rFont val="Arial"/>
        <family val="2"/>
      </rPr>
      <t>2024.04.18-05.17</t>
    </r>
    <r>
      <rPr>
        <sz val="10"/>
        <color theme="1"/>
        <rFont val="宋体"/>
        <family val="3"/>
        <charset val="134"/>
      </rPr>
      <t>租金、</t>
    </r>
    <r>
      <rPr>
        <sz val="10"/>
        <color theme="1"/>
        <rFont val="Arial"/>
        <family val="2"/>
      </rPr>
      <t>2024.02.18-05.17</t>
    </r>
    <r>
      <rPr>
        <sz val="10"/>
        <color theme="1"/>
        <rFont val="宋体"/>
        <family val="3"/>
        <charset val="134"/>
      </rPr>
      <t>物业费</t>
    </r>
  </si>
  <si>
    <t>2024.05.18-08.17</t>
  </si>
  <si>
    <r>
      <rPr>
        <sz val="10"/>
        <color theme="1"/>
        <rFont val="Arial"/>
        <family val="2"/>
      </rPr>
      <t>2024.04.22</t>
    </r>
    <r>
      <rPr>
        <sz val="10"/>
        <color theme="1"/>
        <rFont val="宋体"/>
        <family val="3"/>
        <charset val="134"/>
      </rPr>
      <t>交</t>
    </r>
    <r>
      <rPr>
        <sz val="10"/>
        <color theme="1"/>
        <rFont val="Arial"/>
        <family val="2"/>
      </rPr>
      <t>2024.05.18-08.17</t>
    </r>
  </si>
  <si>
    <t>2024.08.18-11.17</t>
  </si>
  <si>
    <r>
      <rPr>
        <sz val="10"/>
        <color theme="1"/>
        <rFont val="Arial"/>
        <family val="2"/>
      </rPr>
      <t>2024.07.17</t>
    </r>
    <r>
      <rPr>
        <sz val="10"/>
        <color theme="1"/>
        <rFont val="宋体"/>
        <family val="3"/>
        <charset val="134"/>
      </rPr>
      <t>交</t>
    </r>
    <r>
      <rPr>
        <sz val="10"/>
        <color theme="1"/>
        <rFont val="Arial"/>
        <family val="2"/>
      </rPr>
      <t>2024.08.18-11.17</t>
    </r>
  </si>
  <si>
    <t>2024.11.18-2025.02.17</t>
  </si>
  <si>
    <t>2025.01.01-02.17</t>
  </si>
  <si>
    <t>新租</t>
  </si>
  <si>
    <t>0801-0802</t>
  </si>
  <si>
    <t>空</t>
  </si>
  <si>
    <t>北京华清敏学科技有限公司</t>
  </si>
  <si>
    <t>20230829-01392</t>
  </si>
  <si>
    <t>2023.09.01</t>
  </si>
  <si>
    <t>2024.08.31</t>
  </si>
  <si>
    <r>
      <rPr>
        <sz val="10"/>
        <rFont val="Arial"/>
        <family val="2"/>
      </rPr>
      <t>31</t>
    </r>
    <r>
      <rPr>
        <sz val="10"/>
        <rFont val="宋体"/>
        <family val="3"/>
        <charset val="134"/>
      </rPr>
      <t>个月</t>
    </r>
  </si>
  <si>
    <t>2024.01.12交2024.02.01-02.29</t>
  </si>
  <si>
    <r>
      <rPr>
        <sz val="10"/>
        <color theme="1"/>
        <rFont val="Arial"/>
        <family val="2"/>
      </rPr>
      <t>2024.03.14</t>
    </r>
    <r>
      <rPr>
        <sz val="10"/>
        <color theme="1"/>
        <rFont val="宋体"/>
        <family val="3"/>
        <charset val="134"/>
      </rPr>
      <t>交</t>
    </r>
    <r>
      <rPr>
        <sz val="10"/>
        <color theme="1"/>
        <rFont val="Arial"/>
        <family val="2"/>
      </rPr>
      <t>2024.04.01-04.30</t>
    </r>
  </si>
  <si>
    <t>2024.05.01-05.31</t>
  </si>
  <si>
    <r>
      <rPr>
        <sz val="10"/>
        <color theme="1"/>
        <rFont val="Arial"/>
        <family val="2"/>
      </rPr>
      <t>2024.04.22</t>
    </r>
    <r>
      <rPr>
        <sz val="10"/>
        <color theme="1"/>
        <rFont val="宋体"/>
        <family val="3"/>
        <charset val="134"/>
      </rPr>
      <t>交</t>
    </r>
    <r>
      <rPr>
        <sz val="10"/>
        <color theme="1"/>
        <rFont val="Arial"/>
        <family val="2"/>
      </rPr>
      <t>2024.05.01-05.31</t>
    </r>
  </si>
  <si>
    <t>2024.06.01-06.30</t>
  </si>
  <si>
    <r>
      <rPr>
        <sz val="10"/>
        <color theme="1"/>
        <rFont val="Arial"/>
        <family val="2"/>
      </rPr>
      <t>2024.05.13</t>
    </r>
    <r>
      <rPr>
        <sz val="10"/>
        <color theme="1"/>
        <rFont val="宋体"/>
        <family val="3"/>
        <charset val="134"/>
      </rPr>
      <t>交</t>
    </r>
    <r>
      <rPr>
        <sz val="10"/>
        <color theme="1"/>
        <rFont val="Arial"/>
        <family val="2"/>
      </rPr>
      <t>2024.06.01-06.30</t>
    </r>
  </si>
  <si>
    <t>2024.07.01-07.31</t>
  </si>
  <si>
    <r>
      <rPr>
        <sz val="10"/>
        <color theme="1"/>
        <rFont val="Arial"/>
        <family val="2"/>
      </rPr>
      <t>2024.06.13</t>
    </r>
    <r>
      <rPr>
        <sz val="10"/>
        <color theme="1"/>
        <rFont val="宋体"/>
        <family val="3"/>
        <charset val="134"/>
      </rPr>
      <t>交</t>
    </r>
    <r>
      <rPr>
        <sz val="10"/>
        <color theme="1"/>
        <rFont val="Arial"/>
        <family val="2"/>
      </rPr>
      <t>2024.07.01-07.31</t>
    </r>
  </si>
  <si>
    <r>
      <rPr>
        <sz val="10"/>
        <rFont val="Arial"/>
        <family val="2"/>
      </rPr>
      <t>2024.08.01-08.31</t>
    </r>
    <r>
      <rPr>
        <sz val="10"/>
        <rFont val="宋体"/>
        <family val="3"/>
        <charset val="134"/>
      </rPr>
      <t>、到期</t>
    </r>
  </si>
  <si>
    <r>
      <rPr>
        <sz val="10"/>
        <color theme="1"/>
        <rFont val="Arial"/>
        <family val="2"/>
      </rPr>
      <t>2024.07.15</t>
    </r>
    <r>
      <rPr>
        <sz val="10"/>
        <color theme="1"/>
        <rFont val="宋体"/>
        <family val="3"/>
        <charset val="134"/>
      </rPr>
      <t>交</t>
    </r>
    <r>
      <rPr>
        <sz val="10"/>
        <color theme="1"/>
        <rFont val="Arial"/>
        <family val="2"/>
      </rPr>
      <t>2024.08.01-08.31</t>
    </r>
    <r>
      <rPr>
        <sz val="10"/>
        <color theme="1"/>
        <rFont val="宋体"/>
        <family val="3"/>
        <charset val="134"/>
      </rPr>
      <t>、到期</t>
    </r>
  </si>
  <si>
    <t>未来数科（北京）信息技术有限公司</t>
  </si>
  <si>
    <t>20240710-01076</t>
  </si>
  <si>
    <t>2024.07.15</t>
  </si>
  <si>
    <t>2026.01.14</t>
  </si>
  <si>
    <r>
      <rPr>
        <sz val="10"/>
        <rFont val="Arial"/>
        <family val="2"/>
      </rPr>
      <t>36</t>
    </r>
    <r>
      <rPr>
        <sz val="10"/>
        <rFont val="宋体"/>
        <family val="3"/>
        <charset val="134"/>
      </rPr>
      <t>个月</t>
    </r>
  </si>
  <si>
    <t>两月付提前30日</t>
  </si>
  <si>
    <r>
      <rPr>
        <sz val="10"/>
        <color theme="1"/>
        <rFont val="Arial"/>
        <family val="2"/>
      </rPr>
      <t>2020.08.13</t>
    </r>
    <r>
      <rPr>
        <sz val="10"/>
        <color theme="1"/>
        <rFont val="宋体"/>
        <family val="3"/>
        <charset val="134"/>
      </rPr>
      <t>交</t>
    </r>
    <r>
      <rPr>
        <sz val="10"/>
        <color theme="1"/>
        <rFont val="Arial"/>
        <family val="2"/>
      </rPr>
      <t>2020.03.01-03.12</t>
    </r>
  </si>
  <si>
    <t>2024.07.15-09.14</t>
  </si>
  <si>
    <r>
      <rPr>
        <sz val="10"/>
        <color theme="1"/>
        <rFont val="Arial"/>
        <family val="2"/>
      </rPr>
      <t>2024.07.19</t>
    </r>
    <r>
      <rPr>
        <sz val="10"/>
        <color theme="1"/>
        <rFont val="宋体"/>
        <family val="3"/>
        <charset val="134"/>
      </rPr>
      <t>交</t>
    </r>
    <r>
      <rPr>
        <sz val="10"/>
        <color theme="1"/>
        <rFont val="Arial"/>
        <family val="2"/>
      </rPr>
      <t>2024.07.15-09.14</t>
    </r>
  </si>
  <si>
    <t>2024.09.15-11.14</t>
  </si>
  <si>
    <r>
      <rPr>
        <sz val="10"/>
        <color theme="1"/>
        <rFont val="Arial"/>
        <family val="2"/>
      </rPr>
      <t>2024.08.16</t>
    </r>
    <r>
      <rPr>
        <sz val="10"/>
        <color theme="1"/>
        <rFont val="宋体"/>
        <family val="3"/>
        <charset val="134"/>
      </rPr>
      <t>交</t>
    </r>
    <r>
      <rPr>
        <sz val="10"/>
        <color theme="1"/>
        <rFont val="Arial"/>
        <family val="2"/>
      </rPr>
      <t>2024.09.15-11.14</t>
    </r>
  </si>
  <si>
    <t>2024.11.15-2025.01.14</t>
  </si>
  <si>
    <t>2025.01.15-03.14</t>
  </si>
  <si>
    <t>2025.01.01-03.14</t>
  </si>
  <si>
    <r>
      <rPr>
        <sz val="10"/>
        <rFont val="宋体"/>
        <family val="3"/>
        <charset val="134"/>
      </rPr>
      <t>北京华清敏学科技有限公司</t>
    </r>
  </si>
  <si>
    <t>20231026-01685</t>
  </si>
  <si>
    <t>2023.11.15</t>
  </si>
  <si>
    <t>2024.11.14</t>
  </si>
  <si>
    <r>
      <rPr>
        <sz val="10"/>
        <rFont val="宋体"/>
        <family val="3"/>
        <charset val="134"/>
      </rPr>
      <t>月付提前</t>
    </r>
    <r>
      <rPr>
        <sz val="10"/>
        <rFont val="Arial"/>
        <family val="2"/>
      </rPr>
      <t>30</t>
    </r>
    <r>
      <rPr>
        <sz val="10"/>
        <rFont val="宋体"/>
        <family val="3"/>
        <charset val="134"/>
      </rPr>
      <t>日</t>
    </r>
  </si>
  <si>
    <t>2024.02.15-03.14</t>
  </si>
  <si>
    <r>
      <rPr>
        <sz val="10"/>
        <color theme="1"/>
        <rFont val="Arial"/>
        <family val="2"/>
      </rPr>
      <t>2024.01.12</t>
    </r>
    <r>
      <rPr>
        <sz val="10"/>
        <color theme="1"/>
        <rFont val="宋体"/>
        <family val="3"/>
        <charset val="134"/>
      </rPr>
      <t>交</t>
    </r>
    <r>
      <rPr>
        <sz val="10"/>
        <color theme="1"/>
        <rFont val="Arial"/>
        <family val="2"/>
      </rPr>
      <t>2024.02.15-03.14</t>
    </r>
  </si>
  <si>
    <t>2024.03.15-04.14</t>
  </si>
  <si>
    <r>
      <rPr>
        <sz val="10"/>
        <color theme="1"/>
        <rFont val="Arial"/>
        <family val="2"/>
      </rPr>
      <t>2024.02.21</t>
    </r>
    <r>
      <rPr>
        <sz val="10"/>
        <color theme="1"/>
        <rFont val="宋体"/>
        <family val="3"/>
        <charset val="134"/>
      </rPr>
      <t>交</t>
    </r>
    <r>
      <rPr>
        <sz val="10"/>
        <color theme="1"/>
        <rFont val="Arial"/>
        <family val="2"/>
      </rPr>
      <t>2024.03.15-04.14</t>
    </r>
  </si>
  <si>
    <t>2024.04.15-05.14</t>
  </si>
  <si>
    <r>
      <rPr>
        <sz val="10"/>
        <color theme="1"/>
        <rFont val="Arial"/>
        <family val="2"/>
      </rPr>
      <t>2024.03.14</t>
    </r>
    <r>
      <rPr>
        <sz val="10"/>
        <color theme="1"/>
        <rFont val="宋体"/>
        <family val="3"/>
        <charset val="134"/>
      </rPr>
      <t>交</t>
    </r>
    <r>
      <rPr>
        <sz val="10"/>
        <color theme="1"/>
        <rFont val="Arial"/>
        <family val="2"/>
      </rPr>
      <t>2024.04.15-05.14</t>
    </r>
  </si>
  <si>
    <t>2024.05.15-06.14</t>
  </si>
  <si>
    <r>
      <rPr>
        <sz val="10"/>
        <color theme="1"/>
        <rFont val="Arial"/>
        <family val="2"/>
      </rPr>
      <t>2024.04.22</t>
    </r>
    <r>
      <rPr>
        <sz val="10"/>
        <color theme="1"/>
        <rFont val="宋体"/>
        <family val="3"/>
        <charset val="134"/>
      </rPr>
      <t>交</t>
    </r>
    <r>
      <rPr>
        <sz val="10"/>
        <color theme="1"/>
        <rFont val="Arial"/>
        <family val="2"/>
      </rPr>
      <t>2024.05.15-06.14</t>
    </r>
  </si>
  <si>
    <t>2024.06.15-07.14</t>
  </si>
  <si>
    <r>
      <rPr>
        <sz val="10"/>
        <color theme="1"/>
        <rFont val="Arial"/>
        <family val="2"/>
      </rPr>
      <t>2024.05.13</t>
    </r>
    <r>
      <rPr>
        <sz val="10"/>
        <color theme="1"/>
        <rFont val="宋体"/>
        <family val="3"/>
        <charset val="134"/>
      </rPr>
      <t>交</t>
    </r>
    <r>
      <rPr>
        <sz val="10"/>
        <color theme="1"/>
        <rFont val="Arial"/>
        <family val="2"/>
      </rPr>
      <t>2024.06.15-07.14</t>
    </r>
  </si>
  <si>
    <t>2024.07.15-08.14</t>
  </si>
  <si>
    <r>
      <rPr>
        <sz val="10"/>
        <color theme="1"/>
        <rFont val="Arial"/>
        <family val="2"/>
      </rPr>
      <t>2024.06.13</t>
    </r>
    <r>
      <rPr>
        <sz val="10"/>
        <color theme="1"/>
        <rFont val="宋体"/>
        <family val="3"/>
        <charset val="134"/>
      </rPr>
      <t>交</t>
    </r>
    <r>
      <rPr>
        <sz val="10"/>
        <color theme="1"/>
        <rFont val="Arial"/>
        <family val="2"/>
      </rPr>
      <t>2024.07.15-08.14</t>
    </r>
  </si>
  <si>
    <t>2024.08.15-09.14</t>
  </si>
  <si>
    <r>
      <rPr>
        <sz val="10"/>
        <color theme="1"/>
        <rFont val="Arial"/>
        <family val="2"/>
      </rPr>
      <t>2024.07.15/07.17</t>
    </r>
    <r>
      <rPr>
        <sz val="10"/>
        <color theme="1"/>
        <rFont val="宋体"/>
        <family val="3"/>
        <charset val="134"/>
      </rPr>
      <t>交</t>
    </r>
    <r>
      <rPr>
        <sz val="10"/>
        <color theme="1"/>
        <rFont val="Arial"/>
        <family val="2"/>
      </rPr>
      <t>2024.08.15-09.14</t>
    </r>
  </si>
  <si>
    <t>2024.09.15-10.14</t>
  </si>
  <si>
    <r>
      <rPr>
        <sz val="10"/>
        <color theme="1"/>
        <rFont val="Arial"/>
        <family val="2"/>
      </rPr>
      <t>2024.08.22</t>
    </r>
    <r>
      <rPr>
        <sz val="10"/>
        <color theme="1"/>
        <rFont val="宋体"/>
        <family val="3"/>
        <charset val="134"/>
      </rPr>
      <t>交</t>
    </r>
    <r>
      <rPr>
        <sz val="10"/>
        <color theme="1"/>
        <rFont val="Arial"/>
        <family val="2"/>
      </rPr>
      <t>2024.09.15-10.14</t>
    </r>
  </si>
  <si>
    <r>
      <rPr>
        <sz val="10"/>
        <rFont val="Arial"/>
        <family val="2"/>
      </rPr>
      <t>2024.10.15-11.14</t>
    </r>
    <r>
      <rPr>
        <sz val="10"/>
        <rFont val="宋体"/>
        <family val="3"/>
        <charset val="134"/>
      </rPr>
      <t>、到期</t>
    </r>
  </si>
  <si>
    <r>
      <rPr>
        <sz val="10"/>
        <color theme="1"/>
        <rFont val="Arial"/>
        <family val="2"/>
      </rPr>
      <t>2024.09.13</t>
    </r>
    <r>
      <rPr>
        <sz val="10"/>
        <color theme="1"/>
        <rFont val="宋体"/>
        <family val="3"/>
        <charset val="134"/>
      </rPr>
      <t>交</t>
    </r>
    <r>
      <rPr>
        <sz val="10"/>
        <color theme="1"/>
        <rFont val="Arial"/>
        <family val="2"/>
      </rPr>
      <t>2024.10.15-11.14</t>
    </r>
    <r>
      <rPr>
        <sz val="10"/>
        <color theme="1"/>
        <rFont val="宋体"/>
        <family val="3"/>
        <charset val="134"/>
      </rPr>
      <t>、到期</t>
    </r>
  </si>
  <si>
    <t>2024.01.01-02.14</t>
  </si>
  <si>
    <t>0812</t>
  </si>
  <si>
    <t>0815</t>
  </si>
  <si>
    <r>
      <rPr>
        <sz val="10"/>
        <rFont val="宋体"/>
        <family val="3"/>
        <charset val="134"/>
      </rPr>
      <t>北京酷学慧思网络科技有限公司</t>
    </r>
  </si>
  <si>
    <t>20221025-01686</t>
  </si>
  <si>
    <t>2022.11.01</t>
  </si>
  <si>
    <t>2023.10.31</t>
  </si>
  <si>
    <r>
      <rPr>
        <sz val="10"/>
        <rFont val="Arial"/>
        <family val="2"/>
      </rPr>
      <t>12</t>
    </r>
    <r>
      <rPr>
        <sz val="10"/>
        <rFont val="宋体"/>
        <family val="3"/>
        <charset val="134"/>
      </rPr>
      <t>个月</t>
    </r>
  </si>
  <si>
    <r>
      <rPr>
        <sz val="10"/>
        <color theme="1"/>
        <rFont val="Arial"/>
        <family val="2"/>
      </rPr>
      <t>2023.07.03</t>
    </r>
    <r>
      <rPr>
        <sz val="10"/>
        <color theme="1"/>
        <rFont val="宋体"/>
        <family val="3"/>
        <charset val="134"/>
      </rPr>
      <t>交</t>
    </r>
    <r>
      <rPr>
        <sz val="10"/>
        <color theme="1"/>
        <rFont val="Arial"/>
        <family val="2"/>
      </rPr>
      <t>2023.08.01-10.31</t>
    </r>
    <r>
      <rPr>
        <sz val="10"/>
        <color theme="1"/>
        <rFont val="宋体"/>
        <family val="3"/>
        <charset val="134"/>
      </rPr>
      <t>、提前解除、到期</t>
    </r>
  </si>
  <si>
    <t>0816</t>
  </si>
  <si>
    <r>
      <rPr>
        <sz val="10"/>
        <rFont val="Arial"/>
        <family val="2"/>
      </rPr>
      <t>0818-0824</t>
    </r>
    <r>
      <rPr>
        <sz val="10"/>
        <rFont val="宋体"/>
        <family val="3"/>
        <charset val="134"/>
      </rPr>
      <t>、</t>
    </r>
    <r>
      <rPr>
        <sz val="10"/>
        <rFont val="Arial"/>
        <family val="2"/>
      </rPr>
      <t>08A1-08A3</t>
    </r>
  </si>
  <si>
    <r>
      <rPr>
        <sz val="10"/>
        <rFont val="宋体"/>
        <family val="3"/>
        <charset val="134"/>
      </rPr>
      <t>优客工场（北京）创业投资有限公司</t>
    </r>
  </si>
  <si>
    <r>
      <rPr>
        <sz val="10"/>
        <rFont val="Arial"/>
        <family val="2"/>
      </rPr>
      <t>20200706-01215</t>
    </r>
    <r>
      <rPr>
        <sz val="10"/>
        <rFont val="宋体"/>
        <family val="3"/>
        <charset val="134"/>
      </rPr>
      <t>补充协议（原合同</t>
    </r>
    <r>
      <rPr>
        <sz val="10"/>
        <rFont val="Arial"/>
        <family val="2"/>
      </rPr>
      <t>20190905-02058</t>
    </r>
    <r>
      <rPr>
        <sz val="10"/>
        <rFont val="宋体"/>
        <family val="3"/>
        <charset val="134"/>
      </rPr>
      <t>）</t>
    </r>
  </si>
  <si>
    <t>2019.10.01</t>
  </si>
  <si>
    <t>2022.02.28</t>
  </si>
  <si>
    <r>
      <rPr>
        <sz val="10"/>
        <color theme="1"/>
        <rFont val="宋体"/>
        <family val="3"/>
        <charset val="134"/>
      </rPr>
      <t>客户</t>
    </r>
    <r>
      <rPr>
        <sz val="10"/>
        <color theme="1"/>
        <rFont val="Arial"/>
        <family val="2"/>
      </rPr>
      <t>2022.02.28</t>
    </r>
    <r>
      <rPr>
        <sz val="10"/>
        <color theme="1"/>
        <rFont val="宋体"/>
        <family val="3"/>
        <charset val="134"/>
      </rPr>
      <t>提前退租</t>
    </r>
    <r>
      <rPr>
        <sz val="10"/>
        <color theme="1"/>
        <rFont val="Arial"/>
        <family val="2"/>
      </rPr>
      <t>,6</t>
    </r>
    <r>
      <rPr>
        <sz val="10"/>
        <color theme="1"/>
        <rFont val="宋体"/>
        <family val="3"/>
        <charset val="134"/>
      </rPr>
      <t>月</t>
    </r>
    <r>
      <rPr>
        <sz val="10"/>
        <color theme="1"/>
        <rFont val="Arial"/>
        <family val="2"/>
      </rPr>
      <t>22</t>
    </r>
    <r>
      <rPr>
        <sz val="10"/>
        <color theme="1"/>
        <rFont val="宋体"/>
        <family val="3"/>
        <charset val="134"/>
      </rPr>
      <t>日押金结转收入</t>
    </r>
  </si>
  <si>
    <t>0817</t>
  </si>
  <si>
    <r>
      <rPr>
        <sz val="10"/>
        <rFont val="Arial"/>
        <family val="2"/>
      </rPr>
      <t>0825</t>
    </r>
    <r>
      <rPr>
        <sz val="10"/>
        <rFont val="宋体"/>
        <family val="3"/>
        <charset val="134"/>
      </rPr>
      <t>、</t>
    </r>
    <r>
      <rPr>
        <sz val="10"/>
        <rFont val="Arial"/>
        <family val="2"/>
      </rPr>
      <t>0826</t>
    </r>
  </si>
  <si>
    <r>
      <rPr>
        <sz val="10"/>
        <rFont val="Arial"/>
        <family val="2"/>
      </rPr>
      <t>10</t>
    </r>
    <r>
      <rPr>
        <sz val="10"/>
        <rFont val="宋体"/>
        <family val="3"/>
        <charset val="134"/>
      </rPr>
      <t>个月零</t>
    </r>
    <r>
      <rPr>
        <sz val="10"/>
        <rFont val="Arial"/>
        <family val="2"/>
      </rPr>
      <t>6</t>
    </r>
    <r>
      <rPr>
        <sz val="10"/>
        <rFont val="宋体"/>
        <family val="3"/>
        <charset val="134"/>
      </rPr>
      <t>天</t>
    </r>
  </si>
  <si>
    <r>
      <rPr>
        <sz val="10"/>
        <rFont val="宋体"/>
        <family val="3"/>
        <charset val="134"/>
      </rPr>
      <t>海龙大厦</t>
    </r>
    <r>
      <rPr>
        <sz val="10"/>
        <rFont val="Arial"/>
        <family val="2"/>
      </rPr>
      <t>9</t>
    </r>
    <r>
      <rPr>
        <sz val="10"/>
        <rFont val="宋体"/>
        <family val="3"/>
        <charset val="134"/>
      </rPr>
      <t>层</t>
    </r>
  </si>
  <si>
    <t>0900</t>
  </si>
  <si>
    <r>
      <rPr>
        <sz val="10"/>
        <rFont val="宋体"/>
        <family val="3"/>
        <charset val="134"/>
      </rPr>
      <t>天贶森林企业管理（北京）有限公司</t>
    </r>
  </si>
  <si>
    <t>20231019-01663</t>
  </si>
  <si>
    <t>2023.11.01</t>
  </si>
  <si>
    <t>2024.10.31</t>
  </si>
  <si>
    <r>
      <rPr>
        <sz val="10"/>
        <color theme="1"/>
        <rFont val="Arial"/>
        <family val="2"/>
      </rPr>
      <t>2024.01.08</t>
    </r>
    <r>
      <rPr>
        <sz val="10"/>
        <color theme="1"/>
        <rFont val="宋体"/>
        <family val="3"/>
        <charset val="134"/>
      </rPr>
      <t>交</t>
    </r>
    <r>
      <rPr>
        <sz val="10"/>
        <color theme="1"/>
        <rFont val="Arial"/>
        <family val="2"/>
      </rPr>
      <t>2024.02.01-02.29</t>
    </r>
  </si>
  <si>
    <r>
      <rPr>
        <sz val="10"/>
        <color theme="1"/>
        <rFont val="Arial"/>
        <family val="2"/>
      </rPr>
      <t>2024.02.18</t>
    </r>
    <r>
      <rPr>
        <sz val="10"/>
        <color theme="1"/>
        <rFont val="宋体"/>
        <family val="3"/>
        <charset val="134"/>
      </rPr>
      <t>交</t>
    </r>
    <r>
      <rPr>
        <sz val="10"/>
        <color theme="1"/>
        <rFont val="Arial"/>
        <family val="2"/>
      </rPr>
      <t>2024.03.01-03.31</t>
    </r>
  </si>
  <si>
    <r>
      <rPr>
        <sz val="10"/>
        <color theme="1"/>
        <rFont val="Arial"/>
        <family val="2"/>
      </rPr>
      <t>2024.03.04</t>
    </r>
    <r>
      <rPr>
        <sz val="10"/>
        <color theme="1"/>
        <rFont val="宋体"/>
        <family val="3"/>
        <charset val="134"/>
      </rPr>
      <t>交</t>
    </r>
    <r>
      <rPr>
        <sz val="10"/>
        <color theme="1"/>
        <rFont val="Arial"/>
        <family val="2"/>
      </rPr>
      <t>2024.04.01-04.30</t>
    </r>
  </si>
  <si>
    <r>
      <rPr>
        <sz val="10"/>
        <color theme="1"/>
        <rFont val="Arial"/>
        <family val="2"/>
      </rPr>
      <t>2024.04.02</t>
    </r>
    <r>
      <rPr>
        <sz val="10"/>
        <color theme="1"/>
        <rFont val="宋体"/>
        <family val="3"/>
        <charset val="134"/>
      </rPr>
      <t>交</t>
    </r>
    <r>
      <rPr>
        <sz val="10"/>
        <color theme="1"/>
        <rFont val="Arial"/>
        <family val="2"/>
      </rPr>
      <t>2024.05.01-05.31</t>
    </r>
  </si>
  <si>
    <r>
      <rPr>
        <sz val="10"/>
        <color theme="1"/>
        <rFont val="Arial"/>
        <family val="2"/>
      </rPr>
      <t>2024.06.04</t>
    </r>
    <r>
      <rPr>
        <sz val="10"/>
        <color theme="1"/>
        <rFont val="宋体"/>
        <family val="3"/>
        <charset val="134"/>
      </rPr>
      <t>交</t>
    </r>
    <r>
      <rPr>
        <sz val="10"/>
        <color theme="1"/>
        <rFont val="Arial"/>
        <family val="2"/>
      </rPr>
      <t>2024.07.01-07.31</t>
    </r>
  </si>
  <si>
    <t>2024.08.01-08.31</t>
  </si>
  <si>
    <r>
      <rPr>
        <sz val="10"/>
        <color theme="1"/>
        <rFont val="Arial"/>
        <family val="2"/>
      </rPr>
      <t>2024.07.11</t>
    </r>
    <r>
      <rPr>
        <sz val="10"/>
        <color theme="1"/>
        <rFont val="宋体"/>
        <family val="3"/>
        <charset val="134"/>
      </rPr>
      <t>交</t>
    </r>
    <r>
      <rPr>
        <sz val="10"/>
        <color theme="1"/>
        <rFont val="Arial"/>
        <family val="2"/>
      </rPr>
      <t>2024.08.01-08.31</t>
    </r>
  </si>
  <si>
    <t>2024.09.01-09.30</t>
  </si>
  <si>
    <r>
      <rPr>
        <sz val="10"/>
        <color theme="1"/>
        <rFont val="Arial"/>
        <family val="2"/>
      </rPr>
      <t>2024.08.06</t>
    </r>
    <r>
      <rPr>
        <sz val="10"/>
        <color theme="1"/>
        <rFont val="宋体"/>
        <family val="3"/>
        <charset val="134"/>
      </rPr>
      <t>交</t>
    </r>
    <r>
      <rPr>
        <sz val="10"/>
        <color theme="1"/>
        <rFont val="Arial"/>
        <family val="2"/>
      </rPr>
      <t>2024.09.01-09.30</t>
    </r>
  </si>
  <si>
    <r>
      <rPr>
        <sz val="10"/>
        <rFont val="Arial"/>
        <family val="2"/>
      </rPr>
      <t>2024.10.01-10.31</t>
    </r>
    <r>
      <rPr>
        <sz val="10"/>
        <rFont val="宋体"/>
        <family val="3"/>
        <charset val="134"/>
      </rPr>
      <t>、到期</t>
    </r>
  </si>
  <si>
    <r>
      <rPr>
        <sz val="10"/>
        <color theme="1"/>
        <rFont val="Arial"/>
        <family val="2"/>
      </rPr>
      <t>2024.09.09</t>
    </r>
    <r>
      <rPr>
        <sz val="10"/>
        <color theme="1"/>
        <rFont val="宋体"/>
        <family val="3"/>
        <charset val="134"/>
      </rPr>
      <t>交</t>
    </r>
    <r>
      <rPr>
        <sz val="10"/>
        <color theme="1"/>
        <rFont val="Arial"/>
        <family val="2"/>
      </rPr>
      <t>2024.10.01-10.31</t>
    </r>
    <r>
      <rPr>
        <sz val="10"/>
        <color theme="1"/>
        <rFont val="宋体"/>
        <family val="3"/>
        <charset val="134"/>
      </rPr>
      <t>、到期</t>
    </r>
  </si>
  <si>
    <r>
      <rPr>
        <sz val="10"/>
        <color theme="1"/>
        <rFont val="宋体"/>
        <family val="3"/>
        <charset val="134"/>
      </rPr>
      <t>冲减</t>
    </r>
    <r>
      <rPr>
        <sz val="10"/>
        <color theme="1"/>
        <rFont val="Arial"/>
        <family val="2"/>
      </rPr>
      <t>11</t>
    </r>
    <r>
      <rPr>
        <sz val="10"/>
        <color theme="1"/>
        <rFont val="宋体"/>
        <family val="3"/>
        <charset val="134"/>
      </rPr>
      <t>月应收</t>
    </r>
  </si>
  <si>
    <t>0902A</t>
  </si>
  <si>
    <r>
      <rPr>
        <sz val="10"/>
        <rFont val="宋体"/>
        <family val="3"/>
        <charset val="134"/>
      </rPr>
      <t>北京鼎升星宇体育文化发展有限公司</t>
    </r>
  </si>
  <si>
    <t>20230626-00999</t>
  </si>
  <si>
    <t>2023.07.10</t>
  </si>
  <si>
    <t>2025.07.09</t>
  </si>
  <si>
    <r>
      <rPr>
        <sz val="10"/>
        <color theme="1"/>
        <rFont val="Arial"/>
        <family val="2"/>
      </rPr>
      <t>2024.02.05</t>
    </r>
    <r>
      <rPr>
        <sz val="10"/>
        <color theme="1"/>
        <rFont val="宋体"/>
        <family val="3"/>
        <charset val="134"/>
      </rPr>
      <t>交</t>
    </r>
    <r>
      <rPr>
        <sz val="10"/>
        <color theme="1"/>
        <rFont val="Arial"/>
        <family val="2"/>
      </rPr>
      <t>2024.03.01-03.31</t>
    </r>
  </si>
  <si>
    <r>
      <rPr>
        <sz val="10"/>
        <color theme="1"/>
        <rFont val="Arial"/>
        <family val="2"/>
      </rPr>
      <t>2024.03.08</t>
    </r>
    <r>
      <rPr>
        <sz val="10"/>
        <color theme="1"/>
        <rFont val="宋体"/>
        <family val="3"/>
        <charset val="134"/>
      </rPr>
      <t>交</t>
    </r>
    <r>
      <rPr>
        <sz val="10"/>
        <color theme="1"/>
        <rFont val="Arial"/>
        <family val="2"/>
      </rPr>
      <t>2024.04.01-04.30</t>
    </r>
  </si>
  <si>
    <r>
      <rPr>
        <sz val="10"/>
        <color theme="1"/>
        <rFont val="Arial"/>
        <family val="2"/>
      </rPr>
      <t>2024.04.01</t>
    </r>
    <r>
      <rPr>
        <sz val="10"/>
        <color theme="1"/>
        <rFont val="宋体"/>
        <family val="3"/>
        <charset val="134"/>
      </rPr>
      <t>交</t>
    </r>
    <r>
      <rPr>
        <sz val="10"/>
        <color theme="1"/>
        <rFont val="Arial"/>
        <family val="2"/>
      </rPr>
      <t>2024.05.01-05.31</t>
    </r>
  </si>
  <si>
    <r>
      <rPr>
        <sz val="10"/>
        <color theme="1"/>
        <rFont val="Arial"/>
        <family val="2"/>
      </rPr>
      <t>2024.05.07</t>
    </r>
    <r>
      <rPr>
        <sz val="10"/>
        <color theme="1"/>
        <rFont val="宋体"/>
        <family val="3"/>
        <charset val="134"/>
      </rPr>
      <t>交</t>
    </r>
    <r>
      <rPr>
        <sz val="10"/>
        <color theme="1"/>
        <rFont val="Arial"/>
        <family val="2"/>
      </rPr>
      <t>2024.06.01-06.30</t>
    </r>
  </si>
  <si>
    <r>
      <rPr>
        <sz val="10"/>
        <color theme="1"/>
        <rFont val="Arial"/>
        <family val="2"/>
      </rPr>
      <t>2024.05.29</t>
    </r>
    <r>
      <rPr>
        <sz val="10"/>
        <color theme="1"/>
        <rFont val="宋体"/>
        <family val="3"/>
        <charset val="134"/>
      </rPr>
      <t>交</t>
    </r>
    <r>
      <rPr>
        <sz val="10"/>
        <color theme="1"/>
        <rFont val="Arial"/>
        <family val="2"/>
      </rPr>
      <t>2024.07.01-07.09</t>
    </r>
    <r>
      <rPr>
        <sz val="10"/>
        <color theme="1"/>
        <rFont val="宋体"/>
        <family val="3"/>
        <charset val="134"/>
      </rPr>
      <t>租金、</t>
    </r>
    <r>
      <rPr>
        <sz val="10"/>
        <color theme="1"/>
        <rFont val="Arial"/>
        <family val="2"/>
      </rPr>
      <t>2024.07.01-07.31</t>
    </r>
    <r>
      <rPr>
        <sz val="10"/>
        <color theme="1"/>
        <rFont val="宋体"/>
        <family val="3"/>
        <charset val="134"/>
      </rPr>
      <t>物业费</t>
    </r>
  </si>
  <si>
    <r>
      <rPr>
        <sz val="10"/>
        <color theme="1"/>
        <rFont val="Arial"/>
        <family val="2"/>
      </rPr>
      <t>2024.07.19</t>
    </r>
    <r>
      <rPr>
        <sz val="10"/>
        <color theme="1"/>
        <rFont val="宋体"/>
        <family val="3"/>
        <charset val="134"/>
      </rPr>
      <t>交</t>
    </r>
    <r>
      <rPr>
        <sz val="10"/>
        <color theme="1"/>
        <rFont val="Arial"/>
        <family val="2"/>
      </rPr>
      <t>2024.08.10-08.31</t>
    </r>
    <r>
      <rPr>
        <sz val="10"/>
        <color theme="1"/>
        <rFont val="宋体"/>
        <family val="3"/>
        <charset val="134"/>
      </rPr>
      <t>租金、</t>
    </r>
    <r>
      <rPr>
        <sz val="10"/>
        <color theme="1"/>
        <rFont val="Arial"/>
        <family val="2"/>
      </rPr>
      <t>2024.08.01-08.31</t>
    </r>
    <r>
      <rPr>
        <sz val="10"/>
        <color theme="1"/>
        <rFont val="宋体"/>
        <family val="3"/>
        <charset val="134"/>
      </rPr>
      <t>物业费；</t>
    </r>
    <r>
      <rPr>
        <sz val="10"/>
        <color theme="1"/>
        <rFont val="Arial"/>
        <family val="2"/>
      </rPr>
      <t>2024.07.24</t>
    </r>
    <r>
      <rPr>
        <sz val="10"/>
        <color theme="1"/>
        <rFont val="宋体"/>
        <family val="3"/>
        <charset val="134"/>
      </rPr>
      <t>预收</t>
    </r>
    <r>
      <rPr>
        <sz val="10"/>
        <color theme="1"/>
        <rFont val="Arial"/>
        <family val="2"/>
      </rPr>
      <t>2024.09.01-09.30</t>
    </r>
  </si>
  <si>
    <t>2024.10.01-10.31</t>
  </si>
  <si>
    <r>
      <rPr>
        <sz val="10"/>
        <color theme="1"/>
        <rFont val="Arial"/>
        <family val="2"/>
      </rPr>
      <t>2024.09.02</t>
    </r>
    <r>
      <rPr>
        <sz val="10"/>
        <color theme="1"/>
        <rFont val="宋体"/>
        <family val="3"/>
        <charset val="134"/>
      </rPr>
      <t>交</t>
    </r>
    <r>
      <rPr>
        <sz val="10"/>
        <color theme="1"/>
        <rFont val="Arial"/>
        <family val="2"/>
      </rPr>
      <t>2024.10.01-10.31</t>
    </r>
  </si>
  <si>
    <t>2024.11.01-11.30</t>
  </si>
  <si>
    <t>2024.12.01-12.31</t>
  </si>
  <si>
    <t>2025.01.01-01.31</t>
  </si>
  <si>
    <t>无差异</t>
  </si>
  <si>
    <r>
      <rPr>
        <sz val="10"/>
        <color theme="1"/>
        <rFont val="宋体"/>
        <family val="3"/>
        <charset val="134"/>
      </rPr>
      <t>冲减</t>
    </r>
    <r>
      <rPr>
        <sz val="10"/>
        <color theme="1"/>
        <rFont val="Arial"/>
        <family val="2"/>
      </rPr>
      <t>10</t>
    </r>
    <r>
      <rPr>
        <sz val="10"/>
        <color theme="1"/>
        <rFont val="宋体"/>
        <family val="3"/>
        <charset val="134"/>
      </rPr>
      <t>月应收</t>
    </r>
  </si>
  <si>
    <t>0902B</t>
  </si>
  <si>
    <t>0907</t>
  </si>
  <si>
    <r>
      <rPr>
        <sz val="10"/>
        <rFont val="宋体"/>
        <family val="3"/>
        <charset val="134"/>
      </rPr>
      <t>北京育达东方软件科技有限公司</t>
    </r>
  </si>
  <si>
    <t>20230613-00893</t>
  </si>
  <si>
    <t>2023.06.15</t>
  </si>
  <si>
    <t>2026.06.14</t>
  </si>
  <si>
    <r>
      <rPr>
        <sz val="10"/>
        <rFont val="宋体"/>
        <family val="3"/>
        <charset val="134"/>
      </rPr>
      <t>半年付提前</t>
    </r>
    <r>
      <rPr>
        <sz val="10"/>
        <rFont val="Arial"/>
        <family val="2"/>
      </rPr>
      <t>30</t>
    </r>
    <r>
      <rPr>
        <sz val="10"/>
        <rFont val="宋体"/>
        <family val="3"/>
        <charset val="134"/>
      </rPr>
      <t>日</t>
    </r>
  </si>
  <si>
    <r>
      <rPr>
        <sz val="10"/>
        <color theme="1"/>
        <rFont val="Arial"/>
        <family val="2"/>
      </rPr>
      <t>2023.11.06</t>
    </r>
    <r>
      <rPr>
        <sz val="10"/>
        <color theme="1"/>
        <rFont val="宋体"/>
        <family val="3"/>
        <charset val="134"/>
      </rPr>
      <t>交</t>
    </r>
    <r>
      <rPr>
        <sz val="10"/>
        <color theme="1"/>
        <rFont val="Arial"/>
        <family val="2"/>
      </rPr>
      <t>2023.12.15-2024.05.14</t>
    </r>
    <r>
      <rPr>
        <sz val="10"/>
        <color theme="1"/>
        <rFont val="宋体"/>
        <family val="3"/>
        <charset val="134"/>
      </rPr>
      <t>租金、</t>
    </r>
    <r>
      <rPr>
        <sz val="10"/>
        <color theme="1"/>
        <rFont val="Arial"/>
        <family val="2"/>
      </rPr>
      <t>2023.11.09</t>
    </r>
    <r>
      <rPr>
        <sz val="10"/>
        <color theme="1"/>
        <rFont val="宋体"/>
        <family val="3"/>
        <charset val="134"/>
      </rPr>
      <t>交</t>
    </r>
    <r>
      <rPr>
        <sz val="10"/>
        <color theme="1"/>
        <rFont val="Arial"/>
        <family val="2"/>
      </rPr>
      <t>2023.12.15-2024.06.14</t>
    </r>
    <r>
      <rPr>
        <sz val="10"/>
        <color theme="1"/>
        <rFont val="宋体"/>
        <family val="3"/>
        <charset val="134"/>
      </rPr>
      <t>物业费</t>
    </r>
  </si>
  <si>
    <t>2024.06.15-12.14</t>
  </si>
  <si>
    <r>
      <rPr>
        <sz val="10"/>
        <color theme="1"/>
        <rFont val="Arial"/>
        <family val="2"/>
      </rPr>
      <t>2024.05.13</t>
    </r>
    <r>
      <rPr>
        <sz val="10"/>
        <color theme="1"/>
        <rFont val="宋体"/>
        <family val="3"/>
        <charset val="134"/>
      </rPr>
      <t>交</t>
    </r>
    <r>
      <rPr>
        <sz val="10"/>
        <color theme="1"/>
        <rFont val="Arial"/>
        <family val="2"/>
      </rPr>
      <t>2024.06.15-12.14</t>
    </r>
    <r>
      <rPr>
        <sz val="10"/>
        <color theme="1"/>
        <rFont val="宋体"/>
        <family val="3"/>
        <charset val="134"/>
      </rPr>
      <t>租金</t>
    </r>
    <r>
      <rPr>
        <sz val="10"/>
        <color theme="1"/>
        <rFont val="Arial"/>
        <family val="2"/>
      </rPr>
      <t>/05.20</t>
    </r>
    <r>
      <rPr>
        <sz val="10"/>
        <color theme="1"/>
        <rFont val="宋体"/>
        <family val="3"/>
        <charset val="134"/>
      </rPr>
      <t>交</t>
    </r>
    <r>
      <rPr>
        <sz val="10"/>
        <color theme="1"/>
        <rFont val="Arial"/>
        <family val="2"/>
      </rPr>
      <t>2024.06.15-12.14</t>
    </r>
    <r>
      <rPr>
        <sz val="10"/>
        <color theme="1"/>
        <rFont val="宋体"/>
        <family val="3"/>
        <charset val="134"/>
      </rPr>
      <t>物业费</t>
    </r>
  </si>
  <si>
    <t>2024.12.15-2025.06.14</t>
  </si>
  <si>
    <t>2025.01.01-06.14</t>
  </si>
  <si>
    <t>2024.01.01-06.14</t>
  </si>
  <si>
    <t>预算差异</t>
  </si>
  <si>
    <r>
      <rPr>
        <sz val="10"/>
        <rFont val="宋体"/>
        <family val="3"/>
        <charset val="134"/>
      </rPr>
      <t>北京多金法律咨询服务有限公司</t>
    </r>
  </si>
  <si>
    <r>
      <rPr>
        <sz val="10"/>
        <rFont val="Arial"/>
        <family val="2"/>
      </rPr>
      <t>ZCZGC-2017-ZL909</t>
    </r>
    <r>
      <rPr>
        <sz val="10"/>
        <rFont val="宋体"/>
        <family val="3"/>
        <charset val="134"/>
      </rPr>
      <t>、</t>
    </r>
    <r>
      <rPr>
        <sz val="10"/>
        <rFont val="Arial"/>
        <family val="2"/>
      </rPr>
      <t>1603-07</t>
    </r>
  </si>
  <si>
    <t>2017.10.18</t>
  </si>
  <si>
    <t>2022.08.14</t>
  </si>
  <si>
    <r>
      <rPr>
        <sz val="10"/>
        <rFont val="Arial"/>
        <family val="2"/>
      </rPr>
      <t>60</t>
    </r>
    <r>
      <rPr>
        <sz val="10"/>
        <rFont val="宋体"/>
        <family val="3"/>
        <charset val="134"/>
      </rPr>
      <t>个月</t>
    </r>
  </si>
  <si>
    <r>
      <rPr>
        <sz val="10"/>
        <color theme="1"/>
        <rFont val="Arial"/>
        <family val="2"/>
      </rPr>
      <t>2022.12.26</t>
    </r>
    <r>
      <rPr>
        <sz val="10"/>
        <color theme="1"/>
        <rFont val="宋体"/>
        <family val="3"/>
        <charset val="134"/>
      </rPr>
      <t>押金转收入，收回欠费</t>
    </r>
    <r>
      <rPr>
        <sz val="10"/>
        <color theme="1"/>
        <rFont val="Arial"/>
        <family val="2"/>
      </rPr>
      <t>2022.06.01-08.14</t>
    </r>
  </si>
  <si>
    <t>0910AB</t>
  </si>
  <si>
    <r>
      <rPr>
        <sz val="10"/>
        <rFont val="宋体"/>
        <family val="3"/>
        <charset val="134"/>
      </rPr>
      <t>恩赛纳微（北京）材料技术研究院有限公司</t>
    </r>
  </si>
  <si>
    <t>20200106-00055</t>
  </si>
  <si>
    <t>2020.01.08</t>
  </si>
  <si>
    <t>2022.08.21</t>
  </si>
  <si>
    <r>
      <rPr>
        <sz val="10"/>
        <rFont val="Arial"/>
        <family val="2"/>
      </rPr>
      <t>33</t>
    </r>
    <r>
      <rPr>
        <sz val="10"/>
        <rFont val="宋体"/>
        <family val="3"/>
        <charset val="134"/>
      </rPr>
      <t>个月</t>
    </r>
    <r>
      <rPr>
        <sz val="10"/>
        <rFont val="Arial"/>
        <family val="2"/>
      </rPr>
      <t>10</t>
    </r>
    <r>
      <rPr>
        <sz val="10"/>
        <rFont val="宋体"/>
        <family val="3"/>
        <charset val="134"/>
      </rPr>
      <t>天</t>
    </r>
  </si>
  <si>
    <r>
      <rPr>
        <sz val="10"/>
        <color theme="1"/>
        <rFont val="Arial"/>
        <family val="2"/>
      </rPr>
      <t>2022.12.26</t>
    </r>
    <r>
      <rPr>
        <sz val="10"/>
        <color theme="1"/>
        <rFont val="宋体"/>
        <family val="3"/>
        <charset val="134"/>
      </rPr>
      <t>押金转收入，收回欠费</t>
    </r>
    <r>
      <rPr>
        <sz val="10"/>
        <color theme="1"/>
        <rFont val="Arial"/>
        <family val="2"/>
      </rPr>
      <t>2022.08.01-08.21</t>
    </r>
  </si>
  <si>
    <r>
      <rPr>
        <sz val="10"/>
        <rFont val="Arial"/>
        <family val="2"/>
      </rPr>
      <t>911A</t>
    </r>
    <r>
      <rPr>
        <sz val="10"/>
        <rFont val="宋体"/>
        <family val="3"/>
        <charset val="134"/>
      </rPr>
      <t>（小业主回租）</t>
    </r>
  </si>
  <si>
    <r>
      <rPr>
        <sz val="10"/>
        <rFont val="宋体"/>
        <family val="3"/>
        <charset val="134"/>
      </rPr>
      <t>北京场圈文化传媒有限公司</t>
    </r>
  </si>
  <si>
    <t>20210224-00268</t>
  </si>
  <si>
    <t>2021.03.01</t>
  </si>
  <si>
    <t>2023.02.28</t>
  </si>
  <si>
    <r>
      <rPr>
        <sz val="10"/>
        <rFont val="Arial"/>
        <family val="2"/>
      </rPr>
      <t>24</t>
    </r>
    <r>
      <rPr>
        <sz val="10"/>
        <rFont val="宋体"/>
        <family val="3"/>
        <charset val="134"/>
      </rPr>
      <t>个月</t>
    </r>
  </si>
  <si>
    <r>
      <rPr>
        <sz val="10"/>
        <color theme="1"/>
        <rFont val="Arial"/>
        <family val="2"/>
      </rPr>
      <t>2022.11.24</t>
    </r>
    <r>
      <rPr>
        <sz val="10"/>
        <color theme="1"/>
        <rFont val="宋体"/>
        <family val="3"/>
        <charset val="134"/>
      </rPr>
      <t>交</t>
    </r>
    <r>
      <rPr>
        <sz val="10"/>
        <color theme="1"/>
        <rFont val="Arial"/>
        <family val="2"/>
      </rPr>
      <t>2022.12.01-2023.02.28</t>
    </r>
    <r>
      <rPr>
        <sz val="10"/>
        <color theme="1"/>
        <rFont val="宋体"/>
        <family val="3"/>
        <charset val="134"/>
      </rPr>
      <t>、到期</t>
    </r>
  </si>
  <si>
    <t>0915</t>
  </si>
  <si>
    <r>
      <rPr>
        <sz val="10"/>
        <rFont val="宋体"/>
        <family val="3"/>
        <charset val="134"/>
      </rPr>
      <t>北京田园美育文化科技有限公司</t>
    </r>
  </si>
  <si>
    <t>20231017-01637</t>
  </si>
  <si>
    <t>2023.10.27</t>
  </si>
  <si>
    <t>2025.07.26</t>
  </si>
  <si>
    <r>
      <rPr>
        <sz val="10"/>
        <color theme="1"/>
        <rFont val="Arial"/>
        <family val="2"/>
      </rPr>
      <t>2024.03.11</t>
    </r>
    <r>
      <rPr>
        <sz val="10"/>
        <color theme="1"/>
        <rFont val="宋体"/>
        <family val="3"/>
        <charset val="134"/>
      </rPr>
      <t>交</t>
    </r>
    <r>
      <rPr>
        <sz val="10"/>
        <color theme="1"/>
        <rFont val="Arial"/>
        <family val="2"/>
      </rPr>
      <t>2024.04.01-04.30</t>
    </r>
  </si>
  <si>
    <r>
      <rPr>
        <sz val="10"/>
        <color theme="1"/>
        <rFont val="Arial"/>
        <family val="2"/>
      </rPr>
      <t>2024.04.07</t>
    </r>
    <r>
      <rPr>
        <sz val="10"/>
        <color theme="1"/>
        <rFont val="宋体"/>
        <family val="3"/>
        <charset val="134"/>
      </rPr>
      <t>交</t>
    </r>
    <r>
      <rPr>
        <sz val="10"/>
        <color theme="1"/>
        <rFont val="Arial"/>
        <family val="2"/>
      </rPr>
      <t>2024.05.01-05.31</t>
    </r>
  </si>
  <si>
    <r>
      <rPr>
        <sz val="10"/>
        <color theme="1"/>
        <rFont val="Arial"/>
        <family val="2"/>
      </rPr>
      <t>2024.05.29</t>
    </r>
    <r>
      <rPr>
        <sz val="10"/>
        <color theme="1"/>
        <rFont val="宋体"/>
        <family val="3"/>
        <charset val="134"/>
      </rPr>
      <t>交</t>
    </r>
    <r>
      <rPr>
        <sz val="10"/>
        <color theme="1"/>
        <rFont val="Arial"/>
        <family val="2"/>
      </rPr>
      <t>2024.07.01-07.31</t>
    </r>
  </si>
  <si>
    <r>
      <rPr>
        <sz val="10"/>
        <color theme="1"/>
        <rFont val="Arial"/>
        <family val="2"/>
      </rPr>
      <t>2024.07.19</t>
    </r>
    <r>
      <rPr>
        <sz val="10"/>
        <color theme="1"/>
        <rFont val="宋体"/>
        <family val="3"/>
        <charset val="134"/>
      </rPr>
      <t>交</t>
    </r>
    <r>
      <rPr>
        <sz val="10"/>
        <color theme="1"/>
        <rFont val="Arial"/>
        <family val="2"/>
      </rPr>
      <t>2024.08.01-08.31</t>
    </r>
  </si>
  <si>
    <r>
      <rPr>
        <sz val="10"/>
        <color theme="1"/>
        <rFont val="Arial"/>
        <family val="2"/>
      </rPr>
      <t>2024.08.05</t>
    </r>
    <r>
      <rPr>
        <sz val="10"/>
        <color theme="1"/>
        <rFont val="宋体"/>
        <family val="3"/>
        <charset val="134"/>
      </rPr>
      <t>交</t>
    </r>
    <r>
      <rPr>
        <sz val="10"/>
        <color theme="1"/>
        <rFont val="Arial"/>
        <family val="2"/>
      </rPr>
      <t>2024.09.01-09.30</t>
    </r>
  </si>
  <si>
    <t>0916</t>
  </si>
  <si>
    <r>
      <rPr>
        <sz val="10"/>
        <rFont val="宋体"/>
        <family val="3"/>
        <charset val="134"/>
      </rPr>
      <t>北京鼎升星皓网络科技有限公司</t>
    </r>
  </si>
  <si>
    <t>20230626-01001</t>
  </si>
  <si>
    <t>2023.07.27</t>
  </si>
  <si>
    <t>0917</t>
  </si>
  <si>
    <t>租</t>
  </si>
  <si>
    <t>北京鼎升星宇体育文化发展有限公司</t>
  </si>
  <si>
    <t>20240726-01150</t>
  </si>
  <si>
    <t>2024.08.01</t>
  </si>
  <si>
    <t>2025.07.31</t>
  </si>
  <si>
    <r>
      <rPr>
        <sz val="10"/>
        <rFont val="Arial"/>
        <family val="2"/>
      </rPr>
      <t>2024.07.01-07.31</t>
    </r>
    <r>
      <rPr>
        <sz val="10"/>
        <rFont val="宋体"/>
        <family val="3"/>
        <charset val="134"/>
      </rPr>
      <t>、到期</t>
    </r>
  </si>
  <si>
    <r>
      <rPr>
        <sz val="10"/>
        <color theme="1"/>
        <rFont val="Arial"/>
        <family val="2"/>
      </rPr>
      <t>2024.05.29</t>
    </r>
    <r>
      <rPr>
        <sz val="10"/>
        <color theme="1"/>
        <rFont val="宋体"/>
        <family val="3"/>
        <charset val="134"/>
      </rPr>
      <t>交</t>
    </r>
    <r>
      <rPr>
        <sz val="10"/>
        <color theme="1"/>
        <rFont val="Arial"/>
        <family val="2"/>
      </rPr>
      <t>2024.07.01-07.31</t>
    </r>
    <r>
      <rPr>
        <sz val="10"/>
        <color theme="1"/>
        <rFont val="宋体"/>
        <family val="3"/>
        <charset val="134"/>
      </rPr>
      <t>、到期</t>
    </r>
  </si>
  <si>
    <t>2024.08.01-09.30</t>
  </si>
  <si>
    <r>
      <rPr>
        <sz val="10"/>
        <color theme="1"/>
        <rFont val="Arial"/>
        <family val="2"/>
      </rPr>
      <t>2024.08.05</t>
    </r>
    <r>
      <rPr>
        <sz val="10"/>
        <color theme="1"/>
        <rFont val="宋体"/>
        <family val="3"/>
        <charset val="134"/>
      </rPr>
      <t>交</t>
    </r>
    <r>
      <rPr>
        <sz val="10"/>
        <color theme="1"/>
        <rFont val="Arial"/>
        <family val="2"/>
      </rPr>
      <t>2024.08.01-09.30</t>
    </r>
  </si>
  <si>
    <t>2024.10.01-11.30</t>
  </si>
  <si>
    <r>
      <rPr>
        <sz val="10"/>
        <color theme="1"/>
        <rFont val="Arial"/>
        <family val="2"/>
      </rPr>
      <t>2024.09.02</t>
    </r>
    <r>
      <rPr>
        <sz val="10"/>
        <color theme="1"/>
        <rFont val="宋体"/>
        <family val="3"/>
        <charset val="134"/>
      </rPr>
      <t>交</t>
    </r>
    <r>
      <rPr>
        <sz val="10"/>
        <color theme="1"/>
        <rFont val="Arial"/>
        <family val="2"/>
      </rPr>
      <t>2024.10.01-11.30</t>
    </r>
  </si>
  <si>
    <t>2024.12.01-2025.01.31</t>
  </si>
  <si>
    <t>0925</t>
  </si>
  <si>
    <r>
      <rPr>
        <sz val="10"/>
        <rFont val="宋体"/>
        <family val="3"/>
        <charset val="134"/>
      </rPr>
      <t>北京聚能甄选科技有限公司</t>
    </r>
  </si>
  <si>
    <t>20230626-01002</t>
  </si>
  <si>
    <t>0926</t>
  </si>
  <si>
    <r>
      <rPr>
        <sz val="10"/>
        <rFont val="宋体"/>
        <family val="3"/>
        <charset val="134"/>
      </rPr>
      <t>北京田园博文咨询服务有限公司</t>
    </r>
  </si>
  <si>
    <t>20230928-01565</t>
  </si>
  <si>
    <t>2023.10.01</t>
  </si>
  <si>
    <t>2025.09.30</t>
  </si>
  <si>
    <r>
      <rPr>
        <sz val="10"/>
        <color theme="1"/>
        <rFont val="Arial"/>
        <family val="2"/>
      </rPr>
      <t>2024.03.11</t>
    </r>
    <r>
      <rPr>
        <sz val="10"/>
        <color theme="1"/>
        <rFont val="宋体"/>
        <family val="3"/>
        <charset val="134"/>
      </rPr>
      <t>交</t>
    </r>
    <r>
      <rPr>
        <sz val="10"/>
        <color theme="1"/>
        <rFont val="Arial"/>
        <family val="2"/>
      </rPr>
      <t>2024.04.01-04.30</t>
    </r>
    <r>
      <rPr>
        <sz val="10"/>
        <color theme="1"/>
        <rFont val="宋体"/>
        <family val="3"/>
        <charset val="134"/>
      </rPr>
      <t>物业费（免租）</t>
    </r>
  </si>
  <si>
    <r>
      <rPr>
        <sz val="10"/>
        <color theme="1"/>
        <rFont val="Arial"/>
        <family val="2"/>
      </rPr>
      <t>2024.04.07</t>
    </r>
    <r>
      <rPr>
        <sz val="10"/>
        <color theme="1"/>
        <rFont val="宋体"/>
        <family val="3"/>
        <charset val="134"/>
      </rPr>
      <t>交</t>
    </r>
    <r>
      <rPr>
        <sz val="10"/>
        <color theme="1"/>
        <rFont val="Arial"/>
        <family val="2"/>
      </rPr>
      <t>2024.05.01-05.31</t>
    </r>
    <r>
      <rPr>
        <sz val="10"/>
        <color theme="1"/>
        <rFont val="宋体"/>
        <family val="3"/>
        <charset val="134"/>
      </rPr>
      <t>物业费（免租）</t>
    </r>
  </si>
  <si>
    <t>0918-0919</t>
  </si>
  <si>
    <r>
      <rPr>
        <sz val="10"/>
        <rFont val="宋体"/>
        <family val="3"/>
        <charset val="134"/>
      </rPr>
      <t>北京小面鲜生餐饮管理有限公司</t>
    </r>
  </si>
  <si>
    <t>20210321-00453</t>
  </si>
  <si>
    <t>2021.03.25</t>
  </si>
  <si>
    <r>
      <rPr>
        <sz val="10"/>
        <rFont val="Arial"/>
        <family val="2"/>
      </rPr>
      <t>30</t>
    </r>
    <r>
      <rPr>
        <sz val="10"/>
        <rFont val="宋体"/>
        <family val="3"/>
        <charset val="134"/>
      </rPr>
      <t>个月</t>
    </r>
  </si>
  <si>
    <r>
      <rPr>
        <sz val="10"/>
        <color theme="1"/>
        <rFont val="Arial"/>
        <family val="2"/>
      </rPr>
      <t>2022.03.23</t>
    </r>
    <r>
      <rPr>
        <sz val="10"/>
        <color theme="1"/>
        <rFont val="宋体"/>
        <family val="3"/>
        <charset val="134"/>
      </rPr>
      <t>客户</t>
    </r>
    <r>
      <rPr>
        <sz val="10"/>
        <color theme="1"/>
        <rFont val="Arial"/>
        <family val="2"/>
      </rPr>
      <t>2022.02.28</t>
    </r>
    <r>
      <rPr>
        <sz val="10"/>
        <color theme="1"/>
        <rFont val="宋体"/>
        <family val="3"/>
        <charset val="134"/>
      </rPr>
      <t>提前退租，押金转收入</t>
    </r>
  </si>
  <si>
    <t>0920</t>
  </si>
  <si>
    <r>
      <rPr>
        <sz val="10"/>
        <rFont val="宋体"/>
        <family val="3"/>
        <charset val="134"/>
      </rPr>
      <t>北京聚能传承信息技术咨询有限公司</t>
    </r>
  </si>
  <si>
    <t>20210322-00461</t>
  </si>
  <si>
    <t>0921</t>
  </si>
  <si>
    <t>北京拾光美学形象设计有限公司</t>
  </si>
  <si>
    <t>20240523-00805</t>
  </si>
  <si>
    <t>2024.06.08</t>
  </si>
  <si>
    <t>2025.04.07</t>
  </si>
  <si>
    <t>2024.04.08-06.07</t>
  </si>
  <si>
    <r>
      <rPr>
        <sz val="10"/>
        <color theme="1"/>
        <rFont val="Arial"/>
        <family val="2"/>
      </rPr>
      <t>2024.04.08</t>
    </r>
    <r>
      <rPr>
        <sz val="10"/>
        <color theme="1"/>
        <rFont val="宋体"/>
        <family val="3"/>
        <charset val="134"/>
      </rPr>
      <t>交</t>
    </r>
    <r>
      <rPr>
        <sz val="10"/>
        <color theme="1"/>
        <rFont val="Arial"/>
        <family val="2"/>
      </rPr>
      <t>2024.05.08-06.07</t>
    </r>
    <r>
      <rPr>
        <sz val="10"/>
        <color theme="1"/>
        <rFont val="宋体"/>
        <family val="3"/>
        <charset val="134"/>
      </rPr>
      <t>租金、</t>
    </r>
    <r>
      <rPr>
        <sz val="10"/>
        <color theme="1"/>
        <rFont val="Arial"/>
        <family val="2"/>
      </rPr>
      <t>2024.04.08-06.07</t>
    </r>
    <r>
      <rPr>
        <sz val="10"/>
        <color theme="1"/>
        <rFont val="宋体"/>
        <family val="3"/>
        <charset val="134"/>
      </rPr>
      <t>物业费</t>
    </r>
  </si>
  <si>
    <t>2024.06.08-08.07</t>
  </si>
  <si>
    <r>
      <rPr>
        <sz val="10"/>
        <color theme="1"/>
        <rFont val="Arial"/>
        <family val="2"/>
      </rPr>
      <t>2024.05.21</t>
    </r>
    <r>
      <rPr>
        <sz val="10"/>
        <color theme="1"/>
        <rFont val="宋体"/>
        <family val="3"/>
        <charset val="134"/>
      </rPr>
      <t>交</t>
    </r>
    <r>
      <rPr>
        <sz val="10"/>
        <color theme="1"/>
        <rFont val="Arial"/>
        <family val="2"/>
      </rPr>
      <t>2024.06.08-08.07</t>
    </r>
  </si>
  <si>
    <t>2024.08.08-10.07</t>
  </si>
  <si>
    <r>
      <rPr>
        <sz val="10"/>
        <color theme="1"/>
        <rFont val="Arial"/>
        <family val="2"/>
      </rPr>
      <t>2024.07.10</t>
    </r>
    <r>
      <rPr>
        <sz val="10"/>
        <color theme="1"/>
        <rFont val="宋体"/>
        <family val="3"/>
        <charset val="134"/>
      </rPr>
      <t>交</t>
    </r>
    <r>
      <rPr>
        <sz val="10"/>
        <color theme="1"/>
        <rFont val="Arial"/>
        <family val="2"/>
      </rPr>
      <t>2024.08.08-10.07</t>
    </r>
    <r>
      <rPr>
        <sz val="10"/>
        <color theme="1"/>
        <rFont val="宋体"/>
        <family val="3"/>
        <charset val="134"/>
      </rPr>
      <t>、预收租金</t>
    </r>
    <r>
      <rPr>
        <sz val="10"/>
        <color theme="1"/>
        <rFont val="Arial"/>
        <family val="2"/>
      </rPr>
      <t>0.48</t>
    </r>
  </si>
  <si>
    <r>
      <rPr>
        <sz val="10"/>
        <color theme="1"/>
        <rFont val="Arial"/>
        <family val="2"/>
      </rPr>
      <t>2024.07.10</t>
    </r>
    <r>
      <rPr>
        <sz val="10"/>
        <color theme="1"/>
        <rFont val="宋体"/>
        <family val="3"/>
        <charset val="134"/>
      </rPr>
      <t>交</t>
    </r>
    <r>
      <rPr>
        <sz val="10"/>
        <color theme="1"/>
        <rFont val="Arial"/>
        <family val="2"/>
      </rPr>
      <t>2024.08.08-10.07</t>
    </r>
    <r>
      <rPr>
        <sz val="10"/>
        <color theme="1"/>
        <rFont val="宋体"/>
        <family val="3"/>
        <charset val="134"/>
      </rPr>
      <t>、</t>
    </r>
    <r>
      <rPr>
        <sz val="10"/>
        <color theme="1"/>
        <rFont val="Arial"/>
        <family val="2"/>
      </rPr>
      <t>2024.07</t>
    </r>
    <r>
      <rPr>
        <sz val="10"/>
        <color theme="1"/>
        <rFont val="宋体"/>
        <family val="3"/>
        <charset val="134"/>
      </rPr>
      <t>预收租金</t>
    </r>
    <r>
      <rPr>
        <sz val="10"/>
        <color theme="1"/>
        <rFont val="Arial"/>
        <family val="2"/>
      </rPr>
      <t>0.48</t>
    </r>
  </si>
  <si>
    <t>2024.10.08-12.07</t>
  </si>
  <si>
    <r>
      <rPr>
        <sz val="10"/>
        <color theme="1"/>
        <rFont val="Arial"/>
        <family val="2"/>
      </rPr>
      <t>2024.09.10</t>
    </r>
    <r>
      <rPr>
        <sz val="10"/>
        <color theme="1"/>
        <rFont val="宋体"/>
        <family val="3"/>
        <charset val="134"/>
      </rPr>
      <t>交</t>
    </r>
    <r>
      <rPr>
        <sz val="10"/>
        <color theme="1"/>
        <rFont val="Arial"/>
        <family val="2"/>
      </rPr>
      <t>2024.10.08-12.07</t>
    </r>
  </si>
  <si>
    <t>2024.12.08-2025.02.07</t>
  </si>
  <si>
    <t>2025.01.01-02.07</t>
  </si>
  <si>
    <t>涨租</t>
  </si>
  <si>
    <t>0923</t>
  </si>
  <si>
    <t>北京友识诚邦文化科技有限公司</t>
  </si>
  <si>
    <t>20240522-00801</t>
  </si>
  <si>
    <t>2024.06.01</t>
  </si>
  <si>
    <t>2026.05.31</t>
  </si>
  <si>
    <r>
      <rPr>
        <sz val="10"/>
        <color theme="1"/>
        <rFont val="Arial"/>
        <family val="2"/>
      </rPr>
      <t>2019.07.31</t>
    </r>
    <r>
      <rPr>
        <sz val="10"/>
        <color theme="1"/>
        <rFont val="宋体"/>
        <family val="3"/>
        <charset val="134"/>
      </rPr>
      <t>提前退租</t>
    </r>
  </si>
  <si>
    <t>2024.06.01-07.31</t>
  </si>
  <si>
    <r>
      <rPr>
        <sz val="10"/>
        <color theme="1"/>
        <rFont val="Arial"/>
        <family val="2"/>
      </rPr>
      <t>2024.05.27</t>
    </r>
    <r>
      <rPr>
        <sz val="10"/>
        <color theme="1"/>
        <rFont val="宋体"/>
        <family val="3"/>
        <charset val="134"/>
      </rPr>
      <t>交</t>
    </r>
    <r>
      <rPr>
        <sz val="10"/>
        <color theme="1"/>
        <rFont val="Arial"/>
        <family val="2"/>
      </rPr>
      <t>2024.07.01-07.31</t>
    </r>
    <r>
      <rPr>
        <sz val="10"/>
        <color theme="1"/>
        <rFont val="宋体"/>
        <family val="3"/>
        <charset val="134"/>
      </rPr>
      <t>（</t>
    </r>
    <r>
      <rPr>
        <sz val="10"/>
        <color theme="1"/>
        <rFont val="Arial"/>
        <family val="2"/>
      </rPr>
      <t>6</t>
    </r>
    <r>
      <rPr>
        <sz val="10"/>
        <color theme="1"/>
        <rFont val="宋体"/>
        <family val="3"/>
        <charset val="134"/>
      </rPr>
      <t>月免租）、</t>
    </r>
    <r>
      <rPr>
        <sz val="10"/>
        <color theme="1"/>
        <rFont val="Arial"/>
        <family val="2"/>
      </rPr>
      <t>2024.06.01-07.31</t>
    </r>
    <r>
      <rPr>
        <sz val="10"/>
        <color theme="1"/>
        <rFont val="宋体"/>
        <family val="3"/>
        <charset val="134"/>
      </rPr>
      <t>物业费</t>
    </r>
  </si>
  <si>
    <r>
      <rPr>
        <sz val="10"/>
        <color theme="1"/>
        <rFont val="Arial"/>
        <family val="2"/>
      </rPr>
      <t>2024.07.19</t>
    </r>
    <r>
      <rPr>
        <sz val="10"/>
        <color theme="1"/>
        <rFont val="宋体"/>
        <family val="3"/>
        <charset val="134"/>
      </rPr>
      <t>交</t>
    </r>
    <r>
      <rPr>
        <sz val="10"/>
        <color theme="1"/>
        <rFont val="Arial"/>
        <family val="2"/>
      </rPr>
      <t>2024.08.01-09.30</t>
    </r>
  </si>
  <si>
    <t>0924</t>
  </si>
  <si>
    <r>
      <rPr>
        <sz val="10"/>
        <rFont val="宋体"/>
        <family val="3"/>
        <charset val="134"/>
      </rPr>
      <t>办公室占用</t>
    </r>
  </si>
  <si>
    <t>09A1</t>
  </si>
  <si>
    <t>北京联信永利科技有限公司</t>
  </si>
  <si>
    <t>20240315-00415</t>
  </si>
  <si>
    <t>2024.04.01</t>
  </si>
  <si>
    <t>2025.03.31</t>
  </si>
  <si>
    <r>
      <rPr>
        <sz val="10"/>
        <color theme="1"/>
        <rFont val="Arial"/>
        <family val="2"/>
      </rPr>
      <t>2023.12.18</t>
    </r>
    <r>
      <rPr>
        <sz val="10"/>
        <color theme="1"/>
        <rFont val="宋体"/>
        <family val="3"/>
        <charset val="134"/>
      </rPr>
      <t>交</t>
    </r>
    <r>
      <rPr>
        <sz val="10"/>
        <color theme="1"/>
        <rFont val="Arial"/>
        <family val="2"/>
      </rPr>
      <t>2024.01.01-03.31</t>
    </r>
    <r>
      <rPr>
        <sz val="10"/>
        <color theme="1"/>
        <rFont val="宋体"/>
        <family val="3"/>
        <charset val="134"/>
      </rPr>
      <t>、到期</t>
    </r>
  </si>
  <si>
    <t>2024.04.01-06.30</t>
  </si>
  <si>
    <r>
      <rPr>
        <sz val="10"/>
        <color theme="1"/>
        <rFont val="Arial"/>
        <family val="2"/>
      </rPr>
      <t>2024.04.01</t>
    </r>
    <r>
      <rPr>
        <sz val="10"/>
        <color theme="1"/>
        <rFont val="宋体"/>
        <family val="3"/>
        <charset val="134"/>
      </rPr>
      <t>交</t>
    </r>
    <r>
      <rPr>
        <sz val="10"/>
        <color theme="1"/>
        <rFont val="Arial"/>
        <family val="2"/>
      </rPr>
      <t>2024.04.01-06.30</t>
    </r>
  </si>
  <si>
    <t>2024.07.01-09.30</t>
  </si>
  <si>
    <r>
      <rPr>
        <sz val="10"/>
        <color theme="1"/>
        <rFont val="Arial"/>
        <family val="2"/>
      </rPr>
      <t>2024.06.12</t>
    </r>
    <r>
      <rPr>
        <sz val="10"/>
        <color theme="1"/>
        <rFont val="宋体"/>
        <family val="3"/>
        <charset val="134"/>
      </rPr>
      <t>交</t>
    </r>
    <r>
      <rPr>
        <sz val="10"/>
        <color theme="1"/>
        <rFont val="Arial"/>
        <family val="2"/>
      </rPr>
      <t>2024.07.01-09.30</t>
    </r>
    <r>
      <rPr>
        <sz val="10"/>
        <color theme="1"/>
        <rFont val="宋体"/>
        <family val="3"/>
        <charset val="134"/>
      </rPr>
      <t>租金、</t>
    </r>
    <r>
      <rPr>
        <sz val="10"/>
        <color theme="1"/>
        <rFont val="Arial"/>
        <family val="2"/>
      </rPr>
      <t>06.13</t>
    </r>
    <r>
      <rPr>
        <sz val="10"/>
        <color theme="1"/>
        <rFont val="宋体"/>
        <family val="3"/>
        <charset val="134"/>
      </rPr>
      <t>交</t>
    </r>
    <r>
      <rPr>
        <sz val="10"/>
        <color theme="1"/>
        <rFont val="Arial"/>
        <family val="2"/>
      </rPr>
      <t>2024.07.01-09.30</t>
    </r>
    <r>
      <rPr>
        <sz val="10"/>
        <color theme="1"/>
        <rFont val="宋体"/>
        <family val="3"/>
        <charset val="134"/>
      </rPr>
      <t>物业费</t>
    </r>
  </si>
  <si>
    <t>2024.10.01-12.31</t>
  </si>
  <si>
    <r>
      <rPr>
        <sz val="10"/>
        <color theme="1"/>
        <rFont val="Arial"/>
        <family val="2"/>
      </rPr>
      <t>2024.09.13</t>
    </r>
    <r>
      <rPr>
        <sz val="10"/>
        <color theme="1"/>
        <rFont val="宋体"/>
        <family val="3"/>
        <charset val="134"/>
      </rPr>
      <t>交</t>
    </r>
    <r>
      <rPr>
        <sz val="10"/>
        <color theme="1"/>
        <rFont val="Arial"/>
        <family val="2"/>
      </rPr>
      <t>2024.10.01-12.31</t>
    </r>
  </si>
  <si>
    <t>2025.01.01-03.31</t>
  </si>
  <si>
    <t>2024.01.01-03.31</t>
  </si>
  <si>
    <r>
      <rPr>
        <sz val="10"/>
        <color theme="1"/>
        <rFont val="宋体"/>
        <family val="3"/>
        <charset val="134"/>
      </rPr>
      <t>冲减</t>
    </r>
    <r>
      <rPr>
        <sz val="10"/>
        <color theme="1"/>
        <rFont val="Arial"/>
        <family val="2"/>
      </rPr>
      <t>12</t>
    </r>
    <r>
      <rPr>
        <sz val="10"/>
        <color theme="1"/>
        <rFont val="宋体"/>
        <family val="3"/>
        <charset val="134"/>
      </rPr>
      <t>月应收</t>
    </r>
  </si>
  <si>
    <t>09A2</t>
  </si>
  <si>
    <t>20240425-00680</t>
  </si>
  <si>
    <t>2024.05.01</t>
  </si>
  <si>
    <t>2025.04.30</t>
  </si>
  <si>
    <r>
      <rPr>
        <sz val="10"/>
        <rFont val="Arial"/>
        <family val="2"/>
      </rPr>
      <t>2024.02.01-04.30</t>
    </r>
    <r>
      <rPr>
        <sz val="10"/>
        <rFont val="宋体"/>
        <family val="3"/>
        <charset val="134"/>
      </rPr>
      <t>、到期</t>
    </r>
  </si>
  <si>
    <r>
      <rPr>
        <sz val="10"/>
        <color theme="1"/>
        <rFont val="Arial"/>
        <family val="2"/>
      </rPr>
      <t>2024.01.16</t>
    </r>
    <r>
      <rPr>
        <sz val="10"/>
        <color theme="1"/>
        <rFont val="宋体"/>
        <family val="3"/>
        <charset val="134"/>
      </rPr>
      <t>交</t>
    </r>
    <r>
      <rPr>
        <sz val="10"/>
        <color theme="1"/>
        <rFont val="Arial"/>
        <family val="2"/>
      </rPr>
      <t>2024.02.01-04.30</t>
    </r>
  </si>
  <si>
    <t>2024.05.01-07.31</t>
  </si>
  <si>
    <r>
      <rPr>
        <sz val="10"/>
        <color theme="1"/>
        <rFont val="Arial"/>
        <family val="2"/>
      </rPr>
      <t>2024.05.13</t>
    </r>
    <r>
      <rPr>
        <sz val="10"/>
        <color theme="1"/>
        <rFont val="宋体"/>
        <family val="3"/>
        <charset val="134"/>
      </rPr>
      <t>交</t>
    </r>
    <r>
      <rPr>
        <sz val="10"/>
        <color theme="1"/>
        <rFont val="Arial"/>
        <family val="2"/>
      </rPr>
      <t>2024.05.01-07.31</t>
    </r>
  </si>
  <si>
    <t>2024.08.01-10.31</t>
  </si>
  <si>
    <r>
      <rPr>
        <sz val="10"/>
        <color theme="1"/>
        <rFont val="Arial"/>
        <family val="2"/>
      </rPr>
      <t>2024.07.01</t>
    </r>
    <r>
      <rPr>
        <sz val="10"/>
        <color theme="1"/>
        <rFont val="宋体"/>
        <family val="3"/>
        <charset val="134"/>
      </rPr>
      <t>交</t>
    </r>
    <r>
      <rPr>
        <sz val="10"/>
        <color theme="1"/>
        <rFont val="Arial"/>
        <family val="2"/>
      </rPr>
      <t>2024.08.01-10.31</t>
    </r>
  </si>
  <si>
    <t>2024.11.01-2025.01.31</t>
  </si>
  <si>
    <t>09A3</t>
  </si>
  <si>
    <r>
      <rPr>
        <sz val="10"/>
        <rFont val="宋体"/>
        <family val="3"/>
        <charset val="134"/>
      </rPr>
      <t>北京景智创联科技有限公司</t>
    </r>
  </si>
  <si>
    <t>20240729-01163</t>
  </si>
  <si>
    <t>2026.07.31</t>
  </si>
  <si>
    <t>2024.02.01-04.30</t>
  </si>
  <si>
    <r>
      <rPr>
        <sz val="10"/>
        <color theme="1"/>
        <rFont val="Arial"/>
        <family val="2"/>
      </rPr>
      <t>2024.01.23</t>
    </r>
    <r>
      <rPr>
        <sz val="10"/>
        <color theme="1"/>
        <rFont val="宋体"/>
        <family val="3"/>
        <charset val="134"/>
      </rPr>
      <t>交</t>
    </r>
    <r>
      <rPr>
        <sz val="10"/>
        <color theme="1"/>
        <rFont val="Arial"/>
        <family val="2"/>
      </rPr>
      <t>2024.02.01-04.30</t>
    </r>
  </si>
  <si>
    <r>
      <rPr>
        <sz val="10"/>
        <rFont val="Arial"/>
        <family val="2"/>
      </rPr>
      <t>2024.05.01-07.31</t>
    </r>
    <r>
      <rPr>
        <sz val="10"/>
        <rFont val="宋体"/>
        <family val="3"/>
        <charset val="134"/>
      </rPr>
      <t>、到期</t>
    </r>
  </si>
  <si>
    <r>
      <rPr>
        <sz val="10"/>
        <color theme="1"/>
        <rFont val="Arial"/>
        <family val="2"/>
      </rPr>
      <t>2024.04.10</t>
    </r>
    <r>
      <rPr>
        <sz val="10"/>
        <color theme="1"/>
        <rFont val="宋体"/>
        <family val="3"/>
        <charset val="134"/>
      </rPr>
      <t>交</t>
    </r>
    <r>
      <rPr>
        <sz val="10"/>
        <color theme="1"/>
        <rFont val="Arial"/>
        <family val="2"/>
      </rPr>
      <t>2024.05.01-07.31</t>
    </r>
    <r>
      <rPr>
        <sz val="10"/>
        <color theme="1"/>
        <rFont val="宋体"/>
        <family val="3"/>
        <charset val="134"/>
      </rPr>
      <t>、到期</t>
    </r>
  </si>
  <si>
    <r>
      <rPr>
        <sz val="10"/>
        <color theme="1"/>
        <rFont val="Arial"/>
        <family val="2"/>
      </rPr>
      <t>2024.08.09</t>
    </r>
    <r>
      <rPr>
        <sz val="10"/>
        <color theme="1"/>
        <rFont val="宋体"/>
        <family val="3"/>
        <charset val="134"/>
      </rPr>
      <t>交</t>
    </r>
    <r>
      <rPr>
        <sz val="10"/>
        <color theme="1"/>
        <rFont val="Arial"/>
        <family val="2"/>
      </rPr>
      <t>2024.08.01-10.31</t>
    </r>
  </si>
  <si>
    <r>
      <rPr>
        <sz val="10"/>
        <rFont val="宋体"/>
        <family val="3"/>
        <charset val="134"/>
      </rPr>
      <t>海龙大厦</t>
    </r>
    <r>
      <rPr>
        <sz val="10"/>
        <rFont val="Arial"/>
        <family val="2"/>
      </rPr>
      <t>10</t>
    </r>
    <r>
      <rPr>
        <sz val="10"/>
        <rFont val="宋体"/>
        <family val="3"/>
        <charset val="134"/>
      </rPr>
      <t>层</t>
    </r>
  </si>
  <si>
    <t>北京鼎山科技有限公司</t>
  </si>
  <si>
    <t>20240612-00926</t>
  </si>
  <si>
    <t>2024.06.20</t>
  </si>
  <si>
    <t>2026.06.19</t>
  </si>
  <si>
    <r>
      <rPr>
        <sz val="10"/>
        <rFont val="Arial"/>
        <family val="2"/>
      </rPr>
      <t>9</t>
    </r>
    <r>
      <rPr>
        <sz val="10"/>
        <rFont val="宋体"/>
        <family val="3"/>
        <charset val="134"/>
      </rPr>
      <t>个月</t>
    </r>
  </si>
  <si>
    <r>
      <rPr>
        <sz val="10"/>
        <color theme="1"/>
        <rFont val="Arial"/>
        <family val="2"/>
      </rPr>
      <t>2023.12.04</t>
    </r>
    <r>
      <rPr>
        <sz val="10"/>
        <color theme="1"/>
        <rFont val="宋体"/>
        <family val="3"/>
        <charset val="134"/>
      </rPr>
      <t>交</t>
    </r>
    <r>
      <rPr>
        <sz val="10"/>
        <color theme="1"/>
        <rFont val="Arial"/>
        <family val="2"/>
      </rPr>
      <t>2024.01.01-03.31</t>
    </r>
  </si>
  <si>
    <r>
      <rPr>
        <sz val="10"/>
        <rFont val="Arial"/>
        <family val="2"/>
      </rPr>
      <t>2024.04.01-06.19</t>
    </r>
    <r>
      <rPr>
        <sz val="10"/>
        <rFont val="宋体"/>
        <family val="3"/>
        <charset val="134"/>
      </rPr>
      <t>、到期</t>
    </r>
  </si>
  <si>
    <r>
      <rPr>
        <sz val="10"/>
        <color theme="1"/>
        <rFont val="Arial"/>
        <family val="2"/>
      </rPr>
      <t>2024.03.01</t>
    </r>
    <r>
      <rPr>
        <sz val="10"/>
        <color theme="1"/>
        <rFont val="宋体"/>
        <family val="3"/>
        <charset val="134"/>
      </rPr>
      <t>交</t>
    </r>
    <r>
      <rPr>
        <sz val="10"/>
        <color theme="1"/>
        <rFont val="Arial"/>
        <family val="2"/>
      </rPr>
      <t>2024.04.01-06.19</t>
    </r>
    <r>
      <rPr>
        <sz val="10"/>
        <color theme="1"/>
        <rFont val="宋体"/>
        <family val="3"/>
        <charset val="134"/>
      </rPr>
      <t>、到期</t>
    </r>
  </si>
  <si>
    <t>2024.06.20-09.19</t>
  </si>
  <si>
    <r>
      <rPr>
        <sz val="10"/>
        <color theme="1"/>
        <rFont val="Arial"/>
        <family val="2"/>
      </rPr>
      <t>2024.06.20</t>
    </r>
    <r>
      <rPr>
        <sz val="10"/>
        <color theme="1"/>
        <rFont val="宋体"/>
        <family val="3"/>
        <charset val="134"/>
      </rPr>
      <t>交</t>
    </r>
    <r>
      <rPr>
        <sz val="10"/>
        <color theme="1"/>
        <rFont val="Arial"/>
        <family val="2"/>
      </rPr>
      <t>2024.06.20-09.19</t>
    </r>
  </si>
  <si>
    <t>2024.09.20-12.19</t>
  </si>
  <si>
    <r>
      <rPr>
        <sz val="10"/>
        <color theme="1"/>
        <rFont val="Arial"/>
        <family val="2"/>
      </rPr>
      <t>2024.08.13</t>
    </r>
    <r>
      <rPr>
        <sz val="10"/>
        <color theme="1"/>
        <rFont val="宋体"/>
        <family val="3"/>
        <charset val="134"/>
      </rPr>
      <t>交</t>
    </r>
    <r>
      <rPr>
        <sz val="10"/>
        <color theme="1"/>
        <rFont val="Arial"/>
        <family val="2"/>
      </rPr>
      <t>2024.09.20-12.19</t>
    </r>
  </si>
  <si>
    <t>2024.12.20-2025.03.19</t>
  </si>
  <si>
    <t>2025.01.01-03.19</t>
  </si>
  <si>
    <t>1001</t>
  </si>
  <si>
    <r>
      <rPr>
        <sz val="10"/>
        <rFont val="宋体"/>
        <family val="3"/>
        <charset val="134"/>
      </rPr>
      <t>北京京扬咨询有限公司</t>
    </r>
  </si>
  <si>
    <t>20231213-02016</t>
  </si>
  <si>
    <t>2023.12.26</t>
  </si>
  <si>
    <t>2026.12.25</t>
  </si>
  <si>
    <r>
      <rPr>
        <sz val="10"/>
        <color theme="1"/>
        <rFont val="Arial"/>
        <family val="2"/>
      </rPr>
      <t>2023.12.18</t>
    </r>
    <r>
      <rPr>
        <sz val="10"/>
        <color theme="1"/>
        <rFont val="宋体"/>
        <family val="3"/>
        <charset val="134"/>
      </rPr>
      <t>交</t>
    </r>
    <r>
      <rPr>
        <sz val="10"/>
        <color theme="1"/>
        <rFont val="Arial"/>
        <family val="2"/>
      </rPr>
      <t>2024.01.26-2024.03.25</t>
    </r>
    <r>
      <rPr>
        <sz val="10"/>
        <color theme="1"/>
        <rFont val="宋体"/>
        <family val="3"/>
        <charset val="134"/>
      </rPr>
      <t>租金、</t>
    </r>
    <r>
      <rPr>
        <sz val="10"/>
        <color theme="1"/>
        <rFont val="Arial"/>
        <family val="2"/>
      </rPr>
      <t>2023.12.26-2024.03.25</t>
    </r>
    <r>
      <rPr>
        <sz val="10"/>
        <color theme="1"/>
        <rFont val="宋体"/>
        <family val="3"/>
        <charset val="134"/>
      </rPr>
      <t>物业费</t>
    </r>
  </si>
  <si>
    <t>2024.03.26-06.25</t>
  </si>
  <si>
    <r>
      <rPr>
        <sz val="10"/>
        <color theme="1"/>
        <rFont val="Arial"/>
        <family val="2"/>
      </rPr>
      <t>2024.02.22</t>
    </r>
    <r>
      <rPr>
        <sz val="10"/>
        <color theme="1"/>
        <rFont val="宋体"/>
        <family val="3"/>
        <charset val="134"/>
      </rPr>
      <t>交</t>
    </r>
    <r>
      <rPr>
        <sz val="10"/>
        <color theme="1"/>
        <rFont val="Arial"/>
        <family val="2"/>
      </rPr>
      <t>2024.03.26-06.25</t>
    </r>
  </si>
  <si>
    <t>2024.06.26-09.25</t>
  </si>
  <si>
    <r>
      <rPr>
        <sz val="10"/>
        <color theme="1"/>
        <rFont val="Arial"/>
        <family val="2"/>
      </rPr>
      <t>2024.05.20</t>
    </r>
    <r>
      <rPr>
        <sz val="10"/>
        <color theme="1"/>
        <rFont val="宋体"/>
        <family val="3"/>
        <charset val="134"/>
      </rPr>
      <t>交</t>
    </r>
    <r>
      <rPr>
        <sz val="10"/>
        <color theme="1"/>
        <rFont val="Arial"/>
        <family val="2"/>
      </rPr>
      <t>2024.06.26-09.25</t>
    </r>
  </si>
  <si>
    <t>2024.09.26-12.25</t>
  </si>
  <si>
    <r>
      <rPr>
        <sz val="10"/>
        <color theme="1"/>
        <rFont val="Arial"/>
        <family val="2"/>
      </rPr>
      <t>2024.08.22</t>
    </r>
    <r>
      <rPr>
        <sz val="10"/>
        <color theme="1"/>
        <rFont val="宋体"/>
        <family val="3"/>
        <charset val="134"/>
      </rPr>
      <t>交</t>
    </r>
    <r>
      <rPr>
        <sz val="10"/>
        <color theme="1"/>
        <rFont val="Arial"/>
        <family val="2"/>
      </rPr>
      <t>2024.09.26-12.25</t>
    </r>
  </si>
  <si>
    <t>2024.12.26-2025.03.25</t>
  </si>
  <si>
    <t>2025.01.01-03.25</t>
  </si>
  <si>
    <t>2024.01.01-03.25</t>
  </si>
  <si>
    <t>1002</t>
  </si>
  <si>
    <t>1003-1004</t>
  </si>
  <si>
    <t>北京新东方彼岸科技有限公司</t>
  </si>
  <si>
    <t>20240819-01289</t>
  </si>
  <si>
    <t>2024.08.21</t>
  </si>
  <si>
    <t>2025.05.31</t>
  </si>
  <si>
    <r>
      <rPr>
        <sz val="10"/>
        <rFont val="Arial"/>
        <family val="2"/>
      </rPr>
      <t>18</t>
    </r>
    <r>
      <rPr>
        <sz val="10"/>
        <rFont val="宋体"/>
        <family val="3"/>
        <charset val="134"/>
      </rPr>
      <t>个月</t>
    </r>
  </si>
  <si>
    <r>
      <rPr>
        <sz val="10"/>
        <color theme="1"/>
        <rFont val="Arial"/>
        <family val="2"/>
      </rPr>
      <t>2024.04.09</t>
    </r>
    <r>
      <rPr>
        <sz val="10"/>
        <color theme="1"/>
        <rFont val="宋体"/>
        <family val="3"/>
        <charset val="134"/>
      </rPr>
      <t>交</t>
    </r>
    <r>
      <rPr>
        <sz val="10"/>
        <color theme="1"/>
        <rFont val="Arial"/>
        <family val="2"/>
      </rPr>
      <t>2024.05.01-05.31</t>
    </r>
  </si>
  <si>
    <r>
      <rPr>
        <sz val="10"/>
        <color theme="1"/>
        <rFont val="Arial"/>
        <family val="2"/>
      </rPr>
      <t>2024.05.09</t>
    </r>
    <r>
      <rPr>
        <sz val="10"/>
        <color theme="1"/>
        <rFont val="宋体"/>
        <family val="3"/>
        <charset val="134"/>
      </rPr>
      <t>交</t>
    </r>
    <r>
      <rPr>
        <sz val="10"/>
        <color theme="1"/>
        <rFont val="Arial"/>
        <family val="2"/>
      </rPr>
      <t>2024.06.01-06.30</t>
    </r>
  </si>
  <si>
    <r>
      <rPr>
        <sz val="10"/>
        <color theme="1"/>
        <rFont val="Arial"/>
        <family val="2"/>
      </rPr>
      <t>2024.06.07</t>
    </r>
    <r>
      <rPr>
        <sz val="10"/>
        <color theme="1"/>
        <rFont val="宋体"/>
        <family val="3"/>
        <charset val="134"/>
      </rPr>
      <t>交</t>
    </r>
    <r>
      <rPr>
        <sz val="10"/>
        <color theme="1"/>
        <rFont val="Arial"/>
        <family val="2"/>
      </rPr>
      <t>2024.07.01-07.31</t>
    </r>
  </si>
  <si>
    <r>
      <rPr>
        <sz val="10"/>
        <rFont val="Arial"/>
        <family val="2"/>
      </rPr>
      <t>2023.07.01-2023.08.15</t>
    </r>
    <r>
      <rPr>
        <sz val="10"/>
        <rFont val="宋体"/>
        <family val="3"/>
        <charset val="134"/>
      </rPr>
      <t>免租期租金</t>
    </r>
  </si>
  <si>
    <r>
      <rPr>
        <sz val="10"/>
        <color theme="1"/>
        <rFont val="Arial"/>
        <family val="2"/>
      </rPr>
      <t>2024.07.19</t>
    </r>
    <r>
      <rPr>
        <sz val="10"/>
        <color theme="1"/>
        <rFont val="宋体"/>
        <family val="3"/>
        <charset val="134"/>
      </rPr>
      <t>交</t>
    </r>
    <r>
      <rPr>
        <sz val="10"/>
        <color theme="1"/>
        <rFont val="Arial"/>
        <family val="2"/>
      </rPr>
      <t>2023.07.01-2023.08.15</t>
    </r>
    <r>
      <rPr>
        <sz val="10"/>
        <color theme="1"/>
        <rFont val="宋体"/>
        <family val="3"/>
        <charset val="134"/>
      </rPr>
      <t>免租期租金、退</t>
    </r>
    <r>
      <rPr>
        <sz val="10"/>
        <color theme="1"/>
        <rFont val="Arial"/>
        <family val="2"/>
      </rPr>
      <t>2024.07.15-07.31</t>
    </r>
    <r>
      <rPr>
        <sz val="10"/>
        <color theme="1"/>
        <rFont val="宋体"/>
        <family val="3"/>
        <charset val="134"/>
      </rPr>
      <t>租金物业费转至</t>
    </r>
    <r>
      <rPr>
        <sz val="10"/>
        <color theme="1"/>
        <rFont val="Arial"/>
        <family val="2"/>
      </rPr>
      <t>0808</t>
    </r>
    <r>
      <rPr>
        <sz val="10"/>
        <color theme="1"/>
        <rFont val="宋体"/>
        <family val="3"/>
        <charset val="134"/>
      </rPr>
      <t>、到期</t>
    </r>
  </si>
  <si>
    <t>2024.08.21-11.20</t>
  </si>
  <si>
    <r>
      <rPr>
        <sz val="10"/>
        <color theme="1"/>
        <rFont val="Arial"/>
        <family val="2"/>
      </rPr>
      <t>2024.09.20</t>
    </r>
    <r>
      <rPr>
        <sz val="10"/>
        <color theme="1"/>
        <rFont val="宋体"/>
        <family val="3"/>
        <charset val="134"/>
      </rPr>
      <t>交</t>
    </r>
    <r>
      <rPr>
        <sz val="10"/>
        <color theme="1"/>
        <rFont val="Arial"/>
        <family val="2"/>
      </rPr>
      <t>2024.08.21-11.20</t>
    </r>
  </si>
  <si>
    <t>2024.11.21-2025.02.20</t>
  </si>
  <si>
    <t>2025.01.01-02.20</t>
  </si>
  <si>
    <t>涨租、冲退租空置</t>
  </si>
  <si>
    <t>1005</t>
  </si>
  <si>
    <r>
      <rPr>
        <sz val="10"/>
        <rFont val="宋体"/>
        <family val="3"/>
        <charset val="134"/>
      </rPr>
      <t>北京指上缤纷科技股份有限公司</t>
    </r>
  </si>
  <si>
    <t>20230331-00427</t>
  </si>
  <si>
    <t>2023.05.01</t>
  </si>
  <si>
    <r>
      <rPr>
        <sz val="10"/>
        <rFont val="Arial"/>
        <family val="2"/>
      </rPr>
      <t>1</t>
    </r>
    <r>
      <rPr>
        <sz val="10"/>
        <rFont val="宋体"/>
        <family val="3"/>
        <charset val="134"/>
      </rPr>
      <t>个月</t>
    </r>
  </si>
  <si>
    <r>
      <rPr>
        <sz val="10"/>
        <color theme="1"/>
        <rFont val="Arial"/>
        <family val="2"/>
      </rPr>
      <t>2024.01.08</t>
    </r>
    <r>
      <rPr>
        <sz val="10"/>
        <color theme="1"/>
        <rFont val="宋体"/>
        <family val="3"/>
        <charset val="134"/>
      </rPr>
      <t>交</t>
    </r>
    <r>
      <rPr>
        <sz val="10"/>
        <color theme="1"/>
        <rFont val="Arial"/>
        <family val="2"/>
      </rPr>
      <t>2024.02.01-04.30</t>
    </r>
  </si>
  <si>
    <r>
      <rPr>
        <sz val="10"/>
        <color theme="1"/>
        <rFont val="Arial"/>
        <family val="2"/>
      </rPr>
      <t>2024.04.02</t>
    </r>
    <r>
      <rPr>
        <sz val="10"/>
        <color theme="1"/>
        <rFont val="宋体"/>
        <family val="3"/>
        <charset val="134"/>
      </rPr>
      <t>交</t>
    </r>
    <r>
      <rPr>
        <sz val="10"/>
        <color theme="1"/>
        <rFont val="Arial"/>
        <family val="2"/>
      </rPr>
      <t>2024.05.01-07.31</t>
    </r>
  </si>
  <si>
    <r>
      <rPr>
        <sz val="10"/>
        <color theme="1"/>
        <rFont val="Arial"/>
        <family val="2"/>
      </rPr>
      <t>2024.07.04</t>
    </r>
    <r>
      <rPr>
        <sz val="10"/>
        <color theme="1"/>
        <rFont val="宋体"/>
        <family val="3"/>
        <charset val="134"/>
      </rPr>
      <t>交</t>
    </r>
    <r>
      <rPr>
        <sz val="10"/>
        <color theme="1"/>
        <rFont val="Arial"/>
        <family val="2"/>
      </rPr>
      <t>2024.08.01-10.31</t>
    </r>
  </si>
  <si>
    <t>1008-10</t>
  </si>
  <si>
    <t>北京英特奈尔科技有限公司</t>
  </si>
  <si>
    <t>20240710-01071</t>
  </si>
  <si>
    <t>2026.07.14</t>
  </si>
  <si>
    <r>
      <rPr>
        <sz val="10"/>
        <color theme="1"/>
        <rFont val="Arial"/>
        <family val="2"/>
      </rPr>
      <t>2023.12.04</t>
    </r>
    <r>
      <rPr>
        <sz val="10"/>
        <color theme="1"/>
        <rFont val="宋体"/>
        <family val="3"/>
        <charset val="134"/>
      </rPr>
      <t>交</t>
    </r>
    <r>
      <rPr>
        <sz val="10"/>
        <color theme="1"/>
        <rFont val="Arial"/>
        <family val="2"/>
      </rPr>
      <t>2024.01.15-07.14</t>
    </r>
    <r>
      <rPr>
        <sz val="10"/>
        <color theme="1"/>
        <rFont val="宋体"/>
        <family val="3"/>
        <charset val="134"/>
      </rPr>
      <t>、到期</t>
    </r>
  </si>
  <si>
    <t>2024.07.15-2025.01.14</t>
  </si>
  <si>
    <r>
      <rPr>
        <sz val="10"/>
        <color theme="1"/>
        <rFont val="Arial"/>
        <family val="2"/>
      </rPr>
      <t>2024.07.24</t>
    </r>
    <r>
      <rPr>
        <sz val="10"/>
        <color theme="1"/>
        <rFont val="宋体"/>
        <family val="3"/>
        <charset val="134"/>
      </rPr>
      <t>交</t>
    </r>
    <r>
      <rPr>
        <sz val="10"/>
        <color theme="1"/>
        <rFont val="Arial"/>
        <family val="2"/>
      </rPr>
      <t>2024.07.15-2025.01.14</t>
    </r>
    <r>
      <rPr>
        <sz val="10"/>
        <color theme="1"/>
        <rFont val="宋体"/>
        <family val="3"/>
        <charset val="134"/>
      </rPr>
      <t>租金</t>
    </r>
  </si>
  <si>
    <t>2025.01.15-07.14</t>
  </si>
  <si>
    <t>2025.01.01-07.14</t>
  </si>
  <si>
    <t>2025.01.01-01.14</t>
  </si>
  <si>
    <t>2024.01.01-07.14</t>
  </si>
  <si>
    <r>
      <rPr>
        <sz val="10"/>
        <rFont val="Arial"/>
        <family val="2"/>
      </rPr>
      <t>1011</t>
    </r>
    <r>
      <rPr>
        <sz val="10"/>
        <rFont val="宋体"/>
        <family val="3"/>
        <charset val="134"/>
      </rPr>
      <t>、</t>
    </r>
    <r>
      <rPr>
        <sz val="10"/>
        <rFont val="Arial"/>
        <family val="2"/>
      </rPr>
      <t>1025-26</t>
    </r>
  </si>
  <si>
    <r>
      <rPr>
        <sz val="10"/>
        <rFont val="宋体"/>
        <family val="3"/>
        <charset val="134"/>
      </rPr>
      <t>北京市海淀区前程百利培训学校</t>
    </r>
  </si>
  <si>
    <t>20230428-00665</t>
  </si>
  <si>
    <t>2023.06.01</t>
  </si>
  <si>
    <t>2027.03.14</t>
  </si>
  <si>
    <r>
      <rPr>
        <sz val="10"/>
        <rFont val="宋体"/>
        <family val="3"/>
        <charset val="134"/>
      </rPr>
      <t>月付提前</t>
    </r>
    <r>
      <rPr>
        <sz val="10"/>
        <rFont val="Arial"/>
        <family val="2"/>
      </rPr>
      <t>15</t>
    </r>
    <r>
      <rPr>
        <sz val="10"/>
        <rFont val="宋体"/>
        <family val="3"/>
        <charset val="134"/>
      </rPr>
      <t>日</t>
    </r>
  </si>
  <si>
    <r>
      <rPr>
        <sz val="10"/>
        <color theme="1"/>
        <rFont val="Arial"/>
        <family val="2"/>
      </rPr>
      <t>2024.04.10</t>
    </r>
    <r>
      <rPr>
        <sz val="10"/>
        <color theme="1"/>
        <rFont val="宋体"/>
        <family val="3"/>
        <charset val="134"/>
      </rPr>
      <t>交</t>
    </r>
    <r>
      <rPr>
        <sz val="10"/>
        <color theme="1"/>
        <rFont val="Arial"/>
        <family val="2"/>
      </rPr>
      <t>2024.05.01-05.31</t>
    </r>
  </si>
  <si>
    <r>
      <rPr>
        <sz val="10"/>
        <color theme="1"/>
        <rFont val="Arial"/>
        <family val="2"/>
      </rPr>
      <t>2024.05.13</t>
    </r>
    <r>
      <rPr>
        <sz val="10"/>
        <color theme="1"/>
        <rFont val="宋体"/>
        <family val="3"/>
        <charset val="134"/>
      </rPr>
      <t>交</t>
    </r>
    <r>
      <rPr>
        <sz val="10"/>
        <color theme="1"/>
        <rFont val="Arial"/>
        <family val="2"/>
      </rPr>
      <t>2024.06.01-06.30</t>
    </r>
    <r>
      <rPr>
        <sz val="10"/>
        <color theme="1"/>
        <rFont val="宋体"/>
        <family val="3"/>
        <charset val="134"/>
      </rPr>
      <t>物业费、免租</t>
    </r>
  </si>
  <si>
    <r>
      <rPr>
        <sz val="10"/>
        <color theme="1"/>
        <rFont val="Arial"/>
        <family val="2"/>
      </rPr>
      <t>2024.08.09</t>
    </r>
    <r>
      <rPr>
        <sz val="10"/>
        <color theme="1"/>
        <rFont val="宋体"/>
        <family val="3"/>
        <charset val="134"/>
      </rPr>
      <t>交</t>
    </r>
    <r>
      <rPr>
        <sz val="10"/>
        <color theme="1"/>
        <rFont val="Arial"/>
        <family val="2"/>
      </rPr>
      <t>2024.09.01-09.30</t>
    </r>
  </si>
  <si>
    <r>
      <rPr>
        <sz val="10"/>
        <color theme="1"/>
        <rFont val="Arial"/>
        <family val="2"/>
      </rPr>
      <t>2024.09.10</t>
    </r>
    <r>
      <rPr>
        <sz val="10"/>
        <color theme="1"/>
        <rFont val="宋体"/>
        <family val="3"/>
        <charset val="134"/>
      </rPr>
      <t>交</t>
    </r>
    <r>
      <rPr>
        <sz val="10"/>
        <color theme="1"/>
        <rFont val="Arial"/>
        <family val="2"/>
      </rPr>
      <t>2024.10.01-10.31</t>
    </r>
  </si>
  <si>
    <t>1012</t>
  </si>
  <si>
    <t>1015</t>
  </si>
  <si>
    <r>
      <rPr>
        <sz val="10"/>
        <rFont val="宋体"/>
        <family val="3"/>
        <charset val="134"/>
      </rPr>
      <t>北京华清卓立科技有限公司</t>
    </r>
  </si>
  <si>
    <t>20231214-02024</t>
  </si>
  <si>
    <t>2024.12.30</t>
  </si>
  <si>
    <r>
      <rPr>
        <sz val="10"/>
        <color theme="1"/>
        <rFont val="Arial"/>
        <family val="2"/>
      </rPr>
      <t>2023.12.22</t>
    </r>
    <r>
      <rPr>
        <sz val="10"/>
        <color theme="1"/>
        <rFont val="宋体"/>
        <family val="3"/>
        <charset val="134"/>
      </rPr>
      <t>交</t>
    </r>
    <r>
      <rPr>
        <sz val="10"/>
        <color theme="1"/>
        <rFont val="Arial"/>
        <family val="2"/>
      </rPr>
      <t>2024.01.31-02.29</t>
    </r>
    <r>
      <rPr>
        <sz val="10"/>
        <color theme="1"/>
        <rFont val="宋体"/>
        <family val="3"/>
        <charset val="134"/>
      </rPr>
      <t>租金；</t>
    </r>
    <r>
      <rPr>
        <sz val="10"/>
        <color theme="1"/>
        <rFont val="Arial"/>
        <family val="2"/>
      </rPr>
      <t>2023.12.31-2024.02.29</t>
    </r>
    <r>
      <rPr>
        <sz val="10"/>
        <color theme="1"/>
        <rFont val="宋体"/>
        <family val="3"/>
        <charset val="134"/>
      </rPr>
      <t>物业费</t>
    </r>
  </si>
  <si>
    <r>
      <rPr>
        <sz val="10"/>
        <color theme="1"/>
        <rFont val="Arial"/>
        <family val="2"/>
      </rPr>
      <t>2024.02.22</t>
    </r>
    <r>
      <rPr>
        <sz val="10"/>
        <color theme="1"/>
        <rFont val="宋体"/>
        <family val="3"/>
        <charset val="134"/>
      </rPr>
      <t>交</t>
    </r>
    <r>
      <rPr>
        <sz val="10"/>
        <color theme="1"/>
        <rFont val="Arial"/>
        <family val="2"/>
      </rPr>
      <t>2024.03.01-03.31</t>
    </r>
  </si>
  <si>
    <r>
      <rPr>
        <sz val="10"/>
        <color theme="1"/>
        <rFont val="Arial"/>
        <family val="2"/>
      </rPr>
      <t>2024.03.01</t>
    </r>
    <r>
      <rPr>
        <sz val="10"/>
        <color theme="1"/>
        <rFont val="宋体"/>
        <family val="3"/>
        <charset val="134"/>
      </rPr>
      <t>交</t>
    </r>
    <r>
      <rPr>
        <sz val="10"/>
        <color theme="1"/>
        <rFont val="Arial"/>
        <family val="2"/>
      </rPr>
      <t>2024.04.01-04.30</t>
    </r>
  </si>
  <si>
    <r>
      <rPr>
        <sz val="10"/>
        <color theme="1"/>
        <rFont val="Arial"/>
        <family val="2"/>
      </rPr>
      <t>2024.05.31</t>
    </r>
    <r>
      <rPr>
        <sz val="10"/>
        <color theme="1"/>
        <rFont val="宋体"/>
        <family val="3"/>
        <charset val="134"/>
      </rPr>
      <t>交</t>
    </r>
    <r>
      <rPr>
        <sz val="10"/>
        <color theme="1"/>
        <rFont val="Arial"/>
        <family val="2"/>
      </rPr>
      <t>2024.07.01-07.31</t>
    </r>
  </si>
  <si>
    <r>
      <rPr>
        <sz val="10"/>
        <color theme="1"/>
        <rFont val="Arial"/>
        <family val="2"/>
      </rPr>
      <t>2024.07.01</t>
    </r>
    <r>
      <rPr>
        <sz val="10"/>
        <color theme="1"/>
        <rFont val="宋体"/>
        <family val="3"/>
        <charset val="134"/>
      </rPr>
      <t>交</t>
    </r>
    <r>
      <rPr>
        <sz val="10"/>
        <color theme="1"/>
        <rFont val="Arial"/>
        <family val="2"/>
      </rPr>
      <t>2024.08.01-08.31</t>
    </r>
  </si>
  <si>
    <r>
      <rPr>
        <sz val="10"/>
        <color theme="1"/>
        <rFont val="Arial"/>
        <family val="2"/>
      </rPr>
      <t>2024.07.26</t>
    </r>
    <r>
      <rPr>
        <sz val="10"/>
        <color theme="1"/>
        <rFont val="宋体"/>
        <family val="3"/>
        <charset val="134"/>
      </rPr>
      <t>交</t>
    </r>
    <r>
      <rPr>
        <sz val="10"/>
        <color theme="1"/>
        <rFont val="Arial"/>
        <family val="2"/>
      </rPr>
      <t>2024.09.01-09.30</t>
    </r>
  </si>
  <si>
    <r>
      <rPr>
        <sz val="10"/>
        <rFont val="Arial"/>
        <family val="2"/>
      </rPr>
      <t>2024.12.01-12.30</t>
    </r>
    <r>
      <rPr>
        <sz val="10"/>
        <rFont val="宋体"/>
        <family val="3"/>
        <charset val="134"/>
      </rPr>
      <t>、到期</t>
    </r>
  </si>
  <si>
    <t>2024.01.01-02.29</t>
  </si>
  <si>
    <t>1016</t>
  </si>
  <si>
    <t>中关村项目自用</t>
  </si>
  <si>
    <t>20221222-01986</t>
  </si>
  <si>
    <t>2023.01.16</t>
  </si>
  <si>
    <t>2024.02.15</t>
  </si>
  <si>
    <t>合同到期</t>
  </si>
  <si>
    <r>
      <rPr>
        <sz val="10"/>
        <color theme="1"/>
        <rFont val="Arial"/>
        <family val="2"/>
      </rPr>
      <t>2023.09.20</t>
    </r>
    <r>
      <rPr>
        <sz val="10"/>
        <color theme="1"/>
        <rFont val="宋体"/>
        <family val="3"/>
        <charset val="134"/>
      </rPr>
      <t>交</t>
    </r>
    <r>
      <rPr>
        <sz val="10"/>
        <color theme="1"/>
        <rFont val="Arial"/>
        <family val="2"/>
      </rPr>
      <t>2023.10.16-2024.01.15</t>
    </r>
  </si>
  <si>
    <r>
      <rPr>
        <sz val="10"/>
        <rFont val="Arial"/>
        <family val="2"/>
      </rPr>
      <t>1018</t>
    </r>
    <r>
      <rPr>
        <sz val="10"/>
        <rFont val="宋体"/>
        <family val="3"/>
        <charset val="134"/>
      </rPr>
      <t>、</t>
    </r>
    <r>
      <rPr>
        <sz val="10"/>
        <rFont val="Arial"/>
        <family val="2"/>
      </rPr>
      <t>1020-1021</t>
    </r>
  </si>
  <si>
    <r>
      <rPr>
        <sz val="10"/>
        <rFont val="宋体"/>
        <family val="3"/>
        <charset val="134"/>
      </rPr>
      <t>北京趋动科技有限公司</t>
    </r>
  </si>
  <si>
    <t>20230301-00276</t>
  </si>
  <si>
    <t>2025.08.31</t>
  </si>
  <si>
    <r>
      <rPr>
        <sz val="10"/>
        <color theme="1"/>
        <rFont val="Arial"/>
        <family val="2"/>
      </rPr>
      <t>2023.11.06</t>
    </r>
    <r>
      <rPr>
        <sz val="10"/>
        <color theme="1"/>
        <rFont val="宋体"/>
        <family val="3"/>
        <charset val="134"/>
      </rPr>
      <t>交</t>
    </r>
    <r>
      <rPr>
        <sz val="10"/>
        <color theme="1"/>
        <rFont val="Arial"/>
        <family val="2"/>
      </rPr>
      <t>2023.12.01-2024.02.29</t>
    </r>
  </si>
  <si>
    <t>2024.03.01-05.31</t>
  </si>
  <si>
    <r>
      <rPr>
        <sz val="10"/>
        <color theme="1"/>
        <rFont val="Arial"/>
        <family val="2"/>
      </rPr>
      <t>2024.02.06</t>
    </r>
    <r>
      <rPr>
        <sz val="10"/>
        <color theme="1"/>
        <rFont val="宋体"/>
        <family val="3"/>
        <charset val="134"/>
      </rPr>
      <t>交</t>
    </r>
    <r>
      <rPr>
        <sz val="10"/>
        <color theme="1"/>
        <rFont val="Arial"/>
        <family val="2"/>
      </rPr>
      <t>2024.03.01-05.31</t>
    </r>
  </si>
  <si>
    <t>2024.06.01-08.31</t>
  </si>
  <si>
    <r>
      <rPr>
        <sz val="10"/>
        <color theme="1"/>
        <rFont val="Arial"/>
        <family val="2"/>
      </rPr>
      <t>2024.05.09</t>
    </r>
    <r>
      <rPr>
        <sz val="10"/>
        <color theme="1"/>
        <rFont val="宋体"/>
        <family val="3"/>
        <charset val="134"/>
      </rPr>
      <t>交</t>
    </r>
    <r>
      <rPr>
        <sz val="10"/>
        <color theme="1"/>
        <rFont val="Arial"/>
        <family val="2"/>
      </rPr>
      <t>2024.06.01-08.31</t>
    </r>
  </si>
  <si>
    <t>2024.09.01-11.30</t>
  </si>
  <si>
    <r>
      <rPr>
        <sz val="10"/>
        <color theme="1"/>
        <rFont val="Arial"/>
        <family val="2"/>
      </rPr>
      <t>2024.08.05</t>
    </r>
    <r>
      <rPr>
        <sz val="10"/>
        <color theme="1"/>
        <rFont val="宋体"/>
        <family val="3"/>
        <charset val="134"/>
      </rPr>
      <t>交</t>
    </r>
    <r>
      <rPr>
        <sz val="10"/>
        <color theme="1"/>
        <rFont val="Arial"/>
        <family val="2"/>
      </rPr>
      <t>2024.09.01-11.30</t>
    </r>
  </si>
  <si>
    <t>2024.12.01-2025.02.28</t>
  </si>
  <si>
    <t>2025.01.01-02.28</t>
  </si>
  <si>
    <r>
      <rPr>
        <sz val="10"/>
        <rFont val="Arial"/>
        <family val="2"/>
      </rPr>
      <t>1019</t>
    </r>
    <r>
      <rPr>
        <sz val="10"/>
        <rFont val="宋体"/>
        <family val="3"/>
        <charset val="134"/>
      </rPr>
      <t>、</t>
    </r>
    <r>
      <rPr>
        <sz val="10"/>
        <rFont val="Arial"/>
        <family val="2"/>
      </rPr>
      <t>1022</t>
    </r>
    <r>
      <rPr>
        <sz val="10"/>
        <rFont val="宋体"/>
        <family val="3"/>
        <charset val="134"/>
      </rPr>
      <t>、</t>
    </r>
    <r>
      <rPr>
        <sz val="10"/>
        <rFont val="Arial"/>
        <family val="2"/>
      </rPr>
      <t>10A1-10A3</t>
    </r>
  </si>
  <si>
    <r>
      <rPr>
        <sz val="10"/>
        <rFont val="宋体"/>
        <family val="3"/>
        <charset val="134"/>
      </rPr>
      <t>北京趋动智能科技有限公司</t>
    </r>
  </si>
  <si>
    <t>20230301-00275</t>
  </si>
  <si>
    <t>1023-1024</t>
  </si>
  <si>
    <r>
      <rPr>
        <sz val="10"/>
        <rFont val="宋体"/>
        <family val="3"/>
        <charset val="134"/>
      </rPr>
      <t>趋动科技（上海）有限公司</t>
    </r>
  </si>
  <si>
    <t>20230228-00266</t>
  </si>
  <si>
    <r>
      <rPr>
        <sz val="10"/>
        <rFont val="宋体"/>
        <family val="3"/>
        <charset val="134"/>
      </rPr>
      <t>海龙大厦</t>
    </r>
    <r>
      <rPr>
        <sz val="10"/>
        <rFont val="Arial"/>
        <family val="2"/>
      </rPr>
      <t>11</t>
    </r>
    <r>
      <rPr>
        <sz val="10"/>
        <rFont val="宋体"/>
        <family val="3"/>
        <charset val="134"/>
      </rPr>
      <t>层</t>
    </r>
  </si>
  <si>
    <r>
      <rPr>
        <sz val="10"/>
        <rFont val="Arial"/>
        <family val="2"/>
      </rPr>
      <t>1100-12</t>
    </r>
    <r>
      <rPr>
        <sz val="10"/>
        <rFont val="宋体"/>
        <family val="3"/>
        <charset val="134"/>
      </rPr>
      <t>、</t>
    </r>
    <r>
      <rPr>
        <sz val="10"/>
        <rFont val="Arial"/>
        <family val="2"/>
      </rPr>
      <t>1115-17</t>
    </r>
    <r>
      <rPr>
        <sz val="10"/>
        <rFont val="宋体"/>
        <family val="3"/>
        <charset val="134"/>
      </rPr>
      <t>、</t>
    </r>
    <r>
      <rPr>
        <sz val="10"/>
        <rFont val="Arial"/>
        <family val="2"/>
      </rPr>
      <t>25-26</t>
    </r>
  </si>
  <si>
    <t>20240617-00956</t>
  </si>
  <si>
    <t>2024.06.18</t>
  </si>
  <si>
    <t>2026.02.17</t>
  </si>
  <si>
    <t>2024.02.15-05.14</t>
  </si>
  <si>
    <r>
      <rPr>
        <sz val="10"/>
        <color theme="1"/>
        <rFont val="Arial"/>
        <family val="2"/>
      </rPr>
      <t>2024.01.25</t>
    </r>
    <r>
      <rPr>
        <sz val="10"/>
        <color theme="1"/>
        <rFont val="宋体"/>
        <family val="3"/>
        <charset val="134"/>
      </rPr>
      <t>交</t>
    </r>
    <r>
      <rPr>
        <sz val="10"/>
        <color theme="1"/>
        <rFont val="Arial"/>
        <family val="2"/>
      </rPr>
      <t>2024.02.15-05.14</t>
    </r>
  </si>
  <si>
    <t>2024.05.15-08.14</t>
  </si>
  <si>
    <r>
      <rPr>
        <sz val="10"/>
        <rFont val="宋体"/>
        <family val="3"/>
        <charset val="134"/>
      </rPr>
      <t>冲减</t>
    </r>
    <r>
      <rPr>
        <sz val="10"/>
        <rFont val="Arial"/>
        <family val="2"/>
      </rPr>
      <t>2024.05.15-08.14</t>
    </r>
    <r>
      <rPr>
        <sz val="10"/>
        <rFont val="宋体"/>
        <family val="3"/>
        <charset val="134"/>
      </rPr>
      <t>应收；补交2023.02.15-05.14免租期租金</t>
    </r>
  </si>
  <si>
    <r>
      <rPr>
        <sz val="10"/>
        <color theme="1"/>
        <rFont val="Arial"/>
        <family val="2"/>
      </rPr>
      <t>2024.05.27</t>
    </r>
    <r>
      <rPr>
        <sz val="10"/>
        <color theme="1"/>
        <rFont val="宋体"/>
        <family val="3"/>
        <charset val="134"/>
      </rPr>
      <t>补交</t>
    </r>
    <r>
      <rPr>
        <sz val="10"/>
        <color theme="1"/>
        <rFont val="Arial"/>
        <family val="2"/>
      </rPr>
      <t>2023.02.15-05.14</t>
    </r>
    <r>
      <rPr>
        <sz val="10"/>
        <color theme="1"/>
        <rFont val="宋体"/>
        <family val="3"/>
        <charset val="134"/>
      </rPr>
      <t>免租期租金</t>
    </r>
  </si>
  <si>
    <t>2024.06.18-09.17</t>
  </si>
  <si>
    <r>
      <rPr>
        <sz val="10"/>
        <color theme="1"/>
        <rFont val="Arial"/>
        <family val="2"/>
      </rPr>
      <t>2024.07.01</t>
    </r>
    <r>
      <rPr>
        <sz val="10"/>
        <color theme="1"/>
        <rFont val="宋体"/>
        <family val="3"/>
        <charset val="134"/>
      </rPr>
      <t>交</t>
    </r>
    <r>
      <rPr>
        <sz val="10"/>
        <color theme="1"/>
        <rFont val="Arial"/>
        <family val="2"/>
      </rPr>
      <t>2024.06.18-07.17</t>
    </r>
    <r>
      <rPr>
        <sz val="10"/>
        <color theme="1"/>
        <rFont val="宋体"/>
        <family val="3"/>
        <charset val="134"/>
      </rPr>
      <t>租金、</t>
    </r>
    <r>
      <rPr>
        <sz val="10"/>
        <color theme="1"/>
        <rFont val="Arial"/>
        <family val="2"/>
      </rPr>
      <t>2024.06.18-09.17</t>
    </r>
    <r>
      <rPr>
        <sz val="10"/>
        <color theme="1"/>
        <rFont val="宋体"/>
        <family val="3"/>
        <charset val="134"/>
      </rPr>
      <t>物业费</t>
    </r>
  </si>
  <si>
    <t>2024.09.18-12.17</t>
  </si>
  <si>
    <r>
      <rPr>
        <sz val="10"/>
        <color theme="1"/>
        <rFont val="Arial"/>
        <family val="2"/>
      </rPr>
      <t>2024.08.05</t>
    </r>
    <r>
      <rPr>
        <sz val="10"/>
        <color theme="1"/>
        <rFont val="宋体"/>
        <family val="3"/>
        <charset val="134"/>
      </rPr>
      <t>交</t>
    </r>
    <r>
      <rPr>
        <sz val="10"/>
        <color theme="1"/>
        <rFont val="Arial"/>
        <family val="2"/>
      </rPr>
      <t>2024.10.18-12.17</t>
    </r>
    <r>
      <rPr>
        <sz val="10"/>
        <color theme="1"/>
        <rFont val="宋体"/>
        <family val="3"/>
        <charset val="134"/>
      </rPr>
      <t>租金、</t>
    </r>
    <r>
      <rPr>
        <sz val="10"/>
        <color theme="1"/>
        <rFont val="Arial"/>
        <family val="2"/>
      </rPr>
      <t>2024.09.18-12.17</t>
    </r>
    <r>
      <rPr>
        <sz val="10"/>
        <color theme="1"/>
        <rFont val="宋体"/>
        <family val="3"/>
        <charset val="134"/>
      </rPr>
      <t>物业费</t>
    </r>
  </si>
  <si>
    <t>2024.12.18-2025.03.17</t>
  </si>
  <si>
    <t>2025.01.01-03.17</t>
  </si>
  <si>
    <r>
      <rPr>
        <sz val="10"/>
        <color theme="1"/>
        <rFont val="宋体"/>
        <family val="3"/>
        <charset val="134"/>
      </rPr>
      <t>月物业服务费（不含税）</t>
    </r>
  </si>
  <si>
    <r>
      <rPr>
        <sz val="10"/>
        <color theme="1"/>
        <rFont val="宋体"/>
        <family val="3"/>
        <charset val="134"/>
      </rPr>
      <t>累计实收物业服务费</t>
    </r>
  </si>
  <si>
    <r>
      <rPr>
        <sz val="10"/>
        <color theme="1"/>
        <rFont val="Arial"/>
        <family val="2"/>
      </rPr>
      <t>1</t>
    </r>
    <r>
      <rPr>
        <sz val="10"/>
        <color theme="1"/>
        <rFont val="宋体"/>
        <family val="3"/>
        <charset val="134"/>
      </rPr>
      <t>月权责实收</t>
    </r>
  </si>
  <si>
    <r>
      <rPr>
        <sz val="10"/>
        <color theme="1"/>
        <rFont val="Arial"/>
        <family val="2"/>
      </rPr>
      <t>2</t>
    </r>
    <r>
      <rPr>
        <sz val="10"/>
        <color theme="1"/>
        <rFont val="宋体"/>
        <family val="3"/>
        <charset val="134"/>
      </rPr>
      <t>月权责实收</t>
    </r>
  </si>
  <si>
    <r>
      <rPr>
        <sz val="10"/>
        <color theme="1"/>
        <rFont val="Arial"/>
        <family val="2"/>
      </rPr>
      <t>3</t>
    </r>
    <r>
      <rPr>
        <sz val="10"/>
        <color theme="1"/>
        <rFont val="宋体"/>
        <family val="3"/>
        <charset val="134"/>
      </rPr>
      <t>月权责实收</t>
    </r>
  </si>
  <si>
    <r>
      <rPr>
        <sz val="10"/>
        <color theme="1"/>
        <rFont val="Arial"/>
        <family val="2"/>
      </rPr>
      <t>4</t>
    </r>
    <r>
      <rPr>
        <sz val="10"/>
        <color theme="1"/>
        <rFont val="宋体"/>
        <family val="3"/>
        <charset val="134"/>
      </rPr>
      <t>月权责实收</t>
    </r>
  </si>
  <si>
    <r>
      <rPr>
        <sz val="10"/>
        <color theme="1"/>
        <rFont val="Arial"/>
        <family val="2"/>
      </rPr>
      <t>5</t>
    </r>
    <r>
      <rPr>
        <sz val="10"/>
        <color theme="1"/>
        <rFont val="宋体"/>
        <family val="3"/>
        <charset val="134"/>
      </rPr>
      <t>月权责实收</t>
    </r>
  </si>
  <si>
    <r>
      <rPr>
        <sz val="10"/>
        <color theme="1"/>
        <rFont val="Arial"/>
        <family val="2"/>
      </rPr>
      <t>6</t>
    </r>
    <r>
      <rPr>
        <sz val="10"/>
        <color theme="1"/>
        <rFont val="宋体"/>
        <family val="3"/>
        <charset val="134"/>
      </rPr>
      <t>月权责实收</t>
    </r>
  </si>
  <si>
    <r>
      <rPr>
        <sz val="10"/>
        <color theme="1"/>
        <rFont val="Arial"/>
        <family val="2"/>
      </rPr>
      <t>7</t>
    </r>
    <r>
      <rPr>
        <sz val="10"/>
        <color theme="1"/>
        <rFont val="宋体"/>
        <family val="3"/>
        <charset val="134"/>
      </rPr>
      <t>月权责实收</t>
    </r>
  </si>
  <si>
    <r>
      <rPr>
        <sz val="10"/>
        <color theme="1"/>
        <rFont val="Arial"/>
        <family val="2"/>
      </rPr>
      <t>8</t>
    </r>
    <r>
      <rPr>
        <sz val="10"/>
        <color theme="1"/>
        <rFont val="宋体"/>
        <family val="3"/>
        <charset val="134"/>
      </rPr>
      <t>月权责实收</t>
    </r>
  </si>
  <si>
    <r>
      <rPr>
        <sz val="10"/>
        <color theme="1"/>
        <rFont val="Arial"/>
        <family val="2"/>
      </rPr>
      <t>9</t>
    </r>
    <r>
      <rPr>
        <sz val="10"/>
        <color theme="1"/>
        <rFont val="宋体"/>
        <family val="3"/>
        <charset val="134"/>
      </rPr>
      <t>月权责实收</t>
    </r>
  </si>
  <si>
    <r>
      <rPr>
        <sz val="10"/>
        <color theme="1"/>
        <rFont val="Arial"/>
        <family val="2"/>
      </rPr>
      <t>10</t>
    </r>
    <r>
      <rPr>
        <sz val="10"/>
        <color theme="1"/>
        <rFont val="宋体"/>
        <family val="3"/>
        <charset val="134"/>
      </rPr>
      <t>月权责实收</t>
    </r>
  </si>
  <si>
    <r>
      <rPr>
        <sz val="10"/>
        <color theme="1"/>
        <rFont val="Arial"/>
        <family val="2"/>
      </rPr>
      <t>11</t>
    </r>
    <r>
      <rPr>
        <sz val="10"/>
        <color theme="1"/>
        <rFont val="宋体"/>
        <family val="3"/>
        <charset val="134"/>
      </rPr>
      <t>月权责实收</t>
    </r>
  </si>
  <si>
    <r>
      <rPr>
        <sz val="10"/>
        <color theme="1"/>
        <rFont val="Arial"/>
        <family val="2"/>
      </rPr>
      <t>12</t>
    </r>
    <r>
      <rPr>
        <sz val="10"/>
        <color theme="1"/>
        <rFont val="宋体"/>
        <family val="3"/>
        <charset val="134"/>
      </rPr>
      <t>月权责实收</t>
    </r>
  </si>
  <si>
    <r>
      <rPr>
        <sz val="10"/>
        <color theme="1"/>
        <rFont val="Arial"/>
        <family val="2"/>
      </rPr>
      <t>NC</t>
    </r>
    <r>
      <rPr>
        <sz val="10"/>
        <color theme="1"/>
        <rFont val="宋体"/>
        <family val="3"/>
        <charset val="134"/>
      </rPr>
      <t>账上物业服务费余额</t>
    </r>
  </si>
  <si>
    <r>
      <rPr>
        <sz val="10"/>
        <color theme="1"/>
        <rFont val="宋体"/>
        <family val="3"/>
        <charset val="134"/>
      </rPr>
      <t>备注</t>
    </r>
  </si>
  <si>
    <r>
      <rPr>
        <sz val="10"/>
        <rFont val="Arial"/>
        <family val="2"/>
      </rPr>
      <t>1118-24</t>
    </r>
    <r>
      <rPr>
        <sz val="10"/>
        <rFont val="宋体"/>
        <family val="3"/>
        <charset val="134"/>
      </rPr>
      <t>、</t>
    </r>
    <r>
      <rPr>
        <sz val="10"/>
        <rFont val="Arial"/>
        <family val="2"/>
      </rPr>
      <t>A1-A3</t>
    </r>
  </si>
  <si>
    <t>20240717-01111</t>
  </si>
  <si>
    <t>2024.07.18</t>
  </si>
  <si>
    <r>
      <rPr>
        <sz val="10"/>
        <rFont val="Arial"/>
        <family val="2"/>
      </rPr>
      <t>19</t>
    </r>
    <r>
      <rPr>
        <sz val="10"/>
        <rFont val="宋体"/>
        <family val="3"/>
        <charset val="134"/>
      </rPr>
      <t>个月</t>
    </r>
  </si>
  <si>
    <r>
      <rPr>
        <sz val="10"/>
        <color theme="1"/>
        <rFont val="Arial"/>
        <family val="2"/>
      </rPr>
      <t>2023.12.18</t>
    </r>
    <r>
      <rPr>
        <sz val="10"/>
        <color theme="1"/>
        <rFont val="宋体"/>
        <family val="3"/>
        <charset val="134"/>
      </rPr>
      <t>交</t>
    </r>
    <r>
      <rPr>
        <sz val="10"/>
        <color theme="1"/>
        <rFont val="Arial"/>
        <family val="2"/>
      </rPr>
      <t>2023.12.25-2024.03.31</t>
    </r>
  </si>
  <si>
    <r>
      <rPr>
        <sz val="10"/>
        <color theme="1"/>
        <rFont val="Arial"/>
        <family val="2"/>
      </rPr>
      <t>2024.03.13/03.14</t>
    </r>
    <r>
      <rPr>
        <sz val="10"/>
        <color theme="1"/>
        <rFont val="宋体"/>
        <family val="3"/>
        <charset val="134"/>
      </rPr>
      <t>交</t>
    </r>
    <r>
      <rPr>
        <sz val="10"/>
        <color theme="1"/>
        <rFont val="Arial"/>
        <family val="2"/>
      </rPr>
      <t>2023.04.01-06.30</t>
    </r>
  </si>
  <si>
    <r>
      <rPr>
        <sz val="10"/>
        <color theme="1"/>
        <rFont val="Arial"/>
        <family val="2"/>
      </rPr>
      <t>2024.03.13/03.14</t>
    </r>
    <r>
      <rPr>
        <sz val="10"/>
        <color theme="1"/>
        <rFont val="宋体"/>
        <family val="3"/>
        <charset val="134"/>
      </rPr>
      <t>交</t>
    </r>
    <r>
      <rPr>
        <sz val="10"/>
        <color theme="1"/>
        <rFont val="Arial"/>
        <family val="2"/>
      </rPr>
      <t>2023.04.01-06.30</t>
    </r>
    <r>
      <rPr>
        <sz val="10"/>
        <color theme="1"/>
        <rFont val="宋体"/>
        <family val="3"/>
        <charset val="134"/>
      </rPr>
      <t>、到期</t>
    </r>
  </si>
  <si>
    <r>
      <rPr>
        <sz val="10"/>
        <rFont val="Arial"/>
        <family val="2"/>
      </rPr>
      <t>2023.12.25-2024.01.24</t>
    </r>
    <r>
      <rPr>
        <sz val="10"/>
        <rFont val="宋体"/>
        <family val="3"/>
        <charset val="134"/>
      </rPr>
      <t>免租期租金</t>
    </r>
  </si>
  <si>
    <r>
      <rPr>
        <sz val="10"/>
        <color theme="1"/>
        <rFont val="Arial"/>
        <family val="2"/>
      </rPr>
      <t>2024.07.01</t>
    </r>
    <r>
      <rPr>
        <sz val="10"/>
        <color theme="1"/>
        <rFont val="宋体"/>
        <family val="3"/>
        <charset val="134"/>
      </rPr>
      <t>交</t>
    </r>
    <r>
      <rPr>
        <sz val="10"/>
        <color theme="1"/>
        <rFont val="Arial"/>
        <family val="2"/>
      </rPr>
      <t>2023.12.25-2024.01.24</t>
    </r>
    <r>
      <rPr>
        <sz val="10"/>
        <color theme="1"/>
        <rFont val="宋体"/>
        <family val="3"/>
        <charset val="134"/>
      </rPr>
      <t>免租期租金</t>
    </r>
  </si>
  <si>
    <t>2024.07.18-10.17</t>
  </si>
  <si>
    <r>
      <rPr>
        <sz val="10"/>
        <color theme="1"/>
        <rFont val="Arial"/>
        <family val="2"/>
      </rPr>
      <t>2024.08.23</t>
    </r>
    <r>
      <rPr>
        <sz val="10"/>
        <color theme="1"/>
        <rFont val="宋体"/>
        <family val="3"/>
        <charset val="134"/>
      </rPr>
      <t>交</t>
    </r>
    <r>
      <rPr>
        <sz val="10"/>
        <color theme="1"/>
        <rFont val="Arial"/>
        <family val="2"/>
      </rPr>
      <t>2024.08.18-10.17</t>
    </r>
    <r>
      <rPr>
        <sz val="10"/>
        <color theme="1"/>
        <rFont val="宋体"/>
        <family val="3"/>
        <charset val="134"/>
      </rPr>
      <t>租金、</t>
    </r>
    <r>
      <rPr>
        <sz val="10"/>
        <color theme="1"/>
        <rFont val="Arial"/>
        <family val="2"/>
      </rPr>
      <t>2024.07.18-10.17</t>
    </r>
    <r>
      <rPr>
        <sz val="10"/>
        <color theme="1"/>
        <rFont val="宋体"/>
        <family val="3"/>
        <charset val="134"/>
      </rPr>
      <t>物业费</t>
    </r>
  </si>
  <si>
    <t>2024.10.18-2025.01.17</t>
  </si>
  <si>
    <r>
      <rPr>
        <sz val="10"/>
        <color theme="1"/>
        <rFont val="Arial"/>
        <family val="2"/>
      </rPr>
      <t>2024.09.20</t>
    </r>
    <r>
      <rPr>
        <sz val="10"/>
        <color theme="1"/>
        <rFont val="宋体"/>
        <family val="3"/>
        <charset val="134"/>
      </rPr>
      <t>交</t>
    </r>
    <r>
      <rPr>
        <sz val="10"/>
        <color theme="1"/>
        <rFont val="Arial"/>
        <family val="2"/>
      </rPr>
      <t>2024.10.18-2025.01.17</t>
    </r>
  </si>
  <si>
    <t>2025.01.18-04.17</t>
  </si>
  <si>
    <t>2025.01.01-04.17</t>
  </si>
  <si>
    <t>2025.01.01-01.17</t>
  </si>
  <si>
    <r>
      <rPr>
        <sz val="10"/>
        <rFont val="宋体"/>
        <family val="3"/>
        <charset val="134"/>
      </rPr>
      <t>海龙大厦</t>
    </r>
    <r>
      <rPr>
        <sz val="10"/>
        <rFont val="Arial"/>
        <family val="2"/>
      </rPr>
      <t>12</t>
    </r>
    <r>
      <rPr>
        <sz val="10"/>
        <rFont val="宋体"/>
        <family val="3"/>
        <charset val="134"/>
      </rPr>
      <t>层</t>
    </r>
  </si>
  <si>
    <r>
      <rPr>
        <sz val="10"/>
        <rFont val="Arial"/>
        <family val="2"/>
      </rPr>
      <t>1200</t>
    </r>
    <r>
      <rPr>
        <sz val="10"/>
        <rFont val="宋体"/>
        <family val="3"/>
        <charset val="134"/>
      </rPr>
      <t>、</t>
    </r>
    <r>
      <rPr>
        <sz val="10"/>
        <rFont val="Arial"/>
        <family val="2"/>
      </rPr>
      <t>1205-1209</t>
    </r>
  </si>
  <si>
    <t>20230928-01567</t>
  </si>
  <si>
    <t>2023.10.07</t>
  </si>
  <si>
    <t>2025.10.06</t>
  </si>
  <si>
    <r>
      <rPr>
        <sz val="10"/>
        <rFont val="Arial"/>
        <family val="2"/>
      </rPr>
      <t>7</t>
    </r>
    <r>
      <rPr>
        <sz val="10"/>
        <rFont val="宋体"/>
        <family val="3"/>
        <charset val="134"/>
      </rPr>
      <t>个月</t>
    </r>
  </si>
  <si>
    <r>
      <rPr>
        <sz val="10"/>
        <color theme="1"/>
        <rFont val="Arial"/>
        <family val="2"/>
      </rPr>
      <t>2023.12.04</t>
    </r>
    <r>
      <rPr>
        <sz val="10"/>
        <color theme="1"/>
        <rFont val="宋体"/>
        <family val="3"/>
        <charset val="134"/>
      </rPr>
      <t>交</t>
    </r>
    <r>
      <rPr>
        <sz val="10"/>
        <color theme="1"/>
        <rFont val="Arial"/>
        <family val="2"/>
      </rPr>
      <t>2024.01.07-04.06</t>
    </r>
  </si>
  <si>
    <t>2024.04.07-07.06</t>
  </si>
  <si>
    <r>
      <rPr>
        <sz val="10"/>
        <color theme="1"/>
        <rFont val="Arial"/>
        <family val="2"/>
      </rPr>
      <t>2024.03.01</t>
    </r>
    <r>
      <rPr>
        <sz val="10"/>
        <color theme="1"/>
        <rFont val="宋体"/>
        <family val="3"/>
        <charset val="134"/>
      </rPr>
      <t>交</t>
    </r>
    <r>
      <rPr>
        <sz val="10"/>
        <color theme="1"/>
        <rFont val="Arial"/>
        <family val="2"/>
      </rPr>
      <t>2024.04.07-04.30</t>
    </r>
    <r>
      <rPr>
        <sz val="10"/>
        <color theme="1"/>
        <rFont val="宋体"/>
        <family val="3"/>
        <charset val="134"/>
      </rPr>
      <t>、</t>
    </r>
    <r>
      <rPr>
        <sz val="10"/>
        <color theme="1"/>
        <rFont val="Arial"/>
        <family val="2"/>
      </rPr>
      <t>06.01-07.06</t>
    </r>
    <r>
      <rPr>
        <sz val="10"/>
        <color theme="1"/>
        <rFont val="宋体"/>
        <family val="3"/>
        <charset val="134"/>
      </rPr>
      <t>租金；</t>
    </r>
    <r>
      <rPr>
        <sz val="10"/>
        <color theme="1"/>
        <rFont val="Arial"/>
        <family val="2"/>
      </rPr>
      <t>2024.04.07-07.06</t>
    </r>
    <r>
      <rPr>
        <sz val="10"/>
        <color theme="1"/>
        <rFont val="宋体"/>
        <family val="3"/>
        <charset val="134"/>
      </rPr>
      <t>物业费</t>
    </r>
  </si>
  <si>
    <t>2024.07.07-10.06</t>
  </si>
  <si>
    <r>
      <rPr>
        <sz val="10"/>
        <color theme="1"/>
        <rFont val="Arial"/>
        <family val="2"/>
      </rPr>
      <t>2024.05.30</t>
    </r>
    <r>
      <rPr>
        <sz val="10"/>
        <color theme="1"/>
        <rFont val="宋体"/>
        <family val="3"/>
        <charset val="134"/>
      </rPr>
      <t>交</t>
    </r>
    <r>
      <rPr>
        <sz val="10"/>
        <color theme="1"/>
        <rFont val="Arial"/>
        <family val="2"/>
      </rPr>
      <t>2024.07.07-10.06</t>
    </r>
  </si>
  <si>
    <t>2024.10.07-2025.01.06</t>
  </si>
  <si>
    <r>
      <rPr>
        <sz val="10"/>
        <color theme="1"/>
        <rFont val="Arial"/>
        <family val="2"/>
      </rPr>
      <t>2024.09.02</t>
    </r>
    <r>
      <rPr>
        <sz val="10"/>
        <color theme="1"/>
        <rFont val="宋体"/>
        <family val="3"/>
        <charset val="134"/>
      </rPr>
      <t>交</t>
    </r>
    <r>
      <rPr>
        <sz val="10"/>
        <color theme="1"/>
        <rFont val="Arial"/>
        <family val="2"/>
      </rPr>
      <t>2024.10.07-2025.01.06</t>
    </r>
  </si>
  <si>
    <t>2025.01.07-04.06</t>
  </si>
  <si>
    <t>2025.01.01-04.06</t>
  </si>
  <si>
    <t>2025.01.01-01.06</t>
  </si>
  <si>
    <t>2024.01.01-04.06</t>
  </si>
  <si>
    <r>
      <rPr>
        <sz val="10"/>
        <rFont val="Arial"/>
        <family val="2"/>
      </rPr>
      <t>1210-12</t>
    </r>
    <r>
      <rPr>
        <sz val="10"/>
        <rFont val="宋体"/>
        <family val="3"/>
        <charset val="134"/>
      </rPr>
      <t>、</t>
    </r>
    <r>
      <rPr>
        <sz val="10"/>
        <rFont val="Arial"/>
        <family val="2"/>
      </rPr>
      <t>1225</t>
    </r>
  </si>
  <si>
    <r>
      <rPr>
        <sz val="10"/>
        <rFont val="Arial"/>
        <family val="2"/>
      </rPr>
      <t>1201</t>
    </r>
    <r>
      <rPr>
        <sz val="10"/>
        <rFont val="宋体"/>
        <family val="3"/>
        <charset val="134"/>
      </rPr>
      <t>、</t>
    </r>
    <r>
      <rPr>
        <sz val="10"/>
        <rFont val="Arial"/>
        <family val="2"/>
      </rPr>
      <t>1203-04</t>
    </r>
    <r>
      <rPr>
        <sz val="10"/>
        <rFont val="宋体"/>
        <family val="3"/>
        <charset val="134"/>
      </rPr>
      <t>、</t>
    </r>
    <r>
      <rPr>
        <sz val="10"/>
        <rFont val="Arial"/>
        <family val="2"/>
      </rPr>
      <t>1215-19</t>
    </r>
    <r>
      <rPr>
        <sz val="10"/>
        <rFont val="宋体"/>
        <family val="3"/>
        <charset val="134"/>
      </rPr>
      <t>、</t>
    </r>
    <r>
      <rPr>
        <sz val="10"/>
        <rFont val="Arial"/>
        <family val="2"/>
      </rPr>
      <t>1226</t>
    </r>
  </si>
  <si>
    <t>20221025-01693</t>
  </si>
  <si>
    <r>
      <rPr>
        <sz val="10"/>
        <color theme="1"/>
        <rFont val="Arial"/>
        <family val="2"/>
      </rPr>
      <t>2024.04.07</t>
    </r>
    <r>
      <rPr>
        <sz val="10"/>
        <color theme="1"/>
        <rFont val="宋体"/>
        <family val="3"/>
        <charset val="134"/>
      </rPr>
      <t>交</t>
    </r>
    <r>
      <rPr>
        <sz val="10"/>
        <color theme="1"/>
        <rFont val="Arial"/>
        <family val="2"/>
      </rPr>
      <t>2024.06.01-07.31</t>
    </r>
    <r>
      <rPr>
        <sz val="10"/>
        <color theme="1"/>
        <rFont val="宋体"/>
        <family val="3"/>
        <charset val="134"/>
      </rPr>
      <t>租金、</t>
    </r>
    <r>
      <rPr>
        <sz val="10"/>
        <color theme="1"/>
        <rFont val="Arial"/>
        <family val="2"/>
      </rPr>
      <t>2024.05.01-07.31</t>
    </r>
    <r>
      <rPr>
        <sz val="10"/>
        <color theme="1"/>
        <rFont val="宋体"/>
        <family val="3"/>
        <charset val="134"/>
      </rPr>
      <t>物业费</t>
    </r>
  </si>
  <si>
    <r>
      <rPr>
        <sz val="10"/>
        <rFont val="Arial"/>
        <family val="2"/>
      </rPr>
      <t>2024.08.01-10.31</t>
    </r>
    <r>
      <rPr>
        <sz val="10"/>
        <rFont val="宋体"/>
        <family val="3"/>
        <charset val="134"/>
      </rPr>
      <t>、到期</t>
    </r>
  </si>
  <si>
    <r>
      <rPr>
        <sz val="10"/>
        <color theme="1"/>
        <rFont val="Arial"/>
        <family val="2"/>
      </rPr>
      <t>2024.07.03</t>
    </r>
    <r>
      <rPr>
        <sz val="10"/>
        <color theme="1"/>
        <rFont val="宋体"/>
        <family val="3"/>
        <charset val="134"/>
      </rPr>
      <t>交</t>
    </r>
    <r>
      <rPr>
        <sz val="10"/>
        <color theme="1"/>
        <rFont val="Arial"/>
        <family val="2"/>
      </rPr>
      <t>2024.08.01-10.31</t>
    </r>
    <r>
      <rPr>
        <sz val="10"/>
        <color theme="1"/>
        <rFont val="宋体"/>
        <family val="3"/>
        <charset val="134"/>
      </rPr>
      <t>、到期</t>
    </r>
  </si>
  <si>
    <r>
      <rPr>
        <sz val="10"/>
        <rFont val="Arial"/>
        <family val="2"/>
      </rPr>
      <t>29</t>
    </r>
    <r>
      <rPr>
        <sz val="10"/>
        <rFont val="宋体"/>
        <family val="3"/>
        <charset val="134"/>
      </rPr>
      <t>个月</t>
    </r>
    <r>
      <rPr>
        <sz val="10"/>
        <rFont val="Arial"/>
        <family val="2"/>
      </rPr>
      <t>14</t>
    </r>
    <r>
      <rPr>
        <sz val="10"/>
        <rFont val="宋体"/>
        <family val="3"/>
        <charset val="134"/>
      </rPr>
      <t>天</t>
    </r>
  </si>
  <si>
    <t>1220-21</t>
  </si>
  <si>
    <r>
      <rPr>
        <sz val="10"/>
        <rFont val="宋体"/>
        <family val="3"/>
        <charset val="134"/>
      </rPr>
      <t>北京爱芯科技有限公司</t>
    </r>
  </si>
  <si>
    <t>20220927-01542</t>
  </si>
  <si>
    <t>2022.10.18</t>
  </si>
  <si>
    <t>2024.10.17</t>
  </si>
  <si>
    <r>
      <rPr>
        <sz val="10"/>
        <color theme="1"/>
        <rFont val="Arial"/>
        <family val="2"/>
      </rPr>
      <t>2024.01.23</t>
    </r>
    <r>
      <rPr>
        <sz val="10"/>
        <color theme="1"/>
        <rFont val="宋体"/>
        <family val="3"/>
        <charset val="134"/>
      </rPr>
      <t>交</t>
    </r>
    <r>
      <rPr>
        <sz val="10"/>
        <color theme="1"/>
        <rFont val="Arial"/>
        <family val="2"/>
      </rPr>
      <t>2024.02.01-02.29</t>
    </r>
  </si>
  <si>
    <r>
      <rPr>
        <sz val="10"/>
        <color theme="1"/>
        <rFont val="Arial"/>
        <family val="2"/>
      </rPr>
      <t>2024.06.17</t>
    </r>
    <r>
      <rPr>
        <sz val="10"/>
        <color theme="1"/>
        <rFont val="宋体"/>
        <family val="3"/>
        <charset val="134"/>
      </rPr>
      <t>交</t>
    </r>
    <r>
      <rPr>
        <sz val="10"/>
        <color theme="1"/>
        <rFont val="Arial"/>
        <family val="2"/>
      </rPr>
      <t>2024.07.01-07.31</t>
    </r>
  </si>
  <si>
    <r>
      <rPr>
        <sz val="10"/>
        <color theme="1"/>
        <rFont val="Arial"/>
        <family val="2"/>
      </rPr>
      <t>2024.07.08</t>
    </r>
    <r>
      <rPr>
        <sz val="10"/>
        <color theme="1"/>
        <rFont val="宋体"/>
        <family val="3"/>
        <charset val="134"/>
      </rPr>
      <t>交</t>
    </r>
    <r>
      <rPr>
        <sz val="10"/>
        <color theme="1"/>
        <rFont val="Arial"/>
        <family val="2"/>
      </rPr>
      <t>2024.08.01-08.31</t>
    </r>
  </si>
  <si>
    <r>
      <rPr>
        <sz val="10"/>
        <color theme="1"/>
        <rFont val="Arial"/>
        <family val="2"/>
      </rPr>
      <t>2024.08.16</t>
    </r>
    <r>
      <rPr>
        <sz val="10"/>
        <color theme="1"/>
        <rFont val="宋体"/>
        <family val="3"/>
        <charset val="134"/>
      </rPr>
      <t>交</t>
    </r>
    <r>
      <rPr>
        <sz val="10"/>
        <color theme="1"/>
        <rFont val="Arial"/>
        <family val="2"/>
      </rPr>
      <t>2024.09.01-09.30</t>
    </r>
  </si>
  <si>
    <r>
      <rPr>
        <sz val="10"/>
        <rFont val="Arial"/>
        <family val="2"/>
      </rPr>
      <t>2024.10.01-10.17</t>
    </r>
    <r>
      <rPr>
        <sz val="10"/>
        <rFont val="宋体"/>
        <family val="3"/>
        <charset val="134"/>
      </rPr>
      <t>、到期</t>
    </r>
  </si>
  <si>
    <r>
      <rPr>
        <sz val="10"/>
        <color theme="1"/>
        <rFont val="Arial"/>
        <family val="2"/>
      </rPr>
      <t>2024.09.09</t>
    </r>
    <r>
      <rPr>
        <sz val="10"/>
        <color theme="1"/>
        <rFont val="宋体"/>
        <family val="3"/>
        <charset val="134"/>
      </rPr>
      <t>交</t>
    </r>
    <r>
      <rPr>
        <sz val="10"/>
        <color theme="1"/>
        <rFont val="Arial"/>
        <family val="2"/>
      </rPr>
      <t>2024.10.01-10.17</t>
    </r>
    <r>
      <rPr>
        <sz val="10"/>
        <color theme="1"/>
        <rFont val="宋体"/>
        <family val="3"/>
        <charset val="134"/>
      </rPr>
      <t>、到期</t>
    </r>
  </si>
  <si>
    <t>北京场圈有爱网络科技有限公司</t>
  </si>
  <si>
    <t>YW-2024-CX-0125</t>
  </si>
  <si>
    <t>2024.07.11</t>
  </si>
  <si>
    <t>2025.01.10</t>
  </si>
  <si>
    <t>季付提前30日</t>
  </si>
  <si>
    <t>2024.01.11-04.10</t>
  </si>
  <si>
    <r>
      <rPr>
        <sz val="10"/>
        <color theme="1"/>
        <rFont val="Arial"/>
        <family val="2"/>
      </rPr>
      <t>2024.01.17</t>
    </r>
    <r>
      <rPr>
        <sz val="10"/>
        <color theme="1"/>
        <rFont val="宋体"/>
        <family val="3"/>
        <charset val="134"/>
      </rPr>
      <t>交</t>
    </r>
    <r>
      <rPr>
        <sz val="10"/>
        <color theme="1"/>
        <rFont val="Arial"/>
        <family val="2"/>
      </rPr>
      <t>2024.01.11-04.10</t>
    </r>
  </si>
  <si>
    <r>
      <rPr>
        <sz val="10"/>
        <rFont val="宋体"/>
        <family val="3"/>
        <charset val="134"/>
      </rPr>
      <t>退</t>
    </r>
    <r>
      <rPr>
        <sz val="10"/>
        <rFont val="Arial"/>
        <family val="2"/>
      </rPr>
      <t>2024.01.11-01.31</t>
    </r>
  </si>
  <si>
    <r>
      <rPr>
        <sz val="10"/>
        <color theme="1"/>
        <rFont val="Arial"/>
        <family val="2"/>
      </rPr>
      <t>2024.01.20</t>
    </r>
    <r>
      <rPr>
        <sz val="10"/>
        <color theme="1"/>
        <rFont val="宋体"/>
        <family val="3"/>
        <charset val="134"/>
      </rPr>
      <t>交</t>
    </r>
    <r>
      <rPr>
        <sz val="10"/>
        <color theme="1"/>
        <rFont val="Arial"/>
        <family val="2"/>
      </rPr>
      <t>2024.01.11-04.10</t>
    </r>
    <r>
      <rPr>
        <sz val="10"/>
        <color theme="1"/>
        <rFont val="宋体"/>
        <family val="3"/>
        <charset val="134"/>
      </rPr>
      <t>；</t>
    </r>
    <r>
      <rPr>
        <sz val="10"/>
        <color theme="1"/>
        <rFont val="Arial"/>
        <family val="2"/>
      </rPr>
      <t>2024.02.21</t>
    </r>
    <r>
      <rPr>
        <sz val="10"/>
        <color theme="1"/>
        <rFont val="宋体"/>
        <family val="3"/>
        <charset val="134"/>
      </rPr>
      <t>退原客户</t>
    </r>
    <r>
      <rPr>
        <sz val="10"/>
        <color theme="1"/>
        <rFont val="Arial"/>
        <family val="2"/>
      </rPr>
      <t>2024.01.11-01.31</t>
    </r>
  </si>
  <si>
    <t>2024.04.11-07.10</t>
  </si>
  <si>
    <r>
      <rPr>
        <sz val="10"/>
        <color theme="1"/>
        <rFont val="Arial"/>
        <family val="2"/>
      </rPr>
      <t>2024.04.10</t>
    </r>
    <r>
      <rPr>
        <sz val="10"/>
        <color theme="1"/>
        <rFont val="宋体"/>
        <family val="3"/>
        <charset val="134"/>
      </rPr>
      <t>交</t>
    </r>
    <r>
      <rPr>
        <sz val="10"/>
        <color theme="1"/>
        <rFont val="Arial"/>
        <family val="2"/>
      </rPr>
      <t>2024.04.11-07.10</t>
    </r>
  </si>
  <si>
    <t>2024.07.11-10.10</t>
  </si>
  <si>
    <r>
      <rPr>
        <sz val="10"/>
        <color theme="1"/>
        <rFont val="Arial"/>
        <family val="2"/>
      </rPr>
      <t>2024.07.10</t>
    </r>
    <r>
      <rPr>
        <sz val="10"/>
        <color theme="1"/>
        <rFont val="宋体"/>
        <family val="3"/>
        <charset val="134"/>
      </rPr>
      <t>交</t>
    </r>
    <r>
      <rPr>
        <sz val="10"/>
        <color theme="1"/>
        <rFont val="Arial"/>
        <family val="2"/>
      </rPr>
      <t>2024.07.11-10.10</t>
    </r>
  </si>
  <si>
    <t>2024.10.11-2025.01.10</t>
  </si>
  <si>
    <r>
      <rPr>
        <sz val="10"/>
        <color theme="1"/>
        <rFont val="Arial"/>
        <family val="2"/>
      </rPr>
      <t>2024.09.20</t>
    </r>
    <r>
      <rPr>
        <sz val="10"/>
        <color theme="1"/>
        <rFont val="宋体"/>
        <family val="3"/>
        <charset val="134"/>
      </rPr>
      <t>交</t>
    </r>
    <r>
      <rPr>
        <sz val="10"/>
        <color theme="1"/>
        <rFont val="Arial"/>
        <family val="2"/>
      </rPr>
      <t>2024.10.11-2025.01.10</t>
    </r>
  </si>
  <si>
    <t>2025.01.01-01.10</t>
  </si>
  <si>
    <r>
      <rPr>
        <sz val="10"/>
        <rFont val="Arial"/>
        <family val="2"/>
      </rPr>
      <t>2024.01.01-01.04</t>
    </r>
    <r>
      <rPr>
        <sz val="10"/>
        <rFont val="宋体"/>
        <family val="3"/>
        <charset val="134"/>
      </rPr>
      <t>；</t>
    </r>
    <r>
      <rPr>
        <sz val="10"/>
        <rFont val="Arial"/>
        <family val="2"/>
      </rPr>
      <t>2024.01.05-01.31</t>
    </r>
  </si>
  <si>
    <r>
      <rPr>
        <sz val="10"/>
        <color theme="1"/>
        <rFont val="宋体"/>
        <family val="3"/>
        <charset val="134"/>
      </rPr>
      <t>冲减</t>
    </r>
    <r>
      <rPr>
        <sz val="10"/>
        <color theme="1"/>
        <rFont val="Arial"/>
        <family val="2"/>
      </rPr>
      <t>11.21-12.20</t>
    </r>
    <r>
      <rPr>
        <sz val="10"/>
        <color theme="1"/>
        <rFont val="宋体"/>
        <family val="3"/>
        <charset val="134"/>
      </rPr>
      <t>应收</t>
    </r>
  </si>
  <si>
    <t>1223</t>
  </si>
  <si>
    <r>
      <rPr>
        <sz val="10"/>
        <rFont val="宋体"/>
        <family val="3"/>
        <charset val="134"/>
      </rPr>
      <t>直播间占用</t>
    </r>
  </si>
  <si>
    <r>
      <rPr>
        <sz val="10"/>
        <color theme="1"/>
        <rFont val="Arial"/>
        <family val="2"/>
      </rPr>
      <t>2019.09.05</t>
    </r>
    <r>
      <rPr>
        <sz val="10"/>
        <color theme="1"/>
        <rFont val="宋体"/>
        <family val="3"/>
        <charset val="134"/>
      </rPr>
      <t>交</t>
    </r>
    <r>
      <rPr>
        <sz val="10"/>
        <color theme="1"/>
        <rFont val="Arial"/>
        <family val="2"/>
      </rPr>
      <t>2019.10.01-12.31/</t>
    </r>
    <r>
      <rPr>
        <sz val="10"/>
        <color theme="1"/>
        <rFont val="宋体"/>
        <family val="3"/>
        <charset val="134"/>
      </rPr>
      <t>退租</t>
    </r>
  </si>
  <si>
    <t>12A2</t>
  </si>
  <si>
    <t>集团办公室自用</t>
  </si>
  <si>
    <t>12A1</t>
  </si>
  <si>
    <t>北京鑫越利达科技有限公司</t>
  </si>
  <si>
    <t>20240315-00416</t>
  </si>
  <si>
    <r>
      <rPr>
        <sz val="10"/>
        <color theme="1"/>
        <rFont val="Arial"/>
        <family val="2"/>
      </rPr>
      <t>2023.12.04</t>
    </r>
    <r>
      <rPr>
        <sz val="10"/>
        <color theme="1"/>
        <rFont val="宋体"/>
        <family val="3"/>
        <charset val="134"/>
      </rPr>
      <t>交</t>
    </r>
    <r>
      <rPr>
        <sz val="10"/>
        <color theme="1"/>
        <rFont val="Arial"/>
        <family val="2"/>
      </rPr>
      <t>2024.01.01-03.31</t>
    </r>
    <r>
      <rPr>
        <sz val="10"/>
        <color theme="1"/>
        <rFont val="宋体"/>
        <family val="3"/>
        <charset val="134"/>
      </rPr>
      <t>、到期</t>
    </r>
  </si>
  <si>
    <r>
      <rPr>
        <sz val="10"/>
        <color theme="1"/>
        <rFont val="Arial"/>
        <family val="2"/>
      </rPr>
      <t>2024.06.01</t>
    </r>
    <r>
      <rPr>
        <sz val="10"/>
        <color theme="1"/>
        <rFont val="宋体"/>
        <family val="3"/>
        <charset val="134"/>
      </rPr>
      <t>交</t>
    </r>
    <r>
      <rPr>
        <sz val="10"/>
        <color theme="1"/>
        <rFont val="Arial"/>
        <family val="2"/>
      </rPr>
      <t>2024.07.01-09.30</t>
    </r>
  </si>
  <si>
    <r>
      <rPr>
        <sz val="10"/>
        <color theme="1"/>
        <rFont val="Arial"/>
        <family val="2"/>
      </rPr>
      <t>2024.09.02</t>
    </r>
    <r>
      <rPr>
        <sz val="10"/>
        <color theme="1"/>
        <rFont val="宋体"/>
        <family val="3"/>
        <charset val="134"/>
      </rPr>
      <t>交</t>
    </r>
    <r>
      <rPr>
        <sz val="10"/>
        <color theme="1"/>
        <rFont val="Arial"/>
        <family val="2"/>
      </rPr>
      <t>2024.10.01-12.31</t>
    </r>
  </si>
  <si>
    <t>12A3</t>
  </si>
  <si>
    <t>空调室外机设备间自用</t>
  </si>
  <si>
    <r>
      <rPr>
        <sz val="10"/>
        <color theme="1"/>
        <rFont val="Arial"/>
        <family val="2"/>
      </rPr>
      <t>2020.12.07</t>
    </r>
    <r>
      <rPr>
        <sz val="10"/>
        <color theme="1"/>
        <rFont val="宋体"/>
        <family val="3"/>
        <charset val="134"/>
      </rPr>
      <t>交</t>
    </r>
    <r>
      <rPr>
        <sz val="10"/>
        <color theme="1"/>
        <rFont val="Arial"/>
        <family val="2"/>
      </rPr>
      <t>2021.01.01-01.31</t>
    </r>
  </si>
  <si>
    <r>
      <rPr>
        <sz val="10"/>
        <rFont val="宋体"/>
        <family val="3"/>
        <charset val="134"/>
      </rPr>
      <t>海龙大厦</t>
    </r>
    <r>
      <rPr>
        <sz val="10"/>
        <rFont val="Arial"/>
        <family val="2"/>
      </rPr>
      <t>13</t>
    </r>
    <r>
      <rPr>
        <sz val="10"/>
        <rFont val="宋体"/>
        <family val="3"/>
        <charset val="134"/>
      </rPr>
      <t>层</t>
    </r>
  </si>
  <si>
    <r>
      <rPr>
        <sz val="10"/>
        <rFont val="宋体"/>
        <family val="3"/>
        <charset val="134"/>
      </rPr>
      <t>租</t>
    </r>
    <r>
      <rPr>
        <sz val="10"/>
        <rFont val="Arial"/>
        <family val="2"/>
      </rPr>
      <t xml:space="preserve"> </t>
    </r>
  </si>
  <si>
    <t>北京青莲旭宏教育科技有限公司</t>
  </si>
  <si>
    <t>20230915-01466</t>
  </si>
  <si>
    <t>2023.09.18</t>
  </si>
  <si>
    <t>2025.09.17</t>
  </si>
  <si>
    <r>
      <rPr>
        <sz val="10"/>
        <color indexed="8"/>
        <rFont val="宋体"/>
        <family val="3"/>
        <charset val="134"/>
      </rPr>
      <t>预收</t>
    </r>
    <r>
      <rPr>
        <sz val="10"/>
        <color indexed="8"/>
        <rFont val="Arial"/>
        <family val="2"/>
      </rPr>
      <t>7460.58</t>
    </r>
  </si>
  <si>
    <r>
      <rPr>
        <sz val="10"/>
        <rFont val="宋体"/>
        <family val="3"/>
        <charset val="134"/>
      </rPr>
      <t>预收</t>
    </r>
    <r>
      <rPr>
        <sz val="10"/>
        <rFont val="Arial"/>
        <family val="2"/>
      </rPr>
      <t>1485.04</t>
    </r>
  </si>
  <si>
    <t>2024.02.18-03.17</t>
  </si>
  <si>
    <r>
      <rPr>
        <sz val="10"/>
        <color theme="1"/>
        <rFont val="Arial"/>
        <family val="2"/>
      </rPr>
      <t>2023.12.15</t>
    </r>
    <r>
      <rPr>
        <sz val="10"/>
        <color theme="1"/>
        <rFont val="宋体"/>
        <family val="3"/>
        <charset val="134"/>
      </rPr>
      <t>交</t>
    </r>
    <r>
      <rPr>
        <sz val="10"/>
        <color theme="1"/>
        <rFont val="Arial"/>
        <family val="2"/>
      </rPr>
      <t>2024.01.18-02.17</t>
    </r>
    <r>
      <rPr>
        <sz val="10"/>
        <color theme="1"/>
        <rFont val="宋体"/>
        <family val="3"/>
        <charset val="134"/>
      </rPr>
      <t>；预收</t>
    </r>
    <r>
      <rPr>
        <sz val="10"/>
        <color theme="1"/>
        <rFont val="Arial"/>
        <family val="2"/>
      </rPr>
      <t>2024.02.18-03.17</t>
    </r>
    <r>
      <rPr>
        <sz val="10"/>
        <color theme="1"/>
        <rFont val="宋体"/>
        <family val="3"/>
        <charset val="134"/>
      </rPr>
      <t>租金</t>
    </r>
    <r>
      <rPr>
        <sz val="10"/>
        <color theme="1"/>
        <rFont val="Arial"/>
        <family val="2"/>
      </rPr>
      <t>7460.58</t>
    </r>
    <r>
      <rPr>
        <sz val="10"/>
        <color theme="1"/>
        <rFont val="宋体"/>
        <family val="3"/>
        <charset val="134"/>
      </rPr>
      <t>、物业费</t>
    </r>
    <r>
      <rPr>
        <sz val="10"/>
        <color theme="1"/>
        <rFont val="Arial"/>
        <family val="2"/>
      </rPr>
      <t>1485.04</t>
    </r>
  </si>
  <si>
    <t>2024.03.18-04.17</t>
  </si>
  <si>
    <r>
      <rPr>
        <sz val="10"/>
        <color theme="1"/>
        <rFont val="Arial"/>
        <family val="2"/>
      </rPr>
      <t>2024.02.21</t>
    </r>
    <r>
      <rPr>
        <sz val="10"/>
        <color theme="1"/>
        <rFont val="宋体"/>
        <family val="3"/>
        <charset val="134"/>
      </rPr>
      <t>交</t>
    </r>
    <r>
      <rPr>
        <sz val="10"/>
        <color theme="1"/>
        <rFont val="Arial"/>
        <family val="2"/>
      </rPr>
      <t>2024.03.18-04.17</t>
    </r>
  </si>
  <si>
    <t>2024.04.18-05.17</t>
  </si>
  <si>
    <r>
      <rPr>
        <sz val="10"/>
        <color theme="1"/>
        <rFont val="Arial"/>
        <family val="2"/>
      </rPr>
      <t>2024.03.18</t>
    </r>
    <r>
      <rPr>
        <sz val="10"/>
        <color theme="1"/>
        <rFont val="宋体"/>
        <family val="3"/>
        <charset val="134"/>
      </rPr>
      <t>交</t>
    </r>
    <r>
      <rPr>
        <sz val="10"/>
        <color theme="1"/>
        <rFont val="Arial"/>
        <family val="2"/>
      </rPr>
      <t>2024.04.18-05.17</t>
    </r>
  </si>
  <si>
    <t>2024.05.18-06.17</t>
  </si>
  <si>
    <r>
      <rPr>
        <sz val="10"/>
        <color theme="1"/>
        <rFont val="Arial"/>
        <family val="2"/>
      </rPr>
      <t>2024.04.17</t>
    </r>
    <r>
      <rPr>
        <sz val="10"/>
        <color theme="1"/>
        <rFont val="宋体"/>
        <family val="3"/>
        <charset val="134"/>
      </rPr>
      <t>交</t>
    </r>
    <r>
      <rPr>
        <sz val="10"/>
        <color theme="1"/>
        <rFont val="Arial"/>
        <family val="2"/>
      </rPr>
      <t>2024.05.18-06.17</t>
    </r>
    <r>
      <rPr>
        <sz val="10"/>
        <color theme="1"/>
        <rFont val="宋体"/>
        <family val="3"/>
        <charset val="134"/>
      </rPr>
      <t>、预收物业费</t>
    </r>
    <r>
      <rPr>
        <sz val="10"/>
        <color theme="1"/>
        <rFont val="Arial"/>
        <family val="2"/>
      </rPr>
      <t>0.08</t>
    </r>
  </si>
  <si>
    <t>2024.06.18-07.17</t>
  </si>
  <si>
    <r>
      <rPr>
        <sz val="10"/>
        <color theme="1"/>
        <rFont val="Arial"/>
        <family val="2"/>
      </rPr>
      <t>2024.05.13</t>
    </r>
    <r>
      <rPr>
        <sz val="10"/>
        <color theme="1"/>
        <rFont val="宋体"/>
        <family val="3"/>
        <charset val="134"/>
      </rPr>
      <t>交</t>
    </r>
    <r>
      <rPr>
        <sz val="10"/>
        <color theme="1"/>
        <rFont val="Arial"/>
        <family val="2"/>
      </rPr>
      <t>2024.06.18-07.17</t>
    </r>
    <r>
      <rPr>
        <sz val="10"/>
        <color theme="1"/>
        <rFont val="宋体"/>
        <family val="3"/>
        <charset val="134"/>
      </rPr>
      <t>、预收</t>
    </r>
    <r>
      <rPr>
        <sz val="10"/>
        <color theme="1"/>
        <rFont val="Arial"/>
        <family val="2"/>
      </rPr>
      <t>2024.07.18-08.17</t>
    </r>
    <r>
      <rPr>
        <sz val="10"/>
        <color theme="1"/>
        <rFont val="宋体"/>
        <family val="3"/>
        <charset val="134"/>
      </rPr>
      <t>及物业费</t>
    </r>
    <r>
      <rPr>
        <sz val="10"/>
        <color theme="1"/>
        <rFont val="Arial"/>
        <family val="2"/>
      </rPr>
      <t>0.08</t>
    </r>
  </si>
  <si>
    <t>2024.07.18-08.17</t>
  </si>
  <si>
    <t>2024.08.18-09.17</t>
  </si>
  <si>
    <r>
      <rPr>
        <sz val="10"/>
        <color theme="1"/>
        <rFont val="Arial"/>
        <family val="2"/>
      </rPr>
      <t>2024.07.19</t>
    </r>
    <r>
      <rPr>
        <sz val="10"/>
        <color theme="1"/>
        <rFont val="宋体"/>
        <family val="3"/>
        <charset val="134"/>
      </rPr>
      <t>交</t>
    </r>
    <r>
      <rPr>
        <sz val="10"/>
        <color theme="1"/>
        <rFont val="Arial"/>
        <family val="2"/>
      </rPr>
      <t>2024.08.18-09.17</t>
    </r>
    <r>
      <rPr>
        <sz val="10"/>
        <color theme="1"/>
        <rFont val="宋体"/>
        <family val="3"/>
        <charset val="134"/>
      </rPr>
      <t>、预收</t>
    </r>
    <r>
      <rPr>
        <sz val="10"/>
        <color theme="1"/>
        <rFont val="Arial"/>
        <family val="2"/>
      </rPr>
      <t>2024.10.18-11.17</t>
    </r>
    <r>
      <rPr>
        <sz val="10"/>
        <color theme="1"/>
        <rFont val="宋体"/>
        <family val="3"/>
        <charset val="134"/>
      </rPr>
      <t>租金、</t>
    </r>
    <r>
      <rPr>
        <sz val="10"/>
        <color theme="1"/>
        <rFont val="Arial"/>
        <family val="2"/>
      </rPr>
      <t>2024.09.18-10.17</t>
    </r>
    <r>
      <rPr>
        <sz val="10"/>
        <color theme="1"/>
        <rFont val="宋体"/>
        <family val="3"/>
        <charset val="134"/>
      </rPr>
      <t>物业费及物业费</t>
    </r>
    <r>
      <rPr>
        <sz val="10"/>
        <color theme="1"/>
        <rFont val="Arial"/>
        <family val="2"/>
      </rPr>
      <t>0.08</t>
    </r>
  </si>
  <si>
    <t>2024.09.18-10.17</t>
  </si>
  <si>
    <t>2024.10.18-11.17</t>
  </si>
  <si>
    <r>
      <rPr>
        <sz val="10"/>
        <color theme="1"/>
        <rFont val="Arial"/>
        <family val="2"/>
      </rPr>
      <t>2024.07.19</t>
    </r>
    <r>
      <rPr>
        <sz val="10"/>
        <color theme="1"/>
        <rFont val="宋体"/>
        <family val="3"/>
        <charset val="134"/>
      </rPr>
      <t>预收</t>
    </r>
    <r>
      <rPr>
        <sz val="10"/>
        <color theme="1"/>
        <rFont val="Arial"/>
        <family val="2"/>
      </rPr>
      <t>2024.10.18-11.17</t>
    </r>
    <r>
      <rPr>
        <sz val="10"/>
        <color theme="1"/>
        <rFont val="宋体"/>
        <family val="3"/>
        <charset val="134"/>
      </rPr>
      <t>租金、</t>
    </r>
    <r>
      <rPr>
        <sz val="10"/>
        <color theme="1"/>
        <rFont val="Arial"/>
        <family val="2"/>
      </rPr>
      <t>2024.09.20</t>
    </r>
    <r>
      <rPr>
        <sz val="10"/>
        <color theme="1"/>
        <rFont val="宋体"/>
        <family val="3"/>
        <charset val="134"/>
      </rPr>
      <t>交</t>
    </r>
    <r>
      <rPr>
        <sz val="10"/>
        <color theme="1"/>
        <rFont val="Arial"/>
        <family val="2"/>
      </rPr>
      <t>2024.10.18-11.17</t>
    </r>
    <r>
      <rPr>
        <sz val="10"/>
        <color theme="1"/>
        <rFont val="宋体"/>
        <family val="3"/>
        <charset val="134"/>
      </rPr>
      <t>物业费、预收</t>
    </r>
    <r>
      <rPr>
        <sz val="10"/>
        <color theme="1"/>
        <rFont val="Arial"/>
        <family val="2"/>
      </rPr>
      <t>2024.11.18-12.17</t>
    </r>
    <r>
      <rPr>
        <sz val="10"/>
        <color theme="1"/>
        <rFont val="宋体"/>
        <family val="3"/>
        <charset val="134"/>
      </rPr>
      <t>物业费及物业费</t>
    </r>
    <r>
      <rPr>
        <sz val="10"/>
        <color theme="1"/>
        <rFont val="Arial"/>
        <family val="2"/>
      </rPr>
      <t>0.08</t>
    </r>
  </si>
  <si>
    <t>2024.11.18-12.17</t>
  </si>
  <si>
    <t>2024.12.18-2025.01.17</t>
  </si>
  <si>
    <t>2025.01.18-02.17</t>
  </si>
  <si>
    <t>2024.01.01-03.17</t>
  </si>
  <si>
    <r>
      <rPr>
        <sz val="10"/>
        <rFont val="宋体"/>
        <family val="3"/>
        <charset val="134"/>
      </rPr>
      <t>中科加禾</t>
    </r>
    <r>
      <rPr>
        <sz val="10"/>
        <rFont val="Arial"/>
        <family val="2"/>
      </rPr>
      <t>(</t>
    </r>
    <r>
      <rPr>
        <sz val="10"/>
        <rFont val="宋体"/>
        <family val="3"/>
        <charset val="134"/>
      </rPr>
      <t>北京</t>
    </r>
    <r>
      <rPr>
        <sz val="10"/>
        <rFont val="Arial"/>
        <family val="2"/>
      </rPr>
      <t>)</t>
    </r>
    <r>
      <rPr>
        <sz val="10"/>
        <rFont val="宋体"/>
        <family val="3"/>
        <charset val="134"/>
      </rPr>
      <t>科技有限公司</t>
    </r>
  </si>
  <si>
    <t>20230823-01361</t>
  </si>
  <si>
    <r>
      <rPr>
        <sz val="10"/>
        <color theme="1"/>
        <rFont val="Arial"/>
        <family val="2"/>
      </rPr>
      <t>2024.02.05</t>
    </r>
    <r>
      <rPr>
        <sz val="10"/>
        <color theme="1"/>
        <rFont val="宋体"/>
        <family val="3"/>
        <charset val="134"/>
      </rPr>
      <t>交</t>
    </r>
    <r>
      <rPr>
        <sz val="10"/>
        <color theme="1"/>
        <rFont val="Arial"/>
        <family val="2"/>
      </rPr>
      <t>2024.03.01-05.31</t>
    </r>
  </si>
  <si>
    <r>
      <rPr>
        <sz val="10"/>
        <color theme="1"/>
        <rFont val="Arial"/>
        <family val="2"/>
      </rPr>
      <t>2024.05.15</t>
    </r>
    <r>
      <rPr>
        <sz val="10"/>
        <color theme="1"/>
        <rFont val="宋体"/>
        <family val="3"/>
        <charset val="134"/>
      </rPr>
      <t>交</t>
    </r>
    <r>
      <rPr>
        <sz val="10"/>
        <color theme="1"/>
        <rFont val="Arial"/>
        <family val="2"/>
      </rPr>
      <t>2024.06.01-08.31</t>
    </r>
  </si>
  <si>
    <r>
      <rPr>
        <sz val="10"/>
        <color theme="1"/>
        <rFont val="Arial"/>
        <family val="2"/>
      </rPr>
      <t>2024.08.22</t>
    </r>
    <r>
      <rPr>
        <sz val="10"/>
        <color theme="1"/>
        <rFont val="宋体"/>
        <family val="3"/>
        <charset val="134"/>
      </rPr>
      <t>交</t>
    </r>
    <r>
      <rPr>
        <sz val="10"/>
        <color theme="1"/>
        <rFont val="Arial"/>
        <family val="2"/>
      </rPr>
      <t>2024.09.01-11.30</t>
    </r>
  </si>
  <si>
    <t>北京天宇科迅科技有限公司</t>
  </si>
  <si>
    <t>20240419-00656</t>
  </si>
  <si>
    <t>2024.05.10</t>
  </si>
  <si>
    <t>2026.05.09</t>
  </si>
  <si>
    <r>
      <rPr>
        <sz val="10"/>
        <color theme="1"/>
        <rFont val="Arial"/>
        <family val="2"/>
      </rPr>
      <t>2024.02.20</t>
    </r>
    <r>
      <rPr>
        <sz val="10"/>
        <color theme="1"/>
        <rFont val="宋体"/>
        <family val="3"/>
        <charset val="134"/>
      </rPr>
      <t>交</t>
    </r>
    <r>
      <rPr>
        <sz val="10"/>
        <color theme="1"/>
        <rFont val="Arial"/>
        <family val="2"/>
      </rPr>
      <t>2024.03.01-03.31</t>
    </r>
  </si>
  <si>
    <r>
      <rPr>
        <sz val="10"/>
        <rFont val="Arial"/>
        <family val="2"/>
      </rPr>
      <t>2024.05.01-05.09</t>
    </r>
    <r>
      <rPr>
        <sz val="10"/>
        <rFont val="宋体"/>
        <family val="3"/>
        <charset val="134"/>
      </rPr>
      <t>、到期</t>
    </r>
  </si>
  <si>
    <r>
      <rPr>
        <sz val="10"/>
        <color theme="1"/>
        <rFont val="Arial"/>
        <family val="2"/>
      </rPr>
      <t>2024.04.09</t>
    </r>
    <r>
      <rPr>
        <sz val="10"/>
        <color theme="1"/>
        <rFont val="宋体"/>
        <family val="3"/>
        <charset val="134"/>
      </rPr>
      <t>交</t>
    </r>
    <r>
      <rPr>
        <sz val="10"/>
        <color theme="1"/>
        <rFont val="Arial"/>
        <family val="2"/>
      </rPr>
      <t>2024.05.01-05.09</t>
    </r>
    <r>
      <rPr>
        <sz val="10"/>
        <color theme="1"/>
        <rFont val="宋体"/>
        <family val="3"/>
        <charset val="134"/>
      </rPr>
      <t>、到期</t>
    </r>
  </si>
  <si>
    <t>2024.05.10-08.09</t>
  </si>
  <si>
    <r>
      <rPr>
        <sz val="10"/>
        <color theme="1"/>
        <rFont val="Arial"/>
        <family val="2"/>
      </rPr>
      <t>2024.05.07</t>
    </r>
    <r>
      <rPr>
        <sz val="10"/>
        <color theme="1"/>
        <rFont val="宋体"/>
        <family val="3"/>
        <charset val="134"/>
      </rPr>
      <t>交</t>
    </r>
    <r>
      <rPr>
        <sz val="10"/>
        <color theme="1"/>
        <rFont val="Arial"/>
        <family val="2"/>
      </rPr>
      <t>2024.05.10-08.09</t>
    </r>
  </si>
  <si>
    <t>2024.08.10-11.09</t>
  </si>
  <si>
    <r>
      <rPr>
        <sz val="10"/>
        <color theme="1"/>
        <rFont val="Arial"/>
        <family val="2"/>
      </rPr>
      <t>2024.07.01</t>
    </r>
    <r>
      <rPr>
        <sz val="10"/>
        <color theme="1"/>
        <rFont val="宋体"/>
        <family val="3"/>
        <charset val="134"/>
      </rPr>
      <t>交</t>
    </r>
    <r>
      <rPr>
        <sz val="10"/>
        <color theme="1"/>
        <rFont val="Arial"/>
        <family val="2"/>
      </rPr>
      <t>2024.08.10-11.09</t>
    </r>
  </si>
  <si>
    <t>2024.11.10-2025.02.09</t>
  </si>
  <si>
    <t>2025.01.01-02.09</t>
  </si>
  <si>
    <t>1307-1308</t>
  </si>
  <si>
    <r>
      <rPr>
        <sz val="10"/>
        <rFont val="宋体"/>
        <family val="3"/>
        <charset val="134"/>
      </rPr>
      <t>北京儒德律师事务所</t>
    </r>
  </si>
  <si>
    <t>20230703-01063</t>
  </si>
  <si>
    <t>2027.07.09</t>
  </si>
  <si>
    <r>
      <rPr>
        <sz val="10"/>
        <rFont val="宋体"/>
        <family val="3"/>
        <charset val="134"/>
      </rPr>
      <t>季付提前</t>
    </r>
    <r>
      <rPr>
        <sz val="10"/>
        <rFont val="Arial"/>
        <family val="2"/>
      </rPr>
      <t>7</t>
    </r>
    <r>
      <rPr>
        <sz val="10"/>
        <rFont val="宋体"/>
        <family val="3"/>
        <charset val="134"/>
      </rPr>
      <t>日</t>
    </r>
  </si>
  <si>
    <r>
      <rPr>
        <sz val="10"/>
        <color theme="1"/>
        <rFont val="Arial"/>
        <family val="2"/>
      </rPr>
      <t>2023.12.14</t>
    </r>
    <r>
      <rPr>
        <sz val="10"/>
        <color theme="1"/>
        <rFont val="宋体"/>
        <family val="3"/>
        <charset val="134"/>
      </rPr>
      <t>交</t>
    </r>
    <r>
      <rPr>
        <sz val="10"/>
        <color theme="1"/>
        <rFont val="Arial"/>
        <family val="2"/>
      </rPr>
      <t>2024.01.10-04.09</t>
    </r>
  </si>
  <si>
    <t>2024.04.10-07.09</t>
  </si>
  <si>
    <r>
      <rPr>
        <sz val="10"/>
        <color theme="1"/>
        <rFont val="Arial"/>
        <family val="2"/>
      </rPr>
      <t>2024.03.20</t>
    </r>
    <r>
      <rPr>
        <sz val="10"/>
        <color theme="1"/>
        <rFont val="宋体"/>
        <family val="3"/>
        <charset val="134"/>
      </rPr>
      <t>交</t>
    </r>
    <r>
      <rPr>
        <sz val="10"/>
        <color theme="1"/>
        <rFont val="Arial"/>
        <family val="2"/>
      </rPr>
      <t>2024.04.10-07.09</t>
    </r>
  </si>
  <si>
    <t>2024.07.10-10.09</t>
  </si>
  <si>
    <r>
      <rPr>
        <sz val="10"/>
        <color theme="1"/>
        <rFont val="Arial"/>
        <family val="2"/>
      </rPr>
      <t>2024.06.17</t>
    </r>
    <r>
      <rPr>
        <sz val="10"/>
        <color theme="1"/>
        <rFont val="宋体"/>
        <family val="3"/>
        <charset val="134"/>
      </rPr>
      <t>交</t>
    </r>
    <r>
      <rPr>
        <sz val="10"/>
        <color theme="1"/>
        <rFont val="Arial"/>
        <family val="2"/>
      </rPr>
      <t>2024.08.10-10.09</t>
    </r>
    <r>
      <rPr>
        <sz val="10"/>
        <color theme="1"/>
        <rFont val="宋体"/>
        <family val="3"/>
        <charset val="134"/>
      </rPr>
      <t>租金、</t>
    </r>
    <r>
      <rPr>
        <sz val="10"/>
        <color theme="1"/>
        <rFont val="Arial"/>
        <family val="2"/>
      </rPr>
      <t>2024.07.10-10.09</t>
    </r>
    <r>
      <rPr>
        <sz val="10"/>
        <color theme="1"/>
        <rFont val="宋体"/>
        <family val="3"/>
        <charset val="134"/>
      </rPr>
      <t>物业费</t>
    </r>
  </si>
  <si>
    <t>2024.10.10-2025.01.09</t>
  </si>
  <si>
    <r>
      <rPr>
        <sz val="10"/>
        <color theme="1"/>
        <rFont val="Arial"/>
        <family val="2"/>
      </rPr>
      <t>2024.09.10</t>
    </r>
    <r>
      <rPr>
        <sz val="10"/>
        <color theme="1"/>
        <rFont val="宋体"/>
        <family val="3"/>
        <charset val="134"/>
      </rPr>
      <t>交</t>
    </r>
    <r>
      <rPr>
        <sz val="10"/>
        <color theme="1"/>
        <rFont val="Arial"/>
        <family val="2"/>
      </rPr>
      <t>2024.10.10-2025.01.09</t>
    </r>
  </si>
  <si>
    <t>2025.01.10-04.09</t>
  </si>
  <si>
    <t>2025.01.01-04.09</t>
  </si>
  <si>
    <t>2025.01.01-01.09</t>
  </si>
  <si>
    <t>2024.01.01-04.09</t>
  </si>
  <si>
    <r>
      <rPr>
        <sz val="10"/>
        <rFont val="Arial"/>
        <family val="2"/>
      </rPr>
      <t>1309(</t>
    </r>
    <r>
      <rPr>
        <sz val="10"/>
        <rFont val="宋体"/>
        <family val="3"/>
        <charset val="134"/>
      </rPr>
      <t>小业主回租</t>
    </r>
    <r>
      <rPr>
        <sz val="10"/>
        <rFont val="Arial"/>
        <family val="2"/>
      </rPr>
      <t>)</t>
    </r>
  </si>
  <si>
    <r>
      <rPr>
        <sz val="10"/>
        <rFont val="Arial"/>
        <family val="2"/>
      </rPr>
      <t>27</t>
    </r>
    <r>
      <rPr>
        <sz val="10"/>
        <rFont val="宋体"/>
        <family val="3"/>
        <charset val="134"/>
      </rPr>
      <t>个月</t>
    </r>
    <r>
      <rPr>
        <sz val="10"/>
        <rFont val="Arial"/>
        <family val="2"/>
      </rPr>
      <t>27</t>
    </r>
    <r>
      <rPr>
        <sz val="10"/>
        <rFont val="宋体"/>
        <family val="3"/>
        <charset val="134"/>
      </rPr>
      <t>天</t>
    </r>
  </si>
  <si>
    <t>1310A</t>
  </si>
  <si>
    <r>
      <rPr>
        <sz val="10"/>
        <rFont val="宋体"/>
        <family val="3"/>
        <charset val="134"/>
      </rPr>
      <t>北京格隆汇投资顾问有限公司</t>
    </r>
  </si>
  <si>
    <t>20240923-01460</t>
  </si>
  <si>
    <t>2024.09.28</t>
  </si>
  <si>
    <t>2025.09.27</t>
  </si>
  <si>
    <r>
      <rPr>
        <sz val="10"/>
        <color theme="1"/>
        <rFont val="Arial"/>
        <family val="2"/>
      </rPr>
      <t>2023.12.04</t>
    </r>
    <r>
      <rPr>
        <sz val="10"/>
        <color theme="1"/>
        <rFont val="宋体"/>
        <family val="3"/>
        <charset val="134"/>
      </rPr>
      <t>交</t>
    </r>
    <r>
      <rPr>
        <sz val="10"/>
        <color theme="1"/>
        <rFont val="Arial"/>
        <family val="2"/>
      </rPr>
      <t>2023.12.28-2024.03.27</t>
    </r>
  </si>
  <si>
    <r>
      <rPr>
        <sz val="10"/>
        <color theme="1"/>
        <rFont val="Arial"/>
        <family val="2"/>
      </rPr>
      <t>2024.02.18</t>
    </r>
    <r>
      <rPr>
        <sz val="10"/>
        <color theme="1"/>
        <rFont val="宋体"/>
        <family val="3"/>
        <charset val="134"/>
      </rPr>
      <t>预收</t>
    </r>
    <r>
      <rPr>
        <sz val="10"/>
        <color theme="1"/>
        <rFont val="Arial"/>
        <family val="2"/>
      </rPr>
      <t>2024.03.28-06.27</t>
    </r>
  </si>
  <si>
    <t>2024.03.28-06.27</t>
  </si>
  <si>
    <r>
      <rPr>
        <sz val="10"/>
        <color theme="1"/>
        <rFont val="Arial"/>
        <family val="2"/>
      </rPr>
      <t>2024.05.13</t>
    </r>
    <r>
      <rPr>
        <sz val="10"/>
        <color theme="1"/>
        <rFont val="宋体"/>
        <family val="3"/>
        <charset val="134"/>
      </rPr>
      <t>预收</t>
    </r>
    <r>
      <rPr>
        <sz val="10"/>
        <color theme="1"/>
        <rFont val="Arial"/>
        <family val="2"/>
      </rPr>
      <t>2024.06.28-09.27</t>
    </r>
  </si>
  <si>
    <r>
      <rPr>
        <sz val="10"/>
        <rFont val="Arial"/>
        <family val="2"/>
      </rPr>
      <t>2024.06.28-09.27</t>
    </r>
    <r>
      <rPr>
        <sz val="10"/>
        <rFont val="宋体"/>
        <family val="3"/>
        <charset val="134"/>
      </rPr>
      <t>、到期</t>
    </r>
  </si>
  <si>
    <r>
      <rPr>
        <sz val="10"/>
        <color theme="1"/>
        <rFont val="Arial"/>
        <family val="2"/>
      </rPr>
      <t>2024.05.13</t>
    </r>
    <r>
      <rPr>
        <sz val="10"/>
        <color theme="1"/>
        <rFont val="宋体"/>
        <family val="3"/>
        <charset val="134"/>
      </rPr>
      <t>预收</t>
    </r>
    <r>
      <rPr>
        <sz val="10"/>
        <color theme="1"/>
        <rFont val="Arial"/>
        <family val="2"/>
      </rPr>
      <t>2024.06.28-09.27</t>
    </r>
    <r>
      <rPr>
        <sz val="10"/>
        <color theme="1"/>
        <rFont val="宋体"/>
        <family val="3"/>
        <charset val="134"/>
      </rPr>
      <t>、到期</t>
    </r>
  </si>
  <si>
    <t>2024.09.28-12.27</t>
  </si>
  <si>
    <t>2024.12.28-2025.03.27</t>
  </si>
  <si>
    <t>2025.01.01-03.27</t>
  </si>
  <si>
    <t>2024.01.01-03.27</t>
  </si>
  <si>
    <t>1310B</t>
  </si>
  <si>
    <t>北京北鼎时代科技发展有限公司</t>
  </si>
  <si>
    <t>20240202-00135</t>
  </si>
  <si>
    <t>2024.03.01</t>
  </si>
  <si>
    <t>2026.02.28</t>
  </si>
  <si>
    <r>
      <rPr>
        <sz val="10"/>
        <rFont val="Arial"/>
        <family val="2"/>
      </rPr>
      <t>2024.02.01-02.29</t>
    </r>
    <r>
      <rPr>
        <sz val="10"/>
        <rFont val="宋体"/>
        <family val="3"/>
        <charset val="134"/>
      </rPr>
      <t>、到期</t>
    </r>
  </si>
  <si>
    <r>
      <rPr>
        <sz val="10"/>
        <color theme="1"/>
        <rFont val="Arial"/>
        <family val="2"/>
      </rPr>
      <t>2024.01.08</t>
    </r>
    <r>
      <rPr>
        <sz val="10"/>
        <color theme="1"/>
        <rFont val="宋体"/>
        <family val="3"/>
        <charset val="134"/>
      </rPr>
      <t>交</t>
    </r>
    <r>
      <rPr>
        <sz val="10"/>
        <color theme="1"/>
        <rFont val="Arial"/>
        <family val="2"/>
      </rPr>
      <t>2024.02.01-02.29</t>
    </r>
    <r>
      <rPr>
        <sz val="10"/>
        <color theme="1"/>
        <rFont val="宋体"/>
        <family val="3"/>
        <charset val="134"/>
      </rPr>
      <t>、到期</t>
    </r>
  </si>
  <si>
    <r>
      <rPr>
        <sz val="10"/>
        <color theme="1"/>
        <rFont val="Arial"/>
        <family val="2"/>
      </rPr>
      <t>2024.02.21</t>
    </r>
    <r>
      <rPr>
        <sz val="10"/>
        <color theme="1"/>
        <rFont val="宋体"/>
        <family val="3"/>
        <charset val="134"/>
      </rPr>
      <t>交</t>
    </r>
    <r>
      <rPr>
        <sz val="10"/>
        <color theme="1"/>
        <rFont val="Arial"/>
        <family val="2"/>
      </rPr>
      <t>2024.03.01-05.31</t>
    </r>
  </si>
  <si>
    <r>
      <rPr>
        <sz val="10"/>
        <color theme="1"/>
        <rFont val="Arial"/>
        <family val="2"/>
      </rPr>
      <t>2024.08.19</t>
    </r>
    <r>
      <rPr>
        <sz val="10"/>
        <color theme="1"/>
        <rFont val="宋体"/>
        <family val="3"/>
        <charset val="134"/>
      </rPr>
      <t>交</t>
    </r>
    <r>
      <rPr>
        <sz val="10"/>
        <color theme="1"/>
        <rFont val="Arial"/>
        <family val="2"/>
      </rPr>
      <t>2024.09.01-11.30</t>
    </r>
  </si>
  <si>
    <t>1310C</t>
  </si>
  <si>
    <t>北京保亿源科技有限公司</t>
  </si>
  <si>
    <t>20231225-02118</t>
  </si>
  <si>
    <t>2024.01.20</t>
  </si>
  <si>
    <t>2025.01.19</t>
  </si>
  <si>
    <t>2024.01.20-03.19</t>
  </si>
  <si>
    <r>
      <rPr>
        <sz val="10"/>
        <rFont val="Arial"/>
        <family val="2"/>
      </rPr>
      <t>2024.01.08</t>
    </r>
    <r>
      <rPr>
        <sz val="10"/>
        <rFont val="宋体"/>
        <family val="3"/>
        <charset val="134"/>
      </rPr>
      <t>交</t>
    </r>
    <r>
      <rPr>
        <sz val="10"/>
        <rFont val="Arial"/>
        <family val="2"/>
      </rPr>
      <t>2024.01.20-02.19</t>
    </r>
    <r>
      <rPr>
        <sz val="10"/>
        <rFont val="宋体"/>
        <family val="3"/>
        <charset val="134"/>
      </rPr>
      <t>；</t>
    </r>
    <r>
      <rPr>
        <sz val="10"/>
        <rFont val="Arial"/>
        <family val="2"/>
      </rPr>
      <t>2024.01.23</t>
    </r>
    <r>
      <rPr>
        <sz val="10"/>
        <rFont val="宋体"/>
        <family val="3"/>
        <charset val="134"/>
      </rPr>
      <t>交</t>
    </r>
    <r>
      <rPr>
        <sz val="10"/>
        <rFont val="Arial"/>
        <family val="2"/>
      </rPr>
      <t>2024.02.20-03.19</t>
    </r>
  </si>
  <si>
    <t>2023.03.20-04.19</t>
  </si>
  <si>
    <r>
      <rPr>
        <sz val="10"/>
        <rFont val="Arial"/>
        <family val="2"/>
      </rPr>
      <t>2024.02.21</t>
    </r>
    <r>
      <rPr>
        <sz val="10"/>
        <rFont val="宋体"/>
        <family val="3"/>
        <charset val="134"/>
      </rPr>
      <t>交</t>
    </r>
    <r>
      <rPr>
        <sz val="10"/>
        <rFont val="Arial"/>
        <family val="2"/>
      </rPr>
      <t>2023.03.20-04.19</t>
    </r>
  </si>
  <si>
    <t>2024.04.20-05.19</t>
  </si>
  <si>
    <r>
      <rPr>
        <sz val="10"/>
        <rFont val="Arial"/>
        <family val="2"/>
      </rPr>
      <t>2024.03.13/03.19</t>
    </r>
    <r>
      <rPr>
        <sz val="10"/>
        <rFont val="宋体"/>
        <family val="3"/>
        <charset val="134"/>
      </rPr>
      <t>交</t>
    </r>
    <r>
      <rPr>
        <sz val="10"/>
        <rFont val="Arial"/>
        <family val="2"/>
      </rPr>
      <t>2023.04.20-05.19</t>
    </r>
  </si>
  <si>
    <t>2024.05.20-06.19</t>
  </si>
  <si>
    <r>
      <rPr>
        <sz val="10"/>
        <rFont val="Arial"/>
        <family val="2"/>
      </rPr>
      <t>2024.04.19</t>
    </r>
    <r>
      <rPr>
        <sz val="10"/>
        <rFont val="宋体"/>
        <family val="3"/>
        <charset val="134"/>
      </rPr>
      <t>交</t>
    </r>
    <r>
      <rPr>
        <sz val="10"/>
        <rFont val="Arial"/>
        <family val="2"/>
      </rPr>
      <t>2024.05.20-06.19</t>
    </r>
  </si>
  <si>
    <t>2024.06.20-07.19</t>
  </si>
  <si>
    <r>
      <rPr>
        <sz val="10"/>
        <color theme="1"/>
        <rFont val="Arial"/>
        <family val="2"/>
      </rPr>
      <t>2024.05.15</t>
    </r>
    <r>
      <rPr>
        <sz val="10"/>
        <color theme="1"/>
        <rFont val="宋体"/>
        <family val="3"/>
        <charset val="134"/>
      </rPr>
      <t>交</t>
    </r>
    <r>
      <rPr>
        <sz val="10"/>
        <color theme="1"/>
        <rFont val="Arial"/>
        <family val="2"/>
      </rPr>
      <t>2024.06.20-07.19</t>
    </r>
  </si>
  <si>
    <t>2024.07.20-08.19</t>
  </si>
  <si>
    <r>
      <rPr>
        <sz val="10"/>
        <color theme="1"/>
        <rFont val="Arial"/>
        <family val="2"/>
      </rPr>
      <t>2024.06.17</t>
    </r>
    <r>
      <rPr>
        <sz val="10"/>
        <color theme="1"/>
        <rFont val="宋体"/>
        <family val="3"/>
        <charset val="134"/>
      </rPr>
      <t>交</t>
    </r>
    <r>
      <rPr>
        <sz val="10"/>
        <color theme="1"/>
        <rFont val="Arial"/>
        <family val="2"/>
      </rPr>
      <t>2024.07.20-08.19</t>
    </r>
  </si>
  <si>
    <t>2024.08.20-09.19</t>
  </si>
  <si>
    <r>
      <rPr>
        <sz val="10"/>
        <color theme="1"/>
        <rFont val="Arial"/>
        <family val="2"/>
      </rPr>
      <t>2024.07.16</t>
    </r>
    <r>
      <rPr>
        <sz val="10"/>
        <color theme="1"/>
        <rFont val="宋体"/>
        <family val="3"/>
        <charset val="134"/>
      </rPr>
      <t>交</t>
    </r>
    <r>
      <rPr>
        <sz val="10"/>
        <color theme="1"/>
        <rFont val="Arial"/>
        <family val="2"/>
      </rPr>
      <t>2024.08.20-09.19</t>
    </r>
  </si>
  <si>
    <t>2024.09.20-10.19</t>
  </si>
  <si>
    <r>
      <rPr>
        <sz val="10"/>
        <color theme="1"/>
        <rFont val="Arial"/>
        <family val="2"/>
      </rPr>
      <t>2024.08.16</t>
    </r>
    <r>
      <rPr>
        <sz val="10"/>
        <color theme="1"/>
        <rFont val="宋体"/>
        <family val="3"/>
        <charset val="134"/>
      </rPr>
      <t>交</t>
    </r>
    <r>
      <rPr>
        <sz val="10"/>
        <color theme="1"/>
        <rFont val="Arial"/>
        <family val="2"/>
      </rPr>
      <t>2024.09.20-10.19</t>
    </r>
  </si>
  <si>
    <t>2024.10.20-11.19</t>
  </si>
  <si>
    <r>
      <rPr>
        <sz val="10"/>
        <color theme="1"/>
        <rFont val="Arial"/>
        <family val="2"/>
      </rPr>
      <t>2024.09.13</t>
    </r>
    <r>
      <rPr>
        <sz val="10"/>
        <color theme="1"/>
        <rFont val="宋体"/>
        <family val="3"/>
        <charset val="134"/>
      </rPr>
      <t>交</t>
    </r>
    <r>
      <rPr>
        <sz val="10"/>
        <color theme="1"/>
        <rFont val="Arial"/>
        <family val="2"/>
      </rPr>
      <t>2024.10.20-11.19</t>
    </r>
  </si>
  <si>
    <t>2024.11.20-12.19</t>
  </si>
  <si>
    <t>2024.12.20-2025.01.19</t>
  </si>
  <si>
    <t>2025.01.20-02.19</t>
  </si>
  <si>
    <t>2025.01.01-02.19</t>
  </si>
  <si>
    <t>2024.01.01-01.19</t>
  </si>
  <si>
    <t>1311</t>
  </si>
  <si>
    <t>高科公司自用</t>
  </si>
  <si>
    <r>
      <rPr>
        <sz val="10"/>
        <color theme="1"/>
        <rFont val="Arial"/>
        <family val="2"/>
      </rPr>
      <t>2019.10.01</t>
    </r>
    <r>
      <rPr>
        <sz val="10"/>
        <color theme="1"/>
        <rFont val="宋体"/>
        <family val="3"/>
        <charset val="134"/>
      </rPr>
      <t>由</t>
    </r>
    <r>
      <rPr>
        <sz val="10"/>
        <color theme="1"/>
        <rFont val="Arial"/>
        <family val="2"/>
      </rPr>
      <t>1311</t>
    </r>
    <r>
      <rPr>
        <sz val="10"/>
        <color theme="1"/>
        <rFont val="宋体"/>
        <family val="3"/>
        <charset val="134"/>
      </rPr>
      <t>房间调整为</t>
    </r>
    <r>
      <rPr>
        <sz val="10"/>
        <color theme="1"/>
        <rFont val="Arial"/>
        <family val="2"/>
      </rPr>
      <t>07G</t>
    </r>
    <r>
      <rPr>
        <sz val="10"/>
        <color theme="1"/>
        <rFont val="宋体"/>
        <family val="3"/>
        <charset val="134"/>
      </rPr>
      <t>房间</t>
    </r>
  </si>
  <si>
    <r>
      <rPr>
        <sz val="10"/>
        <color rgb="FFFF0000"/>
        <rFont val="Arial"/>
        <family val="2"/>
      </rPr>
      <t>1312</t>
    </r>
    <r>
      <rPr>
        <sz val="10"/>
        <color rgb="FFFF0000"/>
        <rFont val="宋体"/>
        <family val="3"/>
        <charset val="134"/>
      </rPr>
      <t>、</t>
    </r>
    <r>
      <rPr>
        <sz val="10"/>
        <color rgb="FFFF0000"/>
        <rFont val="Arial"/>
        <family val="2"/>
      </rPr>
      <t>1315-17</t>
    </r>
    <r>
      <rPr>
        <sz val="10"/>
        <color rgb="FFFF0000"/>
        <rFont val="宋体"/>
        <family val="3"/>
        <charset val="134"/>
      </rPr>
      <t>、</t>
    </r>
    <r>
      <rPr>
        <sz val="10"/>
        <color rgb="FFFF0000"/>
        <rFont val="Arial"/>
        <family val="2"/>
      </rPr>
      <t>1325-26</t>
    </r>
  </si>
  <si>
    <t>共享服务功能区（临时占用）</t>
  </si>
  <si>
    <r>
      <rPr>
        <sz val="10"/>
        <color theme="1"/>
        <rFont val="Arial"/>
        <family val="2"/>
      </rPr>
      <t>2021.12.03</t>
    </r>
    <r>
      <rPr>
        <sz val="10"/>
        <color theme="1"/>
        <rFont val="宋体"/>
        <family val="3"/>
        <charset val="134"/>
      </rPr>
      <t>交</t>
    </r>
    <r>
      <rPr>
        <sz val="10"/>
        <color theme="1"/>
        <rFont val="Arial"/>
        <family val="2"/>
      </rPr>
      <t>2021.11.01-2022.01.09</t>
    </r>
  </si>
  <si>
    <t>1318</t>
  </si>
  <si>
    <t>会议室自用</t>
  </si>
  <si>
    <t>1319</t>
  </si>
  <si>
    <r>
      <rPr>
        <sz val="10"/>
        <color theme="1"/>
        <rFont val="Arial"/>
        <family val="2"/>
      </rPr>
      <t>2018.10.12/</t>
    </r>
    <r>
      <rPr>
        <sz val="10"/>
        <color theme="1"/>
        <rFont val="宋体"/>
        <family val="3"/>
        <charset val="134"/>
      </rPr>
      <t>退租</t>
    </r>
  </si>
  <si>
    <t>13A1</t>
  </si>
  <si>
    <t>北京正光诚盛信息科技有限公司</t>
  </si>
  <si>
    <t>20240117-00072</t>
  </si>
  <si>
    <t>2024.01.22</t>
  </si>
  <si>
    <t>2025.01.21</t>
  </si>
  <si>
    <r>
      <rPr>
        <sz val="10"/>
        <rFont val="Arial"/>
        <family val="2"/>
      </rPr>
      <t>2024.01.01-01.21</t>
    </r>
    <r>
      <rPr>
        <sz val="10"/>
        <rFont val="宋体"/>
        <family val="3"/>
        <charset val="134"/>
      </rPr>
      <t>；</t>
    </r>
    <r>
      <rPr>
        <sz val="10"/>
        <rFont val="Arial"/>
        <family val="2"/>
      </rPr>
      <t>2024.01.22-04.21</t>
    </r>
  </si>
  <si>
    <r>
      <rPr>
        <sz val="10"/>
        <color theme="1"/>
        <rFont val="Arial"/>
        <family val="2"/>
      </rPr>
      <t>2024.01.22</t>
    </r>
    <r>
      <rPr>
        <sz val="10"/>
        <color theme="1"/>
        <rFont val="宋体"/>
        <family val="3"/>
        <charset val="134"/>
      </rPr>
      <t>交</t>
    </r>
    <r>
      <rPr>
        <sz val="10"/>
        <color theme="1"/>
        <rFont val="Arial"/>
        <family val="2"/>
      </rPr>
      <t>2024.01.01-01.21</t>
    </r>
    <r>
      <rPr>
        <sz val="10"/>
        <color theme="1"/>
        <rFont val="宋体"/>
        <family val="3"/>
        <charset val="134"/>
      </rPr>
      <t>（王璐）；</t>
    </r>
    <r>
      <rPr>
        <sz val="10"/>
        <color theme="1"/>
        <rFont val="Arial"/>
        <family val="2"/>
      </rPr>
      <t>2024.01.22</t>
    </r>
    <r>
      <rPr>
        <sz val="10"/>
        <color theme="1"/>
        <rFont val="宋体"/>
        <family val="3"/>
        <charset val="134"/>
      </rPr>
      <t>交</t>
    </r>
    <r>
      <rPr>
        <sz val="10"/>
        <color theme="1"/>
        <rFont val="Arial"/>
        <family val="2"/>
      </rPr>
      <t>2024.01.22-03.31</t>
    </r>
    <r>
      <rPr>
        <sz val="10"/>
        <color theme="1"/>
        <rFont val="宋体"/>
        <family val="3"/>
        <charset val="134"/>
      </rPr>
      <t>、</t>
    </r>
    <r>
      <rPr>
        <sz val="10"/>
        <color theme="1"/>
        <rFont val="Arial"/>
        <family val="2"/>
      </rPr>
      <t>2024.01.23</t>
    </r>
    <r>
      <rPr>
        <sz val="10"/>
        <color theme="1"/>
        <rFont val="宋体"/>
        <family val="3"/>
        <charset val="134"/>
      </rPr>
      <t>交</t>
    </r>
    <r>
      <rPr>
        <sz val="10"/>
        <color theme="1"/>
        <rFont val="Arial"/>
        <family val="2"/>
      </rPr>
      <t>2024.04.01-04.21</t>
    </r>
  </si>
  <si>
    <t>2024.04.22-07.21</t>
  </si>
  <si>
    <r>
      <rPr>
        <sz val="10"/>
        <color theme="1"/>
        <rFont val="Arial"/>
        <family val="2"/>
      </rPr>
      <t>2024.03.01</t>
    </r>
    <r>
      <rPr>
        <sz val="10"/>
        <color theme="1"/>
        <rFont val="宋体"/>
        <family val="3"/>
        <charset val="134"/>
      </rPr>
      <t>交</t>
    </r>
    <r>
      <rPr>
        <sz val="10"/>
        <color theme="1"/>
        <rFont val="Arial"/>
        <family val="2"/>
      </rPr>
      <t>2024.04.22-07.21</t>
    </r>
  </si>
  <si>
    <t>2024.07.22-10.21</t>
  </si>
  <si>
    <r>
      <rPr>
        <sz val="10"/>
        <color theme="1"/>
        <rFont val="Arial"/>
        <family val="2"/>
      </rPr>
      <t>2024.05.28</t>
    </r>
    <r>
      <rPr>
        <sz val="10"/>
        <color theme="1"/>
        <rFont val="宋体"/>
        <family val="3"/>
        <charset val="134"/>
      </rPr>
      <t>交</t>
    </r>
    <r>
      <rPr>
        <sz val="10"/>
        <color theme="1"/>
        <rFont val="Arial"/>
        <family val="2"/>
      </rPr>
      <t>2024.07.22-10.21</t>
    </r>
  </si>
  <si>
    <r>
      <rPr>
        <sz val="10"/>
        <rFont val="Arial"/>
        <family val="2"/>
      </rPr>
      <t>2024.10.22-2025.01.21</t>
    </r>
    <r>
      <rPr>
        <sz val="10"/>
        <rFont val="宋体"/>
        <family val="3"/>
        <charset val="134"/>
      </rPr>
      <t>、到期</t>
    </r>
  </si>
  <si>
    <r>
      <rPr>
        <sz val="10"/>
        <color theme="1"/>
        <rFont val="Arial"/>
        <family val="2"/>
      </rPr>
      <t>2024.09.02</t>
    </r>
    <r>
      <rPr>
        <sz val="10"/>
        <color theme="1"/>
        <rFont val="宋体"/>
        <family val="3"/>
        <charset val="134"/>
      </rPr>
      <t>交</t>
    </r>
    <r>
      <rPr>
        <sz val="10"/>
        <color theme="1"/>
        <rFont val="Arial"/>
        <family val="2"/>
      </rPr>
      <t>2024.10.22-2025.01.21</t>
    </r>
    <r>
      <rPr>
        <sz val="10"/>
        <color theme="1"/>
        <rFont val="宋体"/>
        <family val="3"/>
        <charset val="134"/>
      </rPr>
      <t>、到期</t>
    </r>
  </si>
  <si>
    <t>2025.01.01-01.21</t>
  </si>
  <si>
    <r>
      <rPr>
        <sz val="10"/>
        <color theme="1"/>
        <rFont val="Arial"/>
        <family val="2"/>
      </rPr>
      <t>2022</t>
    </r>
    <r>
      <rPr>
        <sz val="10"/>
        <color theme="1"/>
        <rFont val="宋体"/>
        <family val="3"/>
        <charset val="134"/>
      </rPr>
      <t>年</t>
    </r>
    <r>
      <rPr>
        <sz val="10"/>
        <color theme="1"/>
        <rFont val="Arial"/>
        <family val="2"/>
      </rPr>
      <t>9</t>
    </r>
    <r>
      <rPr>
        <sz val="10"/>
        <color theme="1"/>
        <rFont val="宋体"/>
        <family val="3"/>
        <charset val="134"/>
      </rPr>
      <t>月</t>
    </r>
    <r>
      <rPr>
        <sz val="10"/>
        <color theme="1"/>
        <rFont val="Arial"/>
        <family val="2"/>
      </rPr>
      <t>6</t>
    </r>
    <r>
      <rPr>
        <sz val="10"/>
        <color theme="1"/>
        <rFont val="宋体"/>
        <family val="3"/>
        <charset val="134"/>
      </rPr>
      <t>日提交，抵减</t>
    </r>
    <r>
      <rPr>
        <sz val="10"/>
        <color theme="1"/>
        <rFont val="Arial"/>
        <family val="2"/>
      </rPr>
      <t>12</t>
    </r>
    <r>
      <rPr>
        <sz val="10"/>
        <color theme="1"/>
        <rFont val="宋体"/>
        <family val="3"/>
        <charset val="134"/>
      </rPr>
      <t>月租金</t>
    </r>
  </si>
  <si>
    <t>13A2</t>
  </si>
  <si>
    <t>谢海东</t>
  </si>
  <si>
    <t>20240122-00089</t>
  </si>
  <si>
    <t>2024.02.01</t>
  </si>
  <si>
    <t>2025.01.31</t>
  </si>
  <si>
    <t>2024.02.01-03.31</t>
  </si>
  <si>
    <r>
      <rPr>
        <sz val="10"/>
        <color theme="1"/>
        <rFont val="Arial"/>
        <family val="2"/>
      </rPr>
      <t>2024.01.23</t>
    </r>
    <r>
      <rPr>
        <sz val="10"/>
        <color theme="1"/>
        <rFont val="宋体"/>
        <family val="3"/>
        <charset val="134"/>
      </rPr>
      <t>交</t>
    </r>
    <r>
      <rPr>
        <sz val="10"/>
        <color theme="1"/>
        <rFont val="Arial"/>
        <family val="2"/>
      </rPr>
      <t>2024.02.01-03.31</t>
    </r>
  </si>
  <si>
    <r>
      <rPr>
        <sz val="10"/>
        <color theme="1"/>
        <rFont val="Arial"/>
        <family val="2"/>
      </rPr>
      <t>2024.09.05</t>
    </r>
    <r>
      <rPr>
        <sz val="10"/>
        <color theme="1"/>
        <rFont val="宋体"/>
        <family val="3"/>
        <charset val="134"/>
      </rPr>
      <t>交</t>
    </r>
    <r>
      <rPr>
        <sz val="10"/>
        <color theme="1"/>
        <rFont val="Arial"/>
        <family val="2"/>
      </rPr>
      <t>2024.10.01-10.31</t>
    </r>
  </si>
  <si>
    <t>13A3</t>
  </si>
  <si>
    <r>
      <rPr>
        <sz val="10"/>
        <rFont val="宋体"/>
        <family val="3"/>
        <charset val="134"/>
      </rPr>
      <t>海龙大厦</t>
    </r>
    <r>
      <rPr>
        <sz val="10"/>
        <rFont val="Arial"/>
        <family val="2"/>
      </rPr>
      <t>14</t>
    </r>
    <r>
      <rPr>
        <sz val="10"/>
        <rFont val="宋体"/>
        <family val="3"/>
        <charset val="134"/>
      </rPr>
      <t>层</t>
    </r>
  </si>
  <si>
    <t>中移高科（北京）科技有限公司</t>
  </si>
  <si>
    <t>20221026-01696</t>
  </si>
  <si>
    <t>2024.01.01</t>
  </si>
  <si>
    <t>2024.12.31</t>
  </si>
  <si>
    <r>
      <rPr>
        <sz val="10"/>
        <color theme="1"/>
        <rFont val="Arial"/>
        <family val="2"/>
      </rPr>
      <t>2024.01.02</t>
    </r>
    <r>
      <rPr>
        <sz val="10"/>
        <color theme="1"/>
        <rFont val="宋体"/>
        <family val="3"/>
        <charset val="134"/>
      </rPr>
      <t>交</t>
    </r>
    <r>
      <rPr>
        <sz val="10"/>
        <color theme="1"/>
        <rFont val="Arial"/>
        <family val="2"/>
      </rPr>
      <t>2024.01.01-03.31</t>
    </r>
  </si>
  <si>
    <r>
      <rPr>
        <sz val="10"/>
        <color theme="1"/>
        <rFont val="Arial"/>
        <family val="2"/>
      </rPr>
      <t>2024.03.18</t>
    </r>
    <r>
      <rPr>
        <sz val="10"/>
        <color theme="1"/>
        <rFont val="宋体"/>
        <family val="3"/>
        <charset val="134"/>
      </rPr>
      <t>交</t>
    </r>
    <r>
      <rPr>
        <sz val="10"/>
        <color theme="1"/>
        <rFont val="Arial"/>
        <family val="2"/>
      </rPr>
      <t>2024.04.01-06.30</t>
    </r>
  </si>
  <si>
    <r>
      <rPr>
        <sz val="10"/>
        <color theme="1"/>
        <rFont val="Arial"/>
        <family val="2"/>
      </rPr>
      <t>2024.06.19</t>
    </r>
    <r>
      <rPr>
        <sz val="10"/>
        <color theme="1"/>
        <rFont val="宋体"/>
        <family val="3"/>
        <charset val="134"/>
      </rPr>
      <t>交</t>
    </r>
    <r>
      <rPr>
        <sz val="10"/>
        <color theme="1"/>
        <rFont val="Arial"/>
        <family val="2"/>
      </rPr>
      <t>2024.07.01-09.30</t>
    </r>
  </si>
  <si>
    <r>
      <rPr>
        <sz val="10"/>
        <rFont val="Arial"/>
        <family val="2"/>
      </rPr>
      <t>2024.10.01-12.31</t>
    </r>
    <r>
      <rPr>
        <sz val="10"/>
        <rFont val="宋体"/>
        <family val="3"/>
        <charset val="134"/>
      </rPr>
      <t>、到期</t>
    </r>
  </si>
  <si>
    <r>
      <rPr>
        <sz val="10"/>
        <color theme="1"/>
        <rFont val="Arial"/>
        <family val="2"/>
      </rPr>
      <t>2024.09.20</t>
    </r>
    <r>
      <rPr>
        <sz val="10"/>
        <color theme="1"/>
        <rFont val="宋体"/>
        <family val="3"/>
        <charset val="134"/>
      </rPr>
      <t>交</t>
    </r>
    <r>
      <rPr>
        <sz val="10"/>
        <color theme="1"/>
        <rFont val="Arial"/>
        <family val="2"/>
      </rPr>
      <t>2024.10.01-12.31</t>
    </r>
    <r>
      <rPr>
        <sz val="10"/>
        <color theme="1"/>
        <rFont val="宋体"/>
        <family val="3"/>
        <charset val="134"/>
      </rPr>
      <t>、到期</t>
    </r>
  </si>
  <si>
    <r>
      <rPr>
        <sz val="10"/>
        <color theme="1"/>
        <rFont val="Arial"/>
        <family val="2"/>
      </rPr>
      <t>2022</t>
    </r>
    <r>
      <rPr>
        <sz val="10"/>
        <color theme="1"/>
        <rFont val="宋体"/>
        <family val="3"/>
        <charset val="134"/>
      </rPr>
      <t>年</t>
    </r>
    <r>
      <rPr>
        <sz val="10"/>
        <color theme="1"/>
        <rFont val="Arial"/>
        <family val="2"/>
      </rPr>
      <t>9</t>
    </r>
    <r>
      <rPr>
        <sz val="10"/>
        <color theme="1"/>
        <rFont val="宋体"/>
        <family val="3"/>
        <charset val="134"/>
      </rPr>
      <t>月</t>
    </r>
    <r>
      <rPr>
        <sz val="10"/>
        <color theme="1"/>
        <rFont val="Arial"/>
        <family val="2"/>
      </rPr>
      <t>9</t>
    </r>
    <r>
      <rPr>
        <sz val="10"/>
        <color theme="1"/>
        <rFont val="宋体"/>
        <family val="3"/>
        <charset val="134"/>
      </rPr>
      <t>日提交，抵减</t>
    </r>
    <r>
      <rPr>
        <sz val="10"/>
        <color theme="1"/>
        <rFont val="Arial"/>
        <family val="2"/>
      </rPr>
      <t>12</t>
    </r>
    <r>
      <rPr>
        <sz val="10"/>
        <color theme="1"/>
        <rFont val="宋体"/>
        <family val="3"/>
        <charset val="134"/>
      </rPr>
      <t>月租金</t>
    </r>
  </si>
  <si>
    <t>1407</t>
  </si>
  <si>
    <t>北京盛嘉菲数码科技有限公司</t>
  </si>
  <si>
    <t>20240407-00585</t>
  </si>
  <si>
    <t>2024.04.11</t>
  </si>
  <si>
    <t>2025.04.10</t>
  </si>
  <si>
    <r>
      <rPr>
        <sz val="10"/>
        <color theme="1"/>
        <rFont val="Arial"/>
        <family val="2"/>
      </rPr>
      <t>2024.02.02</t>
    </r>
    <r>
      <rPr>
        <sz val="10"/>
        <color theme="1"/>
        <rFont val="宋体"/>
        <family val="3"/>
        <charset val="134"/>
      </rPr>
      <t>交</t>
    </r>
    <r>
      <rPr>
        <sz val="10"/>
        <color theme="1"/>
        <rFont val="Arial"/>
        <family val="2"/>
      </rPr>
      <t>2024.03.01-03.10</t>
    </r>
    <r>
      <rPr>
        <sz val="10"/>
        <color theme="1"/>
        <rFont val="宋体"/>
        <family val="3"/>
        <charset val="134"/>
      </rPr>
      <t>租金、</t>
    </r>
    <r>
      <rPr>
        <sz val="10"/>
        <color theme="1"/>
        <rFont val="Arial"/>
        <family val="2"/>
      </rPr>
      <t>2024.03.01-03.31</t>
    </r>
    <r>
      <rPr>
        <sz val="10"/>
        <color theme="1"/>
        <rFont val="宋体"/>
        <family val="3"/>
        <charset val="134"/>
      </rPr>
      <t>物业费</t>
    </r>
  </si>
  <si>
    <r>
      <rPr>
        <sz val="10"/>
        <rFont val="Arial"/>
        <family val="2"/>
      </rPr>
      <t>2024.04.01-04.10</t>
    </r>
    <r>
      <rPr>
        <sz val="10"/>
        <rFont val="宋体"/>
        <family val="3"/>
        <charset val="134"/>
      </rPr>
      <t>、到期</t>
    </r>
  </si>
  <si>
    <r>
      <rPr>
        <sz val="10"/>
        <color theme="1"/>
        <rFont val="Arial"/>
        <family val="2"/>
      </rPr>
      <t>2024.03.08</t>
    </r>
    <r>
      <rPr>
        <sz val="10"/>
        <color theme="1"/>
        <rFont val="宋体"/>
        <family val="3"/>
        <charset val="134"/>
      </rPr>
      <t>交</t>
    </r>
    <r>
      <rPr>
        <sz val="10"/>
        <color theme="1"/>
        <rFont val="Arial"/>
        <family val="2"/>
      </rPr>
      <t>2024.04.01-04.10</t>
    </r>
    <r>
      <rPr>
        <sz val="10"/>
        <color theme="1"/>
        <rFont val="宋体"/>
        <family val="3"/>
        <charset val="134"/>
      </rPr>
      <t>物业费、到期</t>
    </r>
  </si>
  <si>
    <r>
      <rPr>
        <sz val="10"/>
        <color theme="1"/>
        <rFont val="Arial"/>
        <family val="2"/>
      </rPr>
      <t>2024.04.18</t>
    </r>
    <r>
      <rPr>
        <sz val="10"/>
        <color theme="1"/>
        <rFont val="宋体"/>
        <family val="3"/>
        <charset val="134"/>
      </rPr>
      <t>交</t>
    </r>
    <r>
      <rPr>
        <sz val="10"/>
        <color theme="1"/>
        <rFont val="Arial"/>
        <family val="2"/>
      </rPr>
      <t>2024.04.11-07.10</t>
    </r>
  </si>
  <si>
    <r>
      <rPr>
        <sz val="10"/>
        <color theme="1"/>
        <rFont val="Arial"/>
        <family val="2"/>
      </rPr>
      <t>2024.06.17</t>
    </r>
    <r>
      <rPr>
        <sz val="10"/>
        <color theme="1"/>
        <rFont val="宋体"/>
        <family val="3"/>
        <charset val="134"/>
      </rPr>
      <t>交</t>
    </r>
    <r>
      <rPr>
        <sz val="10"/>
        <color theme="1"/>
        <rFont val="Arial"/>
        <family val="2"/>
      </rPr>
      <t>2024.07.11-10.10</t>
    </r>
  </si>
  <si>
    <r>
      <rPr>
        <sz val="10"/>
        <color theme="1"/>
        <rFont val="Arial"/>
        <family val="2"/>
      </rPr>
      <t>2024.09.18</t>
    </r>
    <r>
      <rPr>
        <sz val="10"/>
        <color theme="1"/>
        <rFont val="宋体"/>
        <family val="3"/>
        <charset val="134"/>
      </rPr>
      <t>交</t>
    </r>
    <r>
      <rPr>
        <sz val="10"/>
        <color theme="1"/>
        <rFont val="Arial"/>
        <family val="2"/>
      </rPr>
      <t>2024.10.11-2025.01.10</t>
    </r>
  </si>
  <si>
    <r>
      <rPr>
        <sz val="10"/>
        <rFont val="Arial"/>
        <family val="2"/>
      </rPr>
      <t>2025.01.11-04.10</t>
    </r>
    <r>
      <rPr>
        <sz val="10"/>
        <rFont val="宋体"/>
        <family val="3"/>
        <charset val="134"/>
      </rPr>
      <t>、到期</t>
    </r>
  </si>
  <si>
    <t>2025.01.01-04.10</t>
  </si>
  <si>
    <t>1408</t>
  </si>
  <si>
    <t>北京羽墨尚怡文化传媒有限公司</t>
  </si>
  <si>
    <t>20240205-00142</t>
  </si>
  <si>
    <t>2024.04.04</t>
  </si>
  <si>
    <t>2025.04.03</t>
  </si>
  <si>
    <r>
      <rPr>
        <sz val="10"/>
        <rFont val="Arial"/>
        <family val="2"/>
      </rPr>
      <t>2024.02.01-04.03</t>
    </r>
    <r>
      <rPr>
        <sz val="10"/>
        <rFont val="宋体"/>
        <family val="3"/>
        <charset val="134"/>
      </rPr>
      <t>、到期</t>
    </r>
  </si>
  <si>
    <r>
      <rPr>
        <sz val="10"/>
        <color theme="1"/>
        <rFont val="Arial"/>
        <family val="2"/>
      </rPr>
      <t>2024.01.19/01.23</t>
    </r>
    <r>
      <rPr>
        <sz val="10"/>
        <color theme="1"/>
        <rFont val="宋体"/>
        <family val="3"/>
        <charset val="134"/>
      </rPr>
      <t>交</t>
    </r>
    <r>
      <rPr>
        <sz val="10"/>
        <color theme="1"/>
        <rFont val="Arial"/>
        <family val="2"/>
      </rPr>
      <t>2024.02.01-04.03</t>
    </r>
  </si>
  <si>
    <t>2024.04.04-07.03</t>
  </si>
  <si>
    <r>
      <rPr>
        <sz val="10"/>
        <color theme="1"/>
        <rFont val="Arial"/>
        <family val="2"/>
      </rPr>
      <t>2024.03.11</t>
    </r>
    <r>
      <rPr>
        <sz val="10"/>
        <color theme="1"/>
        <rFont val="宋体"/>
        <family val="3"/>
        <charset val="134"/>
      </rPr>
      <t>交</t>
    </r>
    <r>
      <rPr>
        <sz val="10"/>
        <color theme="1"/>
        <rFont val="Arial"/>
        <family val="2"/>
      </rPr>
      <t>2024.04.04-07.03</t>
    </r>
  </si>
  <si>
    <t>2024.07.04-10.03</t>
  </si>
  <si>
    <r>
      <rPr>
        <sz val="10"/>
        <color theme="1"/>
        <rFont val="Arial"/>
        <family val="2"/>
      </rPr>
      <t>2024.06.11</t>
    </r>
    <r>
      <rPr>
        <sz val="10"/>
        <color theme="1"/>
        <rFont val="宋体"/>
        <family val="3"/>
        <charset val="134"/>
      </rPr>
      <t>交</t>
    </r>
    <r>
      <rPr>
        <sz val="10"/>
        <color theme="1"/>
        <rFont val="Arial"/>
        <family val="2"/>
      </rPr>
      <t>2024.07.04-10.03</t>
    </r>
  </si>
  <si>
    <t>2024.10.04-2025.01.03</t>
  </si>
  <si>
    <r>
      <rPr>
        <sz val="10"/>
        <color theme="1"/>
        <rFont val="Arial"/>
        <family val="2"/>
      </rPr>
      <t>2024.09.11</t>
    </r>
    <r>
      <rPr>
        <sz val="10"/>
        <color theme="1"/>
        <rFont val="宋体"/>
        <family val="3"/>
        <charset val="134"/>
      </rPr>
      <t>交</t>
    </r>
    <r>
      <rPr>
        <sz val="10"/>
        <color theme="1"/>
        <rFont val="Arial"/>
        <family val="2"/>
      </rPr>
      <t>2024.10.04-2025.01.03</t>
    </r>
  </si>
  <si>
    <t>2025.01.04-2025.04.03</t>
  </si>
  <si>
    <t>2025.01.01-04.03</t>
  </si>
  <si>
    <t>2025.01.01-01.03</t>
  </si>
  <si>
    <t>北京世欣仁达小额贷款股份有限公司</t>
  </si>
  <si>
    <t>20240205-00141</t>
  </si>
  <si>
    <t>2025.02.14</t>
  </si>
  <si>
    <r>
      <rPr>
        <sz val="10"/>
        <color theme="1"/>
        <rFont val="Arial"/>
        <family val="2"/>
      </rPr>
      <t>2023.10.18</t>
    </r>
    <r>
      <rPr>
        <sz val="10"/>
        <color theme="1"/>
        <rFont val="宋体"/>
        <family val="3"/>
        <charset val="134"/>
      </rPr>
      <t>交</t>
    </r>
    <r>
      <rPr>
        <sz val="10"/>
        <color theme="1"/>
        <rFont val="Arial"/>
        <family val="2"/>
      </rPr>
      <t>2023.11.15-2024.01.14</t>
    </r>
    <r>
      <rPr>
        <sz val="10"/>
        <color theme="1"/>
        <rFont val="宋体"/>
        <family val="3"/>
        <charset val="134"/>
      </rPr>
      <t>租金、</t>
    </r>
    <r>
      <rPr>
        <sz val="10"/>
        <color theme="1"/>
        <rFont val="Arial"/>
        <family val="2"/>
      </rPr>
      <t>2023.11.15-2024.02.14</t>
    </r>
    <r>
      <rPr>
        <sz val="10"/>
        <color theme="1"/>
        <rFont val="宋体"/>
        <family val="3"/>
        <charset val="134"/>
      </rPr>
      <t>物业费、到期</t>
    </r>
  </si>
  <si>
    <t>2024.02.15-08.14</t>
  </si>
  <si>
    <r>
      <rPr>
        <sz val="10"/>
        <color theme="1"/>
        <rFont val="Arial"/>
        <family val="2"/>
      </rPr>
      <t>2024.02.18</t>
    </r>
    <r>
      <rPr>
        <sz val="10"/>
        <color theme="1"/>
        <rFont val="宋体"/>
        <family val="3"/>
        <charset val="134"/>
      </rPr>
      <t>交</t>
    </r>
    <r>
      <rPr>
        <sz val="10"/>
        <color theme="1"/>
        <rFont val="Arial"/>
        <family val="2"/>
      </rPr>
      <t>2024.02.15-08.14</t>
    </r>
  </si>
  <si>
    <t>2024.08.15-2025.02.14</t>
  </si>
  <si>
    <r>
      <rPr>
        <sz val="10"/>
        <color theme="1"/>
        <rFont val="Arial"/>
        <family val="2"/>
      </rPr>
      <t>2024.07.25</t>
    </r>
    <r>
      <rPr>
        <sz val="10"/>
        <color theme="1"/>
        <rFont val="宋体"/>
        <family val="3"/>
        <charset val="134"/>
      </rPr>
      <t>交</t>
    </r>
    <r>
      <rPr>
        <sz val="10"/>
        <color theme="1"/>
        <rFont val="Arial"/>
        <family val="2"/>
      </rPr>
      <t>2024.08.15-2025.02.14</t>
    </r>
  </si>
  <si>
    <t>2025.01.01-02.14</t>
  </si>
  <si>
    <t>1410</t>
  </si>
  <si>
    <r>
      <rPr>
        <sz val="10"/>
        <rFont val="宋体"/>
        <family val="3"/>
        <charset val="134"/>
      </rPr>
      <t>北京兴人腾达科技有限公司</t>
    </r>
  </si>
  <si>
    <t>20240117-00074</t>
  </si>
  <si>
    <t>2026.01.31</t>
  </si>
  <si>
    <r>
      <rPr>
        <sz val="10"/>
        <color theme="1"/>
        <rFont val="Arial"/>
        <family val="2"/>
      </rPr>
      <t>2024.01.25</t>
    </r>
    <r>
      <rPr>
        <sz val="10"/>
        <color theme="1"/>
        <rFont val="宋体"/>
        <family val="3"/>
        <charset val="134"/>
      </rPr>
      <t>交</t>
    </r>
    <r>
      <rPr>
        <sz val="10"/>
        <color theme="1"/>
        <rFont val="Arial"/>
        <family val="2"/>
      </rPr>
      <t>2024.02.01-02.29</t>
    </r>
    <r>
      <rPr>
        <sz val="10"/>
        <color theme="1"/>
        <rFont val="宋体"/>
        <family val="3"/>
        <charset val="134"/>
      </rPr>
      <t>；预收</t>
    </r>
    <r>
      <rPr>
        <sz val="10"/>
        <color theme="1"/>
        <rFont val="Arial"/>
        <family val="2"/>
      </rPr>
      <t>2024.03.01-03.31</t>
    </r>
  </si>
  <si>
    <r>
      <rPr>
        <sz val="10"/>
        <color theme="1"/>
        <rFont val="Arial"/>
        <family val="2"/>
      </rPr>
      <t>2024.03.19</t>
    </r>
    <r>
      <rPr>
        <sz val="10"/>
        <color theme="1"/>
        <rFont val="宋体"/>
        <family val="3"/>
        <charset val="134"/>
      </rPr>
      <t>交</t>
    </r>
    <r>
      <rPr>
        <sz val="10"/>
        <color theme="1"/>
        <rFont val="Arial"/>
        <family val="2"/>
      </rPr>
      <t>2024.04.01-04.30</t>
    </r>
  </si>
  <si>
    <r>
      <rPr>
        <sz val="10"/>
        <color theme="1"/>
        <rFont val="Arial"/>
        <family val="2"/>
      </rPr>
      <t>2024.04.19</t>
    </r>
    <r>
      <rPr>
        <sz val="10"/>
        <color theme="1"/>
        <rFont val="宋体"/>
        <family val="3"/>
        <charset val="134"/>
      </rPr>
      <t>交</t>
    </r>
    <r>
      <rPr>
        <sz val="10"/>
        <color theme="1"/>
        <rFont val="Arial"/>
        <family val="2"/>
      </rPr>
      <t>2024.05.01-05.31</t>
    </r>
  </si>
  <si>
    <r>
      <rPr>
        <sz val="10"/>
        <color theme="1"/>
        <rFont val="Arial"/>
        <family val="2"/>
      </rPr>
      <t>2024.05.21</t>
    </r>
    <r>
      <rPr>
        <sz val="10"/>
        <color theme="1"/>
        <rFont val="宋体"/>
        <family val="3"/>
        <charset val="134"/>
      </rPr>
      <t>交</t>
    </r>
    <r>
      <rPr>
        <sz val="10"/>
        <color theme="1"/>
        <rFont val="Arial"/>
        <family val="2"/>
      </rPr>
      <t>2024.06.01-06.30</t>
    </r>
  </si>
  <si>
    <r>
      <rPr>
        <sz val="10"/>
        <color theme="1"/>
        <rFont val="Arial"/>
        <family val="2"/>
      </rPr>
      <t>2024.06.18/06.19</t>
    </r>
    <r>
      <rPr>
        <sz val="10"/>
        <color theme="1"/>
        <rFont val="宋体"/>
        <family val="3"/>
        <charset val="134"/>
      </rPr>
      <t>交</t>
    </r>
    <r>
      <rPr>
        <sz val="10"/>
        <color theme="1"/>
        <rFont val="Arial"/>
        <family val="2"/>
      </rPr>
      <t>2024.07.01-07.31</t>
    </r>
  </si>
  <si>
    <r>
      <rPr>
        <sz val="10"/>
        <color theme="1"/>
        <rFont val="Arial"/>
        <family val="2"/>
      </rPr>
      <t>2024.08.22</t>
    </r>
    <r>
      <rPr>
        <sz val="10"/>
        <color theme="1"/>
        <rFont val="宋体"/>
        <family val="3"/>
        <charset val="134"/>
      </rPr>
      <t>交</t>
    </r>
    <r>
      <rPr>
        <sz val="10"/>
        <color theme="1"/>
        <rFont val="Arial"/>
        <family val="2"/>
      </rPr>
      <t>2024.09.01-09.30</t>
    </r>
  </si>
  <si>
    <r>
      <rPr>
        <sz val="10"/>
        <color theme="1"/>
        <rFont val="Arial"/>
        <family val="2"/>
      </rPr>
      <t>2024.09.20</t>
    </r>
    <r>
      <rPr>
        <sz val="10"/>
        <color theme="1"/>
        <rFont val="宋体"/>
        <family val="3"/>
        <charset val="134"/>
      </rPr>
      <t>交</t>
    </r>
    <r>
      <rPr>
        <sz val="10"/>
        <color theme="1"/>
        <rFont val="Arial"/>
        <family val="2"/>
      </rPr>
      <t>2024.10.01-10.31</t>
    </r>
  </si>
  <si>
    <t>1410A</t>
  </si>
  <si>
    <t>北京量子家庭教育科技有限公司</t>
  </si>
  <si>
    <t>20240112-00050</t>
  </si>
  <si>
    <t>2024.01.15</t>
  </si>
  <si>
    <r>
      <rPr>
        <sz val="10"/>
        <rFont val="Arial"/>
        <family val="2"/>
      </rPr>
      <t>6</t>
    </r>
    <r>
      <rPr>
        <sz val="10"/>
        <rFont val="宋体"/>
        <family val="3"/>
        <charset val="134"/>
      </rPr>
      <t>个月</t>
    </r>
  </si>
  <si>
    <t>2024.01.15-04.14</t>
  </si>
  <si>
    <r>
      <rPr>
        <sz val="10"/>
        <color theme="1"/>
        <rFont val="Arial"/>
        <family val="2"/>
      </rPr>
      <t>2024.01.16</t>
    </r>
    <r>
      <rPr>
        <sz val="10"/>
        <color theme="1"/>
        <rFont val="宋体"/>
        <family val="3"/>
        <charset val="134"/>
      </rPr>
      <t>交</t>
    </r>
    <r>
      <rPr>
        <sz val="10"/>
        <color theme="1"/>
        <rFont val="Arial"/>
        <family val="2"/>
      </rPr>
      <t>2024.02.15-04.14</t>
    </r>
    <r>
      <rPr>
        <sz val="10"/>
        <color theme="1"/>
        <rFont val="宋体"/>
        <family val="3"/>
        <charset val="134"/>
      </rPr>
      <t>租金、</t>
    </r>
    <r>
      <rPr>
        <sz val="10"/>
        <color theme="1"/>
        <rFont val="Arial"/>
        <family val="2"/>
      </rPr>
      <t>2024.01.15-04.14</t>
    </r>
    <r>
      <rPr>
        <sz val="10"/>
        <color theme="1"/>
        <rFont val="宋体"/>
        <family val="3"/>
        <charset val="134"/>
      </rPr>
      <t>物业费</t>
    </r>
  </si>
  <si>
    <r>
      <rPr>
        <sz val="10"/>
        <color theme="1"/>
        <rFont val="Arial"/>
        <family val="2"/>
      </rPr>
      <t>2024.01.16</t>
    </r>
    <r>
      <rPr>
        <sz val="10"/>
        <color theme="1"/>
        <rFont val="宋体"/>
        <family val="3"/>
        <charset val="134"/>
      </rPr>
      <t>交</t>
    </r>
    <r>
      <rPr>
        <sz val="10"/>
        <color theme="1"/>
        <rFont val="Arial"/>
        <family val="2"/>
      </rPr>
      <t>2024.02.15-04.14</t>
    </r>
    <r>
      <rPr>
        <sz val="10"/>
        <color theme="1"/>
        <rFont val="宋体"/>
        <family val="3"/>
        <charset val="134"/>
      </rPr>
      <t>租金、</t>
    </r>
    <r>
      <rPr>
        <sz val="10"/>
        <color theme="1"/>
        <rFont val="Arial"/>
        <family val="2"/>
      </rPr>
      <t>2024.01.15-04.14</t>
    </r>
    <r>
      <rPr>
        <sz val="10"/>
        <color theme="1"/>
        <rFont val="宋体"/>
        <family val="3"/>
        <charset val="134"/>
      </rPr>
      <t>物业费；</t>
    </r>
    <r>
      <rPr>
        <sz val="10"/>
        <color theme="1"/>
        <rFont val="Arial"/>
        <family val="2"/>
      </rPr>
      <t>2024.02.20</t>
    </r>
    <r>
      <rPr>
        <sz val="10"/>
        <color theme="1"/>
        <rFont val="宋体"/>
        <family val="3"/>
        <charset val="134"/>
      </rPr>
      <t>退原客户</t>
    </r>
    <r>
      <rPr>
        <sz val="10"/>
        <color theme="1"/>
        <rFont val="Arial"/>
        <family val="2"/>
      </rPr>
      <t>2024.01.11-01.31</t>
    </r>
  </si>
  <si>
    <t>2024.04.15-07.14</t>
  </si>
  <si>
    <r>
      <rPr>
        <sz val="10"/>
        <color theme="1"/>
        <rFont val="Arial"/>
        <family val="2"/>
      </rPr>
      <t>2024.03.11</t>
    </r>
    <r>
      <rPr>
        <sz val="10"/>
        <color theme="1"/>
        <rFont val="宋体"/>
        <family val="3"/>
        <charset val="134"/>
      </rPr>
      <t>交</t>
    </r>
    <r>
      <rPr>
        <sz val="10"/>
        <color theme="1"/>
        <rFont val="Arial"/>
        <family val="2"/>
      </rPr>
      <t>2024.04.15-07.14</t>
    </r>
  </si>
  <si>
    <t>2024.07.15-10.14</t>
  </si>
  <si>
    <r>
      <rPr>
        <sz val="10"/>
        <color theme="1"/>
        <rFont val="Arial"/>
        <family val="2"/>
      </rPr>
      <t>2024.06.17</t>
    </r>
    <r>
      <rPr>
        <sz val="10"/>
        <color theme="1"/>
        <rFont val="宋体"/>
        <family val="3"/>
        <charset val="134"/>
      </rPr>
      <t>交</t>
    </r>
    <r>
      <rPr>
        <sz val="10"/>
        <color theme="1"/>
        <rFont val="Arial"/>
        <family val="2"/>
      </rPr>
      <t>2024.07.15-10.14</t>
    </r>
  </si>
  <si>
    <t>2024.10.15-2025.01.14</t>
  </si>
  <si>
    <r>
      <rPr>
        <sz val="10"/>
        <color theme="1"/>
        <rFont val="Arial"/>
        <family val="2"/>
      </rPr>
      <t>2024.09.14</t>
    </r>
    <r>
      <rPr>
        <sz val="10"/>
        <color theme="1"/>
        <rFont val="宋体"/>
        <family val="3"/>
        <charset val="134"/>
      </rPr>
      <t>交</t>
    </r>
    <r>
      <rPr>
        <sz val="10"/>
        <color theme="1"/>
        <rFont val="Arial"/>
        <family val="2"/>
      </rPr>
      <t>2024.10.15-2025.01.14</t>
    </r>
  </si>
  <si>
    <t>2025.01.15-2025.04.14</t>
  </si>
  <si>
    <t>2025.01.01-04.14</t>
  </si>
  <si>
    <t>1411A</t>
  </si>
  <si>
    <t>北京华盛利缘影视文化传媒有限公司</t>
  </si>
  <si>
    <t>20240620-00965</t>
  </si>
  <si>
    <t>2024.06.24</t>
  </si>
  <si>
    <t>2025.06.23</t>
  </si>
  <si>
    <r>
      <rPr>
        <sz val="10"/>
        <color theme="1"/>
        <rFont val="Arial"/>
        <family val="2"/>
      </rPr>
      <t>2023.12.14</t>
    </r>
    <r>
      <rPr>
        <sz val="10"/>
        <color theme="1"/>
        <rFont val="宋体"/>
        <family val="3"/>
        <charset val="134"/>
      </rPr>
      <t>交</t>
    </r>
    <r>
      <rPr>
        <sz val="10"/>
        <color theme="1"/>
        <rFont val="Arial"/>
        <family val="2"/>
      </rPr>
      <t>2024.01.01-03.31</t>
    </r>
  </si>
  <si>
    <r>
      <rPr>
        <sz val="10"/>
        <rFont val="Arial"/>
        <family val="2"/>
      </rPr>
      <t>2024.04.01-06.23</t>
    </r>
    <r>
      <rPr>
        <sz val="10"/>
        <rFont val="宋体"/>
        <family val="3"/>
        <charset val="134"/>
      </rPr>
      <t>、到期</t>
    </r>
  </si>
  <si>
    <r>
      <rPr>
        <sz val="10"/>
        <color theme="1"/>
        <rFont val="Arial"/>
        <family val="2"/>
      </rPr>
      <t>2024.03.08</t>
    </r>
    <r>
      <rPr>
        <sz val="10"/>
        <color theme="1"/>
        <rFont val="宋体"/>
        <family val="3"/>
        <charset val="134"/>
      </rPr>
      <t>交</t>
    </r>
    <r>
      <rPr>
        <sz val="10"/>
        <color theme="1"/>
        <rFont val="Arial"/>
        <family val="2"/>
      </rPr>
      <t>2024.04.01-06.23</t>
    </r>
    <r>
      <rPr>
        <sz val="10"/>
        <color theme="1"/>
        <rFont val="宋体"/>
        <family val="3"/>
        <charset val="134"/>
      </rPr>
      <t>、到期</t>
    </r>
  </si>
  <si>
    <t>2024.06.24-09.23</t>
  </si>
  <si>
    <r>
      <rPr>
        <sz val="10"/>
        <color theme="1"/>
        <rFont val="Arial"/>
        <family val="2"/>
      </rPr>
      <t>2024.06.21</t>
    </r>
    <r>
      <rPr>
        <sz val="10"/>
        <color theme="1"/>
        <rFont val="宋体"/>
        <family val="3"/>
        <charset val="134"/>
      </rPr>
      <t>交</t>
    </r>
    <r>
      <rPr>
        <sz val="10"/>
        <color theme="1"/>
        <rFont val="Arial"/>
        <family val="2"/>
      </rPr>
      <t>2024.06.24-09.23</t>
    </r>
  </si>
  <si>
    <t>2024.09.24-12.23</t>
  </si>
  <si>
    <r>
      <rPr>
        <sz val="10"/>
        <color theme="1"/>
        <rFont val="Arial"/>
        <family val="2"/>
      </rPr>
      <t>2024.08.23</t>
    </r>
    <r>
      <rPr>
        <sz val="10"/>
        <color theme="1"/>
        <rFont val="宋体"/>
        <family val="3"/>
        <charset val="134"/>
      </rPr>
      <t>交</t>
    </r>
    <r>
      <rPr>
        <sz val="10"/>
        <color theme="1"/>
        <rFont val="Arial"/>
        <family val="2"/>
      </rPr>
      <t>2024.09.24-12.23</t>
    </r>
  </si>
  <si>
    <t>2024.12.24-2025.03.23</t>
  </si>
  <si>
    <t>2025.01.01-03.23</t>
  </si>
  <si>
    <t>1411B</t>
  </si>
  <si>
    <t>北京昊宇宏达科技发展有限公司</t>
  </si>
  <si>
    <t>20240620-00966</t>
  </si>
  <si>
    <t>18层施工方使用（临时占用）</t>
  </si>
  <si>
    <t>20231211-01989</t>
  </si>
  <si>
    <t>2023.12.13</t>
  </si>
  <si>
    <t>2024.03.31</t>
  </si>
  <si>
    <r>
      <rPr>
        <sz val="10"/>
        <color theme="1"/>
        <rFont val="Arial"/>
        <family val="2"/>
      </rPr>
      <t>2024.01.25</t>
    </r>
    <r>
      <rPr>
        <sz val="10"/>
        <color theme="1"/>
        <rFont val="宋体"/>
        <family val="3"/>
        <charset val="134"/>
      </rPr>
      <t>交</t>
    </r>
    <r>
      <rPr>
        <sz val="10"/>
        <color theme="1"/>
        <rFont val="Arial"/>
        <family val="2"/>
      </rPr>
      <t>2024.02.01-02.29</t>
    </r>
  </si>
  <si>
    <r>
      <rPr>
        <sz val="10"/>
        <rFont val="宋体"/>
        <family val="3"/>
        <charset val="134"/>
      </rPr>
      <t>合同解除，冲减</t>
    </r>
    <r>
      <rPr>
        <sz val="10"/>
        <rFont val="Arial"/>
        <family val="2"/>
      </rPr>
      <t>3</t>
    </r>
    <r>
      <rPr>
        <sz val="10"/>
        <rFont val="宋体"/>
        <family val="3"/>
        <charset val="134"/>
      </rPr>
      <t>月应收</t>
    </r>
  </si>
  <si>
    <t>江海通联押金转收入</t>
  </si>
  <si>
    <r>
      <rPr>
        <sz val="10"/>
        <color theme="1"/>
        <rFont val="Arial"/>
        <family val="2"/>
      </rPr>
      <t>2024.02.21</t>
    </r>
    <r>
      <rPr>
        <sz val="10"/>
        <color theme="1"/>
        <rFont val="宋体"/>
        <family val="3"/>
        <charset val="134"/>
      </rPr>
      <t>交</t>
    </r>
    <r>
      <rPr>
        <sz val="10"/>
        <color theme="1"/>
        <rFont val="Arial"/>
        <family val="2"/>
      </rPr>
      <t>2024.03.01-03.31</t>
    </r>
    <r>
      <rPr>
        <sz val="10"/>
        <color theme="1"/>
        <rFont val="宋体"/>
        <family val="3"/>
        <charset val="134"/>
      </rPr>
      <t>、</t>
    </r>
    <r>
      <rPr>
        <sz val="10"/>
        <color theme="1"/>
        <rFont val="Arial"/>
        <family val="2"/>
      </rPr>
      <t>2024.08.26</t>
    </r>
    <r>
      <rPr>
        <sz val="10"/>
        <color theme="1"/>
        <rFont val="宋体"/>
        <family val="3"/>
        <charset val="134"/>
      </rPr>
      <t>押金转收入</t>
    </r>
  </si>
  <si>
    <r>
      <rPr>
        <sz val="10"/>
        <rFont val="宋体"/>
        <family val="3"/>
        <charset val="134"/>
      </rPr>
      <t>北京每日友邻文化科技有限公司</t>
    </r>
  </si>
  <si>
    <t>20230922-01505</t>
  </si>
  <si>
    <t>2023.09.25</t>
  </si>
  <si>
    <t>2025.09.24</t>
  </si>
  <si>
    <r>
      <rPr>
        <sz val="10"/>
        <color theme="1"/>
        <rFont val="Arial"/>
        <family val="2"/>
      </rPr>
      <t>2024.06.11</t>
    </r>
    <r>
      <rPr>
        <sz val="10"/>
        <color theme="1"/>
        <rFont val="宋体"/>
        <family val="3"/>
        <charset val="134"/>
      </rPr>
      <t>交</t>
    </r>
    <r>
      <rPr>
        <sz val="10"/>
        <color theme="1"/>
        <rFont val="Arial"/>
        <family val="2"/>
      </rPr>
      <t>2024.07.01-07.31</t>
    </r>
  </si>
  <si>
    <r>
      <rPr>
        <sz val="10"/>
        <color theme="1"/>
        <rFont val="Arial"/>
        <family val="2"/>
      </rPr>
      <t>2024.09.09</t>
    </r>
    <r>
      <rPr>
        <sz val="10"/>
        <color theme="1"/>
        <rFont val="宋体"/>
        <family val="3"/>
        <charset val="134"/>
      </rPr>
      <t>交</t>
    </r>
    <r>
      <rPr>
        <sz val="10"/>
        <color theme="1"/>
        <rFont val="Arial"/>
        <family val="2"/>
      </rPr>
      <t>2024.10.01-10.31</t>
    </r>
  </si>
  <si>
    <r>
      <rPr>
        <sz val="10"/>
        <color theme="1"/>
        <rFont val="Arial"/>
        <family val="2"/>
      </rPr>
      <t>2023.10.19</t>
    </r>
    <r>
      <rPr>
        <sz val="10"/>
        <color theme="1"/>
        <rFont val="宋体"/>
        <family val="3"/>
        <charset val="134"/>
      </rPr>
      <t>交</t>
    </r>
    <r>
      <rPr>
        <sz val="10"/>
        <color theme="1"/>
        <rFont val="Arial"/>
        <family val="2"/>
      </rPr>
      <t>2023.09.16-09.24</t>
    </r>
    <r>
      <rPr>
        <sz val="10"/>
        <color theme="1"/>
        <rFont val="宋体"/>
        <family val="3"/>
        <charset val="134"/>
      </rPr>
      <t>占有使用费；退</t>
    </r>
    <r>
      <rPr>
        <sz val="10"/>
        <color theme="1"/>
        <rFont val="Arial"/>
        <family val="2"/>
      </rPr>
      <t>2023.09.16-09.30</t>
    </r>
    <r>
      <rPr>
        <sz val="10"/>
        <color theme="1"/>
        <rFont val="宋体"/>
        <family val="3"/>
        <charset val="134"/>
      </rPr>
      <t>租金物业费</t>
    </r>
  </si>
  <si>
    <t>1415-17</t>
  </si>
  <si>
    <t>1418-1419</t>
  </si>
  <si>
    <t>中科加禾(北京)科技有限公司</t>
  </si>
  <si>
    <t>20240305-00301</t>
  </si>
  <si>
    <t>2024.03.11</t>
  </si>
  <si>
    <t>2026.03.10</t>
  </si>
  <si>
    <r>
      <rPr>
        <sz val="10"/>
        <color theme="1"/>
        <rFont val="Arial"/>
        <family val="2"/>
      </rPr>
      <t>2019.02.20</t>
    </r>
    <r>
      <rPr>
        <sz val="10"/>
        <color theme="1"/>
        <rFont val="宋体"/>
        <family val="3"/>
        <charset val="134"/>
      </rPr>
      <t>交</t>
    </r>
    <r>
      <rPr>
        <sz val="10"/>
        <color theme="1"/>
        <rFont val="Arial"/>
        <family val="2"/>
      </rPr>
      <t>2019.02.01-04.19/</t>
    </r>
    <r>
      <rPr>
        <sz val="10"/>
        <color theme="1"/>
        <rFont val="宋体"/>
        <family val="3"/>
        <charset val="134"/>
      </rPr>
      <t>退租</t>
    </r>
  </si>
  <si>
    <t>2024.03.11-06.10</t>
  </si>
  <si>
    <r>
      <rPr>
        <sz val="10"/>
        <color theme="1"/>
        <rFont val="Arial"/>
        <family val="2"/>
      </rPr>
      <t>2019.03.19</t>
    </r>
    <r>
      <rPr>
        <sz val="10"/>
        <color theme="1"/>
        <rFont val="宋体"/>
        <family val="3"/>
        <charset val="134"/>
      </rPr>
      <t>交</t>
    </r>
    <r>
      <rPr>
        <sz val="10"/>
        <color theme="1"/>
        <rFont val="Arial"/>
        <family val="2"/>
      </rPr>
      <t>2024.03.11-04.10</t>
    </r>
    <r>
      <rPr>
        <sz val="10"/>
        <color theme="1"/>
        <rFont val="宋体"/>
        <family val="3"/>
        <charset val="134"/>
      </rPr>
      <t>、</t>
    </r>
    <r>
      <rPr>
        <sz val="10"/>
        <color theme="1"/>
        <rFont val="Arial"/>
        <family val="2"/>
      </rPr>
      <t>2024.05.11-06.10</t>
    </r>
    <r>
      <rPr>
        <sz val="10"/>
        <color theme="1"/>
        <rFont val="宋体"/>
        <family val="3"/>
        <charset val="134"/>
      </rPr>
      <t>租金、</t>
    </r>
    <r>
      <rPr>
        <sz val="10"/>
        <color theme="1"/>
        <rFont val="Arial"/>
        <family val="2"/>
      </rPr>
      <t>2024.03.11-06.10</t>
    </r>
    <r>
      <rPr>
        <sz val="10"/>
        <color theme="1"/>
        <rFont val="宋体"/>
        <family val="3"/>
        <charset val="134"/>
      </rPr>
      <t>物业费</t>
    </r>
  </si>
  <si>
    <t>2024.06.11-09.10</t>
  </si>
  <si>
    <r>
      <rPr>
        <sz val="10"/>
        <color theme="1"/>
        <rFont val="Arial"/>
        <family val="2"/>
      </rPr>
      <t>2024.05.15</t>
    </r>
    <r>
      <rPr>
        <sz val="10"/>
        <color theme="1"/>
        <rFont val="宋体"/>
        <family val="3"/>
        <charset val="134"/>
      </rPr>
      <t>交</t>
    </r>
    <r>
      <rPr>
        <sz val="10"/>
        <color theme="1"/>
        <rFont val="Arial"/>
        <family val="2"/>
      </rPr>
      <t>2024.06.11-09.10</t>
    </r>
  </si>
  <si>
    <t>2024.09.11-12.10</t>
  </si>
  <si>
    <r>
      <rPr>
        <sz val="10"/>
        <color theme="1"/>
        <rFont val="Arial"/>
        <family val="2"/>
      </rPr>
      <t>2024.08.22</t>
    </r>
    <r>
      <rPr>
        <sz val="10"/>
        <color theme="1"/>
        <rFont val="宋体"/>
        <family val="3"/>
        <charset val="134"/>
      </rPr>
      <t>交</t>
    </r>
    <r>
      <rPr>
        <sz val="10"/>
        <color theme="1"/>
        <rFont val="Arial"/>
        <family val="2"/>
      </rPr>
      <t>2024.09.11-12.10</t>
    </r>
  </si>
  <si>
    <t>2024.12.11-2025.03.10</t>
  </si>
  <si>
    <t>2025.01.01-03.10</t>
  </si>
  <si>
    <t>涨租、预算差异</t>
  </si>
  <si>
    <t>北京硕果伙伴科技有限公司</t>
  </si>
  <si>
    <t>20240617-00950</t>
  </si>
  <si>
    <t>2024.06.28</t>
  </si>
  <si>
    <t>2024.06.28-08.27</t>
  </si>
  <si>
    <r>
      <rPr>
        <sz val="10"/>
        <color theme="1"/>
        <rFont val="Arial"/>
        <family val="2"/>
      </rPr>
      <t>2024.07.01</t>
    </r>
    <r>
      <rPr>
        <sz val="10"/>
        <color theme="1"/>
        <rFont val="宋体"/>
        <family val="3"/>
        <charset val="134"/>
      </rPr>
      <t>交</t>
    </r>
    <r>
      <rPr>
        <sz val="10"/>
        <color theme="1"/>
        <rFont val="Arial"/>
        <family val="2"/>
      </rPr>
      <t>2024.06.28-07.27</t>
    </r>
    <r>
      <rPr>
        <sz val="10"/>
        <color theme="1"/>
        <rFont val="宋体"/>
        <family val="3"/>
        <charset val="134"/>
      </rPr>
      <t>租金、</t>
    </r>
    <r>
      <rPr>
        <sz val="10"/>
        <color theme="1"/>
        <rFont val="Arial"/>
        <family val="2"/>
      </rPr>
      <t>2024.06.28-08.27</t>
    </r>
    <r>
      <rPr>
        <sz val="10"/>
        <color theme="1"/>
        <rFont val="宋体"/>
        <family val="3"/>
        <charset val="134"/>
      </rPr>
      <t>物业费；预收</t>
    </r>
    <r>
      <rPr>
        <sz val="10"/>
        <color theme="1"/>
        <rFont val="Arial"/>
        <family val="2"/>
      </rPr>
      <t>2024.08.28-10.27</t>
    </r>
  </si>
  <si>
    <t>2024.08.28-10.27</t>
  </si>
  <si>
    <r>
      <rPr>
        <sz val="10"/>
        <color theme="1"/>
        <rFont val="Arial"/>
        <family val="2"/>
      </rPr>
      <t>2024.09.02</t>
    </r>
    <r>
      <rPr>
        <sz val="10"/>
        <color theme="1"/>
        <rFont val="宋体"/>
        <family val="3"/>
        <charset val="134"/>
      </rPr>
      <t>预收</t>
    </r>
    <r>
      <rPr>
        <sz val="10"/>
        <color theme="1"/>
        <rFont val="Arial"/>
        <family val="2"/>
      </rPr>
      <t>2024.10.28-12.27</t>
    </r>
  </si>
  <si>
    <t>2024.10.28-12.27</t>
  </si>
  <si>
    <t>2024.12.28-2025.02.27</t>
  </si>
  <si>
    <t>2025.01.01-02.27</t>
  </si>
  <si>
    <t>降租、预算差异</t>
  </si>
  <si>
    <t>彭琪</t>
  </si>
  <si>
    <t>20240607-00911</t>
  </si>
  <si>
    <t>2024.06.11</t>
  </si>
  <si>
    <t>2026.06.10</t>
  </si>
  <si>
    <t>2024.06.11-08.10</t>
  </si>
  <si>
    <r>
      <rPr>
        <sz val="10"/>
        <color theme="1"/>
        <rFont val="Arial"/>
        <family val="2"/>
      </rPr>
      <t>2024.06.12</t>
    </r>
    <r>
      <rPr>
        <sz val="10"/>
        <color theme="1"/>
        <rFont val="宋体"/>
        <family val="3"/>
        <charset val="134"/>
      </rPr>
      <t>交</t>
    </r>
    <r>
      <rPr>
        <sz val="10"/>
        <color theme="1"/>
        <rFont val="Arial"/>
        <family val="2"/>
      </rPr>
      <t>2024.06.11-07.10</t>
    </r>
    <r>
      <rPr>
        <sz val="10"/>
        <color theme="1"/>
        <rFont val="宋体"/>
        <family val="3"/>
        <charset val="134"/>
      </rPr>
      <t>租金、</t>
    </r>
    <r>
      <rPr>
        <sz val="10"/>
        <color theme="1"/>
        <rFont val="Arial"/>
        <family val="2"/>
      </rPr>
      <t>2024.06.11-08.10</t>
    </r>
    <r>
      <rPr>
        <sz val="10"/>
        <color theme="1"/>
        <rFont val="宋体"/>
        <family val="3"/>
        <charset val="134"/>
      </rPr>
      <t>物业费</t>
    </r>
  </si>
  <si>
    <t>2024.08.11-10.10</t>
  </si>
  <si>
    <r>
      <rPr>
        <sz val="10"/>
        <color theme="1"/>
        <rFont val="Arial"/>
        <family val="2"/>
      </rPr>
      <t>2024.07.24</t>
    </r>
    <r>
      <rPr>
        <sz val="10"/>
        <color theme="1"/>
        <rFont val="宋体"/>
        <family val="3"/>
        <charset val="134"/>
      </rPr>
      <t>交</t>
    </r>
    <r>
      <rPr>
        <sz val="10"/>
        <color theme="1"/>
        <rFont val="Arial"/>
        <family val="2"/>
      </rPr>
      <t>2024.08.11-10.10</t>
    </r>
  </si>
  <si>
    <t>2024.10.11-12.10</t>
  </si>
  <si>
    <r>
      <rPr>
        <sz val="10"/>
        <color theme="1"/>
        <rFont val="Arial"/>
        <family val="2"/>
      </rPr>
      <t>2024.09.20</t>
    </r>
    <r>
      <rPr>
        <sz val="10"/>
        <color theme="1"/>
        <rFont val="宋体"/>
        <family val="3"/>
        <charset val="134"/>
      </rPr>
      <t>交</t>
    </r>
    <r>
      <rPr>
        <sz val="10"/>
        <color theme="1"/>
        <rFont val="Arial"/>
        <family val="2"/>
      </rPr>
      <t>2024.10.11-12.10</t>
    </r>
  </si>
  <si>
    <t>2024.12.11-2025.02.10</t>
  </si>
  <si>
    <t>2025.01.01-02.10</t>
  </si>
  <si>
    <t>14A1</t>
  </si>
  <si>
    <t>北京中关村高新技术企业协会</t>
  </si>
  <si>
    <t>20240718-01114</t>
  </si>
  <si>
    <r>
      <rPr>
        <sz val="10"/>
        <color theme="1"/>
        <rFont val="Arial"/>
        <family val="2"/>
      </rPr>
      <t>2024.07.24</t>
    </r>
    <r>
      <rPr>
        <sz val="10"/>
        <color theme="1"/>
        <rFont val="宋体"/>
        <family val="3"/>
        <charset val="134"/>
      </rPr>
      <t>交</t>
    </r>
    <r>
      <rPr>
        <sz val="10"/>
        <color theme="1"/>
        <rFont val="Arial"/>
        <family val="2"/>
      </rPr>
      <t>2024.08.01-10.31</t>
    </r>
  </si>
  <si>
    <r>
      <rPr>
        <sz val="10"/>
        <rFont val="宋体"/>
        <family val="3"/>
        <charset val="134"/>
      </rPr>
      <t>北京硕盟伙伴科技有限公司</t>
    </r>
  </si>
  <si>
    <t>20230918-01470</t>
  </si>
  <si>
    <t>2023.09.28</t>
  </si>
  <si>
    <r>
      <rPr>
        <sz val="10"/>
        <color theme="1"/>
        <rFont val="Arial"/>
        <family val="2"/>
      </rPr>
      <t>2024.01.02</t>
    </r>
    <r>
      <rPr>
        <sz val="10"/>
        <color theme="1"/>
        <rFont val="宋体"/>
        <family val="3"/>
        <charset val="134"/>
      </rPr>
      <t>交</t>
    </r>
    <r>
      <rPr>
        <sz val="10"/>
        <color theme="1"/>
        <rFont val="Arial"/>
        <family val="2"/>
      </rPr>
      <t>2024.02.01-02.29</t>
    </r>
  </si>
  <si>
    <r>
      <rPr>
        <sz val="10"/>
        <color theme="1"/>
        <rFont val="Arial"/>
        <family val="2"/>
      </rPr>
      <t>2024.07.26</t>
    </r>
    <r>
      <rPr>
        <sz val="10"/>
        <color theme="1"/>
        <rFont val="宋体"/>
        <family val="3"/>
        <charset val="134"/>
      </rPr>
      <t>交</t>
    </r>
    <r>
      <rPr>
        <sz val="10"/>
        <color theme="1"/>
        <rFont val="Arial"/>
        <family val="2"/>
      </rPr>
      <t>2024.09.01-09.27</t>
    </r>
    <r>
      <rPr>
        <sz val="10"/>
        <color theme="1"/>
        <rFont val="宋体"/>
        <family val="3"/>
        <charset val="134"/>
      </rPr>
      <t>租金、</t>
    </r>
    <r>
      <rPr>
        <sz val="10"/>
        <color theme="1"/>
        <rFont val="Arial"/>
        <family val="2"/>
      </rPr>
      <t>2024.09.01-09.30</t>
    </r>
    <r>
      <rPr>
        <sz val="10"/>
        <color theme="1"/>
        <rFont val="宋体"/>
        <family val="3"/>
        <charset val="134"/>
      </rPr>
      <t>物业费</t>
    </r>
  </si>
  <si>
    <r>
      <rPr>
        <sz val="10"/>
        <color theme="1"/>
        <rFont val="Arial"/>
        <family val="2"/>
      </rPr>
      <t>2024.09.02</t>
    </r>
    <r>
      <rPr>
        <sz val="10"/>
        <color theme="1"/>
        <rFont val="宋体"/>
        <family val="3"/>
        <charset val="134"/>
      </rPr>
      <t>交</t>
    </r>
    <r>
      <rPr>
        <sz val="10"/>
        <color theme="1"/>
        <rFont val="Arial"/>
        <family val="2"/>
      </rPr>
      <t>2024.10.28-10.31</t>
    </r>
    <r>
      <rPr>
        <sz val="10"/>
        <color theme="1"/>
        <rFont val="宋体"/>
        <family val="3"/>
        <charset val="134"/>
      </rPr>
      <t>租金、</t>
    </r>
    <r>
      <rPr>
        <sz val="10"/>
        <color theme="1"/>
        <rFont val="Arial"/>
        <family val="2"/>
      </rPr>
      <t>2024.10.01-10.31</t>
    </r>
    <r>
      <rPr>
        <sz val="10"/>
        <color theme="1"/>
        <rFont val="宋体"/>
        <family val="3"/>
        <charset val="134"/>
      </rPr>
      <t>物业费</t>
    </r>
  </si>
  <si>
    <r>
      <rPr>
        <sz val="10"/>
        <rFont val="宋体"/>
        <family val="3"/>
        <charset val="134"/>
      </rPr>
      <t>北京硕果伙伴科技有限公司</t>
    </r>
  </si>
  <si>
    <t>20230918-01471</t>
  </si>
  <si>
    <r>
      <rPr>
        <sz val="10"/>
        <rFont val="Arial"/>
        <family val="2"/>
      </rPr>
      <t>14A2</t>
    </r>
    <r>
      <rPr>
        <sz val="10"/>
        <rFont val="宋体"/>
        <family val="3"/>
        <charset val="134"/>
      </rPr>
      <t>、</t>
    </r>
    <r>
      <rPr>
        <sz val="10"/>
        <rFont val="Arial"/>
        <family val="2"/>
      </rPr>
      <t>14A3-1</t>
    </r>
  </si>
  <si>
    <r>
      <rPr>
        <sz val="10"/>
        <rFont val="宋体"/>
        <family val="3"/>
        <charset val="134"/>
      </rPr>
      <t>北京天洋致信科技有限公司</t>
    </r>
  </si>
  <si>
    <t>20240103-00004</t>
  </si>
  <si>
    <t>2024.01.11</t>
  </si>
  <si>
    <t>2027.01.10</t>
  </si>
  <si>
    <r>
      <rPr>
        <sz val="10"/>
        <color theme="1"/>
        <rFont val="Arial"/>
        <family val="2"/>
      </rPr>
      <t>2024.01.09</t>
    </r>
    <r>
      <rPr>
        <sz val="10"/>
        <color theme="1"/>
        <rFont val="宋体"/>
        <family val="3"/>
        <charset val="134"/>
      </rPr>
      <t>交</t>
    </r>
    <r>
      <rPr>
        <sz val="10"/>
        <color theme="1"/>
        <rFont val="Arial"/>
        <family val="2"/>
      </rPr>
      <t>2024.01.11-04.10</t>
    </r>
  </si>
  <si>
    <r>
      <rPr>
        <sz val="10"/>
        <rFont val="Arial"/>
        <family val="2"/>
      </rPr>
      <t>退</t>
    </r>
    <r>
      <rPr>
        <sz val="10"/>
        <rFont val="Arial"/>
        <family val="2"/>
      </rPr>
      <t>2024.01.11-01.31</t>
    </r>
  </si>
  <si>
    <r>
      <rPr>
        <sz val="10"/>
        <color theme="1"/>
        <rFont val="Arial"/>
        <family val="2"/>
      </rPr>
      <t>2024.01.09</t>
    </r>
    <r>
      <rPr>
        <sz val="10"/>
        <color theme="1"/>
        <rFont val="宋体"/>
        <family val="3"/>
        <charset val="134"/>
      </rPr>
      <t>交</t>
    </r>
    <r>
      <rPr>
        <sz val="10"/>
        <color theme="1"/>
        <rFont val="Arial"/>
        <family val="2"/>
      </rPr>
      <t>2024.01.11-04.10</t>
    </r>
    <r>
      <rPr>
        <sz val="10"/>
        <color theme="1"/>
        <rFont val="宋体"/>
        <family val="3"/>
        <charset val="134"/>
      </rPr>
      <t>；</t>
    </r>
    <r>
      <rPr>
        <sz val="10"/>
        <color theme="1"/>
        <rFont val="Arial"/>
        <family val="2"/>
      </rPr>
      <t>2024.02.20</t>
    </r>
    <r>
      <rPr>
        <sz val="10"/>
        <color theme="1"/>
        <rFont val="宋体"/>
        <family val="3"/>
        <charset val="134"/>
      </rPr>
      <t>退原客户</t>
    </r>
    <r>
      <rPr>
        <sz val="10"/>
        <color theme="1"/>
        <rFont val="Arial"/>
        <family val="2"/>
      </rPr>
      <t>2024.01.11-01.31</t>
    </r>
  </si>
  <si>
    <r>
      <rPr>
        <sz val="10"/>
        <color theme="1"/>
        <rFont val="Arial"/>
        <family val="2"/>
      </rPr>
      <t>2024.03.04</t>
    </r>
    <r>
      <rPr>
        <sz val="10"/>
        <color theme="1"/>
        <rFont val="宋体"/>
        <family val="3"/>
        <charset val="134"/>
      </rPr>
      <t>交</t>
    </r>
    <r>
      <rPr>
        <sz val="10"/>
        <color theme="1"/>
        <rFont val="Arial"/>
        <family val="2"/>
      </rPr>
      <t>2024.04.11-07.10</t>
    </r>
  </si>
  <si>
    <r>
      <rPr>
        <sz val="10"/>
        <color theme="1"/>
        <rFont val="Arial"/>
        <family val="2"/>
      </rPr>
      <t>2024.06.04</t>
    </r>
    <r>
      <rPr>
        <sz val="10"/>
        <color theme="1"/>
        <rFont val="宋体"/>
        <family val="3"/>
        <charset val="134"/>
      </rPr>
      <t>交</t>
    </r>
    <r>
      <rPr>
        <sz val="10"/>
        <color theme="1"/>
        <rFont val="Arial"/>
        <family val="2"/>
      </rPr>
      <t>2024.07.11-10.10</t>
    </r>
  </si>
  <si>
    <r>
      <rPr>
        <sz val="10"/>
        <color theme="1"/>
        <rFont val="Arial"/>
        <family val="2"/>
      </rPr>
      <t>2024.09.05</t>
    </r>
    <r>
      <rPr>
        <sz val="10"/>
        <color theme="1"/>
        <rFont val="宋体"/>
        <family val="3"/>
        <charset val="134"/>
      </rPr>
      <t>交</t>
    </r>
    <r>
      <rPr>
        <sz val="10"/>
        <color theme="1"/>
        <rFont val="Arial"/>
        <family val="2"/>
      </rPr>
      <t>2024.10.11-12.10</t>
    </r>
    <r>
      <rPr>
        <sz val="10"/>
        <color theme="1"/>
        <rFont val="宋体"/>
        <family val="3"/>
        <charset val="134"/>
      </rPr>
      <t>租金、</t>
    </r>
    <r>
      <rPr>
        <sz val="10"/>
        <color theme="1"/>
        <rFont val="Arial"/>
        <family val="2"/>
      </rPr>
      <t>2024.10.11-2025.01.10</t>
    </r>
    <r>
      <rPr>
        <sz val="10"/>
        <color theme="1"/>
        <rFont val="宋体"/>
        <family val="3"/>
        <charset val="134"/>
      </rPr>
      <t>物业费</t>
    </r>
  </si>
  <si>
    <t>2025.01.11-04.10</t>
  </si>
  <si>
    <t>14A3-2</t>
  </si>
  <si>
    <r>
      <rPr>
        <sz val="10"/>
        <rFont val="宋体"/>
        <family val="3"/>
        <charset val="134"/>
      </rPr>
      <t>北京名湃留学咨询服务有限公司</t>
    </r>
  </si>
  <si>
    <t>20240815-01269</t>
  </si>
  <si>
    <t>2024.08.18</t>
  </si>
  <si>
    <t>2025.08.17</t>
  </si>
  <si>
    <r>
      <rPr>
        <sz val="10"/>
        <color theme="1"/>
        <rFont val="Arial"/>
        <family val="2"/>
      </rPr>
      <t>2024.01.24</t>
    </r>
    <r>
      <rPr>
        <sz val="10"/>
        <color theme="1"/>
        <rFont val="宋体"/>
        <family val="3"/>
        <charset val="134"/>
      </rPr>
      <t>交</t>
    </r>
    <r>
      <rPr>
        <sz val="10"/>
        <color theme="1"/>
        <rFont val="Arial"/>
        <family val="2"/>
      </rPr>
      <t>2024.02.18-05.17</t>
    </r>
  </si>
  <si>
    <r>
      <rPr>
        <sz val="10"/>
        <rFont val="Arial"/>
        <family val="2"/>
      </rPr>
      <t>2024.05.18-08.17</t>
    </r>
    <r>
      <rPr>
        <sz val="10"/>
        <rFont val="宋体"/>
        <family val="3"/>
        <charset val="134"/>
      </rPr>
      <t>、到期</t>
    </r>
  </si>
  <si>
    <r>
      <rPr>
        <sz val="10"/>
        <color theme="1"/>
        <rFont val="Arial"/>
        <family val="2"/>
      </rPr>
      <t>2024.04.07</t>
    </r>
    <r>
      <rPr>
        <sz val="10"/>
        <color theme="1"/>
        <rFont val="宋体"/>
        <family val="3"/>
        <charset val="134"/>
      </rPr>
      <t>交</t>
    </r>
    <r>
      <rPr>
        <sz val="10"/>
        <color theme="1"/>
        <rFont val="Arial"/>
        <family val="2"/>
      </rPr>
      <t>2024.05.18-08.17</t>
    </r>
    <r>
      <rPr>
        <sz val="10"/>
        <color theme="1"/>
        <rFont val="宋体"/>
        <family val="3"/>
        <charset val="134"/>
      </rPr>
      <t>、到期</t>
    </r>
  </si>
  <si>
    <r>
      <rPr>
        <sz val="10"/>
        <color theme="1"/>
        <rFont val="Arial"/>
        <family val="2"/>
      </rPr>
      <t>2024.08.23</t>
    </r>
    <r>
      <rPr>
        <sz val="10"/>
        <color theme="1"/>
        <rFont val="宋体"/>
        <family val="3"/>
        <charset val="134"/>
      </rPr>
      <t>交</t>
    </r>
    <r>
      <rPr>
        <sz val="10"/>
        <color theme="1"/>
        <rFont val="Arial"/>
        <family val="2"/>
      </rPr>
      <t>2024.08.18-11.17</t>
    </r>
  </si>
  <si>
    <t>2024.01.01-02.17</t>
  </si>
  <si>
    <r>
      <rPr>
        <sz val="10"/>
        <rFont val="宋体"/>
        <family val="3"/>
        <charset val="134"/>
      </rPr>
      <t>海龙大厦</t>
    </r>
    <r>
      <rPr>
        <sz val="10"/>
        <rFont val="Arial"/>
        <family val="2"/>
      </rPr>
      <t>15</t>
    </r>
    <r>
      <rPr>
        <sz val="10"/>
        <rFont val="宋体"/>
        <family val="3"/>
        <charset val="134"/>
      </rPr>
      <t>层</t>
    </r>
  </si>
  <si>
    <t>1500-1</t>
  </si>
  <si>
    <t>北京市海淀区私立新东方学校</t>
  </si>
  <si>
    <t>20240227-00232</t>
  </si>
  <si>
    <t>2028.02.29</t>
  </si>
  <si>
    <r>
      <rPr>
        <sz val="10"/>
        <color theme="1"/>
        <rFont val="Arial"/>
        <family val="2"/>
      </rPr>
      <t>2023.12.04</t>
    </r>
    <r>
      <rPr>
        <sz val="10"/>
        <color theme="1"/>
        <rFont val="宋体"/>
        <family val="3"/>
        <charset val="134"/>
      </rPr>
      <t>交</t>
    </r>
    <r>
      <rPr>
        <sz val="10"/>
        <color theme="1"/>
        <rFont val="Arial"/>
        <family val="2"/>
      </rPr>
      <t>2024.01.01-01.31</t>
    </r>
  </si>
  <si>
    <r>
      <rPr>
        <sz val="10"/>
        <color theme="1"/>
        <rFont val="Arial"/>
        <family val="2"/>
      </rPr>
      <t>2024.02.20</t>
    </r>
    <r>
      <rPr>
        <sz val="10"/>
        <color theme="1"/>
        <rFont val="宋体"/>
        <family val="3"/>
        <charset val="134"/>
      </rPr>
      <t>退</t>
    </r>
    <r>
      <rPr>
        <sz val="10"/>
        <color theme="1"/>
        <rFont val="Arial"/>
        <family val="2"/>
      </rPr>
      <t>2024.01.11-01.31</t>
    </r>
    <r>
      <rPr>
        <sz val="10"/>
        <color theme="1"/>
        <rFont val="宋体"/>
        <family val="3"/>
        <charset val="134"/>
      </rPr>
      <t>、到期</t>
    </r>
  </si>
  <si>
    <r>
      <rPr>
        <sz val="10"/>
        <color theme="1"/>
        <rFont val="Arial"/>
        <family val="2"/>
      </rPr>
      <t>2024.03.11</t>
    </r>
    <r>
      <rPr>
        <sz val="10"/>
        <color theme="1"/>
        <rFont val="宋体"/>
        <family val="3"/>
        <charset val="134"/>
      </rPr>
      <t>交</t>
    </r>
    <r>
      <rPr>
        <sz val="10"/>
        <color theme="1"/>
        <rFont val="Arial"/>
        <family val="2"/>
      </rPr>
      <t>2024.03.01-03.31</t>
    </r>
    <r>
      <rPr>
        <sz val="10"/>
        <color theme="1"/>
        <rFont val="宋体"/>
        <family val="3"/>
        <charset val="134"/>
      </rPr>
      <t>、</t>
    </r>
    <r>
      <rPr>
        <sz val="10"/>
        <color theme="1"/>
        <rFont val="Arial"/>
        <family val="2"/>
      </rPr>
      <t>05.01-05.31</t>
    </r>
    <r>
      <rPr>
        <sz val="10"/>
        <color theme="1"/>
        <rFont val="宋体"/>
        <family val="3"/>
        <charset val="134"/>
      </rPr>
      <t>租金；</t>
    </r>
    <r>
      <rPr>
        <sz val="10"/>
        <color theme="1"/>
        <rFont val="Arial"/>
        <family val="2"/>
      </rPr>
      <t>2024.03.01-05.31</t>
    </r>
    <r>
      <rPr>
        <sz val="10"/>
        <color theme="1"/>
        <rFont val="宋体"/>
        <family val="3"/>
        <charset val="134"/>
      </rPr>
      <t>物业费</t>
    </r>
  </si>
  <si>
    <r>
      <rPr>
        <sz val="10"/>
        <rFont val="Arial"/>
        <family val="2"/>
      </rPr>
      <t>2024.04.09</t>
    </r>
    <r>
      <rPr>
        <sz val="10"/>
        <rFont val="宋体"/>
        <family val="3"/>
        <charset val="134"/>
      </rPr>
      <t>预收</t>
    </r>
    <r>
      <rPr>
        <sz val="10"/>
        <rFont val="Arial"/>
        <family val="2"/>
      </rPr>
      <t>2024.06.01-08.31</t>
    </r>
  </si>
  <si>
    <r>
      <rPr>
        <sz val="10"/>
        <rFont val="Arial"/>
        <family val="2"/>
      </rPr>
      <t>2024.07.24</t>
    </r>
    <r>
      <rPr>
        <sz val="10"/>
        <rFont val="宋体"/>
        <family val="3"/>
        <charset val="134"/>
      </rPr>
      <t>预收</t>
    </r>
    <r>
      <rPr>
        <sz val="10"/>
        <rFont val="Arial"/>
        <family val="2"/>
      </rPr>
      <t>2024.09.01-11.30</t>
    </r>
  </si>
  <si>
    <t>北京知路研修科技有限公司</t>
  </si>
  <si>
    <t>20240229-00240</t>
  </si>
  <si>
    <t>2026.03.31</t>
  </si>
  <si>
    <r>
      <rPr>
        <sz val="10"/>
        <rFont val="Arial"/>
        <family val="2"/>
      </rPr>
      <t>21</t>
    </r>
    <r>
      <rPr>
        <sz val="10"/>
        <rFont val="宋体"/>
        <family val="3"/>
        <charset val="134"/>
      </rPr>
      <t>个月</t>
    </r>
    <r>
      <rPr>
        <sz val="10"/>
        <rFont val="Arial"/>
        <family val="2"/>
      </rPr>
      <t>15</t>
    </r>
    <r>
      <rPr>
        <sz val="10"/>
        <rFont val="宋体"/>
        <family val="3"/>
        <charset val="134"/>
      </rPr>
      <t>天</t>
    </r>
  </si>
  <si>
    <r>
      <rPr>
        <sz val="10"/>
        <color theme="1"/>
        <rFont val="Arial"/>
        <family val="2"/>
      </rPr>
      <t>2024.03.14</t>
    </r>
    <r>
      <rPr>
        <sz val="10"/>
        <color theme="1"/>
        <rFont val="宋体"/>
        <family val="3"/>
        <charset val="134"/>
      </rPr>
      <t>交</t>
    </r>
    <r>
      <rPr>
        <sz val="10"/>
        <color theme="1"/>
        <rFont val="Arial"/>
        <family val="2"/>
      </rPr>
      <t>2024.05.01-06.30</t>
    </r>
    <r>
      <rPr>
        <sz val="10"/>
        <color theme="1"/>
        <rFont val="宋体"/>
        <family val="3"/>
        <charset val="134"/>
      </rPr>
      <t>租金、</t>
    </r>
    <r>
      <rPr>
        <sz val="10"/>
        <color theme="1"/>
        <rFont val="Arial"/>
        <family val="2"/>
      </rPr>
      <t>2024.04.01-06.30</t>
    </r>
    <r>
      <rPr>
        <sz val="10"/>
        <color theme="1"/>
        <rFont val="宋体"/>
        <family val="3"/>
        <charset val="134"/>
      </rPr>
      <t>物业费</t>
    </r>
  </si>
  <si>
    <r>
      <rPr>
        <sz val="10"/>
        <color theme="1"/>
        <rFont val="Arial"/>
        <family val="2"/>
      </rPr>
      <t>2024.06.12</t>
    </r>
    <r>
      <rPr>
        <sz val="10"/>
        <color theme="1"/>
        <rFont val="宋体"/>
        <family val="3"/>
        <charset val="134"/>
      </rPr>
      <t>交</t>
    </r>
    <r>
      <rPr>
        <sz val="10"/>
        <color theme="1"/>
        <rFont val="Arial"/>
        <family val="2"/>
      </rPr>
      <t>2024.07.01-09.30</t>
    </r>
  </si>
  <si>
    <r>
      <rPr>
        <sz val="10"/>
        <color theme="1"/>
        <rFont val="Arial"/>
        <family val="2"/>
      </rPr>
      <t>2024.09.18</t>
    </r>
    <r>
      <rPr>
        <sz val="10"/>
        <color theme="1"/>
        <rFont val="宋体"/>
        <family val="3"/>
        <charset val="134"/>
      </rPr>
      <t>交</t>
    </r>
    <r>
      <rPr>
        <sz val="10"/>
        <color theme="1"/>
        <rFont val="Arial"/>
        <family val="2"/>
      </rPr>
      <t>2024.10.01-12.31</t>
    </r>
  </si>
  <si>
    <t>北京场圈未来传媒有限公司</t>
  </si>
  <si>
    <t>20230717-01172</t>
  </si>
  <si>
    <t>2023.08.15</t>
  </si>
  <si>
    <t>2024.01.10</t>
  </si>
  <si>
    <r>
      <rPr>
        <sz val="10"/>
        <rFont val="Arial"/>
        <family val="2"/>
      </rPr>
      <t>37</t>
    </r>
    <r>
      <rPr>
        <sz val="10"/>
        <rFont val="宋体"/>
        <family val="3"/>
        <charset val="134"/>
      </rPr>
      <t>个月</t>
    </r>
  </si>
  <si>
    <t>1503-04</t>
  </si>
  <si>
    <r>
      <rPr>
        <sz val="10"/>
        <rFont val="宋体"/>
        <family val="3"/>
        <charset val="134"/>
      </rPr>
      <t>小盈企服科技（北京）有限公司</t>
    </r>
  </si>
  <si>
    <t>20230808-01280</t>
  </si>
  <si>
    <t>2023.08.17</t>
  </si>
  <si>
    <t>2028.04.16</t>
  </si>
  <si>
    <t>2024.01.17-02.16</t>
  </si>
  <si>
    <r>
      <rPr>
        <sz val="10"/>
        <color theme="1"/>
        <rFont val="Arial"/>
        <family val="2"/>
      </rPr>
      <t>2024.01.02</t>
    </r>
    <r>
      <rPr>
        <sz val="10"/>
        <color theme="1"/>
        <rFont val="宋体"/>
        <family val="3"/>
        <charset val="134"/>
      </rPr>
      <t>交</t>
    </r>
    <r>
      <rPr>
        <sz val="10"/>
        <color theme="1"/>
        <rFont val="Arial"/>
        <family val="2"/>
      </rPr>
      <t>2024.01.17-02.16</t>
    </r>
  </si>
  <si>
    <t>2024.02.17-03.16</t>
  </si>
  <si>
    <r>
      <rPr>
        <sz val="10"/>
        <color theme="1"/>
        <rFont val="Arial"/>
        <family val="2"/>
      </rPr>
      <t>2024.02.05</t>
    </r>
    <r>
      <rPr>
        <sz val="10"/>
        <color theme="1"/>
        <rFont val="宋体"/>
        <family val="3"/>
        <charset val="134"/>
      </rPr>
      <t>交</t>
    </r>
    <r>
      <rPr>
        <sz val="10"/>
        <color theme="1"/>
        <rFont val="Arial"/>
        <family val="2"/>
      </rPr>
      <t>2024.02.17-03.16</t>
    </r>
  </si>
  <si>
    <t>2024.03.17-04.16</t>
  </si>
  <si>
    <r>
      <rPr>
        <sz val="10"/>
        <color theme="1"/>
        <rFont val="Arial"/>
        <family val="2"/>
      </rPr>
      <t>2024.03.04</t>
    </r>
    <r>
      <rPr>
        <sz val="10"/>
        <color theme="1"/>
        <rFont val="宋体"/>
        <family val="3"/>
        <charset val="134"/>
      </rPr>
      <t>交</t>
    </r>
    <r>
      <rPr>
        <sz val="10"/>
        <color theme="1"/>
        <rFont val="Arial"/>
        <family val="2"/>
      </rPr>
      <t>2024.03.17-04.16</t>
    </r>
  </si>
  <si>
    <t>2024.04.17-05.16</t>
  </si>
  <si>
    <r>
      <rPr>
        <sz val="10"/>
        <color theme="1"/>
        <rFont val="Arial"/>
        <family val="2"/>
      </rPr>
      <t>2024.04.03</t>
    </r>
    <r>
      <rPr>
        <sz val="10"/>
        <color theme="1"/>
        <rFont val="宋体"/>
        <family val="3"/>
        <charset val="134"/>
      </rPr>
      <t>交</t>
    </r>
    <r>
      <rPr>
        <sz val="10"/>
        <color theme="1"/>
        <rFont val="Arial"/>
        <family val="2"/>
      </rPr>
      <t>2024.04.17-05.16</t>
    </r>
  </si>
  <si>
    <t>2024.05.17-06.16</t>
  </si>
  <si>
    <r>
      <rPr>
        <sz val="10"/>
        <color theme="1"/>
        <rFont val="Arial"/>
        <family val="2"/>
      </rPr>
      <t>2024.05.07</t>
    </r>
    <r>
      <rPr>
        <sz val="10"/>
        <color theme="1"/>
        <rFont val="宋体"/>
        <family val="3"/>
        <charset val="134"/>
      </rPr>
      <t>交</t>
    </r>
    <r>
      <rPr>
        <sz val="10"/>
        <color theme="1"/>
        <rFont val="Arial"/>
        <family val="2"/>
      </rPr>
      <t>2024.05.17-06.16</t>
    </r>
  </si>
  <si>
    <t>2024.06.17-07.16</t>
  </si>
  <si>
    <r>
      <rPr>
        <sz val="10"/>
        <color theme="1"/>
        <rFont val="Arial"/>
        <family val="2"/>
      </rPr>
      <t>2024.06.04</t>
    </r>
    <r>
      <rPr>
        <sz val="10"/>
        <color theme="1"/>
        <rFont val="宋体"/>
        <family val="3"/>
        <charset val="134"/>
      </rPr>
      <t>交</t>
    </r>
    <r>
      <rPr>
        <sz val="10"/>
        <color theme="1"/>
        <rFont val="Arial"/>
        <family val="2"/>
      </rPr>
      <t>2024.06.17-07.16</t>
    </r>
  </si>
  <si>
    <t>2024.07.17-08.16</t>
  </si>
  <si>
    <r>
      <rPr>
        <sz val="10"/>
        <color theme="1"/>
        <rFont val="Arial"/>
        <family val="2"/>
      </rPr>
      <t>2024.07.03</t>
    </r>
    <r>
      <rPr>
        <sz val="10"/>
        <color theme="1"/>
        <rFont val="宋体"/>
        <family val="3"/>
        <charset val="134"/>
      </rPr>
      <t>交</t>
    </r>
    <r>
      <rPr>
        <sz val="10"/>
        <color theme="1"/>
        <rFont val="Arial"/>
        <family val="2"/>
      </rPr>
      <t>2024.07.17-08.16</t>
    </r>
  </si>
  <si>
    <t>2024.08.17-09.16</t>
  </si>
  <si>
    <r>
      <rPr>
        <sz val="10"/>
        <color theme="1"/>
        <rFont val="Arial"/>
        <family val="2"/>
      </rPr>
      <t>2024.08.05</t>
    </r>
    <r>
      <rPr>
        <sz val="10"/>
        <color theme="1"/>
        <rFont val="宋体"/>
        <family val="3"/>
        <charset val="134"/>
      </rPr>
      <t>交</t>
    </r>
    <r>
      <rPr>
        <sz val="10"/>
        <color theme="1"/>
        <rFont val="Arial"/>
        <family val="2"/>
      </rPr>
      <t>2024.08.17-09.16</t>
    </r>
    <r>
      <rPr>
        <sz val="10"/>
        <color theme="1"/>
        <rFont val="宋体"/>
        <family val="3"/>
        <charset val="134"/>
      </rPr>
      <t>物业费、免租</t>
    </r>
  </si>
  <si>
    <t>2024.09.17-10.16</t>
  </si>
  <si>
    <r>
      <rPr>
        <sz val="10"/>
        <color theme="1"/>
        <rFont val="Arial"/>
        <family val="2"/>
      </rPr>
      <t>2024.09.03</t>
    </r>
    <r>
      <rPr>
        <sz val="10"/>
        <color theme="1"/>
        <rFont val="宋体"/>
        <family val="3"/>
        <charset val="134"/>
      </rPr>
      <t>交</t>
    </r>
    <r>
      <rPr>
        <sz val="10"/>
        <color theme="1"/>
        <rFont val="Arial"/>
        <family val="2"/>
      </rPr>
      <t>2024.09.17-10.16</t>
    </r>
  </si>
  <si>
    <t>2024.10.17-11.16</t>
  </si>
  <si>
    <t>2024.11.17-12.16</t>
  </si>
  <si>
    <t>2024.12.17-2025.01.16</t>
  </si>
  <si>
    <t>2025.01.01-01.16</t>
  </si>
  <si>
    <t>2024.01.01-01.16</t>
  </si>
  <si>
    <r>
      <rPr>
        <sz val="10"/>
        <rFont val="宋体"/>
        <family val="3"/>
        <charset val="134"/>
      </rPr>
      <t>盈空间创业（北京）科技有限公司</t>
    </r>
  </si>
  <si>
    <t>20230808-01279</t>
  </si>
  <si>
    <r>
      <rPr>
        <sz val="10"/>
        <color theme="1"/>
        <rFont val="Arial"/>
        <family val="2"/>
      </rPr>
      <t>2024.02.18</t>
    </r>
    <r>
      <rPr>
        <sz val="10"/>
        <color theme="1"/>
        <rFont val="宋体"/>
        <family val="3"/>
        <charset val="134"/>
      </rPr>
      <t>交</t>
    </r>
    <r>
      <rPr>
        <sz val="10"/>
        <color theme="1"/>
        <rFont val="Arial"/>
        <family val="2"/>
      </rPr>
      <t>2024.02.17-03.16</t>
    </r>
  </si>
  <si>
    <t>1506-08</t>
  </si>
  <si>
    <r>
      <rPr>
        <sz val="10"/>
        <rFont val="宋体"/>
        <family val="3"/>
        <charset val="134"/>
      </rPr>
      <t>小盈空间企服科技（北京）有限公司</t>
    </r>
  </si>
  <si>
    <t>20230913-01434-1506</t>
  </si>
  <si>
    <r>
      <rPr>
        <sz val="10"/>
        <color theme="1"/>
        <rFont val="Arial"/>
        <family val="2"/>
      </rPr>
      <t>2024.07.02</t>
    </r>
    <r>
      <rPr>
        <sz val="10"/>
        <color theme="1"/>
        <rFont val="宋体"/>
        <family val="3"/>
        <charset val="134"/>
      </rPr>
      <t>交</t>
    </r>
    <r>
      <rPr>
        <sz val="10"/>
        <color theme="1"/>
        <rFont val="Arial"/>
        <family val="2"/>
      </rPr>
      <t>2024.07.17-08.16</t>
    </r>
  </si>
  <si>
    <r>
      <rPr>
        <sz val="10"/>
        <rFont val="宋体"/>
        <family val="3"/>
        <charset val="134"/>
      </rPr>
      <t>海龙大厦</t>
    </r>
    <r>
      <rPr>
        <sz val="10"/>
        <rFont val="Arial"/>
        <family val="2"/>
      </rPr>
      <t>16</t>
    </r>
    <r>
      <rPr>
        <sz val="10"/>
        <rFont val="宋体"/>
        <family val="3"/>
        <charset val="134"/>
      </rPr>
      <t>层</t>
    </r>
  </si>
  <si>
    <t>1601-02</t>
  </si>
  <si>
    <t>20240320-00444</t>
  </si>
  <si>
    <t>2024.07.01</t>
  </si>
  <si>
    <t>2025.06.30</t>
  </si>
  <si>
    <r>
      <rPr>
        <sz val="10"/>
        <rFont val="Arial"/>
        <family val="2"/>
      </rPr>
      <t>2024.04.01-06.30</t>
    </r>
    <r>
      <rPr>
        <sz val="10"/>
        <rFont val="宋体"/>
        <family val="3"/>
        <charset val="134"/>
      </rPr>
      <t>、到期</t>
    </r>
  </si>
  <si>
    <r>
      <rPr>
        <sz val="10"/>
        <color theme="1"/>
        <rFont val="Arial"/>
        <family val="2"/>
      </rPr>
      <t>2024.03.14</t>
    </r>
    <r>
      <rPr>
        <sz val="10"/>
        <color theme="1"/>
        <rFont val="宋体"/>
        <family val="3"/>
        <charset val="134"/>
      </rPr>
      <t>交</t>
    </r>
    <r>
      <rPr>
        <sz val="10"/>
        <color theme="1"/>
        <rFont val="Arial"/>
        <family val="2"/>
      </rPr>
      <t>2024.04.01-06.30</t>
    </r>
    <r>
      <rPr>
        <sz val="10"/>
        <color theme="1"/>
        <rFont val="宋体"/>
        <family val="3"/>
        <charset val="134"/>
      </rPr>
      <t>、到期</t>
    </r>
  </si>
  <si>
    <r>
      <rPr>
        <sz val="10"/>
        <color theme="1"/>
        <rFont val="Arial"/>
        <family val="2"/>
      </rPr>
      <t>2024.06.18</t>
    </r>
    <r>
      <rPr>
        <sz val="10"/>
        <color theme="1"/>
        <rFont val="宋体"/>
        <family val="3"/>
        <charset val="134"/>
      </rPr>
      <t>交</t>
    </r>
    <r>
      <rPr>
        <sz val="10"/>
        <color theme="1"/>
        <rFont val="Arial"/>
        <family val="2"/>
      </rPr>
      <t>2024.07.01-09.30</t>
    </r>
  </si>
  <si>
    <t xml:space="preserve">北京助新科技服务有限公司   </t>
  </si>
  <si>
    <t>20240320-00443</t>
  </si>
  <si>
    <t>1603-04-07</t>
  </si>
  <si>
    <t>20220915-01471</t>
  </si>
  <si>
    <t>2024.10.18</t>
  </si>
  <si>
    <t>2026.10.17</t>
  </si>
  <si>
    <t>2025.01.01-2025.04.17</t>
  </si>
  <si>
    <r>
      <rPr>
        <sz val="10"/>
        <rFont val="宋体"/>
        <family val="3"/>
        <charset val="134"/>
      </rPr>
      <t>海龙大厦</t>
    </r>
    <r>
      <rPr>
        <sz val="10"/>
        <rFont val="Arial"/>
        <family val="2"/>
      </rPr>
      <t>17</t>
    </r>
    <r>
      <rPr>
        <sz val="10"/>
        <rFont val="宋体"/>
        <family val="3"/>
        <charset val="134"/>
      </rPr>
      <t>层</t>
    </r>
  </si>
  <si>
    <r>
      <rPr>
        <sz val="10"/>
        <rFont val="宋体"/>
        <family val="3"/>
        <charset val="134"/>
      </rPr>
      <t>北京方正易通科技有限公司</t>
    </r>
  </si>
  <si>
    <t>20231229-02192</t>
  </si>
  <si>
    <t>2026.12.30</t>
  </si>
  <si>
    <r>
      <rPr>
        <sz val="10"/>
        <rFont val="宋体"/>
        <family val="3"/>
        <charset val="134"/>
      </rPr>
      <t>季付提前</t>
    </r>
    <r>
      <rPr>
        <sz val="10"/>
        <rFont val="Arial"/>
        <family val="2"/>
      </rPr>
      <t>10</t>
    </r>
    <r>
      <rPr>
        <sz val="10"/>
        <rFont val="宋体"/>
        <family val="3"/>
        <charset val="134"/>
      </rPr>
      <t>日</t>
    </r>
  </si>
  <si>
    <t>2023.12.31-2024.03.30</t>
  </si>
  <si>
    <r>
      <rPr>
        <sz val="10"/>
        <color theme="1"/>
        <rFont val="Arial"/>
        <family val="2"/>
      </rPr>
      <t>2024.01.16</t>
    </r>
    <r>
      <rPr>
        <sz val="10"/>
        <color theme="1"/>
        <rFont val="宋体"/>
        <family val="3"/>
        <charset val="134"/>
      </rPr>
      <t>交</t>
    </r>
    <r>
      <rPr>
        <sz val="10"/>
        <color theme="1"/>
        <rFont val="Arial"/>
        <family val="2"/>
      </rPr>
      <t>2024.01.31-03.30</t>
    </r>
    <r>
      <rPr>
        <sz val="10"/>
        <color theme="1"/>
        <rFont val="宋体"/>
        <family val="3"/>
        <charset val="134"/>
      </rPr>
      <t>租金、</t>
    </r>
    <r>
      <rPr>
        <sz val="10"/>
        <color theme="1"/>
        <rFont val="Arial"/>
        <family val="2"/>
      </rPr>
      <t>2023.12.31-2024.03.30</t>
    </r>
    <r>
      <rPr>
        <sz val="10"/>
        <color theme="1"/>
        <rFont val="宋体"/>
        <family val="3"/>
        <charset val="134"/>
      </rPr>
      <t>物业费</t>
    </r>
  </si>
  <si>
    <t>2024.03.31-06.29</t>
  </si>
  <si>
    <r>
      <rPr>
        <sz val="10"/>
        <color theme="1"/>
        <rFont val="Arial"/>
        <family val="2"/>
      </rPr>
      <t>2024.03.20</t>
    </r>
    <r>
      <rPr>
        <sz val="10"/>
        <color theme="1"/>
        <rFont val="宋体"/>
        <family val="3"/>
        <charset val="134"/>
      </rPr>
      <t>交</t>
    </r>
    <r>
      <rPr>
        <sz val="10"/>
        <color theme="1"/>
        <rFont val="Arial"/>
        <family val="2"/>
      </rPr>
      <t>2024.03.31-06.29</t>
    </r>
  </si>
  <si>
    <t>2024.06.30-09.29</t>
  </si>
  <si>
    <r>
      <rPr>
        <sz val="10"/>
        <color theme="1"/>
        <rFont val="Arial"/>
        <family val="2"/>
      </rPr>
      <t>2024.06.07</t>
    </r>
    <r>
      <rPr>
        <sz val="10"/>
        <color theme="1"/>
        <rFont val="宋体"/>
        <family val="3"/>
        <charset val="134"/>
      </rPr>
      <t>交</t>
    </r>
    <r>
      <rPr>
        <sz val="10"/>
        <color theme="1"/>
        <rFont val="Arial"/>
        <family val="2"/>
      </rPr>
      <t>2024.06.30-09.29</t>
    </r>
  </si>
  <si>
    <t>2024.09.30-12.30</t>
  </si>
  <si>
    <r>
      <rPr>
        <sz val="10"/>
        <color theme="1"/>
        <rFont val="Arial"/>
        <family val="2"/>
      </rPr>
      <t>2024.09.20</t>
    </r>
    <r>
      <rPr>
        <sz val="10"/>
        <color theme="1"/>
        <rFont val="宋体"/>
        <family val="3"/>
        <charset val="134"/>
      </rPr>
      <t>交</t>
    </r>
    <r>
      <rPr>
        <sz val="10"/>
        <color theme="1"/>
        <rFont val="Arial"/>
        <family val="2"/>
      </rPr>
      <t>2024.09.30-12.30</t>
    </r>
  </si>
  <si>
    <t>2024.12.31-2025.03.30</t>
  </si>
  <si>
    <t>2025.01.01-03.30</t>
  </si>
  <si>
    <r>
      <rPr>
        <sz val="10"/>
        <rFont val="宋体"/>
        <family val="3"/>
        <charset val="134"/>
      </rPr>
      <t>北京方正艾普信息系统有限公司</t>
    </r>
  </si>
  <si>
    <t>20231229-02180</t>
  </si>
  <si>
    <r>
      <rPr>
        <sz val="10"/>
        <rFont val="宋体"/>
        <family val="3"/>
        <charset val="134"/>
      </rPr>
      <t>北京方正智星科技有限公司</t>
    </r>
  </si>
  <si>
    <t>20231229-02181</t>
  </si>
  <si>
    <t>1704-05</t>
  </si>
  <si>
    <r>
      <rPr>
        <sz val="10"/>
        <rFont val="宋体"/>
        <family val="3"/>
        <charset val="134"/>
      </rPr>
      <t>北京场圈科技有限公司</t>
    </r>
  </si>
  <si>
    <t>20231222-02078</t>
  </si>
  <si>
    <t>2023.12.25</t>
  </si>
  <si>
    <t>2025.12.24</t>
  </si>
  <si>
    <t>2024.01.25-02.24</t>
  </si>
  <si>
    <r>
      <rPr>
        <sz val="10"/>
        <color theme="1"/>
        <rFont val="Arial"/>
        <family val="2"/>
      </rPr>
      <t>2024.01.08</t>
    </r>
    <r>
      <rPr>
        <sz val="10"/>
        <color theme="1"/>
        <rFont val="宋体"/>
        <family val="3"/>
        <charset val="134"/>
      </rPr>
      <t>交</t>
    </r>
    <r>
      <rPr>
        <sz val="10"/>
        <color theme="1"/>
        <rFont val="Arial"/>
        <family val="2"/>
      </rPr>
      <t>2024.01.25-02.24</t>
    </r>
  </si>
  <si>
    <t>2024.02.25-03.24</t>
  </si>
  <si>
    <r>
      <rPr>
        <sz val="10"/>
        <color theme="1"/>
        <rFont val="Arial"/>
        <family val="2"/>
      </rPr>
      <t>2024.02.21</t>
    </r>
    <r>
      <rPr>
        <sz val="10"/>
        <color theme="1"/>
        <rFont val="宋体"/>
        <family val="3"/>
        <charset val="134"/>
      </rPr>
      <t>交</t>
    </r>
    <r>
      <rPr>
        <sz val="10"/>
        <color theme="1"/>
        <rFont val="Arial"/>
        <family val="2"/>
      </rPr>
      <t>2024.02.25-03.24</t>
    </r>
  </si>
  <si>
    <t>2024.03.25-04.24</t>
  </si>
  <si>
    <r>
      <rPr>
        <sz val="10"/>
        <color theme="1"/>
        <rFont val="Arial"/>
        <family val="2"/>
      </rPr>
      <t>2024.03.11</t>
    </r>
    <r>
      <rPr>
        <sz val="10"/>
        <color theme="1"/>
        <rFont val="宋体"/>
        <family val="3"/>
        <charset val="134"/>
      </rPr>
      <t>交</t>
    </r>
    <r>
      <rPr>
        <sz val="10"/>
        <color theme="1"/>
        <rFont val="Arial"/>
        <family val="2"/>
      </rPr>
      <t>2024.03.25-04.24</t>
    </r>
  </si>
  <si>
    <t>2024.04.25-05.24</t>
  </si>
  <si>
    <r>
      <rPr>
        <sz val="10"/>
        <color theme="1"/>
        <rFont val="Arial"/>
        <family val="2"/>
      </rPr>
      <t>2024.04.10</t>
    </r>
    <r>
      <rPr>
        <sz val="10"/>
        <color theme="1"/>
        <rFont val="宋体"/>
        <family val="3"/>
        <charset val="134"/>
      </rPr>
      <t>交</t>
    </r>
    <r>
      <rPr>
        <sz val="10"/>
        <color theme="1"/>
        <rFont val="Arial"/>
        <family val="2"/>
      </rPr>
      <t>2024.04.25-05.24</t>
    </r>
  </si>
  <si>
    <t>2024.05.25-06.24</t>
  </si>
  <si>
    <r>
      <rPr>
        <sz val="10"/>
        <color theme="1"/>
        <rFont val="Arial"/>
        <family val="2"/>
      </rPr>
      <t>2024.05.20</t>
    </r>
    <r>
      <rPr>
        <sz val="10"/>
        <color theme="1"/>
        <rFont val="宋体"/>
        <family val="3"/>
        <charset val="134"/>
      </rPr>
      <t>交</t>
    </r>
    <r>
      <rPr>
        <sz val="10"/>
        <color theme="1"/>
        <rFont val="Arial"/>
        <family val="2"/>
      </rPr>
      <t>2024.05.25-06.24</t>
    </r>
  </si>
  <si>
    <t>2024.06.25-07.24</t>
  </si>
  <si>
    <r>
      <rPr>
        <sz val="10"/>
        <color theme="1"/>
        <rFont val="Arial"/>
        <family val="2"/>
      </rPr>
      <t>2024.06.11</t>
    </r>
    <r>
      <rPr>
        <sz val="10"/>
        <color theme="1"/>
        <rFont val="宋体"/>
        <family val="3"/>
        <charset val="134"/>
      </rPr>
      <t>交</t>
    </r>
    <r>
      <rPr>
        <sz val="10"/>
        <color theme="1"/>
        <rFont val="Arial"/>
        <family val="2"/>
      </rPr>
      <t>2024.06.25-07.24</t>
    </r>
  </si>
  <si>
    <t>2024.07.25-08.24</t>
  </si>
  <si>
    <r>
      <rPr>
        <sz val="10"/>
        <color theme="1"/>
        <rFont val="Arial"/>
        <family val="2"/>
      </rPr>
      <t>2024.07.17</t>
    </r>
    <r>
      <rPr>
        <sz val="10"/>
        <color theme="1"/>
        <rFont val="宋体"/>
        <family val="3"/>
        <charset val="134"/>
      </rPr>
      <t>交</t>
    </r>
    <r>
      <rPr>
        <sz val="10"/>
        <color theme="1"/>
        <rFont val="Arial"/>
        <family val="2"/>
      </rPr>
      <t>2024.07.25-08.24</t>
    </r>
  </si>
  <si>
    <t>2024.08.25-09.24</t>
  </si>
  <si>
    <r>
      <rPr>
        <sz val="10"/>
        <color theme="1"/>
        <rFont val="Arial"/>
        <family val="2"/>
      </rPr>
      <t>2024.08.22</t>
    </r>
    <r>
      <rPr>
        <sz val="10"/>
        <color theme="1"/>
        <rFont val="宋体"/>
        <family val="3"/>
        <charset val="134"/>
      </rPr>
      <t>交</t>
    </r>
    <r>
      <rPr>
        <sz val="10"/>
        <color theme="1"/>
        <rFont val="Arial"/>
        <family val="2"/>
      </rPr>
      <t>2024.08.25-09.24</t>
    </r>
  </si>
  <si>
    <t>2024.09.25-10.24</t>
  </si>
  <si>
    <r>
      <rPr>
        <sz val="10"/>
        <color theme="1"/>
        <rFont val="Arial"/>
        <family val="2"/>
      </rPr>
      <t>2024.09.20</t>
    </r>
    <r>
      <rPr>
        <sz val="10"/>
        <color theme="1"/>
        <rFont val="宋体"/>
        <family val="3"/>
        <charset val="134"/>
      </rPr>
      <t>交</t>
    </r>
    <r>
      <rPr>
        <sz val="10"/>
        <color theme="1"/>
        <rFont val="Arial"/>
        <family val="2"/>
      </rPr>
      <t>2024.09.25-10.24</t>
    </r>
  </si>
  <si>
    <t>2024.10.25-11.24</t>
  </si>
  <si>
    <t>2024.11.25-12.24</t>
  </si>
  <si>
    <t>2024.12.25-2025.01.24</t>
  </si>
  <si>
    <t>2025.01.01-01.24</t>
  </si>
  <si>
    <t>2024.01.01-01.24</t>
  </si>
  <si>
    <t>1706-07</t>
  </si>
  <si>
    <r>
      <rPr>
        <sz val="10"/>
        <rFont val="宋体"/>
        <family val="3"/>
        <charset val="134"/>
      </rPr>
      <t>北京场圈有爱网络科技有限公司</t>
    </r>
  </si>
  <si>
    <t>20231222-02080</t>
  </si>
  <si>
    <t>1708-1</t>
  </si>
  <si>
    <r>
      <rPr>
        <sz val="10"/>
        <rFont val="宋体"/>
        <family val="3"/>
        <charset val="134"/>
      </rPr>
      <t>北京方正欣远科技有限公司</t>
    </r>
  </si>
  <si>
    <t>20231229-02182</t>
  </si>
  <si>
    <t>1708-2</t>
  </si>
  <si>
    <r>
      <rPr>
        <sz val="10"/>
        <rFont val="宋体"/>
        <family val="3"/>
        <charset val="134"/>
      </rPr>
      <t>北京方正智联科技有限公司</t>
    </r>
  </si>
  <si>
    <t>20231229-02183</t>
  </si>
  <si>
    <r>
      <rPr>
        <sz val="10"/>
        <rFont val="宋体"/>
        <family val="3"/>
        <charset val="134"/>
      </rPr>
      <t>海龙大厦</t>
    </r>
    <r>
      <rPr>
        <sz val="10"/>
        <rFont val="Arial"/>
        <family val="2"/>
      </rPr>
      <t>18</t>
    </r>
    <r>
      <rPr>
        <sz val="10"/>
        <rFont val="宋体"/>
        <family val="3"/>
        <charset val="134"/>
      </rPr>
      <t>层</t>
    </r>
  </si>
  <si>
    <t>1800-01</t>
  </si>
  <si>
    <t>20200421-00630</t>
  </si>
  <si>
    <t>2020.04.25</t>
  </si>
  <si>
    <t>2022.02.24</t>
  </si>
  <si>
    <r>
      <rPr>
        <sz val="10"/>
        <color theme="1"/>
        <rFont val="宋体"/>
        <family val="3"/>
        <charset val="134"/>
      </rPr>
      <t>客户</t>
    </r>
    <r>
      <rPr>
        <sz val="10"/>
        <color theme="1"/>
        <rFont val="Arial"/>
        <family val="2"/>
      </rPr>
      <t>2022.02.24</t>
    </r>
    <r>
      <rPr>
        <sz val="10"/>
        <color theme="1"/>
        <rFont val="宋体"/>
        <family val="3"/>
        <charset val="134"/>
      </rPr>
      <t>提前退租，押金转收入</t>
    </r>
  </si>
  <si>
    <t>1802-03</t>
  </si>
  <si>
    <t>20200421-00633</t>
  </si>
  <si>
    <t>1804-05</t>
  </si>
  <si>
    <t>20200421-00634</t>
  </si>
  <si>
    <t>1806-07</t>
  </si>
  <si>
    <t>20200421-00631</t>
  </si>
  <si>
    <t>20200421-00632</t>
  </si>
  <si>
    <r>
      <rPr>
        <sz val="10"/>
        <rFont val="宋体"/>
        <family val="3"/>
        <charset val="134"/>
      </rPr>
      <t>海龙大厦</t>
    </r>
    <r>
      <rPr>
        <sz val="10"/>
        <rFont val="Arial"/>
        <family val="2"/>
      </rPr>
      <t>1</t>
    </r>
    <r>
      <rPr>
        <sz val="10"/>
        <rFont val="宋体"/>
        <family val="3"/>
        <charset val="134"/>
      </rPr>
      <t>层</t>
    </r>
  </si>
  <si>
    <t>F100</t>
  </si>
  <si>
    <r>
      <rPr>
        <sz val="10"/>
        <rFont val="宋体"/>
        <family val="3"/>
        <charset val="134"/>
      </rPr>
      <t>北京星巴克咖啡有限公司（原北京龙宇天畅投资咨询有限公司）</t>
    </r>
  </si>
  <si>
    <r>
      <rPr>
        <sz val="10"/>
        <rFont val="Arial"/>
        <family val="2"/>
      </rPr>
      <t>20200721-01304</t>
    </r>
    <r>
      <rPr>
        <sz val="10"/>
        <rFont val="宋体"/>
        <family val="3"/>
        <charset val="134"/>
      </rPr>
      <t>（</t>
    </r>
    <r>
      <rPr>
        <sz val="10"/>
        <rFont val="Arial"/>
        <family val="2"/>
      </rPr>
      <t>ZLHT2016-02-240083</t>
    </r>
    <r>
      <rPr>
        <sz val="10"/>
        <rFont val="宋体"/>
        <family val="3"/>
        <charset val="134"/>
      </rPr>
      <t>）</t>
    </r>
  </si>
  <si>
    <t>2020.09.09</t>
  </si>
  <si>
    <t>2025.09.08</t>
  </si>
  <si>
    <r>
      <rPr>
        <sz val="10"/>
        <rFont val="Arial"/>
        <family val="2"/>
      </rPr>
      <t>120</t>
    </r>
    <r>
      <rPr>
        <sz val="10"/>
        <rFont val="宋体"/>
        <family val="3"/>
        <charset val="134"/>
      </rPr>
      <t>个月</t>
    </r>
  </si>
  <si>
    <r>
      <rPr>
        <sz val="10"/>
        <color theme="1"/>
        <rFont val="Arial"/>
        <family val="2"/>
      </rPr>
      <t>2024.01.12</t>
    </r>
    <r>
      <rPr>
        <sz val="10"/>
        <color theme="1"/>
        <rFont val="宋体"/>
        <family val="3"/>
        <charset val="134"/>
      </rPr>
      <t>交</t>
    </r>
    <r>
      <rPr>
        <sz val="10"/>
        <color theme="1"/>
        <rFont val="Arial"/>
        <family val="2"/>
      </rPr>
      <t>2024.02.01-02.29</t>
    </r>
  </si>
  <si>
    <r>
      <rPr>
        <sz val="10"/>
        <color theme="1"/>
        <rFont val="Arial"/>
        <family val="2"/>
      </rPr>
      <t>2024.04.12</t>
    </r>
    <r>
      <rPr>
        <sz val="10"/>
        <color theme="1"/>
        <rFont val="宋体"/>
        <family val="3"/>
        <charset val="134"/>
      </rPr>
      <t>交</t>
    </r>
    <r>
      <rPr>
        <sz val="10"/>
        <color theme="1"/>
        <rFont val="Arial"/>
        <family val="2"/>
      </rPr>
      <t>2024.05.01-05.31</t>
    </r>
  </si>
  <si>
    <r>
      <rPr>
        <sz val="10"/>
        <color theme="1"/>
        <rFont val="Arial"/>
        <family val="2"/>
      </rPr>
      <t>2024.05.20</t>
    </r>
    <r>
      <rPr>
        <sz val="10"/>
        <color theme="1"/>
        <rFont val="宋体"/>
        <family val="3"/>
        <charset val="134"/>
      </rPr>
      <t>交</t>
    </r>
    <r>
      <rPr>
        <sz val="10"/>
        <color theme="1"/>
        <rFont val="Arial"/>
        <family val="2"/>
      </rPr>
      <t>2024.06.01-06.30</t>
    </r>
  </si>
  <si>
    <r>
      <rPr>
        <sz val="10"/>
        <color theme="1"/>
        <rFont val="Arial"/>
        <family val="2"/>
      </rPr>
      <t>2024.08.16</t>
    </r>
    <r>
      <rPr>
        <sz val="10"/>
        <color theme="1"/>
        <rFont val="宋体"/>
        <family val="3"/>
        <charset val="134"/>
      </rPr>
      <t>交</t>
    </r>
    <r>
      <rPr>
        <sz val="10"/>
        <color theme="1"/>
        <rFont val="Arial"/>
        <family val="2"/>
      </rPr>
      <t>2024.09.01-09.31</t>
    </r>
  </si>
  <si>
    <r>
      <rPr>
        <sz val="10"/>
        <color theme="1"/>
        <rFont val="Arial"/>
        <family val="2"/>
      </rPr>
      <t>2024.09.11/09.13</t>
    </r>
    <r>
      <rPr>
        <sz val="10"/>
        <color theme="1"/>
        <rFont val="宋体"/>
        <family val="3"/>
        <charset val="134"/>
      </rPr>
      <t>交</t>
    </r>
    <r>
      <rPr>
        <sz val="10"/>
        <color theme="1"/>
        <rFont val="Arial"/>
        <family val="2"/>
      </rPr>
      <t>2024.10.01-10.31</t>
    </r>
  </si>
  <si>
    <t>F118A</t>
  </si>
  <si>
    <r>
      <rPr>
        <sz val="10"/>
        <rFont val="宋体"/>
        <family val="3"/>
        <charset val="134"/>
      </rPr>
      <t>北京城明利达科技有限公司</t>
    </r>
  </si>
  <si>
    <t>20240306-00308</t>
  </si>
  <si>
    <t>2024.03.10</t>
  </si>
  <si>
    <t>2025.03.09</t>
  </si>
  <si>
    <r>
      <rPr>
        <sz val="10"/>
        <rFont val="Arial"/>
        <family val="2"/>
      </rPr>
      <t>48</t>
    </r>
    <r>
      <rPr>
        <sz val="10"/>
        <rFont val="宋体"/>
        <family val="3"/>
        <charset val="134"/>
      </rPr>
      <t>个月</t>
    </r>
  </si>
  <si>
    <r>
      <rPr>
        <sz val="10"/>
        <rFont val="Arial"/>
        <family val="2"/>
      </rPr>
      <t>2024.03.01-03.09</t>
    </r>
    <r>
      <rPr>
        <sz val="10"/>
        <rFont val="宋体"/>
        <family val="3"/>
        <charset val="134"/>
      </rPr>
      <t>、到期</t>
    </r>
  </si>
  <si>
    <r>
      <rPr>
        <sz val="10"/>
        <color theme="1"/>
        <rFont val="Arial"/>
        <family val="2"/>
      </rPr>
      <t>2024.02.20</t>
    </r>
    <r>
      <rPr>
        <sz val="10"/>
        <color theme="1"/>
        <rFont val="宋体"/>
        <family val="3"/>
        <charset val="134"/>
      </rPr>
      <t>交</t>
    </r>
    <r>
      <rPr>
        <sz val="10"/>
        <color theme="1"/>
        <rFont val="Arial"/>
        <family val="2"/>
      </rPr>
      <t>2024.03.01-03.09</t>
    </r>
    <r>
      <rPr>
        <sz val="10"/>
        <color theme="1"/>
        <rFont val="宋体"/>
        <family val="3"/>
        <charset val="134"/>
      </rPr>
      <t>、到期</t>
    </r>
  </si>
  <si>
    <t>2024.03.10-05.09</t>
  </si>
  <si>
    <r>
      <rPr>
        <sz val="10"/>
        <color theme="1"/>
        <rFont val="Arial"/>
        <family val="2"/>
      </rPr>
      <t>2024.03.13</t>
    </r>
    <r>
      <rPr>
        <sz val="10"/>
        <color theme="1"/>
        <rFont val="宋体"/>
        <family val="3"/>
        <charset val="134"/>
      </rPr>
      <t>交</t>
    </r>
    <r>
      <rPr>
        <sz val="10"/>
        <color theme="1"/>
        <rFont val="Arial"/>
        <family val="2"/>
      </rPr>
      <t>2024.03.10-05.09</t>
    </r>
  </si>
  <si>
    <t>2024.05.10-06.09</t>
  </si>
  <si>
    <r>
      <rPr>
        <sz val="10"/>
        <color theme="1"/>
        <rFont val="Arial"/>
        <family val="2"/>
      </rPr>
      <t>2024.04.12</t>
    </r>
    <r>
      <rPr>
        <sz val="10"/>
        <color theme="1"/>
        <rFont val="宋体"/>
        <family val="3"/>
        <charset val="134"/>
      </rPr>
      <t>交</t>
    </r>
    <r>
      <rPr>
        <sz val="10"/>
        <color theme="1"/>
        <rFont val="Arial"/>
        <family val="2"/>
      </rPr>
      <t>2024.05.10-06.09</t>
    </r>
  </si>
  <si>
    <t>2024.06.10-07.09</t>
  </si>
  <si>
    <r>
      <rPr>
        <sz val="10"/>
        <color theme="1"/>
        <rFont val="Arial"/>
        <family val="2"/>
      </rPr>
      <t>2024.05.20</t>
    </r>
    <r>
      <rPr>
        <sz val="10"/>
        <color theme="1"/>
        <rFont val="宋体"/>
        <family val="3"/>
        <charset val="134"/>
      </rPr>
      <t>交</t>
    </r>
    <r>
      <rPr>
        <sz val="10"/>
        <color theme="1"/>
        <rFont val="Arial"/>
        <family val="2"/>
      </rPr>
      <t>2024.06.10-07.09</t>
    </r>
  </si>
  <si>
    <t>2024.07.10-08.09</t>
  </si>
  <si>
    <r>
      <rPr>
        <sz val="10"/>
        <color theme="1"/>
        <rFont val="Arial"/>
        <family val="2"/>
      </rPr>
      <t>2024.06.18</t>
    </r>
    <r>
      <rPr>
        <sz val="10"/>
        <color theme="1"/>
        <rFont val="宋体"/>
        <family val="3"/>
        <charset val="134"/>
      </rPr>
      <t>交</t>
    </r>
    <r>
      <rPr>
        <sz val="10"/>
        <color theme="1"/>
        <rFont val="Arial"/>
        <family val="2"/>
      </rPr>
      <t>2024.07.10-08.09</t>
    </r>
  </si>
  <si>
    <t>2024.08.10-09.09</t>
  </si>
  <si>
    <r>
      <rPr>
        <sz val="10"/>
        <color theme="1"/>
        <rFont val="Arial"/>
        <family val="2"/>
      </rPr>
      <t>2024.07.15</t>
    </r>
    <r>
      <rPr>
        <sz val="10"/>
        <color theme="1"/>
        <rFont val="宋体"/>
        <family val="3"/>
        <charset val="134"/>
      </rPr>
      <t>交</t>
    </r>
    <r>
      <rPr>
        <sz val="10"/>
        <color theme="1"/>
        <rFont val="Arial"/>
        <family val="2"/>
      </rPr>
      <t>2024.08.10-09.09</t>
    </r>
  </si>
  <si>
    <t>2024.09.10-10.09</t>
  </si>
  <si>
    <r>
      <rPr>
        <sz val="10"/>
        <color theme="1"/>
        <rFont val="Arial"/>
        <family val="2"/>
      </rPr>
      <t>2024.08.16</t>
    </r>
    <r>
      <rPr>
        <sz val="10"/>
        <color theme="1"/>
        <rFont val="宋体"/>
        <family val="3"/>
        <charset val="134"/>
      </rPr>
      <t>交</t>
    </r>
    <r>
      <rPr>
        <sz val="10"/>
        <color theme="1"/>
        <rFont val="Arial"/>
        <family val="2"/>
      </rPr>
      <t>2024.09.10-10.09</t>
    </r>
  </si>
  <si>
    <t>2024.10.10-11.09</t>
  </si>
  <si>
    <r>
      <rPr>
        <sz val="10"/>
        <color theme="1"/>
        <rFont val="Arial"/>
        <family val="2"/>
      </rPr>
      <t>2024.09.18</t>
    </r>
    <r>
      <rPr>
        <sz val="10"/>
        <color theme="1"/>
        <rFont val="宋体"/>
        <family val="3"/>
        <charset val="134"/>
      </rPr>
      <t>交</t>
    </r>
    <r>
      <rPr>
        <sz val="10"/>
        <color theme="1"/>
        <rFont val="Arial"/>
        <family val="2"/>
      </rPr>
      <t>2024.10.10-11.09</t>
    </r>
  </si>
  <si>
    <t>2024.11.10-12.09</t>
  </si>
  <si>
    <t>2024.12.10-2025.01.09</t>
  </si>
  <si>
    <t>2025.01.10-02.09</t>
  </si>
  <si>
    <t>F118B</t>
  </si>
  <si>
    <r>
      <rPr>
        <sz val="10"/>
        <rFont val="宋体"/>
        <family val="3"/>
        <charset val="134"/>
      </rPr>
      <t>易家合众（北京）信息科技有限公司</t>
    </r>
  </si>
  <si>
    <t>20230707-01114</t>
  </si>
  <si>
    <t>2023.09.09</t>
  </si>
  <si>
    <r>
      <rPr>
        <sz val="10"/>
        <color theme="1"/>
        <rFont val="Arial"/>
        <family val="2"/>
      </rPr>
      <t>2023.07.15</t>
    </r>
    <r>
      <rPr>
        <sz val="10"/>
        <color theme="1"/>
        <rFont val="宋体"/>
        <family val="3"/>
        <charset val="134"/>
      </rPr>
      <t>交</t>
    </r>
    <r>
      <rPr>
        <sz val="10"/>
        <color theme="1"/>
        <rFont val="Arial"/>
        <family val="2"/>
      </rPr>
      <t>2023.07.10-09.09</t>
    </r>
  </si>
  <si>
    <t>B01-02</t>
  </si>
  <si>
    <r>
      <rPr>
        <sz val="10"/>
        <rFont val="Arial"/>
        <family val="2"/>
      </rPr>
      <t>3</t>
    </r>
    <r>
      <rPr>
        <sz val="10"/>
        <rFont val="宋体"/>
        <family val="3"/>
        <charset val="134"/>
      </rPr>
      <t>个月</t>
    </r>
  </si>
  <si>
    <r>
      <rPr>
        <sz val="10"/>
        <color theme="1"/>
        <rFont val="Arial"/>
        <family val="2"/>
      </rPr>
      <t>2019.10.22</t>
    </r>
    <r>
      <rPr>
        <sz val="10"/>
        <color theme="1"/>
        <rFont val="宋体"/>
        <family val="3"/>
        <charset val="134"/>
      </rPr>
      <t>交</t>
    </r>
    <r>
      <rPr>
        <sz val="10"/>
        <color theme="1"/>
        <rFont val="Arial"/>
        <family val="2"/>
      </rPr>
      <t>2019.10.01-12.31/</t>
    </r>
    <r>
      <rPr>
        <sz val="10"/>
        <color theme="1"/>
        <rFont val="宋体"/>
        <family val="3"/>
        <charset val="134"/>
      </rPr>
      <t>到期</t>
    </r>
  </si>
  <si>
    <t>B04-05</t>
  </si>
  <si>
    <r>
      <rPr>
        <sz val="10"/>
        <rFont val="宋体"/>
        <family val="3"/>
        <charset val="134"/>
      </rPr>
      <t>北京瑞吉咖啡有限公司</t>
    </r>
  </si>
  <si>
    <t>20230919-01480</t>
  </si>
  <si>
    <r>
      <rPr>
        <sz val="10"/>
        <color theme="1"/>
        <rFont val="Arial"/>
        <family val="2"/>
      </rPr>
      <t>2023.11.22</t>
    </r>
    <r>
      <rPr>
        <sz val="10"/>
        <color theme="1"/>
        <rFont val="宋体"/>
        <family val="3"/>
        <charset val="134"/>
      </rPr>
      <t>预收</t>
    </r>
    <r>
      <rPr>
        <sz val="10"/>
        <color theme="1"/>
        <rFont val="Arial"/>
        <family val="2"/>
      </rPr>
      <t>2024.01.01-03.31</t>
    </r>
  </si>
  <si>
    <r>
      <rPr>
        <sz val="10"/>
        <color theme="1"/>
        <rFont val="Arial"/>
        <family val="2"/>
      </rPr>
      <t>2024.02.21</t>
    </r>
    <r>
      <rPr>
        <sz val="10"/>
        <color theme="1"/>
        <rFont val="宋体"/>
        <family val="3"/>
        <charset val="134"/>
      </rPr>
      <t>预收</t>
    </r>
    <r>
      <rPr>
        <sz val="10"/>
        <color theme="1"/>
        <rFont val="Arial"/>
        <family val="2"/>
      </rPr>
      <t>2024.04.01-06.30</t>
    </r>
  </si>
  <si>
    <r>
      <rPr>
        <sz val="10"/>
        <color theme="1"/>
        <rFont val="Arial"/>
        <family val="2"/>
      </rPr>
      <t>2024.05.21</t>
    </r>
    <r>
      <rPr>
        <sz val="10"/>
        <color theme="1"/>
        <rFont val="宋体"/>
        <family val="3"/>
        <charset val="134"/>
      </rPr>
      <t>预收</t>
    </r>
    <r>
      <rPr>
        <sz val="10"/>
        <color theme="1"/>
        <rFont val="Arial"/>
        <family val="2"/>
      </rPr>
      <t>2024.07.01-09.30</t>
    </r>
  </si>
  <si>
    <r>
      <rPr>
        <sz val="10"/>
        <color theme="1"/>
        <rFont val="Arial"/>
        <family val="2"/>
      </rPr>
      <t>2024.08.22</t>
    </r>
    <r>
      <rPr>
        <sz val="10"/>
        <color theme="1"/>
        <rFont val="宋体"/>
        <family val="3"/>
        <charset val="134"/>
      </rPr>
      <t>预收</t>
    </r>
    <r>
      <rPr>
        <sz val="10"/>
        <color theme="1"/>
        <rFont val="Arial"/>
        <family val="2"/>
      </rPr>
      <t>2024.10.01-12.31</t>
    </r>
  </si>
  <si>
    <t>B03</t>
  </si>
  <si>
    <r>
      <rPr>
        <sz val="10"/>
        <rFont val="宋体"/>
        <family val="3"/>
        <charset val="134"/>
      </rPr>
      <t>北京市海淀区人民政府海淀街道办事处</t>
    </r>
  </si>
  <si>
    <t>20230908-01423</t>
  </si>
  <si>
    <t>2023.09.08</t>
  </si>
  <si>
    <t>2025.09.07</t>
  </si>
  <si>
    <r>
      <rPr>
        <sz val="10"/>
        <rFont val="Arial"/>
        <family val="2"/>
      </rPr>
      <t>51</t>
    </r>
    <r>
      <rPr>
        <sz val="10"/>
        <rFont val="宋体"/>
        <family val="3"/>
        <charset val="134"/>
      </rPr>
      <t>个月</t>
    </r>
    <r>
      <rPr>
        <sz val="10"/>
        <rFont val="Arial"/>
        <family val="2"/>
      </rPr>
      <t>5</t>
    </r>
    <r>
      <rPr>
        <sz val="10"/>
        <rFont val="宋体"/>
        <family val="3"/>
        <charset val="134"/>
      </rPr>
      <t>天</t>
    </r>
  </si>
  <si>
    <r>
      <rPr>
        <sz val="10"/>
        <rFont val="宋体"/>
        <family val="3"/>
        <charset val="134"/>
      </rPr>
      <t>年付提前</t>
    </r>
    <r>
      <rPr>
        <sz val="10"/>
        <rFont val="Arial"/>
        <family val="2"/>
      </rPr>
      <t>30</t>
    </r>
    <r>
      <rPr>
        <sz val="10"/>
        <rFont val="宋体"/>
        <family val="3"/>
        <charset val="134"/>
      </rPr>
      <t>日</t>
    </r>
  </si>
  <si>
    <r>
      <rPr>
        <sz val="10"/>
        <color theme="1"/>
        <rFont val="Arial"/>
        <family val="2"/>
      </rPr>
      <t>2023.10.23</t>
    </r>
    <r>
      <rPr>
        <sz val="10"/>
        <color theme="1"/>
        <rFont val="宋体"/>
        <family val="3"/>
        <charset val="134"/>
      </rPr>
      <t>交</t>
    </r>
    <r>
      <rPr>
        <sz val="10"/>
        <color theme="1"/>
        <rFont val="Arial"/>
        <family val="2"/>
      </rPr>
      <t>2023.09.08-2024.09.07</t>
    </r>
  </si>
  <si>
    <r>
      <rPr>
        <sz val="10"/>
        <rFont val="Arial"/>
        <family val="2"/>
      </rPr>
      <t>2024.09.08-2025.09.07</t>
    </r>
    <r>
      <rPr>
        <sz val="10"/>
        <rFont val="宋体"/>
        <family val="3"/>
        <charset val="134"/>
      </rPr>
      <t>、到期</t>
    </r>
  </si>
  <si>
    <r>
      <rPr>
        <sz val="10"/>
        <color theme="1"/>
        <rFont val="Arial"/>
        <family val="2"/>
      </rPr>
      <t>2023.08.28</t>
    </r>
    <r>
      <rPr>
        <sz val="10"/>
        <color theme="1"/>
        <rFont val="宋体"/>
        <family val="3"/>
        <charset val="134"/>
      </rPr>
      <t>交</t>
    </r>
    <r>
      <rPr>
        <sz val="10"/>
        <color theme="1"/>
        <rFont val="Arial"/>
        <family val="2"/>
      </rPr>
      <t>2024.09.08-2025.09.07</t>
    </r>
    <r>
      <rPr>
        <sz val="10"/>
        <color theme="1"/>
        <rFont val="宋体"/>
        <family val="3"/>
        <charset val="134"/>
      </rPr>
      <t>、到期</t>
    </r>
  </si>
  <si>
    <r>
      <rPr>
        <sz val="10"/>
        <rFont val="Arial"/>
        <family val="2"/>
      </rPr>
      <t>2025.01.01-2025.09.07</t>
    </r>
    <r>
      <rPr>
        <sz val="10"/>
        <rFont val="宋体"/>
        <family val="3"/>
        <charset val="134"/>
      </rPr>
      <t>、到期</t>
    </r>
  </si>
  <si>
    <t>2024.01.01-09.07</t>
  </si>
  <si>
    <t>C01-03</t>
  </si>
  <si>
    <r>
      <rPr>
        <sz val="10"/>
        <color theme="1"/>
        <rFont val="Arial"/>
        <family val="2"/>
      </rPr>
      <t>2022.01.05</t>
    </r>
    <r>
      <rPr>
        <sz val="10"/>
        <color theme="1"/>
        <rFont val="宋体"/>
        <family val="3"/>
        <charset val="134"/>
      </rPr>
      <t>交</t>
    </r>
    <r>
      <rPr>
        <sz val="10"/>
        <color theme="1"/>
        <rFont val="Arial"/>
        <family val="2"/>
      </rPr>
      <t>2023.02.01-03.07</t>
    </r>
    <r>
      <rPr>
        <sz val="10"/>
        <color theme="1"/>
        <rFont val="宋体"/>
        <family val="3"/>
        <charset val="134"/>
      </rPr>
      <t>、到期</t>
    </r>
  </si>
  <si>
    <t>C04-06</t>
  </si>
  <si>
    <t>北京中关创业科技发展有限公司</t>
  </si>
  <si>
    <t xml:space="preserve">20180314-00521 </t>
  </si>
  <si>
    <t>2018.03.16</t>
  </si>
  <si>
    <t>2023.03.15</t>
  </si>
  <si>
    <r>
      <rPr>
        <sz val="10"/>
        <color theme="1"/>
        <rFont val="Arial"/>
        <family val="2"/>
      </rPr>
      <t>2023.02.17</t>
    </r>
    <r>
      <rPr>
        <sz val="10"/>
        <color theme="1"/>
        <rFont val="宋体"/>
        <family val="3"/>
        <charset val="134"/>
      </rPr>
      <t>交</t>
    </r>
    <r>
      <rPr>
        <sz val="10"/>
        <color theme="1"/>
        <rFont val="Arial"/>
        <family val="2"/>
      </rPr>
      <t>2023.03.01-03.15</t>
    </r>
    <r>
      <rPr>
        <sz val="10"/>
        <color theme="1"/>
        <rFont val="宋体"/>
        <family val="3"/>
        <charset val="134"/>
      </rPr>
      <t>、到期</t>
    </r>
  </si>
  <si>
    <t>B17</t>
  </si>
  <si>
    <r>
      <rPr>
        <sz val="10"/>
        <rFont val="宋体"/>
        <family val="3"/>
        <charset val="134"/>
      </rPr>
      <t>北京鑫海岸商贸有限公司</t>
    </r>
  </si>
  <si>
    <t>20231220-02057</t>
  </si>
  <si>
    <t>2024.02.01-2025.01.31</t>
  </si>
  <si>
    <r>
      <rPr>
        <sz val="10"/>
        <color theme="1"/>
        <rFont val="Arial"/>
        <family val="2"/>
      </rPr>
      <t>2024.01.04</t>
    </r>
    <r>
      <rPr>
        <sz val="10"/>
        <color theme="1"/>
        <rFont val="宋体"/>
        <family val="3"/>
        <charset val="134"/>
      </rPr>
      <t>交</t>
    </r>
    <r>
      <rPr>
        <sz val="10"/>
        <color theme="1"/>
        <rFont val="Arial"/>
        <family val="2"/>
      </rPr>
      <t>2024.02.01-2025.01.31</t>
    </r>
  </si>
  <si>
    <r>
      <rPr>
        <sz val="10"/>
        <color theme="1"/>
        <rFont val="宋体"/>
        <family val="3"/>
        <charset val="134"/>
      </rPr>
      <t>延长</t>
    </r>
    <r>
      <rPr>
        <sz val="10"/>
        <color theme="1"/>
        <rFont val="Arial"/>
        <family val="2"/>
      </rPr>
      <t>1</t>
    </r>
    <r>
      <rPr>
        <sz val="10"/>
        <color theme="1"/>
        <rFont val="宋体"/>
        <family val="3"/>
        <charset val="134"/>
      </rPr>
      <t>月</t>
    </r>
  </si>
  <si>
    <t>01A</t>
  </si>
  <si>
    <t>纪委谈话室</t>
  </si>
  <si>
    <r>
      <rPr>
        <sz val="10"/>
        <color theme="1"/>
        <rFont val="Arial"/>
        <family val="2"/>
      </rPr>
      <t>2019.08.16</t>
    </r>
    <r>
      <rPr>
        <sz val="10"/>
        <color theme="1"/>
        <rFont val="宋体"/>
        <family val="3"/>
        <charset val="134"/>
      </rPr>
      <t>交</t>
    </r>
    <r>
      <rPr>
        <sz val="10"/>
        <color theme="1"/>
        <rFont val="Arial"/>
        <family val="2"/>
      </rPr>
      <t>2019.09.01-11.15/</t>
    </r>
    <r>
      <rPr>
        <sz val="10"/>
        <color theme="1"/>
        <rFont val="宋体"/>
        <family val="3"/>
        <charset val="134"/>
      </rPr>
      <t>退租</t>
    </r>
  </si>
  <si>
    <r>
      <rPr>
        <b/>
        <sz val="10"/>
        <rFont val="Arial"/>
        <family val="2"/>
      </rPr>
      <t>1</t>
    </r>
    <r>
      <rPr>
        <b/>
        <sz val="10"/>
        <rFont val="宋体"/>
        <family val="3"/>
        <charset val="134"/>
      </rPr>
      <t>、</t>
    </r>
    <r>
      <rPr>
        <b/>
        <sz val="10"/>
        <rFont val="Arial"/>
        <family val="2"/>
      </rPr>
      <t>7-18</t>
    </r>
    <r>
      <rPr>
        <b/>
        <sz val="10"/>
        <rFont val="宋体"/>
        <family val="3"/>
        <charset val="134"/>
      </rPr>
      <t>层租金合计</t>
    </r>
  </si>
  <si>
    <r>
      <rPr>
        <sz val="10"/>
        <color theme="1"/>
        <rFont val="宋体"/>
        <family val="3"/>
        <charset val="134"/>
      </rPr>
      <t>食堂</t>
    </r>
  </si>
  <si>
    <r>
      <rPr>
        <sz val="10"/>
        <color theme="1"/>
        <rFont val="宋体"/>
        <family val="3"/>
        <charset val="134"/>
      </rPr>
      <t>占</t>
    </r>
  </si>
  <si>
    <r>
      <rPr>
        <b/>
        <sz val="11"/>
        <color theme="1"/>
        <rFont val="宋体"/>
        <family val="3"/>
        <charset val="134"/>
      </rPr>
      <t>中天：</t>
    </r>
  </si>
  <si>
    <r>
      <rPr>
        <sz val="10"/>
        <color theme="1"/>
        <rFont val="宋体"/>
        <family val="3"/>
        <charset val="134"/>
      </rPr>
      <t>中天</t>
    </r>
    <r>
      <rPr>
        <sz val="10"/>
        <color theme="1"/>
        <rFont val="Arial"/>
        <family val="2"/>
      </rPr>
      <t>2-6</t>
    </r>
    <r>
      <rPr>
        <sz val="10"/>
        <color theme="1"/>
        <rFont val="宋体"/>
        <family val="3"/>
        <charset val="134"/>
      </rPr>
      <t>层差异</t>
    </r>
  </si>
  <si>
    <t>其他收入</t>
  </si>
  <si>
    <r>
      <rPr>
        <b/>
        <sz val="11"/>
        <color theme="1"/>
        <rFont val="宋体"/>
        <family val="3"/>
        <charset val="134"/>
      </rPr>
      <t>合计：</t>
    </r>
  </si>
  <si>
    <r>
      <rPr>
        <sz val="10"/>
        <color theme="1"/>
        <rFont val="宋体"/>
        <family val="3"/>
        <charset val="134"/>
      </rPr>
      <t>其他</t>
    </r>
    <r>
      <rPr>
        <sz val="10"/>
        <color theme="1"/>
        <rFont val="Arial"/>
        <family val="2"/>
      </rPr>
      <t>-</t>
    </r>
    <r>
      <rPr>
        <sz val="10"/>
        <color theme="1"/>
        <rFont val="宋体"/>
        <family val="3"/>
        <charset val="134"/>
      </rPr>
      <t>服务收入</t>
    </r>
  </si>
  <si>
    <r>
      <rPr>
        <sz val="10"/>
        <rFont val="宋体"/>
        <family val="3"/>
        <charset val="134"/>
      </rPr>
      <t>其他收入</t>
    </r>
    <r>
      <rPr>
        <sz val="10"/>
        <rFont val="Arial"/>
        <family val="2"/>
      </rPr>
      <t>-</t>
    </r>
    <r>
      <rPr>
        <sz val="10"/>
        <rFont val="宋体"/>
        <family val="3"/>
        <charset val="134"/>
      </rPr>
      <t>直播舱、其他</t>
    </r>
  </si>
  <si>
    <r>
      <rPr>
        <sz val="11"/>
        <color rgb="FFFF0000"/>
        <rFont val="宋体"/>
        <family val="3"/>
        <charset val="134"/>
      </rPr>
      <t>帮扶金额（含税）</t>
    </r>
  </si>
  <si>
    <r>
      <rPr>
        <sz val="11"/>
        <color rgb="FFFF0000"/>
        <rFont val="宋体"/>
        <family val="3"/>
        <charset val="134"/>
      </rPr>
      <t>帮扶金额（不含税）</t>
    </r>
  </si>
  <si>
    <r>
      <rPr>
        <sz val="10"/>
        <color theme="1"/>
        <rFont val="宋体"/>
        <family val="3"/>
        <charset val="134"/>
      </rPr>
      <t>其他</t>
    </r>
    <r>
      <rPr>
        <sz val="11"/>
        <color theme="1"/>
        <rFont val="Arial"/>
        <family val="2"/>
      </rPr>
      <t>-</t>
    </r>
    <r>
      <rPr>
        <sz val="11"/>
        <color theme="1"/>
        <rFont val="宋体"/>
        <family val="3"/>
        <charset val="134"/>
      </rPr>
      <t>直播舱、其他</t>
    </r>
  </si>
  <si>
    <r>
      <rPr>
        <sz val="10"/>
        <rFont val="宋体"/>
        <family val="3"/>
        <charset val="134"/>
      </rPr>
      <t>其他收入</t>
    </r>
    <r>
      <rPr>
        <sz val="10"/>
        <rFont val="Arial"/>
        <family val="2"/>
      </rPr>
      <t>-</t>
    </r>
    <r>
      <rPr>
        <sz val="10"/>
        <rFont val="宋体"/>
        <family val="3"/>
        <charset val="134"/>
      </rPr>
      <t>押金转收入</t>
    </r>
  </si>
  <si>
    <r>
      <rPr>
        <sz val="11"/>
        <rFont val="宋体"/>
        <family val="3"/>
        <charset val="134"/>
      </rPr>
      <t>海龙大厦</t>
    </r>
  </si>
  <si>
    <t>应收</t>
  </si>
  <si>
    <t>实收</t>
  </si>
  <si>
    <t>集团</t>
  </si>
  <si>
    <t>高科</t>
  </si>
  <si>
    <t>其他收入-装修恢复</t>
  </si>
  <si>
    <t>中天服务收入（中天2-6层应收表）</t>
  </si>
  <si>
    <t>潘家园大厦</t>
  </si>
  <si>
    <t>以前预收</t>
  </si>
  <si>
    <t>预收</t>
  </si>
  <si>
    <r>
      <rPr>
        <b/>
        <sz val="10"/>
        <rFont val="Arial"/>
        <family val="2"/>
      </rPr>
      <t>1</t>
    </r>
    <r>
      <rPr>
        <b/>
        <sz val="10"/>
        <rFont val="宋体"/>
        <family val="3"/>
        <charset val="134"/>
      </rPr>
      <t>月租金账上余额</t>
    </r>
  </si>
  <si>
    <r>
      <rPr>
        <b/>
        <sz val="10"/>
        <rFont val="Arial"/>
        <family val="2"/>
      </rPr>
      <t>1</t>
    </r>
    <r>
      <rPr>
        <b/>
        <sz val="10"/>
        <rFont val="宋体"/>
        <family val="3"/>
        <charset val="134"/>
      </rPr>
      <t>月物业费账上余额</t>
    </r>
  </si>
  <si>
    <r>
      <rPr>
        <b/>
        <sz val="10"/>
        <rFont val="Arial"/>
        <family val="2"/>
      </rPr>
      <t>2</t>
    </r>
    <r>
      <rPr>
        <b/>
        <sz val="10"/>
        <rFont val="宋体"/>
        <family val="3"/>
        <charset val="134"/>
      </rPr>
      <t>月租金账上余额</t>
    </r>
  </si>
  <si>
    <r>
      <rPr>
        <b/>
        <sz val="10"/>
        <rFont val="Arial"/>
        <family val="2"/>
      </rPr>
      <t>2</t>
    </r>
    <r>
      <rPr>
        <b/>
        <sz val="10"/>
        <rFont val="宋体"/>
        <family val="3"/>
        <charset val="134"/>
      </rPr>
      <t>月物业费账上余额</t>
    </r>
  </si>
  <si>
    <r>
      <rPr>
        <b/>
        <sz val="10"/>
        <rFont val="Arial"/>
        <family val="2"/>
      </rPr>
      <t>3</t>
    </r>
    <r>
      <rPr>
        <b/>
        <sz val="10"/>
        <rFont val="宋体"/>
        <family val="3"/>
        <charset val="134"/>
      </rPr>
      <t>月租金账上余额</t>
    </r>
  </si>
  <si>
    <r>
      <rPr>
        <b/>
        <sz val="10"/>
        <rFont val="Arial"/>
        <family val="2"/>
      </rPr>
      <t>3</t>
    </r>
    <r>
      <rPr>
        <b/>
        <sz val="10"/>
        <rFont val="宋体"/>
        <family val="3"/>
        <charset val="134"/>
      </rPr>
      <t>月物业费账上余额</t>
    </r>
  </si>
  <si>
    <r>
      <rPr>
        <b/>
        <sz val="10"/>
        <rFont val="Arial"/>
        <family val="2"/>
      </rPr>
      <t>4</t>
    </r>
    <r>
      <rPr>
        <b/>
        <sz val="10"/>
        <rFont val="宋体"/>
        <family val="3"/>
        <charset val="134"/>
      </rPr>
      <t>月租金账上余额</t>
    </r>
  </si>
  <si>
    <r>
      <rPr>
        <b/>
        <sz val="10"/>
        <rFont val="Arial"/>
        <family val="2"/>
      </rPr>
      <t>4</t>
    </r>
    <r>
      <rPr>
        <b/>
        <sz val="10"/>
        <rFont val="宋体"/>
        <family val="3"/>
        <charset val="134"/>
      </rPr>
      <t>月物业费账上余额</t>
    </r>
  </si>
  <si>
    <r>
      <rPr>
        <b/>
        <sz val="10"/>
        <rFont val="Arial"/>
        <family val="2"/>
      </rPr>
      <t>5</t>
    </r>
    <r>
      <rPr>
        <b/>
        <sz val="10"/>
        <rFont val="宋体"/>
        <family val="3"/>
        <charset val="134"/>
      </rPr>
      <t>月租金账上余额</t>
    </r>
  </si>
  <si>
    <r>
      <rPr>
        <b/>
        <sz val="10"/>
        <rFont val="Arial"/>
        <family val="2"/>
      </rPr>
      <t>5</t>
    </r>
    <r>
      <rPr>
        <b/>
        <sz val="10"/>
        <rFont val="宋体"/>
        <family val="3"/>
        <charset val="134"/>
      </rPr>
      <t>月物业费账上余额</t>
    </r>
  </si>
  <si>
    <r>
      <rPr>
        <b/>
        <sz val="10"/>
        <rFont val="Arial"/>
        <family val="2"/>
      </rPr>
      <t>6</t>
    </r>
    <r>
      <rPr>
        <b/>
        <sz val="10"/>
        <rFont val="宋体"/>
        <family val="3"/>
        <charset val="134"/>
      </rPr>
      <t>月租金账上余额</t>
    </r>
  </si>
  <si>
    <r>
      <rPr>
        <b/>
        <sz val="10"/>
        <rFont val="Arial"/>
        <family val="2"/>
      </rPr>
      <t>6</t>
    </r>
    <r>
      <rPr>
        <b/>
        <sz val="10"/>
        <rFont val="宋体"/>
        <family val="3"/>
        <charset val="134"/>
      </rPr>
      <t>月物业费账上余额</t>
    </r>
  </si>
  <si>
    <r>
      <rPr>
        <b/>
        <sz val="10"/>
        <rFont val="Arial"/>
        <family val="2"/>
      </rPr>
      <t>7</t>
    </r>
    <r>
      <rPr>
        <b/>
        <sz val="10"/>
        <rFont val="宋体"/>
        <family val="3"/>
        <charset val="134"/>
      </rPr>
      <t>月租金账上余额</t>
    </r>
  </si>
  <si>
    <r>
      <rPr>
        <b/>
        <sz val="10"/>
        <rFont val="Arial"/>
        <family val="2"/>
      </rPr>
      <t>7</t>
    </r>
    <r>
      <rPr>
        <b/>
        <sz val="10"/>
        <rFont val="宋体"/>
        <family val="3"/>
        <charset val="134"/>
      </rPr>
      <t>月物业费账上余额</t>
    </r>
  </si>
  <si>
    <r>
      <rPr>
        <b/>
        <sz val="10"/>
        <rFont val="Arial"/>
        <family val="2"/>
      </rPr>
      <t>8</t>
    </r>
    <r>
      <rPr>
        <b/>
        <sz val="10"/>
        <rFont val="宋体"/>
        <family val="3"/>
        <charset val="134"/>
      </rPr>
      <t>月租金账上余额</t>
    </r>
  </si>
  <si>
    <r>
      <rPr>
        <b/>
        <sz val="10"/>
        <rFont val="Arial"/>
        <family val="2"/>
      </rPr>
      <t>8</t>
    </r>
    <r>
      <rPr>
        <b/>
        <sz val="10"/>
        <rFont val="宋体"/>
        <family val="3"/>
        <charset val="134"/>
      </rPr>
      <t>月物业费账上余额</t>
    </r>
  </si>
  <si>
    <r>
      <rPr>
        <b/>
        <sz val="10"/>
        <rFont val="Arial"/>
        <family val="2"/>
      </rPr>
      <t>9</t>
    </r>
    <r>
      <rPr>
        <b/>
        <sz val="10"/>
        <rFont val="宋体"/>
        <family val="3"/>
        <charset val="134"/>
      </rPr>
      <t>月租金账上余额</t>
    </r>
  </si>
  <si>
    <r>
      <rPr>
        <b/>
        <sz val="10"/>
        <rFont val="Arial"/>
        <family val="2"/>
      </rPr>
      <t>9</t>
    </r>
    <r>
      <rPr>
        <b/>
        <sz val="10"/>
        <rFont val="宋体"/>
        <family val="3"/>
        <charset val="134"/>
      </rPr>
      <t>月物业费账上余额</t>
    </r>
  </si>
  <si>
    <r>
      <rPr>
        <b/>
        <sz val="10"/>
        <rFont val="Arial"/>
        <family val="2"/>
      </rPr>
      <t>10</t>
    </r>
    <r>
      <rPr>
        <b/>
        <sz val="10"/>
        <rFont val="宋体"/>
        <family val="3"/>
        <charset val="134"/>
      </rPr>
      <t>月租金账上余额</t>
    </r>
  </si>
  <si>
    <r>
      <rPr>
        <b/>
        <sz val="10"/>
        <rFont val="Arial"/>
        <family val="2"/>
      </rPr>
      <t>10</t>
    </r>
    <r>
      <rPr>
        <b/>
        <sz val="10"/>
        <rFont val="宋体"/>
        <family val="3"/>
        <charset val="134"/>
      </rPr>
      <t>月物业费账上余额</t>
    </r>
  </si>
  <si>
    <r>
      <rPr>
        <b/>
        <sz val="10"/>
        <rFont val="Arial"/>
        <family val="2"/>
      </rPr>
      <t>11</t>
    </r>
    <r>
      <rPr>
        <b/>
        <sz val="10"/>
        <rFont val="宋体"/>
        <family val="3"/>
        <charset val="134"/>
      </rPr>
      <t>月租金账上余额</t>
    </r>
  </si>
  <si>
    <r>
      <rPr>
        <b/>
        <sz val="10"/>
        <rFont val="Arial"/>
        <family val="2"/>
      </rPr>
      <t>11</t>
    </r>
    <r>
      <rPr>
        <b/>
        <sz val="10"/>
        <rFont val="宋体"/>
        <family val="3"/>
        <charset val="134"/>
      </rPr>
      <t>月物业费账上余额</t>
    </r>
  </si>
  <si>
    <r>
      <rPr>
        <b/>
        <sz val="10"/>
        <rFont val="Arial"/>
        <family val="2"/>
      </rPr>
      <t>12</t>
    </r>
    <r>
      <rPr>
        <b/>
        <sz val="10"/>
        <rFont val="宋体"/>
        <family val="3"/>
        <charset val="134"/>
      </rPr>
      <t>月租金账上余额</t>
    </r>
  </si>
  <si>
    <r>
      <rPr>
        <b/>
        <sz val="10"/>
        <rFont val="Arial"/>
        <family val="2"/>
      </rPr>
      <t>12</t>
    </r>
    <r>
      <rPr>
        <b/>
        <sz val="10"/>
        <rFont val="宋体"/>
        <family val="3"/>
        <charset val="134"/>
      </rPr>
      <t>月物业费账上余额</t>
    </r>
  </si>
  <si>
    <t>当月预算差异</t>
  </si>
  <si>
    <r>
      <rPr>
        <sz val="10"/>
        <rFont val="宋体"/>
        <family val="3"/>
        <charset val="134"/>
      </rPr>
      <t>中天</t>
    </r>
    <r>
      <rPr>
        <sz val="10"/>
        <rFont val="Arial"/>
        <family val="2"/>
      </rPr>
      <t>2-6</t>
    </r>
    <r>
      <rPr>
        <sz val="10"/>
        <rFont val="宋体"/>
        <family val="3"/>
        <charset val="134"/>
      </rPr>
      <t>层累计差异（中天2-6层应收表）</t>
    </r>
  </si>
  <si>
    <t>科贸大厦</t>
  </si>
  <si>
    <t>收欠费</t>
  </si>
  <si>
    <t>调整欠费</t>
  </si>
  <si>
    <t>其他收入-装修恢复（海龙直播舱、其他表）</t>
  </si>
  <si>
    <r>
      <rPr>
        <sz val="11"/>
        <rFont val="宋体"/>
        <family val="3"/>
        <charset val="134"/>
      </rPr>
      <t>海兴大厦</t>
    </r>
  </si>
  <si>
    <t>应收实收</t>
  </si>
  <si>
    <t>累计预算差异</t>
  </si>
  <si>
    <r>
      <rPr>
        <sz val="11"/>
        <rFont val="宋体"/>
        <family val="3"/>
        <charset val="134"/>
      </rPr>
      <t>海兴超市发</t>
    </r>
  </si>
  <si>
    <r>
      <rPr>
        <sz val="11"/>
        <color rgb="FFFF0000"/>
        <rFont val="宋体"/>
        <family val="3"/>
        <charset val="134"/>
      </rPr>
      <t>合计</t>
    </r>
  </si>
  <si>
    <r>
      <rPr>
        <sz val="11"/>
        <color rgb="FFFF0000"/>
        <rFont val="宋体"/>
        <family val="3"/>
        <charset val="134"/>
      </rPr>
      <t>合计（万元）</t>
    </r>
  </si>
  <si>
    <t>租金权责</t>
  </si>
  <si>
    <t>物业费权责</t>
  </si>
  <si>
    <t>郭江龙</t>
  </si>
  <si>
    <r>
      <rPr>
        <sz val="11"/>
        <rFont val="Arial"/>
        <family val="2"/>
      </rPr>
      <t>6</t>
    </r>
    <r>
      <rPr>
        <sz val="11"/>
        <rFont val="宋体"/>
        <family val="3"/>
        <charset val="134"/>
      </rPr>
      <t>月权责租金实收</t>
    </r>
  </si>
  <si>
    <t>场圈有爱</t>
  </si>
  <si>
    <t>沈永</t>
  </si>
  <si>
    <t>2024.06.01-06.07</t>
  </si>
  <si>
    <t>场圈愿景</t>
  </si>
  <si>
    <r>
      <rPr>
        <sz val="10"/>
        <color theme="1"/>
        <rFont val="宋体"/>
        <family val="3"/>
        <charset val="134"/>
      </rPr>
      <t>退</t>
    </r>
    <r>
      <rPr>
        <sz val="10"/>
        <color theme="1"/>
        <rFont val="Arial"/>
        <family val="2"/>
      </rPr>
      <t>2024.01.11-01.31</t>
    </r>
  </si>
  <si>
    <t>2024.06.08-06.30</t>
  </si>
  <si>
    <t>量子家庭</t>
  </si>
  <si>
    <t>正光诚盛</t>
  </si>
  <si>
    <t>场圈未来</t>
  </si>
  <si>
    <t>王璐</t>
  </si>
  <si>
    <r>
      <rPr>
        <sz val="10"/>
        <color theme="1"/>
        <rFont val="Arial"/>
        <family val="2"/>
      </rPr>
      <t>14A2</t>
    </r>
    <r>
      <rPr>
        <sz val="10"/>
        <color theme="1"/>
        <rFont val="宋体"/>
        <family val="3"/>
        <charset val="134"/>
      </rPr>
      <t>、</t>
    </r>
    <r>
      <rPr>
        <sz val="10"/>
        <color theme="1"/>
        <rFont val="Arial"/>
        <family val="2"/>
      </rPr>
      <t>14A3-1</t>
    </r>
  </si>
  <si>
    <t>天洋致信</t>
  </si>
  <si>
    <t>场圈科技</t>
  </si>
  <si>
    <t>场圈未来传媒</t>
  </si>
  <si>
    <r>
      <rPr>
        <sz val="11"/>
        <color theme="1"/>
        <rFont val="Arial"/>
        <family val="2"/>
      </rPr>
      <t>14A2</t>
    </r>
    <r>
      <rPr>
        <sz val="11"/>
        <color theme="1"/>
        <rFont val="宋体"/>
        <family val="3"/>
        <charset val="134"/>
      </rPr>
      <t>、</t>
    </r>
    <r>
      <rPr>
        <sz val="11"/>
        <color theme="1"/>
        <rFont val="Arial"/>
        <family val="2"/>
      </rPr>
      <t>14A3-1</t>
    </r>
  </si>
  <si>
    <r>
      <rPr>
        <b/>
        <sz val="10"/>
        <rFont val="宋体"/>
        <family val="3"/>
        <charset val="134"/>
      </rPr>
      <t>合同乙方名称</t>
    </r>
  </si>
  <si>
    <r>
      <rPr>
        <b/>
        <sz val="10"/>
        <rFont val="宋体"/>
        <family val="3"/>
        <charset val="134"/>
      </rPr>
      <t>预收</t>
    </r>
    <r>
      <rPr>
        <b/>
        <sz val="10"/>
        <rFont val="Arial"/>
        <family val="2"/>
      </rPr>
      <t>2024</t>
    </r>
    <r>
      <rPr>
        <b/>
        <sz val="10"/>
        <rFont val="宋体"/>
        <family val="3"/>
        <charset val="134"/>
      </rPr>
      <t>年期间实收</t>
    </r>
  </si>
  <si>
    <r>
      <rPr>
        <b/>
        <sz val="10"/>
        <rFont val="宋体"/>
        <family val="3"/>
        <charset val="134"/>
      </rPr>
      <t>预收</t>
    </r>
    <r>
      <rPr>
        <b/>
        <sz val="10"/>
        <rFont val="Arial"/>
        <family val="2"/>
      </rPr>
      <t>2024</t>
    </r>
    <r>
      <rPr>
        <b/>
        <sz val="10"/>
        <rFont val="宋体"/>
        <family val="3"/>
        <charset val="134"/>
      </rPr>
      <t>年租金实收</t>
    </r>
  </si>
  <si>
    <r>
      <rPr>
        <b/>
        <sz val="10"/>
        <rFont val="宋体"/>
        <family val="3"/>
        <charset val="134"/>
      </rPr>
      <t>预收</t>
    </r>
    <r>
      <rPr>
        <b/>
        <sz val="10"/>
        <rFont val="Arial"/>
        <family val="2"/>
      </rPr>
      <t>2024</t>
    </r>
    <r>
      <rPr>
        <b/>
        <sz val="10"/>
        <rFont val="宋体"/>
        <family val="3"/>
        <charset val="134"/>
      </rPr>
      <t>年物业费实收</t>
    </r>
  </si>
  <si>
    <r>
      <rPr>
        <b/>
        <sz val="11"/>
        <rFont val="宋体"/>
        <family val="3"/>
        <charset val="134"/>
      </rPr>
      <t>新租（减少空置）</t>
    </r>
  </si>
  <si>
    <r>
      <rPr>
        <b/>
        <sz val="11"/>
        <rFont val="宋体"/>
        <family val="3"/>
        <charset val="134"/>
      </rPr>
      <t>预计空置未空置</t>
    </r>
  </si>
  <si>
    <r>
      <rPr>
        <b/>
        <sz val="11"/>
        <rFont val="宋体"/>
        <family val="3"/>
        <charset val="134"/>
      </rPr>
      <t>预计退租未退租</t>
    </r>
  </si>
  <si>
    <r>
      <rPr>
        <b/>
        <sz val="11"/>
        <rFont val="宋体"/>
        <family val="3"/>
        <charset val="134"/>
      </rPr>
      <t>退租空置</t>
    </r>
  </si>
  <si>
    <r>
      <rPr>
        <sz val="10"/>
        <rFont val="宋体"/>
        <family val="3"/>
        <charset val="134"/>
      </rPr>
      <t>海龙大厦</t>
    </r>
    <r>
      <rPr>
        <sz val="10"/>
        <rFont val="Arial"/>
        <family val="2"/>
      </rPr>
      <t>2</t>
    </r>
    <r>
      <rPr>
        <sz val="10"/>
        <rFont val="宋体"/>
        <family val="3"/>
        <charset val="134"/>
      </rPr>
      <t>层</t>
    </r>
  </si>
  <si>
    <t>2000A</t>
  </si>
  <si>
    <r>
      <rPr>
        <sz val="10"/>
        <rFont val="宋体"/>
        <family val="3"/>
        <charset val="134"/>
      </rPr>
      <t>中天</t>
    </r>
  </si>
  <si>
    <r>
      <rPr>
        <sz val="10"/>
        <rFont val="宋体"/>
        <family val="3"/>
        <charset val="134"/>
      </rPr>
      <t>慈铭健康体检管理集团有限公司</t>
    </r>
  </si>
  <si>
    <t>20220412-00450</t>
  </si>
  <si>
    <t>2022.04.20</t>
  </si>
  <si>
    <t>2026.11.01</t>
  </si>
  <si>
    <r>
      <rPr>
        <sz val="10"/>
        <color theme="1"/>
        <rFont val="Arial"/>
        <family val="2"/>
      </rPr>
      <t>54</t>
    </r>
    <r>
      <rPr>
        <sz val="10"/>
        <color theme="1"/>
        <rFont val="宋体"/>
        <family val="3"/>
        <charset val="134"/>
      </rPr>
      <t>个月</t>
    </r>
    <r>
      <rPr>
        <sz val="10"/>
        <color theme="1"/>
        <rFont val="Arial"/>
        <family val="2"/>
      </rPr>
      <t>12</t>
    </r>
    <r>
      <rPr>
        <sz val="10"/>
        <color theme="1"/>
        <rFont val="宋体"/>
        <family val="3"/>
        <charset val="134"/>
      </rPr>
      <t>天</t>
    </r>
  </si>
  <si>
    <t>2023.03.20-2023.04.19
2024.03.20-2024.04.19
2025.03.20-2025.04.19
2026.03.20-2026.04.19</t>
  </si>
  <si>
    <r>
      <rPr>
        <sz val="10"/>
        <color theme="1"/>
        <rFont val="Arial"/>
        <family val="2"/>
      </rPr>
      <t>2024.01.24</t>
    </r>
    <r>
      <rPr>
        <sz val="10"/>
        <color theme="1"/>
        <rFont val="宋体"/>
        <family val="3"/>
        <charset val="134"/>
      </rPr>
      <t>交</t>
    </r>
    <r>
      <rPr>
        <sz val="10"/>
        <color theme="1"/>
        <rFont val="Arial"/>
        <family val="2"/>
      </rPr>
      <t>2024.02.01-03.19</t>
    </r>
    <r>
      <rPr>
        <sz val="10"/>
        <color theme="1"/>
        <rFont val="宋体"/>
        <family val="3"/>
        <charset val="134"/>
      </rPr>
      <t>、</t>
    </r>
    <r>
      <rPr>
        <sz val="10"/>
        <color theme="1"/>
        <rFont val="Arial"/>
        <family val="2"/>
      </rPr>
      <t>04.20-04.30</t>
    </r>
    <r>
      <rPr>
        <sz val="10"/>
        <color theme="1"/>
        <rFont val="宋体"/>
        <family val="3"/>
        <charset val="134"/>
      </rPr>
      <t>租金；</t>
    </r>
    <r>
      <rPr>
        <sz val="10"/>
        <color theme="1"/>
        <rFont val="Arial"/>
        <family val="2"/>
      </rPr>
      <t>2024.01.24</t>
    </r>
    <r>
      <rPr>
        <sz val="10"/>
        <color theme="1"/>
        <rFont val="宋体"/>
        <family val="3"/>
        <charset val="134"/>
      </rPr>
      <t>交</t>
    </r>
    <r>
      <rPr>
        <sz val="10"/>
        <color theme="1"/>
        <rFont val="Arial"/>
        <family val="2"/>
      </rPr>
      <t>2024.02.01-04.30</t>
    </r>
    <r>
      <rPr>
        <sz val="10"/>
        <color theme="1"/>
        <rFont val="宋体"/>
        <family val="3"/>
        <charset val="134"/>
      </rPr>
      <t>物业费</t>
    </r>
  </si>
  <si>
    <r>
      <rPr>
        <sz val="10"/>
        <color theme="1"/>
        <rFont val="Arial"/>
        <family val="2"/>
      </rPr>
      <t>2024.04.17</t>
    </r>
    <r>
      <rPr>
        <sz val="10"/>
        <color theme="1"/>
        <rFont val="宋体"/>
        <family val="3"/>
        <charset val="134"/>
      </rPr>
      <t>交</t>
    </r>
    <r>
      <rPr>
        <sz val="10"/>
        <color theme="1"/>
        <rFont val="Arial"/>
        <family val="2"/>
      </rPr>
      <t>2024.05.01-07.31</t>
    </r>
  </si>
  <si>
    <r>
      <rPr>
        <sz val="10"/>
        <color theme="1"/>
        <rFont val="Arial"/>
        <family val="2"/>
      </rPr>
      <t>2024.07.10</t>
    </r>
    <r>
      <rPr>
        <sz val="10"/>
        <color theme="1"/>
        <rFont val="宋体"/>
        <family val="3"/>
        <charset val="134"/>
      </rPr>
      <t>交</t>
    </r>
    <r>
      <rPr>
        <sz val="10"/>
        <color theme="1"/>
        <rFont val="Arial"/>
        <family val="2"/>
      </rPr>
      <t>2024.08.01-10.31</t>
    </r>
  </si>
  <si>
    <r>
      <rPr>
        <sz val="10"/>
        <rFont val="宋体"/>
        <family val="3"/>
        <charset val="134"/>
      </rPr>
      <t>二层</t>
    </r>
  </si>
  <si>
    <t>20220412-00445
20220412-00449
20220412-00448</t>
  </si>
  <si>
    <r>
      <rPr>
        <sz val="10"/>
        <color theme="1"/>
        <rFont val="宋体"/>
        <family val="3"/>
        <charset val="134"/>
      </rPr>
      <t>季付提前</t>
    </r>
    <r>
      <rPr>
        <sz val="10"/>
        <color theme="1"/>
        <rFont val="Arial"/>
        <family val="2"/>
      </rPr>
      <t>30</t>
    </r>
    <r>
      <rPr>
        <sz val="10"/>
        <color theme="1"/>
        <rFont val="宋体"/>
        <family val="3"/>
        <charset val="134"/>
      </rPr>
      <t>日</t>
    </r>
  </si>
  <si>
    <r>
      <rPr>
        <sz val="10"/>
        <color theme="1"/>
        <rFont val="Arial"/>
        <family val="2"/>
      </rPr>
      <t>2024.01.24</t>
    </r>
    <r>
      <rPr>
        <sz val="10"/>
        <color theme="1"/>
        <rFont val="宋体"/>
        <family val="3"/>
        <charset val="134"/>
      </rPr>
      <t>交</t>
    </r>
    <r>
      <rPr>
        <sz val="10"/>
        <color theme="1"/>
        <rFont val="Arial"/>
        <family val="2"/>
      </rPr>
      <t>2024.02.01-2024.04.30</t>
    </r>
  </si>
  <si>
    <t>3000、3006-3010</t>
  </si>
  <si>
    <t>北京彼芯托育服务有限公司</t>
  </si>
  <si>
    <t>20240712-01091</t>
  </si>
  <si>
    <t>2027.07.14</t>
  </si>
  <si>
    <r>
      <rPr>
        <sz val="10"/>
        <rFont val="Arial"/>
        <family val="2"/>
      </rPr>
      <t>2024</t>
    </r>
    <r>
      <rPr>
        <sz val="10"/>
        <rFont val="宋体"/>
        <family val="3"/>
        <charset val="134"/>
      </rPr>
      <t>年</t>
    </r>
    <r>
      <rPr>
        <sz val="10"/>
        <rFont val="Arial"/>
        <family val="2"/>
      </rPr>
      <t>07</t>
    </r>
    <r>
      <rPr>
        <sz val="10"/>
        <rFont val="宋体"/>
        <family val="3"/>
        <charset val="134"/>
      </rPr>
      <t>月</t>
    </r>
    <r>
      <rPr>
        <sz val="10"/>
        <rFont val="Arial"/>
        <family val="2"/>
      </rPr>
      <t>15</t>
    </r>
    <r>
      <rPr>
        <sz val="10"/>
        <rFont val="宋体"/>
        <family val="3"/>
        <charset val="134"/>
      </rPr>
      <t>日起至</t>
    </r>
    <r>
      <rPr>
        <sz val="10"/>
        <rFont val="Arial"/>
        <family val="2"/>
      </rPr>
      <t>2024</t>
    </r>
    <r>
      <rPr>
        <sz val="10"/>
        <rFont val="宋体"/>
        <family val="3"/>
        <charset val="134"/>
      </rPr>
      <t>年</t>
    </r>
    <r>
      <rPr>
        <sz val="10"/>
        <rFont val="Arial"/>
        <family val="2"/>
      </rPr>
      <t>08</t>
    </r>
    <r>
      <rPr>
        <sz val="10"/>
        <rFont val="宋体"/>
        <family val="3"/>
        <charset val="134"/>
      </rPr>
      <t>月</t>
    </r>
    <r>
      <rPr>
        <sz val="10"/>
        <rFont val="Arial"/>
        <family val="2"/>
      </rPr>
      <t>14</t>
    </r>
    <r>
      <rPr>
        <sz val="10"/>
        <rFont val="宋体"/>
        <family val="3"/>
        <charset val="134"/>
      </rPr>
      <t>日、</t>
    </r>
    <r>
      <rPr>
        <sz val="10"/>
        <rFont val="Arial"/>
        <family val="2"/>
      </rPr>
      <t xml:space="preserve"> 2025</t>
    </r>
    <r>
      <rPr>
        <sz val="10"/>
        <rFont val="宋体"/>
        <family val="3"/>
        <charset val="134"/>
      </rPr>
      <t>年</t>
    </r>
    <r>
      <rPr>
        <sz val="10"/>
        <rFont val="Arial"/>
        <family val="2"/>
      </rPr>
      <t>07</t>
    </r>
    <r>
      <rPr>
        <sz val="10"/>
        <rFont val="宋体"/>
        <family val="3"/>
        <charset val="134"/>
      </rPr>
      <t>月</t>
    </r>
    <r>
      <rPr>
        <sz val="10"/>
        <rFont val="Arial"/>
        <family val="2"/>
      </rPr>
      <t>15</t>
    </r>
    <r>
      <rPr>
        <sz val="10"/>
        <rFont val="宋体"/>
        <family val="3"/>
        <charset val="134"/>
      </rPr>
      <t>日起至</t>
    </r>
    <r>
      <rPr>
        <sz val="10"/>
        <rFont val="Arial"/>
        <family val="2"/>
      </rPr>
      <t>2025</t>
    </r>
    <r>
      <rPr>
        <sz val="10"/>
        <rFont val="宋体"/>
        <family val="3"/>
        <charset val="134"/>
      </rPr>
      <t>年</t>
    </r>
    <r>
      <rPr>
        <sz val="10"/>
        <rFont val="Arial"/>
        <family val="2"/>
      </rPr>
      <t>08</t>
    </r>
    <r>
      <rPr>
        <sz val="10"/>
        <rFont val="宋体"/>
        <family val="3"/>
        <charset val="134"/>
      </rPr>
      <t>月</t>
    </r>
    <r>
      <rPr>
        <sz val="10"/>
        <rFont val="Arial"/>
        <family val="2"/>
      </rPr>
      <t>14</t>
    </r>
    <r>
      <rPr>
        <sz val="10"/>
        <rFont val="宋体"/>
        <family val="3"/>
        <charset val="134"/>
      </rPr>
      <t>日、</t>
    </r>
    <r>
      <rPr>
        <sz val="10"/>
        <rFont val="Arial"/>
        <family val="2"/>
      </rPr>
      <t xml:space="preserve"> 2026</t>
    </r>
    <r>
      <rPr>
        <sz val="10"/>
        <rFont val="宋体"/>
        <family val="3"/>
        <charset val="134"/>
      </rPr>
      <t>年</t>
    </r>
    <r>
      <rPr>
        <sz val="10"/>
        <rFont val="Arial"/>
        <family val="2"/>
      </rPr>
      <t>07</t>
    </r>
    <r>
      <rPr>
        <sz val="10"/>
        <rFont val="宋体"/>
        <family val="3"/>
        <charset val="134"/>
      </rPr>
      <t>月</t>
    </r>
    <r>
      <rPr>
        <sz val="10"/>
        <rFont val="Arial"/>
        <family val="2"/>
      </rPr>
      <t>15</t>
    </r>
    <r>
      <rPr>
        <sz val="10"/>
        <rFont val="宋体"/>
        <family val="3"/>
        <charset val="134"/>
      </rPr>
      <t>日起至</t>
    </r>
    <r>
      <rPr>
        <sz val="10"/>
        <rFont val="Arial"/>
        <family val="2"/>
      </rPr>
      <t>2026</t>
    </r>
    <r>
      <rPr>
        <sz val="10"/>
        <rFont val="宋体"/>
        <family val="3"/>
        <charset val="134"/>
      </rPr>
      <t>年</t>
    </r>
    <r>
      <rPr>
        <sz val="10"/>
        <rFont val="Arial"/>
        <family val="2"/>
      </rPr>
      <t>08</t>
    </r>
    <r>
      <rPr>
        <sz val="10"/>
        <rFont val="宋体"/>
        <family val="3"/>
        <charset val="134"/>
      </rPr>
      <t>月</t>
    </r>
    <r>
      <rPr>
        <sz val="10"/>
        <rFont val="Arial"/>
        <family val="2"/>
      </rPr>
      <t>14</t>
    </r>
    <r>
      <rPr>
        <sz val="10"/>
        <rFont val="宋体"/>
        <family val="3"/>
        <charset val="134"/>
      </rPr>
      <t>日止</t>
    </r>
  </si>
  <si>
    <r>
      <rPr>
        <sz val="10"/>
        <color theme="1"/>
        <rFont val="Arial"/>
        <family val="2"/>
      </rPr>
      <t>2024.07.22</t>
    </r>
    <r>
      <rPr>
        <sz val="10"/>
        <color theme="1"/>
        <rFont val="宋体"/>
        <family val="3"/>
        <charset val="134"/>
      </rPr>
      <t>交</t>
    </r>
    <r>
      <rPr>
        <sz val="10"/>
        <color theme="1"/>
        <rFont val="Arial"/>
        <family val="2"/>
      </rPr>
      <t xml:space="preserve">2024.08.15-10.14
</t>
    </r>
    <r>
      <rPr>
        <sz val="10"/>
        <color theme="1"/>
        <rFont val="宋体"/>
        <family val="3"/>
        <charset val="134"/>
      </rPr>
      <t>租金、</t>
    </r>
    <r>
      <rPr>
        <sz val="10"/>
        <color theme="1"/>
        <rFont val="Arial"/>
        <family val="2"/>
      </rPr>
      <t>2024.07.15-10.14</t>
    </r>
    <r>
      <rPr>
        <sz val="10"/>
        <color theme="1"/>
        <rFont val="宋体"/>
        <family val="3"/>
        <charset val="134"/>
      </rPr>
      <t>物业费</t>
    </r>
  </si>
  <si>
    <r>
      <rPr>
        <sz val="10"/>
        <color theme="1"/>
        <rFont val="Arial"/>
        <family val="2"/>
      </rPr>
      <t>2024.09.10</t>
    </r>
    <r>
      <rPr>
        <sz val="10"/>
        <color theme="1"/>
        <rFont val="宋体"/>
        <family val="3"/>
        <charset val="134"/>
      </rPr>
      <t>交</t>
    </r>
    <r>
      <rPr>
        <sz val="10"/>
        <color theme="1"/>
        <rFont val="Arial"/>
        <family val="2"/>
      </rPr>
      <t>2024.10.15-2025.01.14</t>
    </r>
    <r>
      <rPr>
        <sz val="10"/>
        <color theme="1"/>
        <rFont val="宋体"/>
        <family val="3"/>
        <charset val="134"/>
      </rPr>
      <t>租金</t>
    </r>
    <r>
      <rPr>
        <sz val="10"/>
        <color theme="1"/>
        <rFont val="Arial"/>
        <family val="2"/>
      </rPr>
      <t>/2024.09.20</t>
    </r>
    <r>
      <rPr>
        <sz val="10"/>
        <color theme="1"/>
        <rFont val="宋体"/>
        <family val="3"/>
        <charset val="134"/>
      </rPr>
      <t>交</t>
    </r>
    <r>
      <rPr>
        <sz val="10"/>
        <color theme="1"/>
        <rFont val="Arial"/>
        <family val="2"/>
      </rPr>
      <t>2024.10.15-2025.01.14</t>
    </r>
    <r>
      <rPr>
        <sz val="10"/>
        <color theme="1"/>
        <rFont val="宋体"/>
        <family val="3"/>
        <charset val="134"/>
      </rPr>
      <t>物业费</t>
    </r>
  </si>
  <si>
    <t>2025.01.15-04.14</t>
  </si>
  <si>
    <r>
      <rPr>
        <sz val="10"/>
        <rFont val="Arial"/>
        <family val="2"/>
      </rPr>
      <t>3015</t>
    </r>
    <r>
      <rPr>
        <sz val="10"/>
        <rFont val="宋体"/>
        <family val="3"/>
        <charset val="134"/>
      </rPr>
      <t>、</t>
    </r>
    <r>
      <rPr>
        <sz val="10"/>
        <rFont val="Arial"/>
        <family val="2"/>
      </rPr>
      <t>3024</t>
    </r>
  </si>
  <si>
    <t>20240830-01355</t>
  </si>
  <si>
    <t>2024.09.01</t>
  </si>
  <si>
    <t>2024.09.30</t>
  </si>
  <si>
    <r>
      <rPr>
        <sz val="10"/>
        <rFont val="宋体"/>
        <family val="3"/>
        <charset val="134"/>
      </rPr>
      <t>一次性</t>
    </r>
  </si>
  <si>
    <r>
      <rPr>
        <sz val="10"/>
        <color theme="1"/>
        <rFont val="Arial"/>
        <family val="2"/>
      </rPr>
      <t>2024.07.26</t>
    </r>
    <r>
      <rPr>
        <sz val="10"/>
        <color theme="1"/>
        <rFont val="宋体"/>
        <family val="3"/>
        <charset val="134"/>
      </rPr>
      <t>交</t>
    </r>
    <r>
      <rPr>
        <sz val="10"/>
        <color theme="1"/>
        <rFont val="Arial"/>
        <family val="2"/>
      </rPr>
      <t>2024.08.01-08.31</t>
    </r>
  </si>
  <si>
    <r>
      <rPr>
        <sz val="10"/>
        <color theme="1"/>
        <rFont val="Arial"/>
        <family val="2"/>
      </rPr>
      <t>2024.09.10</t>
    </r>
    <r>
      <rPr>
        <sz val="10"/>
        <color theme="1"/>
        <rFont val="宋体"/>
        <family val="3"/>
        <charset val="134"/>
      </rPr>
      <t>交</t>
    </r>
    <r>
      <rPr>
        <sz val="10"/>
        <color theme="1"/>
        <rFont val="Arial"/>
        <family val="2"/>
      </rPr>
      <t>2024.09.01-09.30</t>
    </r>
  </si>
  <si>
    <r>
      <rPr>
        <sz val="10"/>
        <rFont val="宋体"/>
        <family val="3"/>
        <charset val="134"/>
      </rPr>
      <t>海龙大厦</t>
    </r>
    <r>
      <rPr>
        <sz val="10"/>
        <rFont val="Arial"/>
        <family val="2"/>
      </rPr>
      <t>3</t>
    </r>
    <r>
      <rPr>
        <sz val="10"/>
        <rFont val="宋体"/>
        <family val="3"/>
        <charset val="134"/>
      </rPr>
      <t>层</t>
    </r>
  </si>
  <si>
    <r>
      <rPr>
        <sz val="10"/>
        <rFont val="宋体"/>
        <family val="3"/>
        <charset val="134"/>
      </rPr>
      <t>三层</t>
    </r>
  </si>
  <si>
    <r>
      <rPr>
        <sz val="10"/>
        <rFont val="宋体"/>
        <family val="3"/>
        <charset val="134"/>
      </rPr>
      <t>北京新东方迅程网络科技股份有限公司</t>
    </r>
  </si>
  <si>
    <t>YW-2023-CX-0473</t>
  </si>
  <si>
    <t>2023.03.01</t>
  </si>
  <si>
    <t>2023.06.30</t>
  </si>
  <si>
    <r>
      <rPr>
        <sz val="10"/>
        <color theme="1"/>
        <rFont val="Arial"/>
        <family val="2"/>
      </rPr>
      <t>2023.06.21</t>
    </r>
    <r>
      <rPr>
        <sz val="10"/>
        <color theme="1"/>
        <rFont val="宋体"/>
        <family val="3"/>
        <charset val="134"/>
      </rPr>
      <t>交</t>
    </r>
    <r>
      <rPr>
        <sz val="10"/>
        <color theme="1"/>
        <rFont val="Arial"/>
        <family val="2"/>
      </rPr>
      <t>2023.06.01-06.30</t>
    </r>
    <r>
      <rPr>
        <sz val="10"/>
        <color theme="1"/>
        <rFont val="宋体"/>
        <family val="3"/>
        <charset val="134"/>
      </rPr>
      <t>场租费</t>
    </r>
  </si>
  <si>
    <r>
      <rPr>
        <sz val="10"/>
        <rFont val="宋体"/>
        <family val="3"/>
        <charset val="134"/>
      </rPr>
      <t>海龙大厦</t>
    </r>
    <r>
      <rPr>
        <sz val="10"/>
        <rFont val="Arial"/>
        <family val="2"/>
      </rPr>
      <t>4</t>
    </r>
    <r>
      <rPr>
        <sz val="10"/>
        <rFont val="宋体"/>
        <family val="3"/>
        <charset val="134"/>
      </rPr>
      <t>层</t>
    </r>
  </si>
  <si>
    <t>4001-4006</t>
  </si>
  <si>
    <r>
      <rPr>
        <sz val="10"/>
        <rFont val="宋体"/>
        <family val="3"/>
        <charset val="134"/>
      </rPr>
      <t>北京前程百利教育科技有限公司</t>
    </r>
  </si>
  <si>
    <t>20230221-00211</t>
  </si>
  <si>
    <t>2023.03.15-05.14 2023.07.15-08.14</t>
  </si>
  <si>
    <r>
      <rPr>
        <sz val="10"/>
        <color theme="1"/>
        <rFont val="Arial"/>
        <family val="2"/>
      </rPr>
      <t>2024.01.25</t>
    </r>
    <r>
      <rPr>
        <sz val="10"/>
        <color theme="1"/>
        <rFont val="宋体"/>
        <family val="3"/>
        <charset val="134"/>
      </rPr>
      <t>交</t>
    </r>
    <r>
      <rPr>
        <sz val="10"/>
        <color theme="1"/>
        <rFont val="Arial"/>
        <family val="2"/>
      </rPr>
      <t>2024.02.15-2024.03.14</t>
    </r>
  </si>
  <si>
    <r>
      <rPr>
        <sz val="10"/>
        <color theme="1"/>
        <rFont val="Arial"/>
        <family val="2"/>
      </rPr>
      <t>2024.03.20</t>
    </r>
    <r>
      <rPr>
        <sz val="10"/>
        <color theme="1"/>
        <rFont val="宋体"/>
        <family val="3"/>
        <charset val="134"/>
      </rPr>
      <t>交</t>
    </r>
    <r>
      <rPr>
        <sz val="10"/>
        <color theme="1"/>
        <rFont val="Arial"/>
        <family val="2"/>
      </rPr>
      <t>2024.04.15-05.14</t>
    </r>
    <r>
      <rPr>
        <sz val="10"/>
        <color theme="1"/>
        <rFont val="宋体"/>
        <family val="3"/>
        <charset val="134"/>
      </rPr>
      <t>（借发票</t>
    </r>
    <r>
      <rPr>
        <sz val="10"/>
        <color theme="1"/>
        <rFont val="Arial"/>
        <family val="2"/>
      </rPr>
      <t>)</t>
    </r>
  </si>
  <si>
    <r>
      <rPr>
        <sz val="10"/>
        <color theme="1"/>
        <rFont val="Arial"/>
        <family val="2"/>
      </rPr>
      <t>2024.04.22</t>
    </r>
    <r>
      <rPr>
        <sz val="10"/>
        <color theme="1"/>
        <rFont val="宋体"/>
        <family val="3"/>
        <charset val="134"/>
      </rPr>
      <t>交</t>
    </r>
    <r>
      <rPr>
        <sz val="10"/>
        <color theme="1"/>
        <rFont val="Arial"/>
        <family val="2"/>
      </rPr>
      <t>2024.005.15-06.14</t>
    </r>
  </si>
  <si>
    <r>
      <rPr>
        <sz val="10"/>
        <color theme="1"/>
        <rFont val="Arial"/>
        <family val="2"/>
      </rPr>
      <t>2024.05.24</t>
    </r>
    <r>
      <rPr>
        <sz val="10"/>
        <color theme="1"/>
        <rFont val="宋体"/>
        <family val="3"/>
        <charset val="134"/>
      </rPr>
      <t>交</t>
    </r>
    <r>
      <rPr>
        <sz val="10"/>
        <color theme="1"/>
        <rFont val="Arial"/>
        <family val="2"/>
      </rPr>
      <t>2024.06.15-07.14</t>
    </r>
  </si>
  <si>
    <r>
      <rPr>
        <sz val="10"/>
        <color theme="1"/>
        <rFont val="Arial"/>
        <family val="2"/>
      </rPr>
      <t>2024.06.21</t>
    </r>
    <r>
      <rPr>
        <sz val="10"/>
        <color theme="1"/>
        <rFont val="宋体"/>
        <family val="3"/>
        <charset val="134"/>
      </rPr>
      <t>交</t>
    </r>
    <r>
      <rPr>
        <sz val="10"/>
        <color theme="1"/>
        <rFont val="Arial"/>
        <family val="2"/>
      </rPr>
      <t>2024.07.15-08.14</t>
    </r>
  </si>
  <si>
    <r>
      <rPr>
        <sz val="10"/>
        <color theme="1"/>
        <rFont val="Arial"/>
        <family val="2"/>
      </rPr>
      <t>2024.07.25</t>
    </r>
    <r>
      <rPr>
        <sz val="10"/>
        <color theme="1"/>
        <rFont val="宋体"/>
        <family val="3"/>
        <charset val="134"/>
      </rPr>
      <t>交</t>
    </r>
    <r>
      <rPr>
        <sz val="10"/>
        <color theme="1"/>
        <rFont val="Arial"/>
        <family val="2"/>
      </rPr>
      <t>2024.08.15-09.14</t>
    </r>
  </si>
  <si>
    <r>
      <rPr>
        <sz val="10"/>
        <color theme="1"/>
        <rFont val="Arial"/>
        <family val="2"/>
      </rPr>
      <t>2024.08.23</t>
    </r>
    <r>
      <rPr>
        <sz val="10"/>
        <color theme="1"/>
        <rFont val="宋体"/>
        <family val="3"/>
        <charset val="134"/>
      </rPr>
      <t>交</t>
    </r>
    <r>
      <rPr>
        <sz val="10"/>
        <color theme="1"/>
        <rFont val="Arial"/>
        <family val="2"/>
      </rPr>
      <t>2024.09.15-10.14</t>
    </r>
  </si>
  <si>
    <t>2024.10.15-11.14</t>
  </si>
  <si>
    <r>
      <rPr>
        <sz val="10"/>
        <color theme="1"/>
        <rFont val="Arial"/>
        <family val="2"/>
      </rPr>
      <t>2024.09.25</t>
    </r>
    <r>
      <rPr>
        <sz val="10"/>
        <color theme="1"/>
        <rFont val="宋体"/>
        <family val="3"/>
        <charset val="134"/>
      </rPr>
      <t>交</t>
    </r>
    <r>
      <rPr>
        <sz val="10"/>
        <color theme="1"/>
        <rFont val="Arial"/>
        <family val="2"/>
      </rPr>
      <t>2024.10.15-11.14</t>
    </r>
  </si>
  <si>
    <t>2024.11.15-12.14</t>
  </si>
  <si>
    <t>2024.12.15-2025.01.14</t>
  </si>
  <si>
    <t>2025.01.15-02.14</t>
  </si>
  <si>
    <t>4007-4009</t>
  </si>
  <si>
    <t>北京环球百利教育科技有限公司</t>
  </si>
  <si>
    <t>20230221-00212</t>
  </si>
  <si>
    <t>20230213-00154</t>
  </si>
  <si>
    <r>
      <rPr>
        <sz val="10"/>
        <rFont val="宋体"/>
        <family val="3"/>
        <charset val="134"/>
      </rPr>
      <t>海龙大厦</t>
    </r>
    <r>
      <rPr>
        <sz val="10"/>
        <rFont val="Arial"/>
        <family val="2"/>
      </rPr>
      <t>5</t>
    </r>
    <r>
      <rPr>
        <sz val="10"/>
        <rFont val="宋体"/>
        <family val="3"/>
        <charset val="134"/>
      </rPr>
      <t>层</t>
    </r>
  </si>
  <si>
    <r>
      <rPr>
        <sz val="10"/>
        <rFont val="宋体"/>
        <family val="3"/>
        <charset val="134"/>
      </rPr>
      <t>五层</t>
    </r>
  </si>
  <si>
    <t>方正国际软件（北京）有限公司</t>
  </si>
  <si>
    <t>20231122-01807</t>
  </si>
  <si>
    <t>2023.12.16</t>
  </si>
  <si>
    <t>2026.12.15</t>
  </si>
  <si>
    <r>
      <rPr>
        <sz val="10"/>
        <rFont val="Arial"/>
        <family val="2"/>
      </rPr>
      <t>2023</t>
    </r>
    <r>
      <rPr>
        <sz val="10"/>
        <rFont val="宋体"/>
        <family val="3"/>
        <charset val="134"/>
      </rPr>
      <t>年</t>
    </r>
    <r>
      <rPr>
        <sz val="10"/>
        <rFont val="Arial"/>
        <family val="2"/>
      </rPr>
      <t>12</t>
    </r>
    <r>
      <rPr>
        <sz val="10"/>
        <rFont val="宋体"/>
        <family val="3"/>
        <charset val="134"/>
      </rPr>
      <t>月</t>
    </r>
    <r>
      <rPr>
        <sz val="10"/>
        <rFont val="Arial"/>
        <family val="2"/>
      </rPr>
      <t>16</t>
    </r>
    <r>
      <rPr>
        <sz val="10"/>
        <rFont val="宋体"/>
        <family val="3"/>
        <charset val="134"/>
      </rPr>
      <t>日起至</t>
    </r>
    <r>
      <rPr>
        <sz val="10"/>
        <rFont val="Arial"/>
        <family val="2"/>
      </rPr>
      <t>2024</t>
    </r>
    <r>
      <rPr>
        <sz val="10"/>
        <rFont val="宋体"/>
        <family val="3"/>
        <charset val="134"/>
      </rPr>
      <t>年</t>
    </r>
    <r>
      <rPr>
        <sz val="10"/>
        <rFont val="Arial"/>
        <family val="2"/>
      </rPr>
      <t>02</t>
    </r>
    <r>
      <rPr>
        <sz val="10"/>
        <rFont val="宋体"/>
        <family val="3"/>
        <charset val="134"/>
      </rPr>
      <t>月</t>
    </r>
    <r>
      <rPr>
        <sz val="10"/>
        <rFont val="Arial"/>
        <family val="2"/>
      </rPr>
      <t>15</t>
    </r>
    <r>
      <rPr>
        <sz val="10"/>
        <rFont val="宋体"/>
        <family val="3"/>
        <charset val="134"/>
      </rPr>
      <t>日</t>
    </r>
    <r>
      <rPr>
        <sz val="10"/>
        <rFont val="Arial"/>
        <family val="2"/>
      </rPr>
      <t xml:space="preserve">
2024</t>
    </r>
    <r>
      <rPr>
        <sz val="10"/>
        <rFont val="宋体"/>
        <family val="3"/>
        <charset val="134"/>
      </rPr>
      <t>年</t>
    </r>
    <r>
      <rPr>
        <sz val="10"/>
        <rFont val="Arial"/>
        <family val="2"/>
      </rPr>
      <t>12</t>
    </r>
    <r>
      <rPr>
        <sz val="10"/>
        <rFont val="宋体"/>
        <family val="3"/>
        <charset val="134"/>
      </rPr>
      <t>月</t>
    </r>
    <r>
      <rPr>
        <sz val="10"/>
        <rFont val="Arial"/>
        <family val="2"/>
      </rPr>
      <t>16</t>
    </r>
    <r>
      <rPr>
        <sz val="10"/>
        <rFont val="宋体"/>
        <family val="3"/>
        <charset val="134"/>
      </rPr>
      <t>日起至</t>
    </r>
    <r>
      <rPr>
        <sz val="10"/>
        <rFont val="Arial"/>
        <family val="2"/>
      </rPr>
      <t>2025</t>
    </r>
    <r>
      <rPr>
        <sz val="10"/>
        <rFont val="宋体"/>
        <family val="3"/>
        <charset val="134"/>
      </rPr>
      <t>年</t>
    </r>
    <r>
      <rPr>
        <sz val="10"/>
        <rFont val="Arial"/>
        <family val="2"/>
      </rPr>
      <t>01</t>
    </r>
    <r>
      <rPr>
        <sz val="10"/>
        <rFont val="宋体"/>
        <family val="3"/>
        <charset val="134"/>
      </rPr>
      <t>月</t>
    </r>
    <r>
      <rPr>
        <sz val="10"/>
        <rFont val="Arial"/>
        <family val="2"/>
      </rPr>
      <t>15</t>
    </r>
    <r>
      <rPr>
        <sz val="10"/>
        <rFont val="宋体"/>
        <family val="3"/>
        <charset val="134"/>
      </rPr>
      <t>日</t>
    </r>
    <r>
      <rPr>
        <sz val="10"/>
        <rFont val="Arial"/>
        <family val="2"/>
      </rPr>
      <t xml:space="preserve">
2025</t>
    </r>
    <r>
      <rPr>
        <sz val="10"/>
        <rFont val="宋体"/>
        <family val="3"/>
        <charset val="134"/>
      </rPr>
      <t>年</t>
    </r>
    <r>
      <rPr>
        <sz val="10"/>
        <rFont val="Arial"/>
        <family val="2"/>
      </rPr>
      <t>12</t>
    </r>
    <r>
      <rPr>
        <sz val="10"/>
        <rFont val="宋体"/>
        <family val="3"/>
        <charset val="134"/>
      </rPr>
      <t>月</t>
    </r>
    <r>
      <rPr>
        <sz val="10"/>
        <rFont val="Arial"/>
        <family val="2"/>
      </rPr>
      <t>16</t>
    </r>
    <r>
      <rPr>
        <sz val="10"/>
        <rFont val="宋体"/>
        <family val="3"/>
        <charset val="134"/>
      </rPr>
      <t>日起至</t>
    </r>
    <r>
      <rPr>
        <sz val="10"/>
        <rFont val="Arial"/>
        <family val="2"/>
      </rPr>
      <t>2026</t>
    </r>
    <r>
      <rPr>
        <sz val="10"/>
        <rFont val="宋体"/>
        <family val="3"/>
        <charset val="134"/>
      </rPr>
      <t>年</t>
    </r>
    <r>
      <rPr>
        <sz val="10"/>
        <rFont val="Arial"/>
        <family val="2"/>
      </rPr>
      <t>01</t>
    </r>
    <r>
      <rPr>
        <sz val="10"/>
        <rFont val="宋体"/>
        <family val="3"/>
        <charset val="134"/>
      </rPr>
      <t>月</t>
    </r>
    <r>
      <rPr>
        <sz val="10"/>
        <rFont val="Arial"/>
        <family val="2"/>
      </rPr>
      <t>15</t>
    </r>
    <r>
      <rPr>
        <sz val="10"/>
        <rFont val="宋体"/>
        <family val="3"/>
        <charset val="134"/>
      </rPr>
      <t>日</t>
    </r>
  </si>
  <si>
    <r>
      <rPr>
        <sz val="10"/>
        <color theme="1"/>
        <rFont val="宋体"/>
        <family val="3"/>
        <charset val="134"/>
      </rPr>
      <t>季付提前</t>
    </r>
    <r>
      <rPr>
        <sz val="10"/>
        <color theme="1"/>
        <rFont val="Arial"/>
        <family val="2"/>
      </rPr>
      <t>10</t>
    </r>
    <r>
      <rPr>
        <sz val="10"/>
        <color theme="1"/>
        <rFont val="宋体"/>
        <family val="3"/>
        <charset val="134"/>
      </rPr>
      <t>日</t>
    </r>
  </si>
  <si>
    <r>
      <rPr>
        <sz val="10"/>
        <color theme="1"/>
        <rFont val="Arial"/>
        <family val="2"/>
      </rPr>
      <t>2023.12.04</t>
    </r>
    <r>
      <rPr>
        <sz val="10"/>
        <color theme="1"/>
        <rFont val="宋体"/>
        <family val="3"/>
        <charset val="134"/>
      </rPr>
      <t>交</t>
    </r>
    <r>
      <rPr>
        <sz val="10"/>
        <color theme="1"/>
        <rFont val="Arial"/>
        <family val="2"/>
      </rPr>
      <t>2024.02.16-2024.03.15</t>
    </r>
    <r>
      <rPr>
        <sz val="10"/>
        <color theme="1"/>
        <rFont val="宋体"/>
        <family val="3"/>
        <charset val="134"/>
      </rPr>
      <t>租金、</t>
    </r>
    <r>
      <rPr>
        <sz val="10"/>
        <color theme="1"/>
        <rFont val="Arial"/>
        <family val="2"/>
      </rPr>
      <t>2023.12.16-2024.03.15</t>
    </r>
    <r>
      <rPr>
        <sz val="10"/>
        <color theme="1"/>
        <rFont val="宋体"/>
        <family val="3"/>
        <charset val="134"/>
      </rPr>
      <t>物业费</t>
    </r>
  </si>
  <si>
    <t>2024.03.16-06.15</t>
  </si>
  <si>
    <r>
      <rPr>
        <sz val="10"/>
        <color theme="1"/>
        <rFont val="Arial"/>
        <family val="2"/>
      </rPr>
      <t>2024.03.08</t>
    </r>
    <r>
      <rPr>
        <sz val="10"/>
        <color theme="1"/>
        <rFont val="宋体"/>
        <family val="3"/>
        <charset val="134"/>
      </rPr>
      <t>交</t>
    </r>
    <r>
      <rPr>
        <sz val="10"/>
        <color theme="1"/>
        <rFont val="Arial"/>
        <family val="2"/>
      </rPr>
      <t>2024.03.16-2024.06.15</t>
    </r>
  </si>
  <si>
    <r>
      <rPr>
        <sz val="10"/>
        <color theme="1"/>
        <rFont val="Arial"/>
        <family val="2"/>
      </rPr>
      <t>2024.05.23</t>
    </r>
    <r>
      <rPr>
        <sz val="10"/>
        <color theme="1"/>
        <rFont val="宋体"/>
        <family val="3"/>
        <charset val="134"/>
      </rPr>
      <t>预收</t>
    </r>
    <r>
      <rPr>
        <sz val="10"/>
        <color theme="1"/>
        <rFont val="Arial"/>
        <family val="2"/>
      </rPr>
      <t>2024.06.16-2024.09.15</t>
    </r>
  </si>
  <si>
    <t>2024.06.16-09.15</t>
  </si>
  <si>
    <t>2024.09.16-12.15</t>
  </si>
  <si>
    <r>
      <rPr>
        <sz val="10"/>
        <color theme="1"/>
        <rFont val="Arial"/>
        <family val="2"/>
      </rPr>
      <t>2024.09.13</t>
    </r>
    <r>
      <rPr>
        <sz val="10"/>
        <color theme="1"/>
        <rFont val="宋体"/>
        <family val="3"/>
        <charset val="134"/>
      </rPr>
      <t>预收</t>
    </r>
    <r>
      <rPr>
        <sz val="10"/>
        <color theme="1"/>
        <rFont val="Arial"/>
        <family val="2"/>
      </rPr>
      <t>2024.09.16-12.15</t>
    </r>
  </si>
  <si>
    <t>2024.12.16-2025.03.15</t>
  </si>
  <si>
    <t>2025.01.01-03.15</t>
  </si>
  <si>
    <t>2024.01.01-03.15</t>
  </si>
  <si>
    <r>
      <rPr>
        <sz val="10"/>
        <rFont val="宋体"/>
        <family val="3"/>
        <charset val="134"/>
      </rPr>
      <t>海龙大厦</t>
    </r>
    <r>
      <rPr>
        <sz val="10"/>
        <rFont val="Arial"/>
        <family val="2"/>
      </rPr>
      <t>6</t>
    </r>
    <r>
      <rPr>
        <sz val="10"/>
        <rFont val="宋体"/>
        <family val="3"/>
        <charset val="134"/>
      </rPr>
      <t>层</t>
    </r>
  </si>
  <si>
    <r>
      <rPr>
        <sz val="10"/>
        <rFont val="宋体"/>
        <family val="3"/>
        <charset val="134"/>
      </rPr>
      <t>六层</t>
    </r>
  </si>
  <si>
    <r>
      <rPr>
        <sz val="10"/>
        <rFont val="宋体"/>
        <family val="3"/>
        <charset val="134"/>
      </rPr>
      <t>北京市海淀区私立新东方学校</t>
    </r>
  </si>
  <si>
    <r>
      <rPr>
        <sz val="10"/>
        <rFont val="Arial"/>
        <family val="2"/>
      </rPr>
      <t>ZLHT2016-02-140052</t>
    </r>
    <r>
      <rPr>
        <sz val="10"/>
        <rFont val="宋体"/>
        <family val="3"/>
        <charset val="134"/>
      </rPr>
      <t>（</t>
    </r>
    <r>
      <rPr>
        <sz val="10"/>
        <rFont val="Arial"/>
        <family val="2"/>
      </rPr>
      <t>YW-2020-CX-0034</t>
    </r>
    <r>
      <rPr>
        <sz val="10"/>
        <rFont val="宋体"/>
        <family val="3"/>
        <charset val="134"/>
      </rPr>
      <t>）</t>
    </r>
  </si>
  <si>
    <t>2014.03.01</t>
  </si>
  <si>
    <r>
      <rPr>
        <sz val="10"/>
        <rFont val="宋体"/>
        <family val="3"/>
        <charset val="134"/>
      </rPr>
      <t>季付首月</t>
    </r>
    <r>
      <rPr>
        <sz val="10"/>
        <rFont val="Arial"/>
        <family val="2"/>
      </rPr>
      <t>5</t>
    </r>
    <r>
      <rPr>
        <sz val="10"/>
        <rFont val="宋体"/>
        <family val="3"/>
        <charset val="134"/>
      </rPr>
      <t>日前</t>
    </r>
  </si>
  <si>
    <r>
      <rPr>
        <sz val="10"/>
        <color theme="1"/>
        <rFont val="Arial"/>
        <family val="2"/>
      </rPr>
      <t>2021.11.25</t>
    </r>
    <r>
      <rPr>
        <sz val="10"/>
        <color theme="1"/>
        <rFont val="宋体"/>
        <family val="3"/>
        <charset val="134"/>
      </rPr>
      <t>交</t>
    </r>
    <r>
      <rPr>
        <sz val="10"/>
        <color theme="1"/>
        <rFont val="Arial"/>
        <family val="2"/>
      </rPr>
      <t>2021.12.01-2022.02.28</t>
    </r>
    <r>
      <rPr>
        <sz val="10"/>
        <color theme="1"/>
        <rFont val="宋体"/>
        <family val="3"/>
        <charset val="134"/>
      </rPr>
      <t>，</t>
    </r>
    <r>
      <rPr>
        <sz val="10"/>
        <color theme="1"/>
        <rFont val="Arial"/>
        <family val="2"/>
      </rPr>
      <t>2022.03.21</t>
    </r>
    <r>
      <rPr>
        <sz val="10"/>
        <color theme="1"/>
        <rFont val="宋体"/>
        <family val="3"/>
        <charset val="134"/>
      </rPr>
      <t>客户提前退租</t>
    </r>
    <r>
      <rPr>
        <sz val="10"/>
        <color theme="1"/>
        <rFont val="Arial"/>
        <family val="2"/>
      </rPr>
      <t>,</t>
    </r>
    <r>
      <rPr>
        <sz val="10"/>
        <color theme="1"/>
        <rFont val="宋体"/>
        <family val="3"/>
        <charset val="134"/>
      </rPr>
      <t>押金转收入（</t>
    </r>
    <r>
      <rPr>
        <sz val="10"/>
        <color theme="1"/>
        <rFont val="Arial"/>
        <family val="2"/>
      </rPr>
      <t>2022.01.19</t>
    </r>
    <r>
      <rPr>
        <sz val="10"/>
        <color theme="1"/>
        <rFont val="宋体"/>
        <family val="3"/>
        <charset val="134"/>
      </rPr>
      <t>合同已解除，</t>
    </r>
    <r>
      <rPr>
        <sz val="10"/>
        <color theme="1"/>
        <rFont val="Arial"/>
        <family val="2"/>
      </rPr>
      <t>2022.01.20-02.28</t>
    </r>
    <r>
      <rPr>
        <sz val="10"/>
        <color theme="1"/>
        <rFont val="宋体"/>
        <family val="3"/>
        <charset val="134"/>
      </rPr>
      <t>租金及物业费不退还）</t>
    </r>
  </si>
  <si>
    <r>
      <rPr>
        <b/>
        <sz val="10"/>
        <rFont val="Arial"/>
        <family val="2"/>
      </rPr>
      <t>2-6</t>
    </r>
    <r>
      <rPr>
        <b/>
        <sz val="10"/>
        <rFont val="宋体"/>
        <family val="3"/>
        <charset val="134"/>
      </rPr>
      <t>层租金合计</t>
    </r>
  </si>
  <si>
    <t>优客收客户服务费</t>
  </si>
  <si>
    <r>
      <rPr>
        <sz val="10"/>
        <color theme="1"/>
        <rFont val="Arial"/>
        <family val="2"/>
      </rPr>
      <t>2024.02.21</t>
    </r>
    <r>
      <rPr>
        <sz val="10"/>
        <color theme="1"/>
        <rFont val="宋体"/>
        <family val="3"/>
        <charset val="134"/>
      </rPr>
      <t>保证金不退转收客户服务费</t>
    </r>
  </si>
  <si>
    <t>预算差异-3层优客工场剩余保证金不退85000元转收客户服务费</t>
  </si>
  <si>
    <r>
      <rPr>
        <sz val="11"/>
        <color theme="1"/>
        <rFont val="宋体"/>
        <family val="3"/>
        <charset val="134"/>
      </rPr>
      <t>中天</t>
    </r>
  </si>
  <si>
    <r>
      <rPr>
        <sz val="11"/>
        <color theme="1"/>
        <rFont val="宋体"/>
        <family val="3"/>
        <charset val="134"/>
      </rPr>
      <t>高科</t>
    </r>
  </si>
  <si>
    <r>
      <rPr>
        <b/>
        <sz val="10"/>
        <color indexed="8"/>
        <rFont val="Arial"/>
        <family val="2"/>
      </rPr>
      <t>1</t>
    </r>
    <r>
      <rPr>
        <b/>
        <sz val="10"/>
        <color indexed="8"/>
        <rFont val="宋体"/>
        <family val="3"/>
        <charset val="134"/>
      </rPr>
      <t>月租金账上余额</t>
    </r>
  </si>
  <si>
    <r>
      <rPr>
        <b/>
        <sz val="10"/>
        <color indexed="8"/>
        <rFont val="Arial"/>
        <family val="2"/>
      </rPr>
      <t>1</t>
    </r>
    <r>
      <rPr>
        <b/>
        <sz val="10"/>
        <color indexed="8"/>
        <rFont val="宋体"/>
        <family val="3"/>
        <charset val="134"/>
      </rPr>
      <t>月物业费账上余额</t>
    </r>
  </si>
  <si>
    <r>
      <rPr>
        <b/>
        <sz val="10"/>
        <color indexed="8"/>
        <rFont val="Arial"/>
        <family val="2"/>
      </rPr>
      <t>2</t>
    </r>
    <r>
      <rPr>
        <b/>
        <sz val="10"/>
        <color indexed="8"/>
        <rFont val="宋体"/>
        <family val="3"/>
        <charset val="134"/>
      </rPr>
      <t>月租金账上余额</t>
    </r>
  </si>
  <si>
    <r>
      <rPr>
        <b/>
        <sz val="10"/>
        <color indexed="8"/>
        <rFont val="Arial"/>
        <family val="2"/>
      </rPr>
      <t>2</t>
    </r>
    <r>
      <rPr>
        <b/>
        <sz val="10"/>
        <color indexed="8"/>
        <rFont val="宋体"/>
        <family val="3"/>
        <charset val="134"/>
      </rPr>
      <t>月物业费账上余额</t>
    </r>
  </si>
  <si>
    <r>
      <rPr>
        <b/>
        <sz val="10"/>
        <color indexed="8"/>
        <rFont val="Arial"/>
        <family val="2"/>
      </rPr>
      <t>3</t>
    </r>
    <r>
      <rPr>
        <b/>
        <sz val="10"/>
        <color indexed="8"/>
        <rFont val="宋体"/>
        <family val="3"/>
        <charset val="134"/>
      </rPr>
      <t>月租金账上余额</t>
    </r>
  </si>
  <si>
    <r>
      <rPr>
        <b/>
        <sz val="10"/>
        <color indexed="8"/>
        <rFont val="Arial"/>
        <family val="2"/>
      </rPr>
      <t>3</t>
    </r>
    <r>
      <rPr>
        <b/>
        <sz val="10"/>
        <color indexed="8"/>
        <rFont val="宋体"/>
        <family val="3"/>
        <charset val="134"/>
      </rPr>
      <t>月物业费账上余额</t>
    </r>
  </si>
  <si>
    <t>租赁面积</t>
    <phoneticPr fontId="134" type="noConversion"/>
  </si>
  <si>
    <t>年租金</t>
    <phoneticPr fontId="134" type="noConversion"/>
  </si>
  <si>
    <t>日租金</t>
    <phoneticPr fontId="134" type="noConversion"/>
  </si>
  <si>
    <t>年物业费</t>
    <phoneticPr fontId="134" type="noConversion"/>
  </si>
  <si>
    <r>
      <rPr>
        <sz val="11"/>
        <color theme="1"/>
        <rFont val="宋体"/>
        <family val="3"/>
        <charset val="134"/>
      </rPr>
      <t>不含</t>
    </r>
    <r>
      <rPr>
        <sz val="11"/>
        <color theme="1"/>
        <rFont val="Arial"/>
        <family val="2"/>
      </rPr>
      <t>2024</t>
    </r>
    <r>
      <rPr>
        <sz val="11"/>
        <color theme="1"/>
        <rFont val="宋体"/>
        <family val="3"/>
        <charset val="134"/>
      </rPr>
      <t>年及空置</t>
    </r>
    <phoneticPr fontId="134" type="noConversion"/>
  </si>
  <si>
    <t>已出租</t>
    <phoneticPr fontId="134" type="noConversion"/>
  </si>
  <si>
    <t>含物业日租金</t>
    <phoneticPr fontId="134" type="noConversion"/>
  </si>
  <si>
    <r>
      <t>2-6</t>
    </r>
    <r>
      <rPr>
        <sz val="11"/>
        <rFont val="宋体"/>
        <family val="3"/>
        <charset val="134"/>
      </rPr>
      <t>层</t>
    </r>
    <phoneticPr fontId="134" type="noConversion"/>
  </si>
  <si>
    <t>含物业费日租金</t>
    <phoneticPr fontId="134" type="noConversion"/>
  </si>
  <si>
    <t>日物业费</t>
    <phoneticPr fontId="134" type="noConversion"/>
  </si>
  <si>
    <t>含物业费租金</t>
    <phoneticPr fontId="134" type="noConversion"/>
  </si>
  <si>
    <t>建面</t>
    <phoneticPr fontId="134" type="noConversion"/>
  </si>
  <si>
    <r>
      <t>7</t>
    </r>
    <r>
      <rPr>
        <sz val="11"/>
        <color rgb="FFFF0000"/>
        <rFont val="宋体"/>
        <family val="3"/>
        <charset val="134"/>
      </rPr>
      <t>、</t>
    </r>
    <r>
      <rPr>
        <sz val="11"/>
        <color rgb="FFFF0000"/>
        <rFont val="Arial"/>
        <family val="2"/>
      </rPr>
      <t>11</t>
    </r>
    <r>
      <rPr>
        <sz val="11"/>
        <color rgb="FFFF0000"/>
        <rFont val="宋体"/>
        <family val="3"/>
        <charset val="134"/>
      </rPr>
      <t>、1</t>
    </r>
    <r>
      <rPr>
        <sz val="11"/>
        <color rgb="FFFF0000"/>
        <rFont val="Arial"/>
        <family val="2"/>
      </rPr>
      <t>5-17</t>
    </r>
    <r>
      <rPr>
        <sz val="11"/>
        <color rgb="FFFF0000"/>
        <rFont val="宋体"/>
        <family val="3"/>
        <charset val="134"/>
      </rPr>
      <t>层</t>
    </r>
    <phoneticPr fontId="134" type="noConversion"/>
  </si>
  <si>
    <t>合计</t>
    <phoneticPr fontId="134" type="noConversion"/>
  </si>
  <si>
    <t>库房</t>
    <phoneticPr fontId="3" type="noConversion"/>
  </si>
  <si>
    <t>设备间</t>
    <phoneticPr fontId="3" type="noConversion"/>
  </si>
  <si>
    <t>合计</t>
    <phoneticPr fontId="3" type="noConversion"/>
  </si>
  <si>
    <t>可收益面积</t>
    <phoneticPr fontId="3" type="noConversion"/>
  </si>
  <si>
    <t>地下</t>
    <phoneticPr fontId="7" type="noConversion"/>
  </si>
  <si>
    <t>收益法-地下</t>
  </si>
  <si>
    <t>收益法-地下</t>
    <phoneticPr fontId="16" type="noConversion"/>
  </si>
  <si>
    <r>
      <rPr>
        <sz val="10"/>
        <color theme="9" tint="-0.249977111117893"/>
        <rFont val="宋体"/>
        <family val="3"/>
        <charset val="134"/>
      </rPr>
      <t>海淀区中关村大街</t>
    </r>
    <r>
      <rPr>
        <sz val="10"/>
        <color theme="9" tint="-0.249977111117893"/>
        <rFont val="Arial"/>
        <family val="2"/>
      </rPr>
      <t>1</t>
    </r>
    <r>
      <rPr>
        <sz val="10"/>
        <color theme="9" tint="-0.249977111117893"/>
        <rFont val="宋体"/>
        <family val="3"/>
        <charset val="134"/>
      </rPr>
      <t>号部分综合用房及全部车库用房</t>
    </r>
    <phoneticPr fontId="6" type="noConversion"/>
  </si>
  <si>
    <t>提供的车位数据</t>
    <phoneticPr fontId="3" type="noConversion"/>
  </si>
  <si>
    <t>新中关大厦</t>
    <phoneticPr fontId="3" type="noConversion"/>
  </si>
  <si>
    <t>序号</t>
  </si>
  <si>
    <t>座落地址</t>
  </si>
  <si>
    <t>房间号</t>
  </si>
  <si>
    <t>面积</t>
  </si>
  <si>
    <t>状态</t>
  </si>
  <si>
    <t>合同甲方名称</t>
  </si>
  <si>
    <t>“资产合同”编号</t>
  </si>
  <si>
    <t>合同起租日</t>
  </si>
  <si>
    <t>合同到期日</t>
  </si>
  <si>
    <t>合同年限</t>
  </si>
  <si>
    <t>免租期间</t>
  </si>
  <si>
    <t>应收保证金</t>
  </si>
  <si>
    <t>实收保证金</t>
  </si>
  <si>
    <t>保证金差异</t>
  </si>
  <si>
    <t>应收物业费押金</t>
  </si>
  <si>
    <t>实收物业费押金</t>
  </si>
  <si>
    <t>物业费押金差异</t>
  </si>
  <si>
    <t>租金单价</t>
  </si>
  <si>
    <t>月租金</t>
  </si>
  <si>
    <t>海龙大厦7层</t>
  </si>
  <si>
    <t>703、07H</t>
  </si>
  <si>
    <t>96个月14天</t>
  </si>
  <si>
    <t>北京无元数字科技有限公司</t>
  </si>
  <si>
    <t>七层</t>
  </si>
  <si>
    <t>七层-2</t>
  </si>
  <si>
    <t>员工餐厅自用709.45平米、07H施工方临时占用124.30平米</t>
  </si>
  <si>
    <t>海龙大厦8层</t>
  </si>
  <si>
    <t>31个月</t>
  </si>
  <si>
    <t>36个月</t>
  </si>
  <si>
    <t>北京酷学慧思网络科技有限公司</t>
  </si>
  <si>
    <t>12个月</t>
  </si>
  <si>
    <t>0818-0824、08A1-08A3</t>
  </si>
  <si>
    <t>优客工场（北京）创业投资有限公司</t>
  </si>
  <si>
    <t>20200706-01215补充协议（原合同20190905-02058）</t>
  </si>
  <si>
    <t>0825、0826</t>
  </si>
  <si>
    <t>10个月零6天</t>
  </si>
  <si>
    <t>海龙大厦9层</t>
  </si>
  <si>
    <t>天贶森林企业管理（北京）有限公司</t>
  </si>
  <si>
    <t>北京育达东方软件科技有限公司</t>
  </si>
  <si>
    <t>北京多金法律咨询服务有限公司</t>
  </si>
  <si>
    <t>ZCZGC-2017-ZL909、1603-07</t>
  </si>
  <si>
    <t>60个月</t>
  </si>
  <si>
    <t>恩赛纳微（北京）材料技术研究院有限公司</t>
  </si>
  <si>
    <t>33个月10天</t>
  </si>
  <si>
    <t>911A（小业主回租）</t>
  </si>
  <si>
    <t>北京场圈文化传媒有限公司</t>
  </si>
  <si>
    <t>24个月</t>
  </si>
  <si>
    <t>北京田园美育文化科技有限公司</t>
  </si>
  <si>
    <t>北京鼎升星皓网络科技有限公司</t>
  </si>
  <si>
    <t>北京聚能甄选科技有限公司</t>
  </si>
  <si>
    <t>北京田园博文咨询服务有限公司</t>
  </si>
  <si>
    <t>北京小面鲜生餐饮管理有限公司</t>
  </si>
  <si>
    <t>30个月</t>
  </si>
  <si>
    <t>北京聚能传承信息技术咨询有限公司</t>
  </si>
  <si>
    <t>办公室占用</t>
  </si>
  <si>
    <t>北京景智创联科技有限公司</t>
  </si>
  <si>
    <t>海龙大厦10层</t>
  </si>
  <si>
    <t>9个月</t>
  </si>
  <si>
    <t>北京京扬咨询有限公司</t>
  </si>
  <si>
    <t>18个月</t>
  </si>
  <si>
    <t>北京指上缤纷科技股份有限公司</t>
  </si>
  <si>
    <t>1个月</t>
  </si>
  <si>
    <t>1011、1025-26</t>
  </si>
  <si>
    <t>北京市海淀区前程百利培训学校</t>
  </si>
  <si>
    <t>北京华清卓立科技有限公司</t>
  </si>
  <si>
    <t>1018、1020-1021</t>
  </si>
  <si>
    <t>北京趋动科技有限公司</t>
  </si>
  <si>
    <t>1019、1022、10A1-10A3</t>
  </si>
  <si>
    <t>北京趋动智能科技有限公司</t>
  </si>
  <si>
    <t>趋动科技（上海）有限公司</t>
  </si>
  <si>
    <t>海龙大厦11层</t>
  </si>
  <si>
    <t>1100-12、1115-17、25-26</t>
  </si>
  <si>
    <t>1118-24、A1-A3</t>
  </si>
  <si>
    <t>19个月</t>
  </si>
  <si>
    <t>海龙大厦12层</t>
  </si>
  <si>
    <t>1200、1205-1209</t>
  </si>
  <si>
    <t>7个月</t>
  </si>
  <si>
    <t>1210-12、1225</t>
  </si>
  <si>
    <t>1201、1203-04、1215-19、1226</t>
  </si>
  <si>
    <t>29个月14天</t>
  </si>
  <si>
    <t>北京爱芯科技有限公司</t>
  </si>
  <si>
    <t>直播间占用</t>
  </si>
  <si>
    <t>海龙大厦13层</t>
  </si>
  <si>
    <t xml:space="preserve">租 </t>
  </si>
  <si>
    <t>北京儒德律师事务所</t>
  </si>
  <si>
    <t>1309(小业主回租)</t>
  </si>
  <si>
    <t>27个月27天</t>
  </si>
  <si>
    <t>北京格隆汇投资顾问有限公司</t>
  </si>
  <si>
    <t>1312、1315-17、1325-26</t>
  </si>
  <si>
    <t>海龙大厦14层</t>
  </si>
  <si>
    <t>北京兴人腾达科技有限公司</t>
  </si>
  <si>
    <t>6个月</t>
  </si>
  <si>
    <t>北京每日友邻文化科技有限公司</t>
  </si>
  <si>
    <t>北京硕盟伙伴科技有限公司</t>
  </si>
  <si>
    <t>14A2、14A3-1</t>
  </si>
  <si>
    <t>北京天洋致信科技有限公司</t>
  </si>
  <si>
    <t>北京名湃留学咨询服务有限公司</t>
  </si>
  <si>
    <t>海龙大厦15层</t>
  </si>
  <si>
    <t>21个月15天</t>
  </si>
  <si>
    <t>37个月</t>
  </si>
  <si>
    <t>小盈企服科技（北京）有限公司</t>
  </si>
  <si>
    <t>盈空间创业（北京）科技有限公司</t>
  </si>
  <si>
    <t>小盈空间企服科技（北京）有限公司</t>
  </si>
  <si>
    <t>海龙大厦16层</t>
  </si>
  <si>
    <t>海龙大厦17层</t>
  </si>
  <si>
    <t>北京方正易通科技有限公司</t>
  </si>
  <si>
    <t>北京方正艾普信息系统有限公司</t>
  </si>
  <si>
    <t>北京方正智星科技有限公司</t>
  </si>
  <si>
    <t>北京场圈科技有限公司</t>
  </si>
  <si>
    <t>北京方正欣远科技有限公司</t>
  </si>
  <si>
    <t>北京方正智联科技有限公司</t>
  </si>
  <si>
    <t>海龙大厦18层</t>
  </si>
  <si>
    <t>海龙大厦1层</t>
  </si>
  <si>
    <t>北京星巴克咖啡有限公司（原北京龙宇天畅投资咨询有限公司）</t>
  </si>
  <si>
    <t>20200721-01304（ZLHT2016-02-240083）</t>
  </si>
  <si>
    <t>120个月</t>
  </si>
  <si>
    <t>北京城明利达科技有限公司</t>
  </si>
  <si>
    <t>48个月</t>
  </si>
  <si>
    <t>易家合众（北京）信息科技有限公司</t>
  </si>
  <si>
    <t>北京瑞吉咖啡有限公司</t>
  </si>
  <si>
    <t>北京市海淀区人民政府海淀街道办事处</t>
  </si>
  <si>
    <t>51个月5天</t>
  </si>
  <si>
    <t>北京鑫海岸商贸有限公司</t>
  </si>
</sst>
</file>

<file path=xl/styles.xml><?xml version="1.0" encoding="utf-8"?>
<styleSheet xmlns="http://schemas.openxmlformats.org/spreadsheetml/2006/main" xmlns:mc="http://schemas.openxmlformats.org/markup-compatibility/2006" xmlns:x14ac="http://schemas.microsoft.com/office/spreadsheetml/2009/9/ac" mc:Ignorable="x14ac">
  <numFmts count="25">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_ "/>
    <numFmt numFmtId="197" formatCode="_ * #,##0.00_ ;_ * \-#,##0.00_ ;_ * &quot;-&quot;??.0_ ;_ @_ "/>
    <numFmt numFmtId="198" formatCode="_-* #,##0.00_-;\-* #,##0.00_-;_-* &quot;-&quot;??_-;_-@_-"/>
    <numFmt numFmtId="199" formatCode="yyyy/mm/dd"/>
  </numFmts>
  <fonts count="28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b/>
      <sz val="16"/>
      <color theme="1"/>
      <name val="Arial"/>
      <family val="2"/>
    </font>
    <font>
      <b/>
      <sz val="16"/>
      <color theme="1"/>
      <name val="宋体"/>
      <family val="3"/>
      <charset val="134"/>
    </font>
    <font>
      <sz val="11"/>
      <color rgb="FF0070C0"/>
      <name val="Arial"/>
      <family val="2"/>
    </font>
    <font>
      <b/>
      <sz val="10"/>
      <color rgb="FF0070C0"/>
      <name val="Arial"/>
      <family val="2"/>
    </font>
    <font>
      <b/>
      <sz val="10"/>
      <color rgb="FF0070C0"/>
      <name val="宋体"/>
      <family val="3"/>
      <charset val="134"/>
    </font>
    <font>
      <b/>
      <sz val="10"/>
      <color theme="4"/>
      <name val="Arial"/>
      <family val="2"/>
    </font>
    <font>
      <b/>
      <sz val="10"/>
      <color theme="4"/>
      <name val="宋体"/>
      <family val="3"/>
      <charset val="134"/>
    </font>
    <font>
      <sz val="10"/>
      <color rgb="FF0070C0"/>
      <name val="Arial"/>
      <family val="2"/>
    </font>
    <font>
      <sz val="10"/>
      <color theme="4"/>
      <name val="Arial"/>
      <family val="2"/>
    </font>
    <font>
      <sz val="10"/>
      <color indexed="30"/>
      <name val="Arial"/>
      <family val="2"/>
    </font>
    <font>
      <u/>
      <sz val="12"/>
      <color theme="1"/>
      <name val="Arial"/>
      <family val="2"/>
    </font>
    <font>
      <b/>
      <sz val="9"/>
      <name val="宋体"/>
      <family val="3"/>
      <charset val="134"/>
    </font>
    <font>
      <b/>
      <sz val="9"/>
      <name val="Tahoma"/>
      <family val="2"/>
    </font>
    <font>
      <sz val="9"/>
      <name val="Tahoma"/>
      <family val="2"/>
    </font>
  </fonts>
  <fills count="4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59999389629810485"/>
        <bgColor indexed="64"/>
      </patternFill>
    </fill>
    <fill>
      <patternFill patternType="solid">
        <fgColor theme="9" tint="0.7993408001953185"/>
        <bgColor indexed="64"/>
      </patternFill>
    </fill>
    <fill>
      <patternFill patternType="solid">
        <fgColor rgb="FF00B050"/>
        <bgColor indexed="64"/>
      </patternFill>
    </fill>
    <fill>
      <patternFill patternType="solid">
        <fgColor theme="3" tint="0.7993408001953185"/>
        <bgColor indexed="64"/>
      </patternFill>
    </fill>
    <fill>
      <patternFill patternType="solid">
        <fgColor theme="9" tint="0.39927365947447124"/>
        <bgColor indexed="64"/>
      </patternFill>
    </fill>
    <fill>
      <patternFill patternType="solid">
        <fgColor rgb="FFFFC000"/>
        <bgColor indexed="64"/>
      </patternFill>
    </fill>
    <fill>
      <patternFill patternType="solid">
        <fgColor rgb="FF00FF00"/>
        <bgColor indexed="64"/>
      </patternFill>
    </fill>
    <fill>
      <patternFill patternType="solid">
        <fgColor rgb="FF00B0F0"/>
        <bgColor indexed="64"/>
      </patternFill>
    </fill>
    <fill>
      <patternFill patternType="solid">
        <fgColor rgb="FF14F414"/>
        <bgColor indexed="64"/>
      </patternFill>
    </fill>
    <fill>
      <patternFill patternType="solid">
        <fgColor theme="5" tint="0.79989013336588644"/>
        <bgColor indexed="64"/>
      </patternFill>
    </fill>
    <fill>
      <patternFill patternType="solid">
        <fgColor rgb="FFFF99CC"/>
        <bgColor indexed="64"/>
      </patternFill>
    </fill>
    <fill>
      <patternFill patternType="solid">
        <fgColor theme="5" tint="0.79985961485641044"/>
        <bgColor indexed="64"/>
      </patternFill>
    </fill>
    <fill>
      <patternFill patternType="solid">
        <fgColor theme="5" tint="0.79976805932798245"/>
        <bgColor indexed="64"/>
      </patternFill>
    </fill>
    <fill>
      <patternFill patternType="solid">
        <fgColor theme="9" tint="0.79998168889431442"/>
        <bgColor indexed="64"/>
      </patternFill>
    </fill>
    <fill>
      <patternFill patternType="solid">
        <fgColor theme="5" tint="0.79961546678060247"/>
        <bgColor indexed="64"/>
      </patternFill>
    </fill>
    <fill>
      <patternFill patternType="solid">
        <fgColor rgb="FFCCFFFF"/>
        <bgColor indexed="64"/>
      </patternFill>
    </fill>
    <fill>
      <patternFill patternType="solid">
        <fgColor theme="7" tint="0.79998168889431442"/>
        <bgColor indexed="64"/>
      </patternFill>
    </fill>
    <fill>
      <patternFill patternType="solid">
        <fgColor theme="9" tint="0.39963988158818325"/>
        <bgColor indexed="64"/>
      </patternFill>
    </fill>
    <fill>
      <patternFill patternType="solid">
        <fgColor theme="8" tint="0.79998168889431442"/>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44">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95" fillId="0" borderId="0" applyFont="0" applyFill="0" applyBorder="0" applyAlignment="0" applyProtection="0">
      <alignment vertical="center"/>
    </xf>
    <xf numFmtId="0" fontId="36" fillId="0" borderId="0">
      <alignment vertical="center"/>
    </xf>
    <xf numFmtId="0" fontId="128" fillId="0" borderId="0">
      <alignment vertical="center"/>
    </xf>
    <xf numFmtId="0" fontId="128" fillId="0" borderId="0">
      <alignment vertical="center"/>
    </xf>
    <xf numFmtId="43" fontId="36" fillId="0" borderId="0" applyFont="0" applyFill="0" applyBorder="0" applyAlignment="0" applyProtection="0">
      <alignment vertical="center"/>
    </xf>
    <xf numFmtId="0" fontId="36" fillId="0" borderId="0">
      <alignment vertical="center"/>
    </xf>
    <xf numFmtId="43" fontId="36" fillId="0" borderId="0" applyFont="0" applyFill="0" applyBorder="0" applyAlignment="0" applyProtection="0"/>
    <xf numFmtId="0" fontId="36" fillId="0" borderId="0">
      <alignment vertical="center"/>
    </xf>
    <xf numFmtId="0" fontId="128" fillId="0" borderId="0">
      <alignment vertical="center"/>
    </xf>
    <xf numFmtId="0" fontId="128" fillId="0" borderId="0">
      <alignment vertical="center"/>
    </xf>
    <xf numFmtId="0" fontId="36" fillId="0" borderId="0"/>
    <xf numFmtId="0" fontId="36" fillId="0" borderId="0"/>
    <xf numFmtId="0" fontId="36" fillId="0" borderId="0">
      <alignment vertical="center"/>
    </xf>
    <xf numFmtId="43" fontId="36" fillId="0" borderId="0" applyFont="0" applyFill="0" applyBorder="0" applyAlignment="0" applyProtection="0"/>
    <xf numFmtId="43" fontId="36" fillId="0" borderId="0" applyFont="0" applyFill="0" applyBorder="0" applyAlignment="0" applyProtection="0">
      <alignment vertical="center"/>
    </xf>
    <xf numFmtId="43" fontId="36" fillId="0" borderId="0" applyFont="0" applyFill="0" applyBorder="0" applyAlignment="0" applyProtection="0"/>
    <xf numFmtId="198" fontId="128" fillId="0" borderId="0" applyFont="0" applyFill="0" applyBorder="0" applyAlignment="0" applyProtection="0">
      <alignment vertical="center"/>
    </xf>
    <xf numFmtId="43" fontId="36" fillId="0" borderId="0" applyFont="0" applyFill="0" applyBorder="0" applyAlignment="0" applyProtection="0">
      <alignment vertical="center"/>
    </xf>
    <xf numFmtId="43" fontId="36" fillId="0" borderId="0" applyFont="0" applyFill="0" applyBorder="0" applyAlignment="0" applyProtection="0"/>
    <xf numFmtId="43" fontId="36" fillId="0" borderId="0" applyFont="0" applyFill="0" applyBorder="0" applyAlignment="0" applyProtection="0"/>
    <xf numFmtId="199" fontId="128" fillId="0" borderId="0" applyFont="0" applyFill="0" applyBorder="0" applyAlignment="0" applyProtection="0">
      <alignment vertical="center"/>
    </xf>
    <xf numFmtId="198" fontId="128" fillId="0" borderId="0" applyFont="0" applyFill="0" applyBorder="0" applyAlignment="0" applyProtection="0">
      <alignment vertical="center"/>
    </xf>
    <xf numFmtId="198" fontId="128" fillId="0" borderId="0" applyFont="0" applyFill="0" applyBorder="0" applyAlignment="0" applyProtection="0">
      <alignment vertical="center"/>
    </xf>
    <xf numFmtId="198" fontId="128" fillId="0" borderId="0" applyFont="0" applyFill="0" applyBorder="0" applyAlignment="0" applyProtection="0">
      <alignment vertical="center"/>
    </xf>
    <xf numFmtId="0" fontId="36" fillId="0" borderId="0">
      <alignment vertical="center"/>
    </xf>
  </cellStyleXfs>
  <cellXfs count="423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48"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7" borderId="150" xfId="0" applyFont="1" applyFill="1" applyBorder="1" applyAlignment="1" applyProtection="1">
      <alignment vertical="center" wrapText="1"/>
      <protection locked="0"/>
    </xf>
    <xf numFmtId="0" fontId="95" fillId="0" borderId="0" xfId="0" applyFont="1" applyAlignment="1">
      <alignment horizontal="left" vertical="center"/>
    </xf>
    <xf numFmtId="0" fontId="95" fillId="0" borderId="1" xfId="0" applyFont="1" applyBorder="1" applyAlignment="1">
      <alignment horizontal="left" vertical="center"/>
    </xf>
    <xf numFmtId="0" fontId="0" fillId="0" borderId="1" xfId="0" applyBorder="1" applyAlignment="1">
      <alignment horizontal="left" vertical="center"/>
    </xf>
    <xf numFmtId="0" fontId="96" fillId="0" borderId="1" xfId="0" applyFont="1" applyBorder="1" applyAlignment="1">
      <alignment horizontal="left" vertical="center"/>
    </xf>
    <xf numFmtId="0" fontId="77" fillId="0" borderId="1" xfId="0" applyFont="1" applyBorder="1" applyAlignment="1" applyProtection="1">
      <alignment vertical="center" wrapText="1"/>
      <protection locked="0"/>
    </xf>
    <xf numFmtId="0" fontId="0" fillId="5" borderId="1" xfId="0" applyFill="1" applyBorder="1" applyAlignment="1">
      <alignment horizontal="left" vertical="center"/>
    </xf>
    <xf numFmtId="0" fontId="77" fillId="12" borderId="0" xfId="0" applyFont="1" applyFill="1" applyAlignment="1" applyProtection="1">
      <alignment vertical="center"/>
      <protection locked="0"/>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77" fillId="12" borderId="0" xfId="0" applyFont="1" applyFill="1" applyBorder="1" applyAlignment="1" applyProtection="1">
      <alignment vertical="center"/>
      <protection locked="0"/>
    </xf>
    <xf numFmtId="0" fontId="0" fillId="0" borderId="0" xfId="0" applyBorder="1" applyProtection="1">
      <alignment vertical="center"/>
      <protection locked="0"/>
    </xf>
    <xf numFmtId="0" fontId="47" fillId="0" borderId="0" xfId="0" applyFont="1" applyBorder="1" applyAlignment="1" applyProtection="1">
      <alignment vertical="center"/>
      <protection locked="0"/>
    </xf>
    <xf numFmtId="0" fontId="47" fillId="12" borderId="0" xfId="0" applyFont="1" applyFill="1" applyBorder="1" applyAlignment="1" applyProtection="1">
      <alignment horizontal="left" vertical="center"/>
      <protection locked="0"/>
    </xf>
    <xf numFmtId="0" fontId="77" fillId="12" borderId="0" xfId="0" applyFont="1" applyFill="1" applyBorder="1" applyAlignment="1" applyProtection="1">
      <alignment horizontal="left" vertical="center"/>
      <protection locked="0"/>
    </xf>
    <xf numFmtId="0" fontId="79" fillId="12" borderId="0" xfId="0" applyFont="1" applyFill="1" applyBorder="1" applyAlignment="1" applyProtection="1">
      <alignment horizontal="left" vertical="center"/>
      <protection locked="0"/>
    </xf>
    <xf numFmtId="176" fontId="52" fillId="12" borderId="0" xfId="0" applyNumberFormat="1" applyFont="1" applyFill="1" applyBorder="1" applyAlignment="1" applyProtection="1">
      <alignment horizontal="left" vertical="center"/>
      <protection locked="0"/>
    </xf>
    <xf numFmtId="0" fontId="52" fillId="12" borderId="0" xfId="0" applyFont="1" applyFill="1" applyBorder="1" applyAlignment="1" applyProtection="1">
      <alignment horizontal="left" vertical="center"/>
      <protection locked="0"/>
    </xf>
    <xf numFmtId="176" fontId="47" fillId="12" borderId="0" xfId="0" applyNumberFormat="1" applyFont="1" applyFill="1" applyBorder="1" applyAlignment="1" applyProtection="1">
      <alignment horizontal="left" vertical="center"/>
      <protection locked="0"/>
    </xf>
    <xf numFmtId="0" fontId="128" fillId="0" borderId="5" xfId="0" applyFont="1" applyFill="1" applyBorder="1" applyAlignment="1" applyProtection="1">
      <alignment horizontal="center" vertical="center" wrapText="1"/>
      <protection locked="0"/>
    </xf>
    <xf numFmtId="0" fontId="53" fillId="0" borderId="1" xfId="0" applyFont="1" applyBorder="1" applyAlignment="1" applyProtection="1">
      <alignment horizontal="center" vertical="center"/>
      <protection locked="0"/>
    </xf>
    <xf numFmtId="0" fontId="53" fillId="0" borderId="1" xfId="0" applyFont="1" applyBorder="1" applyProtection="1">
      <alignment vertical="center"/>
      <protection locked="0"/>
    </xf>
    <xf numFmtId="0" fontId="53" fillId="0" borderId="1" xfId="0" applyFont="1" applyFill="1" applyBorder="1" applyAlignment="1" applyProtection="1">
      <alignment horizontal="center" vertical="center"/>
      <protection locked="0"/>
    </xf>
    <xf numFmtId="0" fontId="77" fillId="12" borderId="0" xfId="0" applyFont="1" applyFill="1" applyAlignment="1" applyProtection="1">
      <alignment horizontal="center" vertical="center"/>
      <protection locked="0"/>
    </xf>
    <xf numFmtId="179" fontId="47" fillId="12" borderId="0" xfId="0" applyNumberFormat="1" applyFont="1" applyFill="1" applyAlignment="1" applyProtection="1">
      <alignment horizontal="center" vertical="center"/>
      <protection locked="0"/>
    </xf>
    <xf numFmtId="0" fontId="98" fillId="0" borderId="0" xfId="10" applyFont="1">
      <alignment vertical="center"/>
    </xf>
    <xf numFmtId="43" fontId="98" fillId="0" borderId="0" xfId="10" applyNumberFormat="1" applyFont="1">
      <alignment vertical="center"/>
    </xf>
    <xf numFmtId="43" fontId="271" fillId="0" borderId="0" xfId="10" applyNumberFormat="1" applyFont="1">
      <alignment vertical="center"/>
    </xf>
    <xf numFmtId="43" fontId="100" fillId="0" borderId="0" xfId="10" applyNumberFormat="1" applyFont="1">
      <alignment vertical="center"/>
    </xf>
    <xf numFmtId="43" fontId="51" fillId="0" borderId="0" xfId="10" applyNumberFormat="1" applyFont="1">
      <alignment vertical="center"/>
    </xf>
    <xf numFmtId="43" fontId="49" fillId="0" borderId="0" xfId="10" applyNumberFormat="1" applyFont="1">
      <alignment vertical="center"/>
    </xf>
    <xf numFmtId="43" fontId="98" fillId="0" borderId="0" xfId="10" applyNumberFormat="1" applyFont="1" applyAlignment="1">
      <alignment vertical="center" wrapText="1"/>
    </xf>
    <xf numFmtId="0" fontId="95" fillId="0" borderId="0" xfId="10">
      <alignment vertical="center"/>
    </xf>
    <xf numFmtId="43" fontId="100" fillId="0" borderId="0" xfId="19" applyFont="1" applyAlignment="1">
      <alignment vertical="center"/>
    </xf>
    <xf numFmtId="43" fontId="98" fillId="0" borderId="0" xfId="19" applyFont="1" applyAlignment="1">
      <alignment vertical="center"/>
    </xf>
    <xf numFmtId="0" fontId="98" fillId="0" borderId="0" xfId="10" applyFont="1" applyAlignment="1">
      <alignment horizontal="left" vertical="center"/>
    </xf>
    <xf numFmtId="43" fontId="98" fillId="0" borderId="0" xfId="19" applyFont="1">
      <alignment vertical="center"/>
    </xf>
    <xf numFmtId="43" fontId="102" fillId="0" borderId="5" xfId="10" applyNumberFormat="1" applyFont="1" applyBorder="1">
      <alignment vertical="center"/>
    </xf>
    <xf numFmtId="43" fontId="102" fillId="0" borderId="54" xfId="10" applyNumberFormat="1" applyFont="1" applyBorder="1">
      <alignment vertical="center"/>
    </xf>
    <xf numFmtId="43" fontId="54" fillId="13" borderId="1" xfId="20" applyNumberFormat="1" applyFont="1" applyFill="1" applyBorder="1" applyAlignment="1">
      <alignment horizontal="center" vertical="center" wrapText="1"/>
    </xf>
    <xf numFmtId="43" fontId="54" fillId="25" borderId="1" xfId="20" applyNumberFormat="1" applyFont="1" applyFill="1" applyBorder="1" applyAlignment="1">
      <alignment horizontal="center" vertical="center" wrapText="1"/>
    </xf>
    <xf numFmtId="0" fontId="54" fillId="0" borderId="1" xfId="20" applyFont="1" applyBorder="1" applyAlignment="1">
      <alignment horizontal="center" vertical="center" wrapText="1"/>
    </xf>
    <xf numFmtId="0" fontId="272" fillId="0" borderId="1" xfId="20" applyFont="1" applyBorder="1" applyAlignment="1">
      <alignment horizontal="center" vertical="center" wrapText="1"/>
    </xf>
    <xf numFmtId="0" fontId="139" fillId="3" borderId="1" xfId="20" applyFont="1" applyFill="1" applyBorder="1" applyAlignment="1">
      <alignment horizontal="center" vertical="center" wrapText="1"/>
    </xf>
    <xf numFmtId="0" fontId="54" fillId="3" borderId="1" xfId="20" applyFont="1" applyFill="1" applyBorder="1" applyAlignment="1">
      <alignment horizontal="center" vertical="center" wrapText="1"/>
    </xf>
    <xf numFmtId="0" fontId="102" fillId="3" borderId="1" xfId="20" applyFont="1" applyFill="1" applyBorder="1" applyAlignment="1">
      <alignment horizontal="center" vertical="center" wrapText="1"/>
    </xf>
    <xf numFmtId="0" fontId="139" fillId="0" borderId="1" xfId="20" applyFont="1" applyBorder="1" applyAlignment="1">
      <alignment horizontal="center" vertical="center" wrapText="1"/>
    </xf>
    <xf numFmtId="0" fontId="60" fillId="3" borderId="1" xfId="20" applyFont="1" applyFill="1" applyBorder="1" applyAlignment="1">
      <alignment horizontal="center" vertical="center" wrapText="1"/>
    </xf>
    <xf numFmtId="0" fontId="50" fillId="0" borderId="0" xfId="10" applyFont="1" applyAlignment="1">
      <alignment vertical="center" wrapText="1"/>
    </xf>
    <xf numFmtId="0" fontId="274" fillId="3" borderId="1" xfId="20" applyFont="1" applyFill="1" applyBorder="1" applyAlignment="1">
      <alignment horizontal="center" vertical="center" wrapText="1"/>
    </xf>
    <xf numFmtId="43" fontId="102" fillId="5" borderId="1" xfId="19" applyFont="1" applyFill="1" applyBorder="1" applyAlignment="1">
      <alignment horizontal="center" vertical="center" wrapText="1"/>
    </xf>
    <xf numFmtId="43" fontId="54" fillId="13" borderId="1" xfId="19" applyFont="1" applyFill="1" applyBorder="1" applyAlignment="1">
      <alignment horizontal="center" vertical="center" wrapText="1"/>
    </xf>
    <xf numFmtId="43" fontId="54" fillId="26" borderId="1" xfId="19" applyFont="1" applyFill="1" applyBorder="1" applyAlignment="1">
      <alignment horizontal="center" vertical="center" wrapText="1"/>
    </xf>
    <xf numFmtId="43" fontId="54" fillId="22" borderId="1" xfId="19" applyFont="1" applyFill="1" applyBorder="1" applyAlignment="1">
      <alignment horizontal="center" vertical="center" wrapText="1"/>
    </xf>
    <xf numFmtId="43" fontId="102" fillId="13" borderId="1" xfId="19" applyFont="1" applyFill="1" applyBorder="1" applyAlignment="1">
      <alignment horizontal="center" vertical="center" wrapText="1"/>
    </xf>
    <xf numFmtId="43" fontId="50" fillId="5" borderId="1" xfId="19" applyFont="1" applyFill="1" applyBorder="1" applyAlignment="1">
      <alignment horizontal="center" vertical="center" wrapText="1"/>
    </xf>
    <xf numFmtId="0" fontId="50" fillId="5" borderId="1" xfId="10" applyFont="1" applyFill="1" applyBorder="1" applyAlignment="1">
      <alignment horizontal="center" vertical="center" wrapText="1"/>
    </xf>
    <xf numFmtId="43" fontId="50" fillId="0" borderId="0" xfId="19" applyFont="1" applyAlignment="1">
      <alignment vertical="center" wrapText="1"/>
    </xf>
    <xf numFmtId="43" fontId="185" fillId="24" borderId="1" xfId="19" applyFont="1" applyFill="1" applyBorder="1" applyAlignment="1">
      <alignment horizontal="center" vertical="center" wrapText="1"/>
    </xf>
    <xf numFmtId="43" fontId="50" fillId="24" borderId="1" xfId="19" applyFont="1" applyFill="1" applyBorder="1" applyAlignment="1">
      <alignment horizontal="center" vertical="center" wrapText="1"/>
    </xf>
    <xf numFmtId="0" fontId="102" fillId="0" borderId="0" xfId="10" applyFont="1" applyAlignment="1">
      <alignment horizontal="left" vertical="center"/>
    </xf>
    <xf numFmtId="43" fontId="102" fillId="0" borderId="0" xfId="19" applyFont="1" applyFill="1" applyAlignment="1">
      <alignment vertical="center"/>
    </xf>
    <xf numFmtId="0" fontId="102" fillId="0" borderId="0" xfId="10" applyFont="1" applyAlignment="1">
      <alignment horizontal="center" vertical="center"/>
    </xf>
    <xf numFmtId="0" fontId="53" fillId="0" borderId="1" xfId="20" applyFont="1" applyBorder="1" applyAlignment="1">
      <alignment horizontal="center" vertical="center"/>
    </xf>
    <xf numFmtId="0" fontId="53" fillId="0" borderId="1" xfId="20" applyFont="1" applyBorder="1" applyAlignment="1">
      <alignment horizontal="left" vertical="center"/>
    </xf>
    <xf numFmtId="43" fontId="53" fillId="0" borderId="1" xfId="20" applyNumberFormat="1" applyFont="1" applyBorder="1" applyAlignment="1">
      <alignment horizontal="center" vertical="center"/>
    </xf>
    <xf numFmtId="0" fontId="53" fillId="0" borderId="1" xfId="21" applyFont="1" applyBorder="1" applyAlignment="1">
      <alignment horizontal="center" vertical="center"/>
    </xf>
    <xf numFmtId="0" fontId="19" fillId="0" borderId="1" xfId="20" applyFont="1" applyBorder="1" applyAlignment="1">
      <alignment horizontal="left" vertical="center"/>
    </xf>
    <xf numFmtId="43" fontId="53" fillId="0" borderId="1" xfId="22" applyNumberFormat="1" applyFont="1" applyBorder="1" applyAlignment="1">
      <alignment horizontal="center" vertical="center"/>
    </xf>
    <xf numFmtId="43" fontId="53" fillId="0" borderId="1" xfId="20" applyNumberFormat="1" applyFont="1" applyBorder="1" applyAlignment="1">
      <alignment horizontal="center" vertical="center" wrapText="1"/>
    </xf>
    <xf numFmtId="43" fontId="53" fillId="0" borderId="1" xfId="21" applyNumberFormat="1" applyFont="1" applyBorder="1" applyAlignment="1">
      <alignment horizontal="center" vertical="center"/>
    </xf>
    <xf numFmtId="43" fontId="53" fillId="0" borderId="1" xfId="19" applyFont="1" applyFill="1" applyBorder="1" applyAlignment="1">
      <alignment horizontal="center" vertical="center" wrapText="1"/>
    </xf>
    <xf numFmtId="43" fontId="54" fillId="0" borderId="1" xfId="20" applyNumberFormat="1" applyFont="1" applyBorder="1" applyAlignment="1">
      <alignment horizontal="center" vertical="center"/>
    </xf>
    <xf numFmtId="0" fontId="54" fillId="0" borderId="1" xfId="20" applyFont="1" applyBorder="1" applyAlignment="1">
      <alignment horizontal="center" vertical="center"/>
    </xf>
    <xf numFmtId="43" fontId="47" fillId="13" borderId="1" xfId="10" applyNumberFormat="1" applyFont="1" applyFill="1" applyBorder="1" applyAlignment="1">
      <alignment horizontal="center" vertical="center"/>
    </xf>
    <xf numFmtId="43" fontId="53" fillId="25" borderId="1" xfId="20" applyNumberFormat="1" applyFont="1" applyFill="1" applyBorder="1" applyAlignment="1">
      <alignment horizontal="center" vertical="center"/>
    </xf>
    <xf numFmtId="43" fontId="53" fillId="25" borderId="13" xfId="20" applyNumberFormat="1" applyFont="1" applyFill="1" applyBorder="1" applyAlignment="1">
      <alignment horizontal="center" vertical="center"/>
    </xf>
    <xf numFmtId="43" fontId="276" fillId="0" borderId="1" xfId="10" applyNumberFormat="1" applyFont="1" applyBorder="1">
      <alignment vertical="center"/>
    </xf>
    <xf numFmtId="43" fontId="113" fillId="0" borderId="1" xfId="19" applyFont="1" applyFill="1" applyBorder="1" applyAlignment="1">
      <alignment vertical="center"/>
    </xf>
    <xf numFmtId="43" fontId="99" fillId="0" borderId="1" xfId="10" applyNumberFormat="1" applyFont="1" applyBorder="1" applyAlignment="1">
      <alignment horizontal="center" vertical="center"/>
    </xf>
    <xf numFmtId="43" fontId="113" fillId="0" borderId="1" xfId="20" applyNumberFormat="1" applyFont="1" applyBorder="1" applyAlignment="1">
      <alignment horizontal="center" vertical="center"/>
    </xf>
    <xf numFmtId="43" fontId="99" fillId="0" borderId="1" xfId="21" applyNumberFormat="1" applyFont="1" applyBorder="1" applyAlignment="1">
      <alignment horizontal="left" vertical="center"/>
    </xf>
    <xf numFmtId="43" fontId="99" fillId="0" borderId="0" xfId="19" applyFont="1">
      <alignment vertical="center"/>
    </xf>
    <xf numFmtId="43" fontId="47" fillId="13" borderId="1" xfId="19" applyFont="1" applyFill="1" applyBorder="1" applyAlignment="1">
      <alignment horizontal="right" vertical="center"/>
    </xf>
    <xf numFmtId="43" fontId="47" fillId="13" borderId="5" xfId="19" applyFont="1" applyFill="1" applyBorder="1" applyAlignment="1">
      <alignment horizontal="right" vertical="center"/>
    </xf>
    <xf numFmtId="43" fontId="53" fillId="25" borderId="3" xfId="20" applyNumberFormat="1" applyFont="1" applyFill="1" applyBorder="1" applyAlignment="1">
      <alignment horizontal="center" vertical="center"/>
    </xf>
    <xf numFmtId="43" fontId="276" fillId="0" borderId="1" xfId="20" applyNumberFormat="1" applyFont="1" applyBorder="1" applyAlignment="1">
      <alignment horizontal="center" vertical="center"/>
    </xf>
    <xf numFmtId="43" fontId="277" fillId="0" borderId="1" xfId="20" applyNumberFormat="1" applyFont="1" applyBorder="1" applyAlignment="1">
      <alignment horizontal="center" vertical="center"/>
    </xf>
    <xf numFmtId="0" fontId="99" fillId="0" borderId="1" xfId="10" applyFont="1" applyBorder="1" applyAlignment="1">
      <alignment horizontal="left" vertical="center"/>
    </xf>
    <xf numFmtId="0" fontId="99" fillId="0" borderId="1" xfId="10" applyFont="1" applyBorder="1">
      <alignment vertical="center"/>
    </xf>
    <xf numFmtId="0" fontId="113" fillId="0" borderId="1" xfId="10" applyFont="1" applyBorder="1" applyAlignment="1">
      <alignment horizontal="left" vertical="center"/>
    </xf>
    <xf numFmtId="43" fontId="53" fillId="0" borderId="1" xfId="19" applyFont="1" applyFill="1" applyBorder="1" applyAlignment="1">
      <alignment vertical="center"/>
    </xf>
    <xf numFmtId="43" fontId="99" fillId="0" borderId="1" xfId="10" applyNumberFormat="1" applyFont="1" applyBorder="1">
      <alignment vertical="center"/>
    </xf>
    <xf numFmtId="43" fontId="99" fillId="0" borderId="0" xfId="10" applyNumberFormat="1" applyFont="1">
      <alignment vertical="center"/>
    </xf>
    <xf numFmtId="43" fontId="99" fillId="0" borderId="1" xfId="19" applyFont="1" applyFill="1" applyBorder="1" applyAlignment="1">
      <alignment vertical="center"/>
    </xf>
    <xf numFmtId="43" fontId="99" fillId="0" borderId="0" xfId="19" applyFont="1" applyFill="1" applyAlignment="1">
      <alignment vertical="center"/>
    </xf>
    <xf numFmtId="0" fontId="122" fillId="0" borderId="1" xfId="10" applyFont="1" applyBorder="1">
      <alignment vertical="center"/>
    </xf>
    <xf numFmtId="43" fontId="99" fillId="9" borderId="1" xfId="19" applyFont="1" applyFill="1" applyBorder="1" applyAlignment="1">
      <alignment vertical="center"/>
    </xf>
    <xf numFmtId="0" fontId="99" fillId="0" borderId="0" xfId="10" applyFont="1">
      <alignment vertical="center"/>
    </xf>
    <xf numFmtId="43" fontId="53" fillId="0" borderId="1" xfId="22" applyNumberFormat="1" applyFont="1" applyBorder="1">
      <alignment vertical="center"/>
    </xf>
    <xf numFmtId="43" fontId="99" fillId="27" borderId="1" xfId="10" applyNumberFormat="1" applyFont="1" applyFill="1" applyBorder="1" applyAlignment="1">
      <alignment horizontal="center" vertical="center"/>
    </xf>
    <xf numFmtId="43" fontId="113" fillId="0" borderId="1" xfId="19" applyFont="1" applyFill="1" applyBorder="1" applyAlignment="1" applyProtection="1">
      <alignment horizontal="center" vertical="center"/>
    </xf>
    <xf numFmtId="43" fontId="53" fillId="28" borderId="1" xfId="20" applyNumberFormat="1" applyFont="1" applyFill="1" applyBorder="1" applyAlignment="1">
      <alignment horizontal="center" vertical="center"/>
    </xf>
    <xf numFmtId="43" fontId="113" fillId="28" borderId="1" xfId="10" applyNumberFormat="1" applyFont="1" applyFill="1" applyBorder="1">
      <alignment vertical="center"/>
    </xf>
    <xf numFmtId="43" fontId="53" fillId="27" borderId="1" xfId="19" applyFont="1" applyFill="1" applyBorder="1" applyAlignment="1">
      <alignment vertical="center"/>
    </xf>
    <xf numFmtId="0" fontId="122" fillId="0" borderId="1" xfId="10" applyFont="1" applyFill="1" applyBorder="1">
      <alignment vertical="center"/>
    </xf>
    <xf numFmtId="43" fontId="19" fillId="3" borderId="1" xfId="21" applyNumberFormat="1" applyFont="1" applyFill="1" applyBorder="1" applyAlignment="1">
      <alignment horizontal="center" vertical="center"/>
    </xf>
    <xf numFmtId="43" fontId="99" fillId="29" borderId="1" xfId="21" applyNumberFormat="1" applyFont="1" applyFill="1" applyBorder="1" applyAlignment="1">
      <alignment horizontal="left" vertical="center"/>
    </xf>
    <xf numFmtId="43" fontId="276" fillId="30" borderId="1" xfId="10" applyNumberFormat="1" applyFont="1" applyFill="1" applyBorder="1">
      <alignment vertical="center"/>
    </xf>
    <xf numFmtId="43" fontId="53" fillId="28" borderId="1" xfId="10" applyNumberFormat="1" applyFont="1" applyFill="1" applyBorder="1">
      <alignment vertical="center"/>
    </xf>
    <xf numFmtId="43" fontId="277" fillId="28" borderId="1" xfId="20" applyNumberFormat="1" applyFont="1" applyFill="1" applyBorder="1" applyAlignment="1">
      <alignment horizontal="center" vertical="center"/>
    </xf>
    <xf numFmtId="0" fontId="53" fillId="0" borderId="1" xfId="10" applyFont="1" applyBorder="1" applyAlignment="1">
      <alignment horizontal="center" vertical="center"/>
    </xf>
    <xf numFmtId="14" fontId="53" fillId="0" borderId="1" xfId="21" applyNumberFormat="1" applyFont="1" applyBorder="1" applyAlignment="1">
      <alignment horizontal="center" vertical="center"/>
    </xf>
    <xf numFmtId="0" fontId="129" fillId="0" borderId="1" xfId="20" applyFont="1" applyBorder="1" applyAlignment="1">
      <alignment horizontal="left" vertical="center"/>
    </xf>
    <xf numFmtId="0" fontId="129" fillId="0" borderId="1" xfId="21" applyFont="1" applyBorder="1" applyAlignment="1">
      <alignment horizontal="center" vertical="center"/>
    </xf>
    <xf numFmtId="43" fontId="53" fillId="0" borderId="1" xfId="20" applyNumberFormat="1" applyFont="1" applyFill="1" applyBorder="1" applyAlignment="1">
      <alignment horizontal="center" vertical="center"/>
    </xf>
    <xf numFmtId="43" fontId="53" fillId="24" borderId="1" xfId="21" applyNumberFormat="1" applyFont="1" applyFill="1" applyBorder="1" applyAlignment="1">
      <alignment horizontal="center" vertical="center"/>
    </xf>
    <xf numFmtId="43" fontId="276" fillId="0" borderId="1" xfId="19" applyFont="1" applyFill="1" applyBorder="1" applyAlignment="1">
      <alignment vertical="center"/>
    </xf>
    <xf numFmtId="43" fontId="99" fillId="0" borderId="1" xfId="21" applyNumberFormat="1" applyFont="1" applyBorder="1">
      <alignment vertical="center"/>
    </xf>
    <xf numFmtId="43" fontId="278" fillId="28" borderId="1" xfId="20" applyNumberFormat="1" applyFont="1" applyFill="1" applyBorder="1" applyAlignment="1">
      <alignment horizontal="center" vertical="center"/>
    </xf>
    <xf numFmtId="43" fontId="99" fillId="0" borderId="1" xfId="10" applyNumberFormat="1" applyFont="1" applyFill="1" applyBorder="1" applyAlignment="1">
      <alignment horizontal="center" vertical="center"/>
    </xf>
    <xf numFmtId="43" fontId="113" fillId="0" borderId="1" xfId="20" applyNumberFormat="1" applyFont="1" applyFill="1" applyBorder="1" applyAlignment="1">
      <alignment horizontal="center" vertical="center"/>
    </xf>
    <xf numFmtId="43" fontId="276" fillId="0" borderId="1" xfId="10" applyNumberFormat="1" applyFont="1" applyFill="1" applyBorder="1">
      <alignment vertical="center"/>
    </xf>
    <xf numFmtId="43" fontId="113" fillId="28" borderId="1" xfId="20" applyNumberFormat="1" applyFont="1" applyFill="1" applyBorder="1" applyAlignment="1">
      <alignment horizontal="center" vertical="center"/>
    </xf>
    <xf numFmtId="43" fontId="113" fillId="27" borderId="1" xfId="20" applyNumberFormat="1" applyFont="1" applyFill="1" applyBorder="1" applyAlignment="1">
      <alignment horizontal="center" vertical="center"/>
    </xf>
    <xf numFmtId="0" fontId="99" fillId="0" borderId="1" xfId="10" applyFont="1" applyBorder="1" applyAlignment="1">
      <alignment horizontal="center" vertical="center"/>
    </xf>
    <xf numFmtId="0" fontId="19" fillId="0" borderId="1" xfId="21" applyFont="1" applyBorder="1" applyAlignment="1">
      <alignment horizontal="center" vertical="center"/>
    </xf>
    <xf numFmtId="43" fontId="278" fillId="0" borderId="1" xfId="20" applyNumberFormat="1" applyFont="1" applyBorder="1" applyAlignment="1">
      <alignment horizontal="center" vertical="center"/>
    </xf>
    <xf numFmtId="43" fontId="53" fillId="13" borderId="1" xfId="10" applyNumberFormat="1" applyFont="1" applyFill="1" applyBorder="1" applyAlignment="1">
      <alignment horizontal="center" vertical="center"/>
    </xf>
    <xf numFmtId="43" fontId="278" fillId="0" borderId="1" xfId="19" applyFont="1" applyFill="1" applyBorder="1" applyAlignment="1" applyProtection="1">
      <alignment horizontal="center" vertical="center"/>
    </xf>
    <xf numFmtId="43" fontId="276" fillId="0" borderId="3" xfId="20" applyNumberFormat="1" applyFont="1" applyBorder="1" applyAlignment="1">
      <alignment horizontal="center" vertical="center"/>
    </xf>
    <xf numFmtId="0" fontId="53" fillId="31" borderId="1" xfId="20" applyFont="1" applyFill="1" applyBorder="1" applyAlignment="1">
      <alignment horizontal="left" vertical="center"/>
    </xf>
    <xf numFmtId="43" fontId="278" fillId="30" borderId="1" xfId="20" applyNumberFormat="1" applyFont="1" applyFill="1" applyBorder="1" applyAlignment="1">
      <alignment horizontal="center" vertical="center"/>
    </xf>
    <xf numFmtId="49" fontId="53" fillId="0" borderId="1" xfId="20" applyNumberFormat="1" applyFont="1" applyBorder="1" applyAlignment="1">
      <alignment horizontal="left" vertical="center"/>
    </xf>
    <xf numFmtId="196" fontId="53" fillId="0" borderId="1" xfId="10" applyNumberFormat="1" applyFont="1" applyBorder="1" applyAlignment="1">
      <alignment horizontal="right" vertical="center"/>
    </xf>
    <xf numFmtId="0" fontId="53" fillId="32" borderId="1" xfId="20" applyFont="1" applyFill="1" applyBorder="1" applyAlignment="1">
      <alignment horizontal="left" vertical="center"/>
    </xf>
    <xf numFmtId="43" fontId="53" fillId="32" borderId="1" xfId="20" applyNumberFormat="1" applyFont="1" applyFill="1" applyBorder="1" applyAlignment="1">
      <alignment horizontal="center" vertical="center"/>
    </xf>
    <xf numFmtId="0" fontId="53" fillId="0" borderId="1" xfId="10" applyFont="1" applyBorder="1">
      <alignment vertical="center"/>
    </xf>
    <xf numFmtId="43" fontId="53" fillId="3" borderId="1" xfId="21" applyNumberFormat="1" applyFont="1" applyFill="1" applyBorder="1" applyAlignment="1">
      <alignment horizontal="center" vertical="center"/>
    </xf>
    <xf numFmtId="43" fontId="278" fillId="0" borderId="1" xfId="20" applyNumberFormat="1" applyFont="1" applyFill="1" applyBorder="1" applyAlignment="1">
      <alignment horizontal="center" vertical="center"/>
    </xf>
    <xf numFmtId="43" fontId="53" fillId="13" borderId="1" xfId="10" applyNumberFormat="1" applyFont="1" applyFill="1" applyBorder="1" applyAlignment="1">
      <alignment horizontal="center" vertical="center" wrapText="1"/>
    </xf>
    <xf numFmtId="43" fontId="53" fillId="25" borderId="1" xfId="20" applyNumberFormat="1" applyFont="1" applyFill="1" applyBorder="1" applyAlignment="1">
      <alignment horizontal="center" vertical="center" wrapText="1"/>
    </xf>
    <xf numFmtId="43" fontId="113" fillId="0" borderId="1" xfId="10" applyNumberFormat="1" applyFont="1" applyBorder="1">
      <alignment vertical="center"/>
    </xf>
    <xf numFmtId="43" fontId="113" fillId="0" borderId="1" xfId="20" applyNumberFormat="1" applyFont="1" applyBorder="1" applyAlignment="1">
      <alignment horizontal="right" vertical="center"/>
    </xf>
    <xf numFmtId="0" fontId="99" fillId="5" borderId="1" xfId="10" applyFont="1" applyFill="1" applyBorder="1">
      <alignment vertical="center"/>
    </xf>
    <xf numFmtId="43" fontId="99" fillId="5" borderId="1" xfId="19" applyFont="1" applyFill="1" applyBorder="1" applyAlignment="1">
      <alignment vertical="center"/>
    </xf>
    <xf numFmtId="0" fontId="53" fillId="33" borderId="1" xfId="20" applyFont="1" applyFill="1" applyBorder="1" applyAlignment="1">
      <alignment horizontal="left" vertical="center"/>
    </xf>
    <xf numFmtId="14" fontId="53" fillId="9" borderId="1" xfId="21" applyNumberFormat="1" applyFont="1" applyFill="1" applyBorder="1" applyAlignment="1">
      <alignment horizontal="center" vertical="center"/>
    </xf>
    <xf numFmtId="43" fontId="99" fillId="0" borderId="1" xfId="21" applyNumberFormat="1" applyFont="1" applyFill="1" applyBorder="1" applyAlignment="1">
      <alignment horizontal="left" vertical="center"/>
    </xf>
    <xf numFmtId="43" fontId="276" fillId="28" borderId="1" xfId="10" applyNumberFormat="1" applyFont="1" applyFill="1" applyBorder="1">
      <alignment vertical="center"/>
    </xf>
    <xf numFmtId="43" fontId="99" fillId="28" borderId="1" xfId="19" applyFont="1" applyFill="1" applyBorder="1" applyAlignment="1">
      <alignment vertical="center"/>
    </xf>
    <xf numFmtId="43" fontId="99" fillId="0" borderId="1" xfId="23" applyFont="1" applyFill="1" applyBorder="1" applyAlignment="1">
      <alignment horizontal="left" vertical="center"/>
    </xf>
    <xf numFmtId="14" fontId="53" fillId="0" borderId="1" xfId="10" applyNumberFormat="1" applyFont="1" applyBorder="1" applyAlignment="1">
      <alignment horizontal="center" vertical="center"/>
    </xf>
    <xf numFmtId="14" fontId="53" fillId="24" borderId="1" xfId="10" applyNumberFormat="1" applyFont="1" applyFill="1" applyBorder="1" applyAlignment="1">
      <alignment horizontal="center" vertical="center"/>
    </xf>
    <xf numFmtId="43" fontId="53" fillId="3" borderId="1" xfId="21" applyNumberFormat="1" applyFont="1" applyFill="1" applyBorder="1" applyAlignment="1">
      <alignment horizontal="center" vertical="center" wrapText="1"/>
    </xf>
    <xf numFmtId="43" fontId="277" fillId="0" borderId="1" xfId="19" applyFont="1" applyBorder="1" applyAlignment="1">
      <alignment horizontal="center" vertical="center"/>
    </xf>
    <xf numFmtId="43" fontId="113" fillId="0" borderId="1" xfId="19" applyFont="1" applyBorder="1" applyAlignment="1">
      <alignment horizontal="center" vertical="center"/>
    </xf>
    <xf numFmtId="0" fontId="53" fillId="0" borderId="13" xfId="20" applyFont="1" applyBorder="1">
      <alignment vertical="center"/>
    </xf>
    <xf numFmtId="43" fontId="276" fillId="0" borderId="3" xfId="19" applyFont="1" applyBorder="1" applyAlignment="1">
      <alignment horizontal="center" vertical="center"/>
    </xf>
    <xf numFmtId="43" fontId="53" fillId="0" borderId="1" xfId="21" applyNumberFormat="1" applyFont="1" applyFill="1" applyBorder="1" applyAlignment="1">
      <alignment horizontal="center" vertical="center"/>
    </xf>
    <xf numFmtId="43" fontId="53" fillId="0" borderId="1" xfId="21" applyNumberFormat="1" applyFont="1" applyBorder="1" applyAlignment="1">
      <alignment horizontal="center" vertical="center" wrapText="1"/>
    </xf>
    <xf numFmtId="176" fontId="53" fillId="0" borderId="1" xfId="24" applyNumberFormat="1" applyFont="1" applyBorder="1" applyAlignment="1">
      <alignment horizontal="center" vertical="center"/>
    </xf>
    <xf numFmtId="43" fontId="53" fillId="30" borderId="1" xfId="20" applyNumberFormat="1" applyFont="1" applyFill="1" applyBorder="1" applyAlignment="1">
      <alignment horizontal="center" vertical="center"/>
    </xf>
    <xf numFmtId="43" fontId="53" fillId="25" borderId="1" xfId="10" applyNumberFormat="1" applyFont="1" applyFill="1" applyBorder="1" applyAlignment="1">
      <alignment horizontal="center" vertical="center"/>
    </xf>
    <xf numFmtId="43" fontId="277" fillId="30" borderId="1" xfId="20" applyNumberFormat="1" applyFont="1" applyFill="1" applyBorder="1" applyAlignment="1">
      <alignment horizontal="center" vertical="center"/>
    </xf>
    <xf numFmtId="43" fontId="19" fillId="3" borderId="1" xfId="19" applyFont="1" applyFill="1" applyBorder="1" applyAlignment="1">
      <alignment horizontal="center" vertical="center"/>
    </xf>
    <xf numFmtId="43" fontId="53" fillId="0" borderId="1" xfId="25" applyFont="1" applyFill="1" applyBorder="1" applyAlignment="1">
      <alignment horizontal="center" vertical="center"/>
    </xf>
    <xf numFmtId="14" fontId="53" fillId="0" borderId="1" xfId="21" applyNumberFormat="1" applyFont="1" applyFill="1" applyBorder="1" applyAlignment="1">
      <alignment horizontal="center" vertical="center"/>
    </xf>
    <xf numFmtId="0" fontId="19" fillId="0" borderId="1" xfId="10" applyFont="1" applyBorder="1" applyAlignment="1">
      <alignment horizontal="center" vertical="center"/>
    </xf>
    <xf numFmtId="43" fontId="276" fillId="28" borderId="1" xfId="20" applyNumberFormat="1" applyFont="1" applyFill="1" applyBorder="1" applyAlignment="1">
      <alignment horizontal="center" vertical="center"/>
    </xf>
    <xf numFmtId="43" fontId="113" fillId="27" borderId="1" xfId="19" applyFont="1" applyFill="1" applyBorder="1" applyAlignment="1">
      <alignment vertical="center"/>
    </xf>
    <xf numFmtId="14" fontId="53" fillId="24" borderId="1" xfId="21" applyNumberFormat="1" applyFont="1" applyFill="1" applyBorder="1" applyAlignment="1">
      <alignment horizontal="center" vertical="center"/>
    </xf>
    <xf numFmtId="43" fontId="53" fillId="3" borderId="1" xfId="25" applyFont="1" applyFill="1" applyBorder="1" applyAlignment="1">
      <alignment horizontal="center" vertical="center"/>
    </xf>
    <xf numFmtId="0" fontId="53" fillId="0" borderId="1" xfId="20" applyFont="1" applyBorder="1" applyAlignment="1">
      <alignment horizontal="left" vertical="center" wrapText="1"/>
    </xf>
    <xf numFmtId="43" fontId="99" fillId="9" borderId="1" xfId="21" applyNumberFormat="1" applyFont="1" applyFill="1" applyBorder="1" applyAlignment="1">
      <alignment horizontal="left" vertical="center"/>
    </xf>
    <xf numFmtId="43" fontId="99" fillId="30" borderId="1" xfId="19" applyFont="1" applyFill="1" applyBorder="1" applyAlignment="1">
      <alignment vertical="center"/>
    </xf>
    <xf numFmtId="43" fontId="53" fillId="0" borderId="1" xfId="19" applyFont="1" applyFill="1" applyBorder="1" applyAlignment="1">
      <alignment horizontal="center" vertical="center"/>
    </xf>
    <xf numFmtId="43" fontId="19" fillId="0" borderId="1" xfId="21" applyNumberFormat="1" applyFont="1" applyBorder="1" applyAlignment="1">
      <alignment horizontal="center" vertical="center"/>
    </xf>
    <xf numFmtId="43" fontId="53" fillId="27" borderId="1" xfId="20" applyNumberFormat="1" applyFont="1" applyFill="1" applyBorder="1" applyAlignment="1">
      <alignment horizontal="center" vertical="center"/>
    </xf>
    <xf numFmtId="43" fontId="113" fillId="30" borderId="1" xfId="20" applyNumberFormat="1" applyFont="1" applyFill="1" applyBorder="1" applyAlignment="1">
      <alignment horizontal="center" vertical="center"/>
    </xf>
    <xf numFmtId="0" fontId="19" fillId="0" borderId="1" xfId="10" applyFont="1" applyFill="1" applyBorder="1">
      <alignment vertical="center"/>
    </xf>
    <xf numFmtId="43" fontId="53" fillId="3" borderId="1" xfId="19" applyFont="1" applyFill="1" applyBorder="1" applyAlignment="1">
      <alignment horizontal="center" vertical="center"/>
    </xf>
    <xf numFmtId="0" fontId="99" fillId="0" borderId="1" xfId="10" applyFont="1" applyFill="1" applyBorder="1">
      <alignment vertical="center"/>
    </xf>
    <xf numFmtId="0" fontId="19" fillId="3" borderId="1" xfId="10" applyFont="1" applyFill="1" applyBorder="1" applyAlignment="1">
      <alignment horizontal="center" vertical="center"/>
    </xf>
    <xf numFmtId="0" fontId="53" fillId="34" borderId="1" xfId="20" applyFont="1" applyFill="1" applyBorder="1" applyAlignment="1">
      <alignment horizontal="left" vertical="center"/>
    </xf>
    <xf numFmtId="0" fontId="113" fillId="0" borderId="1" xfId="20" applyFont="1" applyBorder="1" applyAlignment="1">
      <alignment horizontal="left" vertical="center"/>
    </xf>
    <xf numFmtId="43" fontId="19" fillId="28" borderId="1" xfId="20" applyNumberFormat="1" applyFont="1" applyFill="1" applyBorder="1" applyAlignment="1">
      <alignment horizontal="center" vertical="center"/>
    </xf>
    <xf numFmtId="43" fontId="53" fillId="13" borderId="2" xfId="10" applyNumberFormat="1" applyFont="1" applyFill="1" applyBorder="1" applyAlignment="1">
      <alignment horizontal="center" vertical="center"/>
    </xf>
    <xf numFmtId="43" fontId="99" fillId="35" borderId="1" xfId="10" applyNumberFormat="1" applyFont="1" applyFill="1" applyBorder="1" applyAlignment="1">
      <alignment horizontal="center" vertical="center"/>
    </xf>
    <xf numFmtId="43" fontId="19" fillId="30" borderId="1" xfId="20" applyNumberFormat="1" applyFont="1" applyFill="1" applyBorder="1" applyAlignment="1">
      <alignment horizontal="center" vertical="center"/>
    </xf>
    <xf numFmtId="43" fontId="113" fillId="28" borderId="1" xfId="19" applyFont="1" applyFill="1" applyBorder="1" applyAlignment="1">
      <alignment vertical="center"/>
    </xf>
    <xf numFmtId="0" fontId="99" fillId="0" borderId="0" xfId="10" applyFont="1" applyAlignment="1">
      <alignment horizontal="left" vertical="center"/>
    </xf>
    <xf numFmtId="0" fontId="99" fillId="0" borderId="0" xfId="10" applyFont="1" applyAlignment="1">
      <alignment horizontal="center" vertical="center"/>
    </xf>
    <xf numFmtId="43" fontId="99" fillId="5" borderId="0" xfId="19" applyFont="1" applyFill="1" applyAlignment="1">
      <alignment vertical="center"/>
    </xf>
    <xf numFmtId="0" fontId="99" fillId="5" borderId="0" xfId="10" applyFont="1" applyFill="1">
      <alignment vertical="center"/>
    </xf>
    <xf numFmtId="0" fontId="53" fillId="36" borderId="1" xfId="20" applyFont="1" applyFill="1" applyBorder="1" applyAlignment="1">
      <alignment horizontal="left" vertical="center"/>
    </xf>
    <xf numFmtId="43" fontId="99" fillId="3" borderId="1" xfId="19" applyFont="1" applyFill="1" applyBorder="1" applyAlignment="1">
      <alignment horizontal="center" vertical="center"/>
    </xf>
    <xf numFmtId="0" fontId="99" fillId="28" borderId="1" xfId="10" applyFont="1" applyFill="1" applyBorder="1" applyAlignment="1">
      <alignment horizontal="center" vertical="center"/>
    </xf>
    <xf numFmtId="0" fontId="53" fillId="3" borderId="1" xfId="10" applyFont="1" applyFill="1" applyBorder="1" applyAlignment="1">
      <alignment horizontal="center" vertical="center"/>
    </xf>
    <xf numFmtId="43" fontId="113" fillId="0" borderId="1" xfId="10" applyNumberFormat="1" applyFont="1" applyBorder="1" applyAlignment="1">
      <alignment horizontal="center" vertical="center"/>
    </xf>
    <xf numFmtId="43" fontId="53" fillId="24" borderId="1" xfId="19" applyFont="1" applyFill="1" applyBorder="1" applyAlignment="1">
      <alignment horizontal="center" vertical="center"/>
    </xf>
    <xf numFmtId="197" fontId="99" fillId="9" borderId="1" xfId="19" applyNumberFormat="1" applyFont="1" applyFill="1" applyBorder="1" applyAlignment="1">
      <alignment vertical="center"/>
    </xf>
    <xf numFmtId="0" fontId="19" fillId="0" borderId="1" xfId="20" applyFont="1" applyBorder="1" applyAlignment="1">
      <alignment horizontal="left" vertical="center" wrapText="1"/>
    </xf>
    <xf numFmtId="43" fontId="53" fillId="0" borderId="1" xfId="21" applyNumberFormat="1" applyFont="1" applyBorder="1" applyAlignment="1">
      <alignment horizontal="left" vertical="center"/>
    </xf>
    <xf numFmtId="43" fontId="99" fillId="0" borderId="1" xfId="20" applyNumberFormat="1" applyFont="1" applyBorder="1">
      <alignment vertical="center"/>
    </xf>
    <xf numFmtId="43" fontId="99" fillId="32" borderId="1" xfId="20" applyNumberFormat="1" applyFont="1" applyFill="1" applyBorder="1">
      <alignment vertical="center"/>
    </xf>
    <xf numFmtId="0" fontId="53" fillId="5" borderId="1" xfId="20" applyFont="1" applyFill="1" applyBorder="1" applyAlignment="1">
      <alignment horizontal="left" vertical="center"/>
    </xf>
    <xf numFmtId="43" fontId="19" fillId="0" borderId="1" xfId="20" applyNumberFormat="1" applyFont="1" applyBorder="1" applyAlignment="1">
      <alignment horizontal="center" vertical="center"/>
    </xf>
    <xf numFmtId="43" fontId="53" fillId="24" borderId="1" xfId="20" applyNumberFormat="1" applyFont="1" applyFill="1" applyBorder="1" applyAlignment="1">
      <alignment horizontal="center" vertical="center"/>
    </xf>
    <xf numFmtId="43" fontId="53" fillId="29" borderId="1" xfId="21" applyNumberFormat="1" applyFont="1" applyFill="1" applyBorder="1" applyAlignment="1">
      <alignment horizontal="left" vertical="center"/>
    </xf>
    <xf numFmtId="43" fontId="53" fillId="0" borderId="1" xfId="21" applyNumberFormat="1" applyFont="1" applyFill="1" applyBorder="1" applyAlignment="1">
      <alignment horizontal="left" vertical="center"/>
    </xf>
    <xf numFmtId="43" fontId="53" fillId="3" borderId="1" xfId="19" applyFont="1" applyFill="1" applyBorder="1" applyAlignment="1">
      <alignment horizontal="center" vertical="center" wrapText="1"/>
    </xf>
    <xf numFmtId="0" fontId="53" fillId="37" borderId="1" xfId="20" applyFont="1" applyFill="1" applyBorder="1" applyAlignment="1">
      <alignment horizontal="left" vertical="center"/>
    </xf>
    <xf numFmtId="43" fontId="53" fillId="37" borderId="1" xfId="20" applyNumberFormat="1" applyFont="1" applyFill="1" applyBorder="1" applyAlignment="1">
      <alignment horizontal="center" vertical="center"/>
    </xf>
    <xf numFmtId="43" fontId="99" fillId="0" borderId="1" xfId="20" applyNumberFormat="1" applyFont="1" applyFill="1" applyBorder="1">
      <alignment vertical="center"/>
    </xf>
    <xf numFmtId="0" fontId="113" fillId="37" borderId="1" xfId="20" applyFont="1" applyFill="1" applyBorder="1" applyAlignment="1">
      <alignment horizontal="left" vertical="center"/>
    </xf>
    <xf numFmtId="43" fontId="113" fillId="37" borderId="1" xfId="20" applyNumberFormat="1" applyFont="1" applyFill="1" applyBorder="1" applyAlignment="1">
      <alignment horizontal="center" vertical="center"/>
    </xf>
    <xf numFmtId="0" fontId="54" fillId="13" borderId="1" xfId="20" applyFont="1" applyFill="1" applyBorder="1" applyAlignment="1">
      <alignment horizontal="left" vertical="center"/>
    </xf>
    <xf numFmtId="43" fontId="54" fillId="13" borderId="1" xfId="20" applyNumberFormat="1" applyFont="1" applyFill="1" applyBorder="1" applyAlignment="1">
      <alignment horizontal="center" vertical="center"/>
    </xf>
    <xf numFmtId="0" fontId="54" fillId="13" borderId="1" xfId="21" applyFont="1" applyFill="1" applyBorder="1" applyAlignment="1">
      <alignment horizontal="center" vertical="center"/>
    </xf>
    <xf numFmtId="0" fontId="54" fillId="13" borderId="1" xfId="20" applyFont="1" applyFill="1" applyBorder="1" applyAlignment="1">
      <alignment horizontal="center" vertical="center"/>
    </xf>
    <xf numFmtId="43" fontId="54" fillId="13" borderId="1" xfId="10" applyNumberFormat="1" applyFont="1" applyFill="1" applyBorder="1" applyAlignment="1">
      <alignment horizontal="center" vertical="center"/>
    </xf>
    <xf numFmtId="43" fontId="54" fillId="13" borderId="5" xfId="20" applyNumberFormat="1" applyFont="1" applyFill="1" applyBorder="1" applyAlignment="1">
      <alignment horizontal="center" vertical="center"/>
    </xf>
    <xf numFmtId="43" fontId="54" fillId="13" borderId="1" xfId="19" applyFont="1" applyFill="1" applyBorder="1" applyAlignment="1">
      <alignment horizontal="center" vertical="center"/>
    </xf>
    <xf numFmtId="43" fontId="139" fillId="13" borderId="1" xfId="19" applyFont="1" applyFill="1" applyBorder="1" applyAlignment="1">
      <alignment horizontal="center" vertical="center"/>
    </xf>
    <xf numFmtId="43" fontId="54" fillId="13" borderId="1" xfId="10" applyNumberFormat="1" applyFont="1" applyFill="1" applyBorder="1" applyAlignment="1">
      <alignment horizontal="left" vertical="center"/>
    </xf>
    <xf numFmtId="0" fontId="54" fillId="0" borderId="0" xfId="10" applyFont="1">
      <alignment vertical="center"/>
    </xf>
    <xf numFmtId="43" fontId="54" fillId="13" borderId="1" xfId="19" applyFont="1" applyFill="1" applyBorder="1" applyAlignment="1">
      <alignment horizontal="right" vertical="center"/>
    </xf>
    <xf numFmtId="43" fontId="139" fillId="13" borderId="1" xfId="19" applyFont="1" applyFill="1" applyBorder="1" applyAlignment="1">
      <alignment horizontal="right" vertical="center"/>
    </xf>
    <xf numFmtId="43" fontId="51" fillId="0" borderId="0" xfId="19" applyFont="1" applyAlignment="1">
      <alignment vertical="center"/>
    </xf>
    <xf numFmtId="43" fontId="53" fillId="0" borderId="0" xfId="19" applyFont="1" applyFill="1" applyAlignment="1">
      <alignment vertical="center"/>
    </xf>
    <xf numFmtId="43" fontId="54" fillId="0" borderId="0" xfId="19" applyFont="1" applyFill="1" applyAlignment="1">
      <alignment vertical="center"/>
    </xf>
    <xf numFmtId="0" fontId="204" fillId="0" borderId="0" xfId="10" applyFont="1" applyAlignment="1">
      <alignment horizontal="center" vertical="center"/>
    </xf>
    <xf numFmtId="43" fontId="100" fillId="0" borderId="0" xfId="19" applyFont="1" applyBorder="1" applyAlignment="1">
      <alignment vertical="center"/>
    </xf>
    <xf numFmtId="0" fontId="51" fillId="0" borderId="0" xfId="10" applyFont="1">
      <alignment vertical="center"/>
    </xf>
    <xf numFmtId="0" fontId="100" fillId="0" borderId="0" xfId="10" applyFont="1">
      <alignment vertical="center"/>
    </xf>
    <xf numFmtId="43" fontId="113" fillId="0" borderId="0" xfId="19" applyFont="1">
      <alignment vertical="center"/>
    </xf>
    <xf numFmtId="43" fontId="100" fillId="0" borderId="0" xfId="19" applyFont="1">
      <alignment vertical="center"/>
    </xf>
    <xf numFmtId="43" fontId="271" fillId="0" borderId="0" xfId="19" applyFont="1">
      <alignment vertical="center"/>
    </xf>
    <xf numFmtId="43" fontId="51" fillId="0" borderId="0" xfId="19" applyFont="1">
      <alignment vertical="center"/>
    </xf>
    <xf numFmtId="43" fontId="98" fillId="0" borderId="0" xfId="19" applyFont="1" applyBorder="1" applyAlignment="1">
      <alignment vertical="center"/>
    </xf>
    <xf numFmtId="43" fontId="53" fillId="38" borderId="0" xfId="19" applyFont="1" applyFill="1" applyAlignment="1">
      <alignment vertical="center"/>
    </xf>
    <xf numFmtId="43" fontId="99" fillId="0" borderId="0" xfId="19" applyFont="1" applyFill="1" applyBorder="1" applyAlignment="1">
      <alignment vertical="center"/>
    </xf>
    <xf numFmtId="43" fontId="19" fillId="0" borderId="0" xfId="19" applyFont="1" applyFill="1" applyAlignment="1">
      <alignment vertical="center"/>
    </xf>
    <xf numFmtId="43" fontId="204" fillId="0" borderId="0" xfId="10" applyNumberFormat="1" applyFont="1" applyAlignment="1">
      <alignment horizontal="center" vertical="center"/>
    </xf>
    <xf numFmtId="43" fontId="102" fillId="0" borderId="0" xfId="10" applyNumberFormat="1" applyFont="1">
      <alignment vertical="center"/>
    </xf>
    <xf numFmtId="0" fontId="100" fillId="0" borderId="0" xfId="10" applyFont="1" applyAlignment="1">
      <alignment horizontal="center" vertical="center"/>
    </xf>
    <xf numFmtId="0" fontId="98" fillId="0" borderId="0" xfId="10" applyFont="1" applyAlignment="1">
      <alignment horizontal="right" vertical="center"/>
    </xf>
    <xf numFmtId="0" fontId="139" fillId="0" borderId="0" xfId="10" applyFont="1" applyAlignment="1">
      <alignment horizontal="center" vertical="center" wrapText="1"/>
    </xf>
    <xf numFmtId="43" fontId="100" fillId="0" borderId="0" xfId="19" applyFont="1" applyAlignment="1">
      <alignment horizontal="center" vertical="center"/>
    </xf>
    <xf numFmtId="43" fontId="51" fillId="0" borderId="0" xfId="19" applyFont="1" applyAlignment="1">
      <alignment horizontal="center" vertical="center"/>
    </xf>
    <xf numFmtId="0" fontId="53" fillId="0" borderId="0" xfId="10" applyFont="1">
      <alignment vertical="center"/>
    </xf>
    <xf numFmtId="43" fontId="94" fillId="0" borderId="0" xfId="10" applyNumberFormat="1" applyFont="1">
      <alignment vertical="center"/>
    </xf>
    <xf numFmtId="43" fontId="94" fillId="0" borderId="0" xfId="19" applyFont="1" applyAlignment="1">
      <alignment vertical="center"/>
    </xf>
    <xf numFmtId="43" fontId="94" fillId="0" borderId="0" xfId="10" applyNumberFormat="1" applyFont="1" applyAlignment="1">
      <alignment horizontal="right" vertical="center"/>
    </xf>
    <xf numFmtId="43" fontId="94" fillId="0" borderId="0" xfId="19" applyFont="1" applyAlignment="1">
      <alignment horizontal="right" vertical="center"/>
    </xf>
    <xf numFmtId="0" fontId="94" fillId="0" borderId="5" xfId="10" applyFont="1" applyBorder="1" applyAlignment="1">
      <alignment horizontal="center" vertical="center"/>
    </xf>
    <xf numFmtId="43" fontId="51" fillId="0" borderId="0" xfId="10" applyNumberFormat="1" applyFont="1" applyAlignment="1">
      <alignment horizontal="center" vertical="center"/>
    </xf>
    <xf numFmtId="0" fontId="94" fillId="0" borderId="3" xfId="10" applyFont="1" applyBorder="1" applyAlignment="1">
      <alignment horizontal="center" vertical="center"/>
    </xf>
    <xf numFmtId="0" fontId="51" fillId="0" borderId="0" xfId="10" applyFont="1" applyAlignment="1">
      <alignment horizontal="left" vertical="center"/>
    </xf>
    <xf numFmtId="43" fontId="53" fillId="0" borderId="0" xfId="10" applyNumberFormat="1" applyFont="1">
      <alignment vertical="center"/>
    </xf>
    <xf numFmtId="43" fontId="94" fillId="0" borderId="0" xfId="19" applyFont="1" applyAlignment="1">
      <alignment horizontal="center" vertical="center"/>
    </xf>
    <xf numFmtId="0" fontId="54" fillId="5" borderId="1" xfId="10" applyFont="1" applyFill="1" applyBorder="1" applyAlignment="1">
      <alignment horizontal="center" vertical="center" wrapText="1"/>
    </xf>
    <xf numFmtId="43" fontId="80" fillId="0" borderId="0" xfId="19" applyFont="1" applyFill="1" applyAlignment="1">
      <alignment vertical="center"/>
    </xf>
    <xf numFmtId="0" fontId="100" fillId="0" borderId="0" xfId="10" applyFont="1" applyAlignment="1">
      <alignment horizontal="left" vertical="center"/>
    </xf>
    <xf numFmtId="0" fontId="113" fillId="0" borderId="0" xfId="10" applyFont="1">
      <alignment vertical="center"/>
    </xf>
    <xf numFmtId="43" fontId="114" fillId="0" borderId="0" xfId="10" applyNumberFormat="1" applyFont="1">
      <alignment vertical="center"/>
    </xf>
    <xf numFmtId="43" fontId="100" fillId="7" borderId="1" xfId="19" applyFont="1" applyFill="1" applyBorder="1" applyAlignment="1">
      <alignment vertical="center"/>
    </xf>
    <xf numFmtId="43" fontId="100" fillId="0" borderId="1" xfId="19" applyFont="1" applyFill="1" applyBorder="1" applyAlignment="1">
      <alignment vertical="center"/>
    </xf>
    <xf numFmtId="43" fontId="100" fillId="5" borderId="1" xfId="19" applyFont="1" applyFill="1" applyBorder="1" applyAlignment="1">
      <alignment vertical="center"/>
    </xf>
    <xf numFmtId="43" fontId="113" fillId="0" borderId="0" xfId="20" applyNumberFormat="1" applyFont="1" applyAlignment="1">
      <alignment horizontal="center" vertical="center"/>
    </xf>
    <xf numFmtId="43" fontId="113" fillId="0" borderId="0" xfId="19" applyFont="1" applyFill="1" applyAlignment="1">
      <alignment vertical="center"/>
    </xf>
    <xf numFmtId="43" fontId="53" fillId="0" borderId="0" xfId="19" applyFont="1" applyAlignment="1">
      <alignment vertical="center"/>
    </xf>
    <xf numFmtId="43" fontId="113" fillId="0" borderId="0" xfId="10" applyNumberFormat="1" applyFont="1">
      <alignment vertical="center"/>
    </xf>
    <xf numFmtId="43" fontId="100" fillId="0" borderId="1" xfId="10" applyNumberFormat="1" applyFont="1" applyBorder="1">
      <alignment vertical="center"/>
    </xf>
    <xf numFmtId="43" fontId="109" fillId="0" borderId="0" xfId="19" applyFont="1" applyAlignment="1">
      <alignment horizontal="center" vertical="center"/>
    </xf>
    <xf numFmtId="43" fontId="109" fillId="0" borderId="0" xfId="10" applyNumberFormat="1" applyFont="1">
      <alignment vertical="center"/>
    </xf>
    <xf numFmtId="43" fontId="129" fillId="0" borderId="0" xfId="10" applyNumberFormat="1" applyFont="1">
      <alignment vertical="center"/>
    </xf>
    <xf numFmtId="0" fontId="99" fillId="0" borderId="0" xfId="20" applyFont="1" applyAlignment="1">
      <alignment horizontal="left" vertical="center"/>
    </xf>
    <xf numFmtId="0" fontId="99" fillId="0" borderId="0" xfId="10" applyFont="1" applyAlignment="1">
      <alignment horizontal="right" vertical="center"/>
    </xf>
    <xf numFmtId="0" fontId="122" fillId="0" borderId="0" xfId="10" applyFont="1">
      <alignment vertical="center"/>
    </xf>
    <xf numFmtId="43" fontId="53" fillId="0" borderId="0" xfId="19" applyFont="1">
      <alignment vertical="center"/>
    </xf>
    <xf numFmtId="43" fontId="100" fillId="0" borderId="0" xfId="10" applyNumberFormat="1" applyFont="1" applyAlignment="1">
      <alignment horizontal="center" vertical="center"/>
    </xf>
    <xf numFmtId="43" fontId="53" fillId="27" borderId="1" xfId="10" applyNumberFormat="1" applyFont="1" applyFill="1" applyBorder="1">
      <alignment vertical="center"/>
    </xf>
    <xf numFmtId="43" fontId="19" fillId="27" borderId="1" xfId="10" applyNumberFormat="1" applyFont="1" applyFill="1" applyBorder="1">
      <alignment vertical="center"/>
    </xf>
    <xf numFmtId="43" fontId="53" fillId="27" borderId="1" xfId="10" applyNumberFormat="1" applyFont="1" applyFill="1" applyBorder="1" applyAlignment="1">
      <alignment horizontal="center" vertical="center"/>
    </xf>
    <xf numFmtId="43" fontId="113" fillId="0" borderId="0" xfId="10" applyNumberFormat="1" applyFont="1" applyAlignment="1">
      <alignment horizontal="center" vertical="center"/>
    </xf>
    <xf numFmtId="43" fontId="53" fillId="0" borderId="0" xfId="10" applyNumberFormat="1" applyFont="1" applyAlignment="1">
      <alignment horizontal="center" vertical="center"/>
    </xf>
    <xf numFmtId="43" fontId="271" fillId="0" borderId="0" xfId="10" applyNumberFormat="1" applyFont="1" applyAlignment="1">
      <alignment horizontal="left" vertical="center"/>
    </xf>
    <xf numFmtId="43" fontId="98" fillId="0" borderId="0" xfId="10" applyNumberFormat="1" applyFont="1" applyAlignment="1">
      <alignment horizontal="right" vertical="center"/>
    </xf>
    <xf numFmtId="49" fontId="271" fillId="0" borderId="0" xfId="10" applyNumberFormat="1" applyFont="1">
      <alignment vertical="center"/>
    </xf>
    <xf numFmtId="0" fontId="279" fillId="0" borderId="0" xfId="10" applyFont="1" applyAlignment="1">
      <alignment horizontal="justify" vertical="center"/>
    </xf>
    <xf numFmtId="43" fontId="0" fillId="0" borderId="0" xfId="19" applyFont="1">
      <alignment vertical="center"/>
    </xf>
    <xf numFmtId="43" fontId="54" fillId="39" borderId="1" xfId="19" applyFont="1" applyFill="1" applyBorder="1" applyAlignment="1">
      <alignment horizontal="center" vertical="center" wrapText="1"/>
    </xf>
    <xf numFmtId="0" fontId="50" fillId="24" borderId="1" xfId="10" applyFont="1" applyFill="1" applyBorder="1" applyAlignment="1">
      <alignment horizontal="center" vertical="center" wrapText="1"/>
    </xf>
    <xf numFmtId="0" fontId="185" fillId="24" borderId="1" xfId="10" applyFont="1" applyFill="1" applyBorder="1" applyAlignment="1">
      <alignment horizontal="center" vertical="center" wrapText="1"/>
    </xf>
    <xf numFmtId="43" fontId="99" fillId="9" borderId="1" xfId="10" applyNumberFormat="1" applyFont="1" applyFill="1" applyBorder="1" applyAlignment="1">
      <alignment horizontal="center" vertical="center"/>
    </xf>
    <xf numFmtId="43" fontId="99" fillId="0" borderId="1" xfId="19" applyFont="1" applyFill="1" applyBorder="1" applyAlignment="1">
      <alignment horizontal="center" vertical="center"/>
    </xf>
    <xf numFmtId="43" fontId="47" fillId="13" borderId="13" xfId="10" applyNumberFormat="1" applyFont="1" applyFill="1" applyBorder="1" applyAlignment="1">
      <alignment horizontal="center" vertical="center"/>
    </xf>
    <xf numFmtId="43" fontId="276" fillId="30" borderId="1" xfId="19" applyFont="1" applyFill="1" applyBorder="1" applyAlignment="1">
      <alignment horizontal="center" vertical="center"/>
    </xf>
    <xf numFmtId="43" fontId="276" fillId="0" borderId="1" xfId="19" applyFont="1" applyFill="1" applyBorder="1" applyAlignment="1">
      <alignment horizontal="center" vertical="center"/>
    </xf>
    <xf numFmtId="43" fontId="99" fillId="0" borderId="1" xfId="23" applyFont="1" applyFill="1" applyBorder="1" applyAlignment="1">
      <alignment horizontal="left" vertical="center" wrapText="1"/>
    </xf>
    <xf numFmtId="43" fontId="99" fillId="0" borderId="1" xfId="21" applyNumberFormat="1" applyFont="1" applyBorder="1" applyAlignment="1">
      <alignment horizontal="left" vertical="center" wrapText="1"/>
    </xf>
    <xf numFmtId="43" fontId="113" fillId="30" borderId="1" xfId="20" applyNumberFormat="1" applyFont="1" applyFill="1" applyBorder="1" applyAlignment="1">
      <alignment horizontal="right" vertical="center"/>
    </xf>
    <xf numFmtId="43" fontId="99" fillId="0" borderId="1" xfId="20" applyNumberFormat="1" applyFont="1" applyBorder="1" applyAlignment="1">
      <alignment horizontal="right" vertical="center"/>
    </xf>
    <xf numFmtId="43" fontId="113" fillId="0" borderId="1" xfId="19" applyFont="1" applyFill="1" applyBorder="1" applyAlignment="1">
      <alignment horizontal="center" vertical="center"/>
    </xf>
    <xf numFmtId="43" fontId="99" fillId="0" borderId="1" xfId="20" applyNumberFormat="1" applyFont="1" applyBorder="1" applyAlignment="1">
      <alignment horizontal="center" vertical="center"/>
    </xf>
    <xf numFmtId="0" fontId="99" fillId="0" borderId="2" xfId="10" applyFont="1" applyBorder="1" applyAlignment="1">
      <alignment horizontal="left" vertical="center"/>
    </xf>
    <xf numFmtId="0" fontId="53" fillId="40" borderId="1" xfId="20" applyFont="1" applyFill="1" applyBorder="1" applyAlignment="1">
      <alignment horizontal="left" vertical="center"/>
    </xf>
    <xf numFmtId="43" fontId="53" fillId="40" borderId="1" xfId="20" applyNumberFormat="1" applyFont="1" applyFill="1" applyBorder="1" applyAlignment="1">
      <alignment horizontal="center" vertical="center"/>
    </xf>
    <xf numFmtId="43" fontId="113" fillId="30" borderId="1" xfId="19" applyFont="1" applyFill="1" applyBorder="1" applyAlignment="1">
      <alignment horizontal="center" vertical="center"/>
    </xf>
    <xf numFmtId="0" fontId="122" fillId="0" borderId="2" xfId="10" applyFont="1" applyBorder="1" applyAlignment="1">
      <alignment horizontal="left" vertical="center"/>
    </xf>
    <xf numFmtId="0" fontId="122" fillId="0" borderId="2" xfId="10" applyFont="1" applyFill="1" applyBorder="1" applyAlignment="1">
      <alignment horizontal="left" vertical="center"/>
    </xf>
    <xf numFmtId="0" fontId="99" fillId="0" borderId="2" xfId="10" applyFont="1" applyFill="1" applyBorder="1" applyAlignment="1">
      <alignment horizontal="left" vertical="center"/>
    </xf>
    <xf numFmtId="43" fontId="99" fillId="0" borderId="1" xfId="19" applyFont="1" applyBorder="1" applyAlignment="1">
      <alignment horizontal="center" vertical="center"/>
    </xf>
    <xf numFmtId="43" fontId="99" fillId="0" borderId="1" xfId="10" applyNumberFormat="1" applyFont="1" applyBorder="1" applyAlignment="1">
      <alignment horizontal="center" vertical="center" wrapText="1"/>
    </xf>
    <xf numFmtId="43" fontId="53" fillId="0" borderId="1" xfId="43" applyNumberFormat="1" applyFont="1" applyBorder="1" applyAlignment="1">
      <alignment horizontal="center" vertical="center"/>
    </xf>
    <xf numFmtId="43" fontId="53" fillId="9" borderId="1" xfId="43" applyNumberFormat="1" applyFont="1" applyFill="1" applyBorder="1" applyAlignment="1">
      <alignment horizontal="center" vertical="center"/>
    </xf>
    <xf numFmtId="43" fontId="99" fillId="29" borderId="1" xfId="21" applyNumberFormat="1" applyFont="1" applyFill="1" applyBorder="1" applyAlignment="1">
      <alignment horizontal="left" vertical="center" wrapText="1"/>
    </xf>
    <xf numFmtId="43" fontId="99" fillId="0" borderId="1" xfId="21" applyNumberFormat="1" applyFont="1" applyFill="1" applyBorder="1" applyAlignment="1">
      <alignment horizontal="left" vertical="center" wrapText="1"/>
    </xf>
    <xf numFmtId="0" fontId="99" fillId="30" borderId="1" xfId="10" applyFont="1" applyFill="1" applyBorder="1" applyAlignment="1">
      <alignment horizontal="center" vertical="center"/>
    </xf>
    <xf numFmtId="14" fontId="54" fillId="13" borderId="1" xfId="21" applyNumberFormat="1" applyFont="1" applyFill="1" applyBorder="1" applyAlignment="1">
      <alignment horizontal="center" vertical="center"/>
    </xf>
    <xf numFmtId="0" fontId="54" fillId="13" borderId="1" xfId="10" applyFont="1" applyFill="1" applyBorder="1" applyAlignment="1">
      <alignment horizontal="center" vertical="center"/>
    </xf>
    <xf numFmtId="0" fontId="54" fillId="13" borderId="1" xfId="10" applyFont="1" applyFill="1" applyBorder="1" applyAlignment="1">
      <alignment horizontal="left" vertical="center"/>
    </xf>
    <xf numFmtId="0" fontId="54" fillId="13" borderId="1" xfId="10" applyFont="1" applyFill="1" applyBorder="1" applyAlignment="1">
      <alignment horizontal="left" vertical="center" wrapText="1"/>
    </xf>
    <xf numFmtId="43" fontId="54" fillId="13" borderId="1" xfId="19" applyFont="1" applyFill="1" applyBorder="1" applyAlignment="1" applyProtection="1">
      <alignment horizontal="right" vertical="center" wrapText="1"/>
    </xf>
    <xf numFmtId="43" fontId="54" fillId="13" borderId="1" xfId="19" applyFont="1" applyFill="1" applyBorder="1" applyAlignment="1" applyProtection="1">
      <alignment horizontal="center" vertical="center"/>
    </xf>
    <xf numFmtId="43" fontId="122" fillId="0" borderId="1" xfId="20" applyNumberFormat="1" applyFont="1" applyBorder="1">
      <alignment vertical="center"/>
    </xf>
    <xf numFmtId="43" fontId="276" fillId="0" borderId="0" xfId="10" applyNumberFormat="1" applyFont="1">
      <alignment vertical="center"/>
    </xf>
    <xf numFmtId="43" fontId="48" fillId="0" borderId="0" xfId="10" applyNumberFormat="1" applyFont="1">
      <alignment vertical="center"/>
    </xf>
    <xf numFmtId="43" fontId="99" fillId="0" borderId="0" xfId="10" applyNumberFormat="1" applyFont="1" applyAlignment="1">
      <alignment vertical="center" wrapText="1"/>
    </xf>
    <xf numFmtId="0" fontId="80" fillId="0" borderId="0" xfId="10" applyFont="1">
      <alignment vertical="center"/>
    </xf>
    <xf numFmtId="43" fontId="47" fillId="0" borderId="1" xfId="19" applyFont="1" applyFill="1" applyBorder="1" applyAlignment="1">
      <alignment horizontal="right" vertical="center"/>
    </xf>
    <xf numFmtId="43" fontId="47" fillId="0" borderId="1" xfId="10" applyNumberFormat="1" applyFont="1" applyBorder="1" applyAlignment="1">
      <alignment horizontal="center" vertical="center"/>
    </xf>
    <xf numFmtId="0" fontId="98" fillId="0" borderId="0" xfId="10" applyFont="1" applyAlignment="1">
      <alignment horizontal="center" vertical="center"/>
    </xf>
    <xf numFmtId="0" fontId="122" fillId="0" borderId="2" xfId="10" applyFont="1" applyBorder="1" applyAlignment="1">
      <alignment horizontal="left" vertical="center" wrapText="1"/>
    </xf>
    <xf numFmtId="0" fontId="52" fillId="0" borderId="0" xfId="10" applyFont="1" applyAlignment="1">
      <alignment horizontal="center" vertical="center" wrapText="1"/>
    </xf>
    <xf numFmtId="198" fontId="98" fillId="0" borderId="0" xfId="10" applyNumberFormat="1" applyFont="1">
      <alignment vertical="center"/>
    </xf>
    <xf numFmtId="0" fontId="98" fillId="0" borderId="1" xfId="10" applyFont="1" applyBorder="1" applyAlignment="1">
      <alignment horizontal="center" vertical="center"/>
    </xf>
    <xf numFmtId="0" fontId="51" fillId="0" borderId="0" xfId="10" applyFont="1" applyAlignment="1">
      <alignment horizontal="center" vertical="center"/>
    </xf>
    <xf numFmtId="0" fontId="52" fillId="5" borderId="1" xfId="10" applyFont="1" applyFill="1" applyBorder="1" applyAlignment="1">
      <alignment horizontal="center" vertical="center" wrapText="1"/>
    </xf>
    <xf numFmtId="43" fontId="53" fillId="0" borderId="0" xfId="20" applyNumberFormat="1" applyFont="1" applyAlignment="1">
      <alignment horizontal="center" vertical="center"/>
    </xf>
    <xf numFmtId="43" fontId="98" fillId="0" borderId="0" xfId="19" applyFont="1" applyAlignment="1">
      <alignment horizontal="left" vertical="center"/>
    </xf>
    <xf numFmtId="43" fontId="98" fillId="0" borderId="0" xfId="19" applyFont="1" applyFill="1" applyAlignment="1">
      <alignment vertical="center"/>
    </xf>
    <xf numFmtId="43" fontId="98" fillId="0" borderId="0" xfId="19" applyFont="1" applyFill="1" applyAlignment="1">
      <alignment horizontal="left" vertical="center"/>
    </xf>
    <xf numFmtId="43" fontId="100" fillId="0" borderId="0" xfId="19" applyFont="1" applyFill="1" applyAlignment="1">
      <alignment vertical="center"/>
    </xf>
    <xf numFmtId="43" fontId="51" fillId="0" borderId="0" xfId="19" applyFont="1" applyFill="1" applyAlignment="1">
      <alignment vertical="center"/>
    </xf>
    <xf numFmtId="43" fontId="114" fillId="0" borderId="0" xfId="19" applyFont="1" applyAlignment="1">
      <alignment vertical="center"/>
    </xf>
    <xf numFmtId="0" fontId="114" fillId="0" borderId="0" xfId="10" applyFont="1" applyAlignment="1">
      <alignment horizontal="left" vertical="center"/>
    </xf>
    <xf numFmtId="0" fontId="98" fillId="0" borderId="0" xfId="10" applyFont="1" applyAlignment="1">
      <alignment vertical="center" wrapText="1"/>
    </xf>
    <xf numFmtId="43" fontId="95" fillId="0" borderId="0" xfId="10" applyNumberFormat="1">
      <alignment vertical="center"/>
    </xf>
    <xf numFmtId="0" fontId="94" fillId="0" borderId="0" xfId="10" applyFont="1" applyAlignment="1">
      <alignment horizontal="left" vertical="center"/>
    </xf>
    <xf numFmtId="0" fontId="19" fillId="0" borderId="0" xfId="10" applyFont="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95" fillId="0" borderId="5" xfId="0" applyFont="1" applyBorder="1" applyAlignment="1">
      <alignment horizontal="left" vertical="center"/>
    </xf>
    <xf numFmtId="0" fontId="95" fillId="0" borderId="54" xfId="0" applyFont="1" applyBorder="1" applyAlignment="1">
      <alignment horizontal="left" vertical="center"/>
    </xf>
    <xf numFmtId="0" fontId="95" fillId="0" borderId="3" xfId="0" applyFont="1" applyBorder="1" applyAlignment="1">
      <alignment horizontal="left" vertical="center"/>
    </xf>
    <xf numFmtId="0" fontId="95" fillId="0" borderId="13" xfId="0" applyFont="1" applyBorder="1" applyAlignment="1">
      <alignment horizontal="left" vertical="center" wrapText="1"/>
    </xf>
    <xf numFmtId="0" fontId="95" fillId="0" borderId="15" xfId="0" applyFont="1" applyBorder="1" applyAlignment="1">
      <alignment horizontal="left" vertical="center" wrapText="1"/>
    </xf>
    <xf numFmtId="0" fontId="95" fillId="0" borderId="2" xfId="0" applyFont="1" applyBorder="1" applyAlignment="1">
      <alignment horizontal="left" vertical="center" wrapText="1"/>
    </xf>
    <xf numFmtId="0" fontId="95" fillId="0" borderId="13" xfId="0" applyFont="1" applyBorder="1" applyAlignment="1">
      <alignment horizontal="left" vertical="center"/>
    </xf>
    <xf numFmtId="0" fontId="95" fillId="0" borderId="15" xfId="0" applyFont="1" applyBorder="1" applyAlignment="1">
      <alignment horizontal="left" vertical="center"/>
    </xf>
    <xf numFmtId="0" fontId="95" fillId="0" borderId="2" xfId="0" applyFont="1" applyBorder="1" applyAlignment="1">
      <alignment horizontal="left" vertical="center"/>
    </xf>
    <xf numFmtId="0" fontId="0" fillId="0" borderId="13" xfId="0" applyBorder="1" applyAlignment="1">
      <alignment horizontal="left" vertical="center"/>
    </xf>
    <xf numFmtId="0" fontId="0" fillId="0" borderId="15" xfId="0" applyBorder="1" applyAlignment="1">
      <alignment horizontal="left" vertical="center"/>
    </xf>
    <xf numFmtId="0" fontId="0" fillId="0" borderId="2" xfId="0" applyBorder="1" applyAlignment="1">
      <alignment horizontal="left" vertical="center"/>
    </xf>
    <xf numFmtId="0" fontId="96" fillId="0" borderId="5" xfId="0" applyFont="1" applyBorder="1" applyAlignment="1">
      <alignment horizontal="left" vertical="center"/>
    </xf>
    <xf numFmtId="0" fontId="96" fillId="0" borderId="54" xfId="0" applyFont="1" applyBorder="1" applyAlignment="1">
      <alignment horizontal="left" vertical="center"/>
    </xf>
    <xf numFmtId="0" fontId="96" fillId="0" borderId="3" xfId="0" applyFont="1" applyBorder="1" applyAlignment="1">
      <alignment horizontal="left" vertical="center"/>
    </xf>
    <xf numFmtId="0" fontId="0" fillId="0" borderId="1" xfId="0" applyBorder="1" applyAlignment="1">
      <alignment horizontal="left" vertical="center"/>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54" fillId="22" borderId="13" xfId="20" applyFont="1" applyFill="1" applyBorder="1" applyAlignment="1">
      <alignment horizontal="center" vertical="center" wrapText="1"/>
    </xf>
    <xf numFmtId="0" fontId="54" fillId="22" borderId="2" xfId="20" applyFont="1" applyFill="1" applyBorder="1" applyAlignment="1">
      <alignment horizontal="center" vertical="center" wrapText="1"/>
    </xf>
    <xf numFmtId="0" fontId="269" fillId="0" borderId="0" xfId="10" applyFont="1" applyAlignment="1">
      <alignment horizontal="left" vertical="center"/>
    </xf>
    <xf numFmtId="0" fontId="54" fillId="0" borderId="13" xfId="20" applyFont="1" applyBorder="1" applyAlignment="1">
      <alignment horizontal="center" vertical="center" wrapText="1"/>
    </xf>
    <xf numFmtId="0" fontId="54" fillId="0" borderId="2" xfId="20" applyFont="1" applyBorder="1" applyAlignment="1">
      <alignment horizontal="center" vertical="center" wrapText="1"/>
    </xf>
    <xf numFmtId="43" fontId="54" fillId="0" borderId="13" xfId="20" applyNumberFormat="1" applyFont="1" applyBorder="1" applyAlignment="1">
      <alignment horizontal="center" vertical="center" wrapText="1"/>
    </xf>
    <xf numFmtId="43" fontId="54" fillId="0" borderId="2" xfId="20" applyNumberFormat="1" applyFont="1" applyBorder="1" applyAlignment="1">
      <alignment horizontal="center" vertical="center" wrapText="1"/>
    </xf>
    <xf numFmtId="0" fontId="80" fillId="0" borderId="13" xfId="20" applyFont="1" applyBorder="1" applyAlignment="1">
      <alignment horizontal="center" vertical="center" wrapText="1"/>
    </xf>
    <xf numFmtId="0" fontId="54" fillId="23" borderId="13" xfId="20" applyFont="1" applyFill="1" applyBorder="1" applyAlignment="1">
      <alignment horizontal="center" vertical="center" wrapText="1"/>
    </xf>
    <xf numFmtId="0" fontId="54" fillId="23" borderId="2" xfId="20" applyFont="1" applyFill="1" applyBorder="1" applyAlignment="1">
      <alignment horizontal="center" vertical="center" wrapText="1"/>
    </xf>
    <xf numFmtId="43" fontId="54" fillId="23" borderId="13" xfId="20" applyNumberFormat="1" applyFont="1" applyFill="1" applyBorder="1" applyAlignment="1">
      <alignment horizontal="center" vertical="center" wrapText="1"/>
    </xf>
    <xf numFmtId="43" fontId="54" fillId="23" borderId="2" xfId="20" applyNumberFormat="1" applyFont="1" applyFill="1" applyBorder="1" applyAlignment="1">
      <alignment horizontal="center" vertical="center" wrapText="1"/>
    </xf>
    <xf numFmtId="43" fontId="54" fillId="22" borderId="13" xfId="20" applyNumberFormat="1" applyFont="1" applyFill="1" applyBorder="1" applyAlignment="1">
      <alignment horizontal="center" vertical="center" wrapText="1"/>
    </xf>
    <xf numFmtId="43" fontId="54" fillId="22" borderId="2" xfId="20" applyNumberFormat="1" applyFont="1" applyFill="1" applyBorder="1" applyAlignment="1">
      <alignment horizontal="center" vertical="center" wrapText="1"/>
    </xf>
    <xf numFmtId="57" fontId="102" fillId="13" borderId="5" xfId="10" applyNumberFormat="1" applyFont="1" applyFill="1" applyBorder="1" applyAlignment="1">
      <alignment horizontal="center" vertical="center"/>
    </xf>
    <xf numFmtId="43" fontId="102" fillId="13" borderId="54" xfId="10" applyNumberFormat="1" applyFont="1" applyFill="1" applyBorder="1" applyAlignment="1">
      <alignment horizontal="center" vertical="center"/>
    </xf>
    <xf numFmtId="43" fontId="139" fillId="13" borderId="54" xfId="10" applyNumberFormat="1" applyFont="1" applyFill="1" applyBorder="1" applyAlignment="1">
      <alignment horizontal="center" vertical="center"/>
    </xf>
    <xf numFmtId="43" fontId="102" fillId="13" borderId="3" xfId="10" applyNumberFormat="1" applyFont="1" applyFill="1" applyBorder="1" applyAlignment="1">
      <alignment horizontal="center" vertical="center"/>
    </xf>
    <xf numFmtId="57" fontId="102" fillId="0" borderId="5" xfId="10" applyNumberFormat="1" applyFont="1" applyBorder="1" applyAlignment="1">
      <alignment horizontal="center" vertical="center"/>
    </xf>
    <xf numFmtId="43" fontId="102" fillId="0" borderId="54" xfId="10" applyNumberFormat="1" applyFont="1" applyBorder="1" applyAlignment="1">
      <alignment horizontal="center" vertical="center"/>
    </xf>
    <xf numFmtId="43" fontId="99" fillId="0" borderId="54" xfId="10" applyNumberFormat="1" applyFont="1" applyBorder="1" applyAlignment="1">
      <alignment horizontal="center" vertical="center"/>
    </xf>
    <xf numFmtId="43" fontId="102" fillId="0" borderId="3" xfId="10" applyNumberFormat="1" applyFont="1" applyBorder="1" applyAlignment="1">
      <alignment horizontal="center" vertical="center"/>
    </xf>
    <xf numFmtId="0" fontId="204" fillId="0" borderId="1" xfId="10" applyFont="1" applyBorder="1" applyAlignment="1">
      <alignment horizontal="center" vertical="center" wrapText="1"/>
    </xf>
    <xf numFmtId="57" fontId="102" fillId="13" borderId="54" xfId="10" applyNumberFormat="1" applyFont="1" applyFill="1" applyBorder="1" applyAlignment="1">
      <alignment horizontal="center" vertical="center"/>
    </xf>
    <xf numFmtId="57" fontId="139" fillId="13" borderId="54" xfId="10" applyNumberFormat="1" applyFont="1" applyFill="1" applyBorder="1" applyAlignment="1">
      <alignment horizontal="center" vertical="center"/>
    </xf>
    <xf numFmtId="57" fontId="102" fillId="13" borderId="3" xfId="10" applyNumberFormat="1" applyFont="1" applyFill="1" applyBorder="1" applyAlignment="1">
      <alignment horizontal="center" vertical="center"/>
    </xf>
    <xf numFmtId="57" fontId="102" fillId="0" borderId="54" xfId="10" applyNumberFormat="1" applyFont="1" applyBorder="1" applyAlignment="1">
      <alignment horizontal="center" vertical="center"/>
    </xf>
    <xf numFmtId="57" fontId="139" fillId="0" borderId="54" xfId="10" applyNumberFormat="1" applyFont="1" applyBorder="1" applyAlignment="1">
      <alignment horizontal="center" vertical="center"/>
    </xf>
    <xf numFmtId="57" fontId="102" fillId="0" borderId="3" xfId="10" applyNumberFormat="1" applyFont="1" applyBorder="1" applyAlignment="1">
      <alignment horizontal="center" vertical="center"/>
    </xf>
    <xf numFmtId="57" fontId="102" fillId="13" borderId="1" xfId="10" applyNumberFormat="1" applyFont="1" applyFill="1" applyBorder="1" applyAlignment="1">
      <alignment horizontal="center" vertical="center"/>
    </xf>
    <xf numFmtId="43" fontId="102" fillId="13" borderId="1" xfId="10" applyNumberFormat="1" applyFont="1" applyFill="1" applyBorder="1" applyAlignment="1">
      <alignment horizontal="center" vertical="center"/>
    </xf>
    <xf numFmtId="43" fontId="139" fillId="13" borderId="1" xfId="10" applyNumberFormat="1" applyFont="1" applyFill="1" applyBorder="1" applyAlignment="1">
      <alignment horizontal="center" vertical="center"/>
    </xf>
    <xf numFmtId="57" fontId="102" fillId="0" borderId="1" xfId="10" applyNumberFormat="1" applyFont="1" applyBorder="1" applyAlignment="1">
      <alignment horizontal="center" vertical="center"/>
    </xf>
    <xf numFmtId="43" fontId="102" fillId="0" borderId="1" xfId="10" applyNumberFormat="1" applyFont="1" applyBorder="1" applyAlignment="1">
      <alignment horizontal="center" vertical="center"/>
    </xf>
    <xf numFmtId="43" fontId="139" fillId="0" borderId="1" xfId="10" applyNumberFormat="1" applyFont="1" applyBorder="1" applyAlignment="1">
      <alignment horizontal="center" vertical="center"/>
    </xf>
    <xf numFmtId="0" fontId="54" fillId="13" borderId="5" xfId="20" applyFont="1" applyFill="1" applyBorder="1" applyAlignment="1">
      <alignment horizontal="left" vertical="center"/>
    </xf>
    <xf numFmtId="0" fontId="54" fillId="13" borderId="3" xfId="20" applyFont="1" applyFill="1" applyBorder="1" applyAlignment="1">
      <alignment horizontal="left" vertical="center"/>
    </xf>
    <xf numFmtId="43" fontId="204" fillId="5" borderId="1" xfId="19" applyFont="1" applyFill="1" applyBorder="1" applyAlignment="1">
      <alignment horizontal="center" vertical="center"/>
    </xf>
    <xf numFmtId="43" fontId="204" fillId="24" borderId="1" xfId="19" applyFont="1" applyFill="1" applyBorder="1" applyAlignment="1">
      <alignment horizontal="center" vertical="center"/>
    </xf>
    <xf numFmtId="43" fontId="102" fillId="0" borderId="5" xfId="10" applyNumberFormat="1" applyFont="1" applyBorder="1" applyAlignment="1">
      <alignment horizontal="left" vertical="center"/>
    </xf>
    <xf numFmtId="43" fontId="102" fillId="0" borderId="54" xfId="10" applyNumberFormat="1" applyFont="1" applyBorder="1" applyAlignment="1">
      <alignment horizontal="left" vertical="center"/>
    </xf>
    <xf numFmtId="0" fontId="204" fillId="24" borderId="1" xfId="10" applyFont="1" applyFill="1" applyBorder="1" applyAlignment="1">
      <alignment horizontal="center"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44">
    <cellStyle name="百分比" xfId="17" builtinId="5"/>
    <cellStyle name="百分比 2" xfId="14"/>
    <cellStyle name="常规" xfId="0" builtinId="0"/>
    <cellStyle name="常规 11" xfId="18"/>
    <cellStyle name="常规 16" xfId="10"/>
    <cellStyle name="常规 16 4" xfId="26"/>
    <cellStyle name="常规 16 6" xfId="20"/>
    <cellStyle name="常规 2" xfId="1"/>
    <cellStyle name="常规 2 2" xfId="8"/>
    <cellStyle name="常规 2 2 2 2 3" xfId="15"/>
    <cellStyle name="常规 22 2 2" xfId="27"/>
    <cellStyle name="常规 23" xfId="28"/>
    <cellStyle name="常规 23 2" xfId="22"/>
    <cellStyle name="常规 27" xfId="29"/>
    <cellStyle name="常规 28" xfId="30"/>
    <cellStyle name="常规 29" xfId="31"/>
    <cellStyle name="常规 3" xfId="2"/>
    <cellStyle name="常规 3 2" xfId="3"/>
    <cellStyle name="常规 3 3" xfId="24"/>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_2012年各层测算表 4" xfId="43"/>
    <cellStyle name="常规_8-9层租金收费明细表" xfId="21"/>
    <cellStyle name="千位分隔 10" xfId="25"/>
    <cellStyle name="千位分隔 10 2 2" xfId="32"/>
    <cellStyle name="千位分隔 10 2 2 2 2" xfId="33"/>
    <cellStyle name="千位分隔 10 4" xfId="34"/>
    <cellStyle name="千位分隔 17 2" xfId="35"/>
    <cellStyle name="千位分隔 2" xfId="19"/>
    <cellStyle name="千位分隔 2 2" xfId="36"/>
    <cellStyle name="千位分隔 2 4" xfId="37"/>
    <cellStyle name="千位分隔 23 2" xfId="23"/>
    <cellStyle name="千位分隔 3" xfId="38"/>
    <cellStyle name="千位分隔 30" xfId="39"/>
    <cellStyle name="千位分隔 42" xfId="40"/>
    <cellStyle name="千位分隔 42 2" xfId="41"/>
    <cellStyle name="千位分隔 44" xfId="42"/>
  </cellStyles>
  <dxfs count="26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6.png"/><Relationship Id="rId3" Type="http://schemas.openxmlformats.org/officeDocument/2006/relationships/image" Target="../media/image21.png"/><Relationship Id="rId7" Type="http://schemas.openxmlformats.org/officeDocument/2006/relationships/image" Target="../media/image25.png"/><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22.png"/></Relationships>
</file>

<file path=xl/drawings/_rels/drawing4.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s>
</file>

<file path=xl/drawings/_rels/drawing5.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4"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17</xdr:col>
      <xdr:colOff>198544</xdr:colOff>
      <xdr:row>39</xdr:row>
      <xdr:rowOff>8838</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200150"/>
          <a:ext cx="11857144" cy="54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32</xdr:row>
      <xdr:rowOff>0</xdr:rowOff>
    </xdr:from>
    <xdr:to>
      <xdr:col>5</xdr:col>
      <xdr:colOff>494810</xdr:colOff>
      <xdr:row>55</xdr:row>
      <xdr:rowOff>75698</xdr:rowOff>
    </xdr:to>
    <xdr:pic>
      <xdr:nvPicPr>
        <xdr:cNvPr id="3" name="图片 2"/>
        <xdr:cNvPicPr>
          <a:picLocks noChangeAspect="1"/>
        </xdr:cNvPicPr>
      </xdr:nvPicPr>
      <xdr:blipFill>
        <a:blip xmlns:r="http://schemas.openxmlformats.org/officeDocument/2006/relationships" r:embed="rId1"/>
        <a:stretch>
          <a:fillRect/>
        </a:stretch>
      </xdr:blipFill>
      <xdr:spPr>
        <a:xfrm>
          <a:off x="0" y="5486400"/>
          <a:ext cx="3923810" cy="4019048"/>
        </a:xfrm>
        <a:prstGeom prst="rect">
          <a:avLst/>
        </a:prstGeom>
      </xdr:spPr>
    </xdr:pic>
    <xdr:clientData/>
  </xdr:twoCellAnchor>
  <xdr:twoCellAnchor editAs="oneCell">
    <xdr:from>
      <xdr:col>6</xdr:col>
      <xdr:colOff>0</xdr:colOff>
      <xdr:row>32</xdr:row>
      <xdr:rowOff>0</xdr:rowOff>
    </xdr:from>
    <xdr:to>
      <xdr:col>11</xdr:col>
      <xdr:colOff>590048</xdr:colOff>
      <xdr:row>58</xdr:row>
      <xdr:rowOff>161348</xdr:rowOff>
    </xdr:to>
    <xdr:pic>
      <xdr:nvPicPr>
        <xdr:cNvPr id="4" name="图片 3"/>
        <xdr:cNvPicPr>
          <a:picLocks noChangeAspect="1"/>
        </xdr:cNvPicPr>
      </xdr:nvPicPr>
      <xdr:blipFill>
        <a:blip xmlns:r="http://schemas.openxmlformats.org/officeDocument/2006/relationships" r:embed="rId2"/>
        <a:stretch>
          <a:fillRect/>
        </a:stretch>
      </xdr:blipFill>
      <xdr:spPr>
        <a:xfrm>
          <a:off x="4114800" y="5486400"/>
          <a:ext cx="4019048" cy="4619048"/>
        </a:xfrm>
        <a:prstGeom prst="rect">
          <a:avLst/>
        </a:prstGeom>
      </xdr:spPr>
    </xdr:pic>
    <xdr:clientData/>
  </xdr:twoCellAnchor>
  <xdr:twoCellAnchor editAs="oneCell">
    <xdr:from>
      <xdr:col>11</xdr:col>
      <xdr:colOff>676275</xdr:colOff>
      <xdr:row>32</xdr:row>
      <xdr:rowOff>47625</xdr:rowOff>
    </xdr:from>
    <xdr:to>
      <xdr:col>17</xdr:col>
      <xdr:colOff>647190</xdr:colOff>
      <xdr:row>62</xdr:row>
      <xdr:rowOff>113649</xdr:rowOff>
    </xdr:to>
    <xdr:pic>
      <xdr:nvPicPr>
        <xdr:cNvPr id="5" name="图片 4"/>
        <xdr:cNvPicPr>
          <a:picLocks noChangeAspect="1"/>
        </xdr:cNvPicPr>
      </xdr:nvPicPr>
      <xdr:blipFill>
        <a:blip xmlns:r="http://schemas.openxmlformats.org/officeDocument/2006/relationships" r:embed="rId3"/>
        <a:stretch>
          <a:fillRect/>
        </a:stretch>
      </xdr:blipFill>
      <xdr:spPr>
        <a:xfrm>
          <a:off x="8220075" y="5534025"/>
          <a:ext cx="4085715" cy="5209524"/>
        </a:xfrm>
        <a:prstGeom prst="rect">
          <a:avLst/>
        </a:prstGeom>
      </xdr:spPr>
    </xdr:pic>
    <xdr:clientData/>
  </xdr:twoCellAnchor>
  <xdr:twoCellAnchor editAs="oneCell">
    <xdr:from>
      <xdr:col>0</xdr:col>
      <xdr:colOff>0</xdr:colOff>
      <xdr:row>59</xdr:row>
      <xdr:rowOff>0</xdr:rowOff>
    </xdr:from>
    <xdr:to>
      <xdr:col>5</xdr:col>
      <xdr:colOff>532905</xdr:colOff>
      <xdr:row>88</xdr:row>
      <xdr:rowOff>8903</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0115550"/>
          <a:ext cx="3961905" cy="4980953"/>
        </a:xfrm>
        <a:prstGeom prst="rect">
          <a:avLst/>
        </a:prstGeom>
      </xdr:spPr>
    </xdr:pic>
    <xdr:clientData/>
  </xdr:twoCellAnchor>
  <xdr:twoCellAnchor editAs="oneCell">
    <xdr:from>
      <xdr:col>6</xdr:col>
      <xdr:colOff>0</xdr:colOff>
      <xdr:row>60</xdr:row>
      <xdr:rowOff>0</xdr:rowOff>
    </xdr:from>
    <xdr:to>
      <xdr:col>11</xdr:col>
      <xdr:colOff>551953</xdr:colOff>
      <xdr:row>90</xdr:row>
      <xdr:rowOff>170786</xdr:rowOff>
    </xdr:to>
    <xdr:pic>
      <xdr:nvPicPr>
        <xdr:cNvPr id="7" name="图片 6"/>
        <xdr:cNvPicPr>
          <a:picLocks noChangeAspect="1"/>
        </xdr:cNvPicPr>
      </xdr:nvPicPr>
      <xdr:blipFill>
        <a:blip xmlns:r="http://schemas.openxmlformats.org/officeDocument/2006/relationships" r:embed="rId5"/>
        <a:stretch>
          <a:fillRect/>
        </a:stretch>
      </xdr:blipFill>
      <xdr:spPr>
        <a:xfrm>
          <a:off x="4114800" y="10287000"/>
          <a:ext cx="3980953" cy="5314286"/>
        </a:xfrm>
        <a:prstGeom prst="rect">
          <a:avLst/>
        </a:prstGeom>
      </xdr:spPr>
    </xdr:pic>
    <xdr:clientData/>
  </xdr:twoCellAnchor>
  <xdr:twoCellAnchor editAs="oneCell">
    <xdr:from>
      <xdr:col>16</xdr:col>
      <xdr:colOff>0</xdr:colOff>
      <xdr:row>0</xdr:row>
      <xdr:rowOff>0</xdr:rowOff>
    </xdr:from>
    <xdr:to>
      <xdr:col>30</xdr:col>
      <xdr:colOff>360705</xdr:colOff>
      <xdr:row>34</xdr:row>
      <xdr:rowOff>113558</xdr:rowOff>
    </xdr:to>
    <xdr:pic>
      <xdr:nvPicPr>
        <xdr:cNvPr id="8" name="图片 7"/>
        <xdr:cNvPicPr>
          <a:picLocks noChangeAspect="1"/>
        </xdr:cNvPicPr>
      </xdr:nvPicPr>
      <xdr:blipFill>
        <a:blip xmlns:r="http://schemas.openxmlformats.org/officeDocument/2006/relationships" r:embed="rId6"/>
        <a:stretch>
          <a:fillRect/>
        </a:stretch>
      </xdr:blipFill>
      <xdr:spPr>
        <a:xfrm>
          <a:off x="10972800" y="0"/>
          <a:ext cx="9961905" cy="5942858"/>
        </a:xfrm>
        <a:prstGeom prst="rect">
          <a:avLst/>
        </a:prstGeom>
      </xdr:spPr>
    </xdr:pic>
    <xdr:clientData/>
  </xdr:twoCellAnchor>
  <xdr:twoCellAnchor editAs="oneCell">
    <xdr:from>
      <xdr:col>19</xdr:col>
      <xdr:colOff>123825</xdr:colOff>
      <xdr:row>35</xdr:row>
      <xdr:rowOff>0</xdr:rowOff>
    </xdr:from>
    <xdr:to>
      <xdr:col>29</xdr:col>
      <xdr:colOff>551540</xdr:colOff>
      <xdr:row>66</xdr:row>
      <xdr:rowOff>18384</xdr:rowOff>
    </xdr:to>
    <xdr:pic>
      <xdr:nvPicPr>
        <xdr:cNvPr id="9" name="图片 8"/>
        <xdr:cNvPicPr>
          <a:picLocks noChangeAspect="1"/>
        </xdr:cNvPicPr>
      </xdr:nvPicPr>
      <xdr:blipFill>
        <a:blip xmlns:r="http://schemas.openxmlformats.org/officeDocument/2006/relationships" r:embed="rId7"/>
        <a:stretch>
          <a:fillRect/>
        </a:stretch>
      </xdr:blipFill>
      <xdr:spPr>
        <a:xfrm>
          <a:off x="13154025" y="6000750"/>
          <a:ext cx="7285715" cy="5333334"/>
        </a:xfrm>
        <a:prstGeom prst="rect">
          <a:avLst/>
        </a:prstGeom>
      </xdr:spPr>
    </xdr:pic>
    <xdr:clientData/>
  </xdr:twoCellAnchor>
  <xdr:twoCellAnchor editAs="oneCell">
    <xdr:from>
      <xdr:col>12</xdr:col>
      <xdr:colOff>0</xdr:colOff>
      <xdr:row>64</xdr:row>
      <xdr:rowOff>0</xdr:rowOff>
    </xdr:from>
    <xdr:to>
      <xdr:col>17</xdr:col>
      <xdr:colOff>437667</xdr:colOff>
      <xdr:row>91</xdr:row>
      <xdr:rowOff>75612</xdr:rowOff>
    </xdr:to>
    <xdr:pic>
      <xdr:nvPicPr>
        <xdr:cNvPr id="10" name="图片 9"/>
        <xdr:cNvPicPr>
          <a:picLocks noChangeAspect="1"/>
        </xdr:cNvPicPr>
      </xdr:nvPicPr>
      <xdr:blipFill>
        <a:blip xmlns:r="http://schemas.openxmlformats.org/officeDocument/2006/relationships" r:embed="rId8"/>
        <a:stretch>
          <a:fillRect/>
        </a:stretch>
      </xdr:blipFill>
      <xdr:spPr>
        <a:xfrm>
          <a:off x="8229600" y="10972800"/>
          <a:ext cx="3866667" cy="4704762"/>
        </a:xfrm>
        <a:prstGeom prst="rect">
          <a:avLst/>
        </a:prstGeom>
      </xdr:spPr>
    </xdr:pic>
    <xdr:clientData/>
  </xdr:twoCellAnchor>
  <xdr:twoCellAnchor editAs="oneCell">
    <xdr:from>
      <xdr:col>0</xdr:col>
      <xdr:colOff>0</xdr:colOff>
      <xdr:row>93</xdr:row>
      <xdr:rowOff>0</xdr:rowOff>
    </xdr:from>
    <xdr:to>
      <xdr:col>16</xdr:col>
      <xdr:colOff>465296</xdr:colOff>
      <xdr:row>121</xdr:row>
      <xdr:rowOff>142257</xdr:rowOff>
    </xdr:to>
    <xdr:pic>
      <xdr:nvPicPr>
        <xdr:cNvPr id="11" name="图片 10"/>
        <xdr:cNvPicPr>
          <a:picLocks noChangeAspect="1"/>
        </xdr:cNvPicPr>
      </xdr:nvPicPr>
      <xdr:blipFill>
        <a:blip xmlns:r="http://schemas.openxmlformats.org/officeDocument/2006/relationships" r:embed="rId9"/>
        <a:stretch>
          <a:fillRect/>
        </a:stretch>
      </xdr:blipFill>
      <xdr:spPr>
        <a:xfrm>
          <a:off x="0" y="15944850"/>
          <a:ext cx="11438096" cy="4942857"/>
        </a:xfrm>
        <a:prstGeom prst="rect">
          <a:avLst/>
        </a:prstGeom>
      </xdr:spPr>
    </xdr:pic>
    <xdr:clientData/>
  </xdr:twoCellAnchor>
  <xdr:twoCellAnchor editAs="oneCell">
    <xdr:from>
      <xdr:col>18</xdr:col>
      <xdr:colOff>0</xdr:colOff>
      <xdr:row>68</xdr:row>
      <xdr:rowOff>0</xdr:rowOff>
    </xdr:from>
    <xdr:to>
      <xdr:col>23</xdr:col>
      <xdr:colOff>437667</xdr:colOff>
      <xdr:row>100</xdr:row>
      <xdr:rowOff>142172</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2344400" y="11658600"/>
          <a:ext cx="3866667" cy="5628572"/>
        </a:xfrm>
        <a:prstGeom prst="rect">
          <a:avLst/>
        </a:prstGeom>
      </xdr:spPr>
    </xdr:pic>
    <xdr:clientData/>
  </xdr:twoCellAnchor>
  <xdr:twoCellAnchor editAs="oneCell">
    <xdr:from>
      <xdr:col>0</xdr:col>
      <xdr:colOff>0</xdr:colOff>
      <xdr:row>123</xdr:row>
      <xdr:rowOff>0</xdr:rowOff>
    </xdr:from>
    <xdr:to>
      <xdr:col>16</xdr:col>
      <xdr:colOff>541487</xdr:colOff>
      <xdr:row>151</xdr:row>
      <xdr:rowOff>142257</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21088350"/>
          <a:ext cx="11514287" cy="4942857"/>
        </a:xfrm>
        <a:prstGeom prst="rect">
          <a:avLst/>
        </a:prstGeom>
      </xdr:spPr>
    </xdr:pic>
    <xdr:clientData/>
  </xdr:twoCellAnchor>
  <xdr:twoCellAnchor editAs="oneCell">
    <xdr:from>
      <xdr:col>0</xdr:col>
      <xdr:colOff>0</xdr:colOff>
      <xdr:row>0</xdr:row>
      <xdr:rowOff>0</xdr:rowOff>
    </xdr:from>
    <xdr:to>
      <xdr:col>15</xdr:col>
      <xdr:colOff>674076</xdr:colOff>
      <xdr:row>29</xdr:row>
      <xdr:rowOff>57150</xdr:rowOff>
    </xdr:to>
    <xdr:pic>
      <xdr:nvPicPr>
        <xdr:cNvPr id="14" name="图片 13"/>
        <xdr:cNvPicPr>
          <a:picLocks noChangeAspect="1"/>
        </xdr:cNvPicPr>
      </xdr:nvPicPr>
      <xdr:blipFill>
        <a:blip xmlns:r="http://schemas.openxmlformats.org/officeDocument/2006/relationships" r:embed="rId12"/>
        <a:stretch>
          <a:fillRect/>
        </a:stretch>
      </xdr:blipFill>
      <xdr:spPr>
        <a:xfrm>
          <a:off x="0" y="0"/>
          <a:ext cx="10961076" cy="5029200"/>
        </a:xfrm>
        <a:prstGeom prst="rect">
          <a:avLst/>
        </a:prstGeom>
      </xdr:spPr>
    </xdr:pic>
    <xdr:clientData/>
  </xdr:twoCellAnchor>
  <xdr:twoCellAnchor editAs="oneCell">
    <xdr:from>
      <xdr:col>0</xdr:col>
      <xdr:colOff>0</xdr:colOff>
      <xdr:row>153</xdr:row>
      <xdr:rowOff>0</xdr:rowOff>
    </xdr:from>
    <xdr:to>
      <xdr:col>16</xdr:col>
      <xdr:colOff>522439</xdr:colOff>
      <xdr:row>181</xdr:row>
      <xdr:rowOff>142257</xdr:rowOff>
    </xdr:to>
    <xdr:pic>
      <xdr:nvPicPr>
        <xdr:cNvPr id="15" name="图片 14"/>
        <xdr:cNvPicPr>
          <a:picLocks noChangeAspect="1"/>
        </xdr:cNvPicPr>
      </xdr:nvPicPr>
      <xdr:blipFill>
        <a:blip xmlns:r="http://schemas.openxmlformats.org/officeDocument/2006/relationships" r:embed="rId13"/>
        <a:stretch>
          <a:fillRect/>
        </a:stretch>
      </xdr:blipFill>
      <xdr:spPr>
        <a:xfrm>
          <a:off x="0" y="26231850"/>
          <a:ext cx="11495239" cy="4942857"/>
        </a:xfrm>
        <a:prstGeom prst="rect">
          <a:avLst/>
        </a:prstGeom>
      </xdr:spPr>
    </xdr:pic>
    <xdr:clientData/>
  </xdr:twoCellAnchor>
  <xdr:twoCellAnchor editAs="oneCell">
    <xdr:from>
      <xdr:col>24</xdr:col>
      <xdr:colOff>0</xdr:colOff>
      <xdr:row>68</xdr:row>
      <xdr:rowOff>0</xdr:rowOff>
    </xdr:from>
    <xdr:to>
      <xdr:col>29</xdr:col>
      <xdr:colOff>466238</xdr:colOff>
      <xdr:row>101</xdr:row>
      <xdr:rowOff>8817</xdr:rowOff>
    </xdr:to>
    <xdr:pic>
      <xdr:nvPicPr>
        <xdr:cNvPr id="16" name="图片 15"/>
        <xdr:cNvPicPr>
          <a:picLocks noChangeAspect="1"/>
        </xdr:cNvPicPr>
      </xdr:nvPicPr>
      <xdr:blipFill>
        <a:blip xmlns:r="http://schemas.openxmlformats.org/officeDocument/2006/relationships" r:embed="rId14"/>
        <a:stretch>
          <a:fillRect/>
        </a:stretch>
      </xdr:blipFill>
      <xdr:spPr>
        <a:xfrm>
          <a:off x="16459200" y="11658600"/>
          <a:ext cx="3895238" cy="5666667"/>
        </a:xfrm>
        <a:prstGeom prst="rect">
          <a:avLst/>
        </a:prstGeom>
      </xdr:spPr>
    </xdr:pic>
    <xdr:clientData/>
  </xdr:twoCellAnchor>
  <xdr:twoCellAnchor editAs="oneCell">
    <xdr:from>
      <xdr:col>0</xdr:col>
      <xdr:colOff>0</xdr:colOff>
      <xdr:row>183</xdr:row>
      <xdr:rowOff>0</xdr:rowOff>
    </xdr:from>
    <xdr:to>
      <xdr:col>16</xdr:col>
      <xdr:colOff>465296</xdr:colOff>
      <xdr:row>211</xdr:row>
      <xdr:rowOff>47019</xdr:rowOff>
    </xdr:to>
    <xdr:pic>
      <xdr:nvPicPr>
        <xdr:cNvPr id="18" name="图片 17"/>
        <xdr:cNvPicPr>
          <a:picLocks noChangeAspect="1"/>
        </xdr:cNvPicPr>
      </xdr:nvPicPr>
      <xdr:blipFill>
        <a:blip xmlns:r="http://schemas.openxmlformats.org/officeDocument/2006/relationships" r:embed="rId15"/>
        <a:stretch>
          <a:fillRect/>
        </a:stretch>
      </xdr:blipFill>
      <xdr:spPr>
        <a:xfrm>
          <a:off x="0" y="31375350"/>
          <a:ext cx="11438096" cy="48476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608153</xdr:colOff>
      <xdr:row>32</xdr:row>
      <xdr:rowOff>75505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580953" cy="5561905"/>
        </a:xfrm>
        <a:prstGeom prst="rect">
          <a:avLst/>
        </a:prstGeom>
      </xdr:spPr>
    </xdr:pic>
    <xdr:clientData/>
  </xdr:twoCellAnchor>
  <xdr:twoCellAnchor editAs="oneCell">
    <xdr:from>
      <xdr:col>0</xdr:col>
      <xdr:colOff>0</xdr:colOff>
      <xdr:row>35</xdr:row>
      <xdr:rowOff>0</xdr:rowOff>
    </xdr:from>
    <xdr:to>
      <xdr:col>16</xdr:col>
      <xdr:colOff>370058</xdr:colOff>
      <xdr:row>64</xdr:row>
      <xdr:rowOff>8903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000750"/>
          <a:ext cx="11342858" cy="4980953"/>
        </a:xfrm>
        <a:prstGeom prst="rect">
          <a:avLst/>
        </a:prstGeom>
      </xdr:spPr>
    </xdr:pic>
    <xdr:clientData/>
  </xdr:twoCellAnchor>
  <xdr:twoCellAnchor editAs="oneCell">
    <xdr:from>
      <xdr:col>0</xdr:col>
      <xdr:colOff>0</xdr:colOff>
      <xdr:row>65</xdr:row>
      <xdr:rowOff>0</xdr:rowOff>
    </xdr:from>
    <xdr:to>
      <xdr:col>16</xdr:col>
      <xdr:colOff>303391</xdr:colOff>
      <xdr:row>93</xdr:row>
      <xdr:rowOff>151781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144250"/>
          <a:ext cx="11276191" cy="4952381"/>
        </a:xfrm>
        <a:prstGeom prst="rect">
          <a:avLst/>
        </a:prstGeom>
      </xdr:spPr>
    </xdr:pic>
    <xdr:clientData/>
  </xdr:twoCellAnchor>
  <xdr:twoCellAnchor editAs="oneCell">
    <xdr:from>
      <xdr:col>0</xdr:col>
      <xdr:colOff>0</xdr:colOff>
      <xdr:row>96</xdr:row>
      <xdr:rowOff>0</xdr:rowOff>
    </xdr:from>
    <xdr:to>
      <xdr:col>16</xdr:col>
      <xdr:colOff>293867</xdr:colOff>
      <xdr:row>125</xdr:row>
      <xdr:rowOff>75569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6459200"/>
          <a:ext cx="11266667" cy="5047619"/>
        </a:xfrm>
        <a:prstGeom prst="rect">
          <a:avLst/>
        </a:prstGeom>
      </xdr:spPr>
    </xdr:pic>
    <xdr:clientData/>
  </xdr:twoCellAnchor>
  <xdr:twoCellAnchor editAs="oneCell">
    <xdr:from>
      <xdr:col>17</xdr:col>
      <xdr:colOff>0</xdr:colOff>
      <xdr:row>96</xdr:row>
      <xdr:rowOff>0</xdr:rowOff>
    </xdr:from>
    <xdr:to>
      <xdr:col>31</xdr:col>
      <xdr:colOff>503563</xdr:colOff>
      <xdr:row>124</xdr:row>
      <xdr:rowOff>37496</xdr:rowOff>
    </xdr:to>
    <xdr:pic>
      <xdr:nvPicPr>
        <xdr:cNvPr id="6" name="图片 5"/>
        <xdr:cNvPicPr>
          <a:picLocks noChangeAspect="1"/>
        </xdr:cNvPicPr>
      </xdr:nvPicPr>
      <xdr:blipFill>
        <a:blip xmlns:r="http://schemas.openxmlformats.org/officeDocument/2006/relationships" r:embed="rId5"/>
        <a:stretch>
          <a:fillRect/>
        </a:stretch>
      </xdr:blipFill>
      <xdr:spPr>
        <a:xfrm>
          <a:off x="11658600" y="16459200"/>
          <a:ext cx="10104763" cy="4838096"/>
        </a:xfrm>
        <a:prstGeom prst="rect">
          <a:avLst/>
        </a:prstGeom>
      </xdr:spPr>
    </xdr:pic>
    <xdr:clientData/>
  </xdr:twoCellAnchor>
  <xdr:twoCellAnchor editAs="oneCell">
    <xdr:from>
      <xdr:col>17</xdr:col>
      <xdr:colOff>0</xdr:colOff>
      <xdr:row>35</xdr:row>
      <xdr:rowOff>0</xdr:rowOff>
    </xdr:from>
    <xdr:to>
      <xdr:col>31</xdr:col>
      <xdr:colOff>294039</xdr:colOff>
      <xdr:row>63</xdr:row>
      <xdr:rowOff>18448</xdr:rowOff>
    </xdr:to>
    <xdr:pic>
      <xdr:nvPicPr>
        <xdr:cNvPr id="7" name="图片 6"/>
        <xdr:cNvPicPr>
          <a:picLocks noChangeAspect="1"/>
        </xdr:cNvPicPr>
      </xdr:nvPicPr>
      <xdr:blipFill>
        <a:blip xmlns:r="http://schemas.openxmlformats.org/officeDocument/2006/relationships" r:embed="rId6"/>
        <a:stretch>
          <a:fillRect/>
        </a:stretch>
      </xdr:blipFill>
      <xdr:spPr>
        <a:xfrm>
          <a:off x="11658600" y="6000750"/>
          <a:ext cx="9895239" cy="4819048"/>
        </a:xfrm>
        <a:prstGeom prst="rect">
          <a:avLst/>
        </a:prstGeom>
      </xdr:spPr>
    </xdr:pic>
    <xdr:clientData/>
  </xdr:twoCellAnchor>
  <xdr:twoCellAnchor editAs="oneCell">
    <xdr:from>
      <xdr:col>17</xdr:col>
      <xdr:colOff>0</xdr:colOff>
      <xdr:row>65</xdr:row>
      <xdr:rowOff>0</xdr:rowOff>
    </xdr:from>
    <xdr:to>
      <xdr:col>31</xdr:col>
      <xdr:colOff>598801</xdr:colOff>
      <xdr:row>93</xdr:row>
      <xdr:rowOff>151781</xdr:rowOff>
    </xdr:to>
    <xdr:pic>
      <xdr:nvPicPr>
        <xdr:cNvPr id="8" name="图片 7"/>
        <xdr:cNvPicPr>
          <a:picLocks noChangeAspect="1"/>
        </xdr:cNvPicPr>
      </xdr:nvPicPr>
      <xdr:blipFill>
        <a:blip xmlns:r="http://schemas.openxmlformats.org/officeDocument/2006/relationships" r:embed="rId7"/>
        <a:stretch>
          <a:fillRect/>
        </a:stretch>
      </xdr:blipFill>
      <xdr:spPr>
        <a:xfrm>
          <a:off x="11658600" y="11144250"/>
          <a:ext cx="10200001" cy="4952381"/>
        </a:xfrm>
        <a:prstGeom prst="rect">
          <a:avLst/>
        </a:prstGeom>
      </xdr:spPr>
    </xdr:pic>
    <xdr:clientData/>
  </xdr:twoCellAnchor>
  <xdr:twoCellAnchor editAs="oneCell">
    <xdr:from>
      <xdr:col>0</xdr:col>
      <xdr:colOff>0</xdr:colOff>
      <xdr:row>129</xdr:row>
      <xdr:rowOff>0</xdr:rowOff>
    </xdr:from>
    <xdr:to>
      <xdr:col>17</xdr:col>
      <xdr:colOff>17591</xdr:colOff>
      <xdr:row>160</xdr:row>
      <xdr:rowOff>170765</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2117050"/>
          <a:ext cx="11676191" cy="548571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417763</xdr:colOff>
      <xdr:row>30</xdr:row>
      <xdr:rowOff>37453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704763" cy="5180953"/>
        </a:xfrm>
        <a:prstGeom prst="rect">
          <a:avLst/>
        </a:prstGeom>
      </xdr:spPr>
    </xdr:pic>
    <xdr:clientData/>
  </xdr:twoCellAnchor>
  <xdr:twoCellAnchor editAs="oneCell">
    <xdr:from>
      <xdr:col>0</xdr:col>
      <xdr:colOff>0</xdr:colOff>
      <xdr:row>31</xdr:row>
      <xdr:rowOff>0</xdr:rowOff>
    </xdr:from>
    <xdr:to>
      <xdr:col>15</xdr:col>
      <xdr:colOff>341572</xdr:colOff>
      <xdr:row>57</xdr:row>
      <xdr:rowOff>151824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314950"/>
          <a:ext cx="10628572" cy="4609524"/>
        </a:xfrm>
        <a:prstGeom prst="rect">
          <a:avLst/>
        </a:prstGeom>
      </xdr:spPr>
    </xdr:pic>
    <xdr:clientData/>
  </xdr:twoCellAnchor>
  <xdr:twoCellAnchor editAs="oneCell">
    <xdr:from>
      <xdr:col>0</xdr:col>
      <xdr:colOff>0</xdr:colOff>
      <xdr:row>59</xdr:row>
      <xdr:rowOff>0</xdr:rowOff>
    </xdr:from>
    <xdr:to>
      <xdr:col>13</xdr:col>
      <xdr:colOff>379839</xdr:colOff>
      <xdr:row>76</xdr:row>
      <xdr:rowOff>171064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115550"/>
          <a:ext cx="9295239" cy="308571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512915</xdr:colOff>
      <xdr:row>28</xdr:row>
      <xdr:rowOff>142257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485715" cy="4942857"/>
        </a:xfrm>
        <a:prstGeom prst="rect">
          <a:avLst/>
        </a:prstGeom>
      </xdr:spPr>
    </xdr:pic>
    <xdr:clientData/>
  </xdr:twoCellAnchor>
  <xdr:twoCellAnchor editAs="oneCell">
    <xdr:from>
      <xdr:col>0</xdr:col>
      <xdr:colOff>0</xdr:colOff>
      <xdr:row>30</xdr:row>
      <xdr:rowOff>0</xdr:rowOff>
    </xdr:from>
    <xdr:to>
      <xdr:col>16</xdr:col>
      <xdr:colOff>636725</xdr:colOff>
      <xdr:row>59</xdr:row>
      <xdr:rowOff>37474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11609525" cy="5009524"/>
        </a:xfrm>
        <a:prstGeom prst="rect">
          <a:avLst/>
        </a:prstGeom>
      </xdr:spPr>
    </xdr:pic>
    <xdr:clientData/>
  </xdr:twoCellAnchor>
  <xdr:twoCellAnchor editAs="oneCell">
    <xdr:from>
      <xdr:col>0</xdr:col>
      <xdr:colOff>0</xdr:colOff>
      <xdr:row>60</xdr:row>
      <xdr:rowOff>0</xdr:rowOff>
    </xdr:from>
    <xdr:to>
      <xdr:col>17</xdr:col>
      <xdr:colOff>36639</xdr:colOff>
      <xdr:row>89</xdr:row>
      <xdr:rowOff>123188</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287000"/>
          <a:ext cx="11695239" cy="5095238"/>
        </a:xfrm>
        <a:prstGeom prst="rect">
          <a:avLst/>
        </a:prstGeom>
      </xdr:spPr>
    </xdr:pic>
    <xdr:clientData/>
  </xdr:twoCellAnchor>
  <xdr:twoCellAnchor editAs="oneCell">
    <xdr:from>
      <xdr:col>0</xdr:col>
      <xdr:colOff>0</xdr:colOff>
      <xdr:row>91</xdr:row>
      <xdr:rowOff>0</xdr:rowOff>
    </xdr:from>
    <xdr:to>
      <xdr:col>16</xdr:col>
      <xdr:colOff>589106</xdr:colOff>
      <xdr:row>120</xdr:row>
      <xdr:rowOff>123188</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601950"/>
          <a:ext cx="11561906" cy="50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Administrator\Desktop\&#28023;&#40857;&#22823;&#21414;&#35810;&#20215;109-&#24037;&#21830;&#38134;&#34892;-&#27494;&#26195;&#26976;\&#26368;&#26032;-2024&#24180;&#28023;&#40857;&#38598;&#22242;&#24212;&#25910;&#26126;&#32454;&#34920;-&#28023;&#40857;&#22823;&#21414;1&#12289;7-18&#23618;-09&#2637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Administrator\Desktop\&#28023;&#40857;&#22823;&#21414;&#35810;&#20215;109-&#24037;&#21830;&#38134;&#34892;-&#27494;&#26195;&#26976;\&#26368;&#26032;-2024&#24180;&#20013;&#22825;&#20844;&#21496;&#24212;&#25910;&#26126;&#32454;&#34920;-&#28023;&#40857;&#22823;&#21414;2-6&#23618;-09&#2637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应收实收汇总"/>
      <sheetName val="中天权责表"/>
      <sheetName val="海龙大厦"/>
      <sheetName val="2022年12月欠费汇总"/>
      <sheetName val="2023年01月欠费汇总"/>
      <sheetName val="2023年02月欠费汇总"/>
      <sheetName val="2023年03月欠费汇总"/>
      <sheetName val="2023年04月欠费汇总"/>
      <sheetName val="2023年05月欠费汇总"/>
      <sheetName val="2023年06月欠费汇总"/>
      <sheetName val="2023年7月欠费汇总"/>
      <sheetName val="2023年8月欠费汇总"/>
      <sheetName val="2023年9月欠费汇总"/>
      <sheetName val="2023年10月欠费汇总"/>
      <sheetName val="2023年11月欠费汇总"/>
      <sheetName val="2023年12月欠费汇总"/>
      <sheetName val="2024年01月欠费汇总"/>
      <sheetName val="2024年02月欠费汇总"/>
      <sheetName val="2024年03月欠费汇总"/>
      <sheetName val="2024年04月欠费汇总"/>
      <sheetName val="2024年05月欠费汇总"/>
      <sheetName val="2024年06月欠费汇总"/>
      <sheetName val="2024年07月欠费汇总"/>
      <sheetName val="海龙直播舱、其他"/>
      <sheetName val="2024年09月欠费汇总"/>
      <sheetName val="2024年08月欠费汇总"/>
      <sheetName val="2024挂账"/>
      <sheetName val="2023挂账"/>
      <sheetName val="健安星欠费2023"/>
      <sheetName val="备注"/>
      <sheetName val="回款率"/>
      <sheetName val="Sheet1"/>
      <sheetName val="健安星欠费2020"/>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ow r="5">
          <cell r="AO5">
            <v>82581.25</v>
          </cell>
          <cell r="AV5">
            <v>82581.25</v>
          </cell>
        </row>
        <row r="10">
          <cell r="AO10">
            <v>82581.25</v>
          </cell>
          <cell r="AV10">
            <v>82581.25</v>
          </cell>
          <cell r="AW10">
            <v>0</v>
          </cell>
          <cell r="BT10">
            <v>0</v>
          </cell>
          <cell r="BU10">
            <v>0</v>
          </cell>
          <cell r="CB10">
            <v>145695.84</v>
          </cell>
          <cell r="CC10">
            <v>145695.84</v>
          </cell>
          <cell r="CK10">
            <v>0</v>
          </cell>
          <cell r="CR10">
            <v>79159.38</v>
          </cell>
          <cell r="CS10">
            <v>79159.38</v>
          </cell>
          <cell r="CZ10">
            <v>0</v>
          </cell>
          <cell r="DA10">
            <v>0</v>
          </cell>
          <cell r="EJ10">
            <v>136720.134135011</v>
          </cell>
          <cell r="HI10">
            <v>34182.541496598598</v>
          </cell>
        </row>
        <row r="25">
          <cell r="EJ25">
            <v>273452.009433962</v>
          </cell>
        </row>
        <row r="29">
          <cell r="CC29">
            <v>233680.57</v>
          </cell>
        </row>
        <row r="41">
          <cell r="AW41">
            <v>0</v>
          </cell>
          <cell r="BT41">
            <v>233680.57</v>
          </cell>
          <cell r="BU41">
            <v>0</v>
          </cell>
          <cell r="CB41">
            <v>246480.57</v>
          </cell>
          <cell r="CC41">
            <v>480161.14</v>
          </cell>
          <cell r="CJ41">
            <v>115884.44</v>
          </cell>
          <cell r="CK41">
            <v>115884.44</v>
          </cell>
          <cell r="CR41">
            <v>0</v>
          </cell>
          <cell r="CS41">
            <v>0</v>
          </cell>
          <cell r="CZ41">
            <v>32800</v>
          </cell>
          <cell r="DA41">
            <v>32800</v>
          </cell>
          <cell r="EJ41">
            <v>865324.11018268904</v>
          </cell>
          <cell r="HI41">
            <v>14031.746031746001</v>
          </cell>
        </row>
      </sheetData>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应收实收汇总"/>
      <sheetName val="海龙大厦2-6层"/>
      <sheetName val="北辛安"/>
      <sheetName val="科贸项目"/>
      <sheetName val="海兴项目"/>
      <sheetName val="停车场"/>
      <sheetName val="2024年03月欠费"/>
      <sheetName val="2024年04月欠费"/>
      <sheetName val="2024年05月欠费"/>
      <sheetName val="2024年06月欠费"/>
      <sheetName val="2024年07月欠费 "/>
      <sheetName val="2024年07月欠费"/>
      <sheetName val="2024年08月欠费"/>
      <sheetName val="2024年09月欠费"/>
      <sheetName val="NC挂账-科贸海兴"/>
      <sheetName val="结转中天1季度"/>
      <sheetName val="海兴停车场"/>
      <sheetName val="财务挂账"/>
      <sheetName val="2023年12月欠费表"/>
      <sheetName val="2024年01月欠费表"/>
      <sheetName val="海投换票"/>
      <sheetName val="2023年06月欠费表"/>
      <sheetName val="海龙大厦挂账"/>
      <sheetName val="健安星欠费2020"/>
      <sheetName val="2022年海兴超市发"/>
    </sheetNames>
    <sheetDataSet>
      <sheetData sheetId="0" refreshError="1"/>
      <sheetData sheetId="1"/>
      <sheetData sheetId="2">
        <row r="12">
          <cell r="JX12">
            <v>426286.201834862</v>
          </cell>
          <cell r="JY12">
            <v>377643.33018867997</v>
          </cell>
        </row>
      </sheetData>
      <sheetData sheetId="3">
        <row r="14">
          <cell r="JX14">
            <v>291999.81852576602</v>
          </cell>
          <cell r="JY14">
            <v>47757.514370638397</v>
          </cell>
        </row>
        <row r="31">
          <cell r="JX31">
            <v>0</v>
          </cell>
          <cell r="JY31">
            <v>45476.349056603802</v>
          </cell>
        </row>
      </sheetData>
      <sheetData sheetId="4">
        <row r="31">
          <cell r="JX31">
            <v>2548840.6378865</v>
          </cell>
          <cell r="JY31">
            <v>507572.506306539</v>
          </cell>
        </row>
        <row r="46">
          <cell r="JX46">
            <v>0</v>
          </cell>
          <cell r="JY46">
            <v>0</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2" Type="http://schemas.openxmlformats.org/officeDocument/2006/relationships/comments" Target="../comments7.xml"/><Relationship Id="rId1" Type="http://schemas.openxmlformats.org/officeDocument/2006/relationships/vmlDrawing" Target="../drawings/vmlDrawing12.vml"/></Relationships>
</file>

<file path=xl/worksheets/_rels/sheet19.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3.v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3.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北京市海淀区中关村大街1号部分综合用房及全部车库用房房地产抵押价值预评估</v>
      </c>
    </row>
    <row r="3" spans="1:2" s="1202" customFormat="1">
      <c r="A3" s="1200" t="s">
        <v>523</v>
      </c>
      <c r="B3" s="1201" t="str">
        <f>'预评函-封皮'!B40</f>
        <v>工商银行</v>
      </c>
    </row>
    <row r="4" spans="1:2" s="1202" customFormat="1">
      <c r="A4" s="1200" t="s">
        <v>524</v>
      </c>
      <c r="B4" s="1201" t="str">
        <f>'预评函-封皮'!B46</f>
        <v>（注册号：0)、（注册号：0)</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受贵公司委托，我公司对北京市海淀区中关村大街1号部分综合用房及全部车库用房房地产抵押价值进行了预评估。</v>
      </c>
    </row>
    <row r="7" spans="1:2" s="1202" customFormat="1">
      <c r="A7" s="1200" t="s">
        <v>566</v>
      </c>
      <c r="B7" s="1201" t="str">
        <f>'预评函-1'!A7</f>
        <v>估价对象为北京市海淀区中关村大街1号部分综合用房及全部车库用房房地产，为所有。根据《国有土地使用证》[]，估价对象（分摊）出让国有建设用地使用权面积为3697.41平方米，建筑面积为34111.17平方米。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海淀区中关村大街1号部分综合用房及全部车库用房房地产,属开发建设的综合项目（商业、办公），该项目尚在开发建设中。根据《国有土地使用证》[]，估价对象（分摊）出让国有建设用地使用权面积为3697.41平方米，规划建筑面积为34111.17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为估价委托人在向办理贷款手续过程中，确定房地产抵押贷款额度提供参考依据而评估房地产抵押价值。</v>
      </c>
    </row>
    <row r="12" spans="1:2" s="1202" customFormat="1">
      <c r="A12" s="1200" t="s">
        <v>528</v>
      </c>
      <c r="B12" s="1201" t="str">
        <f>'预评函-1'!A15</f>
        <v>2024年10月10日（评估专业人员实地查勘之日）</v>
      </c>
    </row>
    <row r="13" spans="1:2" s="1202" customFormat="1">
      <c r="A13" s="1200" t="s">
        <v>529</v>
      </c>
      <c r="B13" s="1201" t="str">
        <f>'预评函-1'!A18</f>
        <v>本次估价的“房地产价值”是指在正常市场情况下，在价值时点2024年10月10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本次评估采用的主估价方法为比较法和收益法。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14913</v>
      </c>
    </row>
    <row r="21" spans="1:2" s="1202" customFormat="1">
      <c r="A21" s="1200" t="s">
        <v>537</v>
      </c>
      <c r="B21" s="1201">
        <f ca="1">'预评函-2'!D7</f>
        <v>39743</v>
      </c>
    </row>
    <row r="22" spans="1:2" s="1202" customFormat="1">
      <c r="A22" s="1200" t="s">
        <v>538</v>
      </c>
      <c r="B22" s="1201" t="str">
        <f ca="1">'预评函-2'!D6</f>
        <v>壹亿肆仟玖佰壹拾叁万元整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14913</v>
      </c>
    </row>
    <row r="31" spans="1:2" s="1202" customFormat="1">
      <c r="A31" s="1200" t="s">
        <v>576</v>
      </c>
      <c r="B31" s="1201">
        <f ca="1">'预评函-2'!D15</f>
        <v>39743</v>
      </c>
    </row>
    <row r="32" spans="1:2" s="1202" customFormat="1">
      <c r="A32" s="1200" t="s">
        <v>543</v>
      </c>
      <c r="B32" s="1201" t="str">
        <f ca="1">'预评函-2'!D14</f>
        <v>壹亿肆仟玖佰壹拾叁万元整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v>
      </c>
    </row>
    <row r="38" spans="1:2" s="1202" customFormat="1">
      <c r="A38" s="1200" t="s">
        <v>597</v>
      </c>
      <c r="B38" s="1201" t="str">
        <f>'预评函-2'!D19</f>
        <v>——</v>
      </c>
    </row>
    <row r="39" spans="1:2" s="1202" customFormat="1">
      <c r="A39" s="1200" t="s">
        <v>545</v>
      </c>
      <c r="B39" s="1201" t="str">
        <f>'预评函-2'!D21</f>
        <v>——</v>
      </c>
    </row>
    <row r="40" spans="1:2" s="1202" customFormat="1">
      <c r="A40" s="1200" t="s">
        <v>546</v>
      </c>
      <c r="B40" s="1201" t="e">
        <f>'预评函-2'!D20</f>
        <v>#VALUE!</v>
      </c>
    </row>
    <row r="41" spans="1:2" s="1202" customFormat="1">
      <c r="A41" s="1200" t="s">
        <v>592</v>
      </c>
      <c r="B41" s="1201" t="str">
        <f>'预评函-3'!A4</f>
        <v>北京市海淀区中关村大街1号部分综合用房及全部车库用房房地产</v>
      </c>
    </row>
    <row r="42" spans="1:2" s="1202" customFormat="1">
      <c r="A42" s="1200" t="s">
        <v>590</v>
      </c>
      <c r="B42" s="1201" t="str">
        <f>'预评函-3'!B2</f>
        <v>建筑面积</v>
      </c>
    </row>
    <row r="43" spans="1:2" s="1202" customFormat="1">
      <c r="A43" s="1200" t="s">
        <v>591</v>
      </c>
      <c r="B43" s="1201">
        <f>'预评函-3'!B4</f>
        <v>34111.17</v>
      </c>
    </row>
    <row r="44" spans="1:2" s="1202" customFormat="1">
      <c r="A44" s="1200" t="s">
        <v>575</v>
      </c>
      <c r="B44" s="1201" t="str">
        <f>'预评函-3'!C2</f>
        <v>(分摊)土地面积</v>
      </c>
    </row>
    <row r="45" spans="1:2" s="1202" customFormat="1">
      <c r="A45" s="1200" t="s">
        <v>547</v>
      </c>
      <c r="B45" s="1201">
        <f>'预评函-3'!C4</f>
        <v>3697.41</v>
      </c>
    </row>
    <row r="46" spans="1:2" s="1202" customFormat="1">
      <c r="A46" s="1200" t="s">
        <v>573</v>
      </c>
      <c r="B46" s="1201" t="str">
        <f>'预评函-3'!D2</f>
        <v>出让国有建设用地使用权价值</v>
      </c>
    </row>
    <row r="47" spans="1:2" s="1202" customFormat="1">
      <c r="A47" s="1200" t="s">
        <v>548</v>
      </c>
      <c r="B47" s="1201">
        <f ca="1">'预评函-3'!D4</f>
        <v>11587</v>
      </c>
    </row>
    <row r="48" spans="1:2" s="1202" customFormat="1">
      <c r="A48" s="1200" t="s">
        <v>549</v>
      </c>
      <c r="B48" s="1201">
        <f ca="1">'预评函-3'!E4</f>
        <v>30880</v>
      </c>
    </row>
    <row r="49" spans="1:2" s="1202" customFormat="1">
      <c r="A49" s="1200" t="s">
        <v>550</v>
      </c>
      <c r="B49" s="1201" t="str">
        <f ca="1">'预评函-3'!D5</f>
        <v>壹亿壹仟伍佰捌拾柒万元整</v>
      </c>
    </row>
    <row r="50" spans="1:2" s="1202" customFormat="1">
      <c r="A50" s="1200" t="s">
        <v>574</v>
      </c>
      <c r="B50" s="1201" t="str">
        <f>'预评函-3'!F2</f>
        <v>在建建筑物价值</v>
      </c>
    </row>
    <row r="51" spans="1:2" s="1202" customFormat="1">
      <c r="A51" s="1200" t="s">
        <v>551</v>
      </c>
      <c r="B51" s="1201">
        <f ca="1">'预评函-3'!F4</f>
        <v>3326</v>
      </c>
    </row>
    <row r="52" spans="1:2" s="1202" customFormat="1">
      <c r="A52" s="1200" t="s">
        <v>552</v>
      </c>
      <c r="B52" s="1201">
        <f ca="1">'预评函-3'!G4</f>
        <v>8863</v>
      </c>
    </row>
    <row r="53" spans="1:2" s="1202" customFormat="1">
      <c r="A53" s="1200" t="s">
        <v>580</v>
      </c>
      <c r="B53" s="1201" t="str">
        <f ca="1">'预评函-3'!F5</f>
        <v>叁仟叁佰贰拾陆万元整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571</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f>'预评函-4'!A4</f>
        <v>0</v>
      </c>
    </row>
    <row r="71" spans="1:2">
      <c r="A71" s="1200" t="s">
        <v>563</v>
      </c>
      <c r="B71" s="1201">
        <f>'预评函-4'!B4</f>
        <v>0</v>
      </c>
    </row>
    <row r="72" spans="1:2">
      <c r="A72" s="1200" t="s">
        <v>564</v>
      </c>
      <c r="B72" s="1209">
        <f>'预评函-4'!A5</f>
        <v>0</v>
      </c>
    </row>
    <row r="73" spans="1:2" s="1196" customFormat="1" ht="15" thickBot="1">
      <c r="A73" s="1203" t="s">
        <v>565</v>
      </c>
      <c r="B73" s="1204">
        <f>'预评函-4'!B5</f>
        <v>0</v>
      </c>
    </row>
    <row r="74" spans="1:2" ht="15" thickTop="1">
      <c r="A74" s="1193" t="s">
        <v>601</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835" t="str">
        <f>项目基本情况!B1</f>
        <v>北京市海淀区中关村大街1号部分综合用房及全部车库用房房地产抵押价值预评估</v>
      </c>
      <c r="C37" s="3835"/>
      <c r="D37" s="3835"/>
      <c r="E37" s="3835"/>
      <c r="F37" s="3835"/>
      <c r="G37" s="3835"/>
      <c r="H37" s="3835"/>
      <c r="I37" s="3835"/>
    </row>
    <row r="38" spans="1:9">
      <c r="A38" s="843"/>
      <c r="B38" s="843"/>
    </row>
    <row r="39" spans="1:9">
      <c r="A39" s="841" t="s">
        <v>371</v>
      </c>
      <c r="B39" s="841" t="s">
        <v>373</v>
      </c>
    </row>
    <row r="40" spans="1:9">
      <c r="A40" s="841"/>
      <c r="B40" s="1473" t="str">
        <f>项目基本情况!B5</f>
        <v>工商银行</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896</v>
      </c>
    </row>
    <row r="2" spans="1:1">
      <c r="A2" s="1477"/>
    </row>
    <row r="3" spans="1:1" ht="18">
      <c r="A3" s="1478" t="str">
        <f>项目基本情况!B5&amp;"："</f>
        <v>工商银行：</v>
      </c>
    </row>
    <row r="4" spans="1:1" ht="36">
      <c r="A4" s="1479" t="str">
        <f>"受贵公司委托，我公司对"&amp;项目基本情况!S1&amp;"进行了预评估。"</f>
        <v>受贵公司委托，我公司对北京市海淀区中关村大街1号部分综合用房及全部车库用房房地产抵押价值进行了预评估。</v>
      </c>
    </row>
    <row r="5" spans="1:1" ht="18.75">
      <c r="A5" s="1480" t="s">
        <v>897</v>
      </c>
    </row>
    <row r="6" spans="1:1" ht="18.75">
      <c r="A6" s="1481" t="s">
        <v>898</v>
      </c>
    </row>
    <row r="7" spans="1:1" ht="54">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估价对象为北京市海淀区中关村大街1号部分综合用房及全部车库用房房地产，为所有。根据《国有土地使用证》[]，估价对象（分摊）出让国有建设用地使用权面积为3697.41平方米，建筑面积为34111.17平方米。</v>
      </c>
    </row>
    <row r="8" spans="1:1" ht="57.75">
      <c r="A8" s="1482" t="s">
        <v>899</v>
      </c>
    </row>
    <row r="9" spans="1:1" ht="18.75">
      <c r="A9" s="1481" t="s">
        <v>900</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中关村大街1号部分综合用房及全部车库用房房地产,属开发建设的综合项目（商业、办公），该项目尚在开发建设中。根据《国有土地使用证》[]，估价对象（分摊）出让国有建设用地使用权面积为3697.41平方米，规划建筑面积为34111.17平方米。</v>
      </c>
    </row>
    <row r="11" spans="1:1" ht="76.5">
      <c r="A11" s="1482" t="s">
        <v>901</v>
      </c>
    </row>
    <row r="12" spans="1:1" ht="18.75">
      <c r="A12" s="1480" t="s">
        <v>902</v>
      </c>
    </row>
    <row r="13" spans="1:1" ht="38.25" customHeight="1">
      <c r="A13" s="1483" t="str">
        <f>IF(项目基本情况!B8="抵押",IF(项目基本情况!B5=项目基本情况!B6,定义!C51,定义!B51),定义!D51)</f>
        <v>为估价委托人在向办理贷款手续过程中，确定房地产抵押贷款额度提供参考依据而评估房地产抵押价值。</v>
      </c>
    </row>
    <row r="14" spans="1:1" ht="18.75">
      <c r="A14" s="1484" t="s">
        <v>903</v>
      </c>
    </row>
    <row r="15" spans="1:1" ht="18">
      <c r="A15" s="1485" t="str">
        <f>TEXT(项目基本情况!D3,"yyyy年m月d日;;")&amp;IF(项目基本情况!D3=项目基本情况!B3,"（评估专业人员实地查勘之日）","")</f>
        <v>2024年10月10日（评估专业人员实地查勘之日）</v>
      </c>
    </row>
    <row r="16" spans="1:1" ht="18.75">
      <c r="A16" s="1484" t="s">
        <v>904</v>
      </c>
    </row>
    <row r="17" spans="1:1" ht="75">
      <c r="A17" s="1479" t="s">
        <v>905</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10月10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894</v>
      </c>
    </row>
    <row r="24" spans="1:1" ht="18">
      <c r="A24" s="1486" t="str">
        <f>"本次评估采用的主估价方法为"&amp;结果表!K4&amp;"和"&amp;结果表!L4&amp;"。"</f>
        <v>本次评估采用的主估价方法为比较法和收益法。</v>
      </c>
    </row>
    <row r="25" spans="1:1" ht="18">
      <c r="A25" s="1486"/>
    </row>
    <row r="26" spans="1:1" ht="18.75">
      <c r="A26" s="1487" t="s">
        <v>895</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906</v>
      </c>
      <c r="B1" s="1490"/>
      <c r="C1" s="1490"/>
      <c r="D1" s="1490"/>
      <c r="E1" s="1490"/>
    </row>
    <row r="2" spans="1:5" ht="78" customHeight="1">
      <c r="A2" s="384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840"/>
      <c r="C2" s="3840"/>
      <c r="D2" s="3840"/>
      <c r="E2" s="3840"/>
    </row>
    <row r="3" spans="1:5" ht="18">
      <c r="A3" s="3841" t="str">
        <f>IF(项目基本情况!B9="房地产市场价值","估价结果一览表（市场价值不需“结果表-1”）","估价结果一览表")</f>
        <v>估价结果一览表</v>
      </c>
      <c r="B3" s="3841"/>
      <c r="C3" s="3841"/>
      <c r="D3" s="3841"/>
      <c r="E3" s="3841"/>
    </row>
    <row r="4" spans="1:5" ht="19.5" thickBot="1">
      <c r="A4" s="1492"/>
      <c r="B4" s="3839" t="s">
        <v>915</v>
      </c>
      <c r="C4" s="3839"/>
      <c r="D4" s="3839"/>
      <c r="E4" s="1492"/>
    </row>
    <row r="5" spans="1:5" ht="16.5" thickTop="1">
      <c r="A5" s="1490"/>
      <c r="B5" s="3837" t="s">
        <v>907</v>
      </c>
      <c r="C5" s="1493" t="s">
        <v>908</v>
      </c>
      <c r="D5" s="849">
        <f ca="1">结果表!H101</f>
        <v>14913</v>
      </c>
      <c r="E5" s="1490"/>
    </row>
    <row r="6" spans="1:5" ht="15.75">
      <c r="A6" s="1490"/>
      <c r="B6" s="3837"/>
      <c r="C6" s="1493" t="s">
        <v>909</v>
      </c>
      <c r="D6" s="849" t="str">
        <f ca="1">NUMBERSTRING(INT(D5*10000),2)&amp;"元整"</f>
        <v>壹亿肆仟玖佰壹拾叁万元整</v>
      </c>
      <c r="E6" s="1490"/>
    </row>
    <row r="7" spans="1:5" ht="15.75">
      <c r="A7" s="1490"/>
      <c r="B7" s="3842"/>
      <c r="C7" s="1494" t="s">
        <v>910</v>
      </c>
      <c r="D7" s="850">
        <f ca="1">结果表!H102</f>
        <v>39743</v>
      </c>
      <c r="E7" s="1490"/>
    </row>
    <row r="8" spans="1:5" ht="15.75">
      <c r="A8" s="1490"/>
      <c r="B8" s="3843" t="str">
        <f>结果表!E103</f>
        <v>2.估价师知悉的法定优先受偿款</v>
      </c>
      <c r="C8" s="1495" t="s">
        <v>911</v>
      </c>
      <c r="D8" s="850">
        <f>结果表!H103</f>
        <v>0</v>
      </c>
      <c r="E8" s="1490"/>
    </row>
    <row r="9" spans="1:5" ht="15.75">
      <c r="A9" s="1490"/>
      <c r="B9" s="3845"/>
      <c r="C9" s="1493" t="s">
        <v>909</v>
      </c>
      <c r="D9" s="849" t="str">
        <f>NUMBERSTRING(INT(D8*10000),2)&amp;"元整"</f>
        <v>零元整</v>
      </c>
      <c r="E9" s="1490"/>
    </row>
    <row r="10" spans="1:5" ht="15">
      <c r="A10" s="1490"/>
      <c r="B10" s="1496" t="s">
        <v>914</v>
      </c>
      <c r="C10" s="1497" t="s">
        <v>912</v>
      </c>
      <c r="D10" s="851">
        <f>结果表!H104</f>
        <v>0</v>
      </c>
      <c r="E10" s="1490"/>
    </row>
    <row r="11" spans="1:5" ht="15">
      <c r="A11" s="1490"/>
      <c r="B11" s="1496" t="s">
        <v>916</v>
      </c>
      <c r="C11" s="1497" t="s">
        <v>917</v>
      </c>
      <c r="D11" s="851">
        <f>结果表!H105</f>
        <v>0</v>
      </c>
      <c r="E11" s="1490"/>
    </row>
    <row r="12" spans="1:5" ht="15">
      <c r="A12" s="1490"/>
      <c r="B12" s="1496" t="s">
        <v>918</v>
      </c>
      <c r="C12" s="1497" t="s">
        <v>917</v>
      </c>
      <c r="D12" s="851">
        <f>结果表!H106</f>
        <v>0</v>
      </c>
      <c r="E12" s="1490"/>
    </row>
    <row r="13" spans="1:5" ht="15.75">
      <c r="A13" s="1490"/>
      <c r="B13" s="3836" t="str">
        <f>结果表!E107</f>
        <v>3.房地产抵押价值</v>
      </c>
      <c r="C13" s="1498" t="s">
        <v>908</v>
      </c>
      <c r="D13" s="852">
        <f ca="1">结果表!H107</f>
        <v>14913</v>
      </c>
      <c r="E13" s="1490"/>
    </row>
    <row r="14" spans="1:5" ht="15.75">
      <c r="A14" s="1490"/>
      <c r="B14" s="3837"/>
      <c r="C14" s="1493" t="s">
        <v>909</v>
      </c>
      <c r="D14" s="849" t="str">
        <f ca="1">NUMBERSTRING(INT(D13*10000),2)&amp;"元整"</f>
        <v>壹亿肆仟玖佰壹拾叁万元整</v>
      </c>
      <c r="E14" s="1490"/>
    </row>
    <row r="15" spans="1:5" ht="15">
      <c r="A15" s="1490"/>
      <c r="B15" s="3842"/>
      <c r="C15" s="1494" t="s">
        <v>919</v>
      </c>
      <c r="D15" s="858">
        <f ca="1">结果表!H108</f>
        <v>39743</v>
      </c>
      <c r="E15" s="1490"/>
    </row>
    <row r="16" spans="1:5" ht="15">
      <c r="A16" s="1490"/>
      <c r="B16" s="3843" t="str">
        <f>结果表!E109</f>
        <v>——</v>
      </c>
      <c r="C16" s="1498" t="s">
        <v>920</v>
      </c>
      <c r="D16" s="1499" t="str">
        <f>结果表!H109</f>
        <v>——</v>
      </c>
      <c r="E16" s="1490"/>
    </row>
    <row r="17" spans="1:5" ht="15.75">
      <c r="A17" s="1490"/>
      <c r="B17" s="3844"/>
      <c r="C17" s="1493" t="s">
        <v>921</v>
      </c>
      <c r="D17" s="849" t="e">
        <f>NUMBERSTRING(INT(D16*10000),2)&amp;"元整"</f>
        <v>#VALUE!</v>
      </c>
      <c r="E17" s="1490"/>
    </row>
    <row r="18" spans="1:5" ht="15">
      <c r="A18" s="1490"/>
      <c r="B18" s="3845"/>
      <c r="C18" s="1494" t="s">
        <v>910</v>
      </c>
      <c r="D18" s="858" t="str">
        <f>结果表!H110</f>
        <v>——</v>
      </c>
      <c r="E18" s="1490"/>
    </row>
    <row r="19" spans="1:5" ht="15.75">
      <c r="A19" s="1490"/>
      <c r="B19" s="3836" t="str">
        <f>结果表!E111</f>
        <v>——</v>
      </c>
      <c r="C19" s="1498" t="s">
        <v>908</v>
      </c>
      <c r="D19" s="850" t="str">
        <f>结果表!H111</f>
        <v>——</v>
      </c>
      <c r="E19" s="1490"/>
    </row>
    <row r="20" spans="1:5" ht="15.75">
      <c r="A20" s="1490"/>
      <c r="B20" s="3837"/>
      <c r="C20" s="1493" t="s">
        <v>921</v>
      </c>
      <c r="D20" s="849" t="e">
        <f>NUMBERSTRING(INT(D19*10000),2)&amp;"元整"</f>
        <v>#VALUE!</v>
      </c>
      <c r="E20" s="1490"/>
    </row>
    <row r="21" spans="1:5" ht="15.75" thickBot="1">
      <c r="A21" s="1490"/>
      <c r="B21" s="3838"/>
      <c r="C21" s="1500" t="s">
        <v>919</v>
      </c>
      <c r="D21" s="859" t="str">
        <f>结果表!H112</f>
        <v>——</v>
      </c>
      <c r="E21" s="1490"/>
    </row>
    <row r="22" spans="1:5" ht="15" thickTop="1">
      <c r="A22" s="1490"/>
      <c r="B22" s="1501" t="s">
        <v>922</v>
      </c>
      <c r="C22" s="1490"/>
      <c r="D22" s="1490"/>
      <c r="E22" s="1490"/>
    </row>
    <row r="23" spans="1:5">
      <c r="A23" s="1490"/>
      <c r="B23" s="1490"/>
      <c r="C23" s="1490"/>
      <c r="D23" s="1490"/>
      <c r="E23" s="1490"/>
    </row>
    <row r="24" spans="1:5" ht="18.75">
      <c r="A24" s="1502"/>
      <c r="B24" s="1503" t="s">
        <v>913</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846" t="str">
        <f>IF(项目基本情况!B9="房地产市场价值","估价结果一览表","结果表-2")</f>
        <v>结果表-2</v>
      </c>
      <c r="B1" s="3846"/>
      <c r="C1" s="3846"/>
      <c r="D1" s="3846"/>
      <c r="E1" s="3846"/>
      <c r="F1" s="3846"/>
      <c r="G1" s="3846"/>
      <c r="H1" s="3846"/>
      <c r="I1" s="3846"/>
    </row>
    <row r="2" spans="1:9" ht="30" customHeight="1" thickTop="1">
      <c r="A2" s="3847" t="s">
        <v>926</v>
      </c>
      <c r="B2" s="3847" t="s">
        <v>927</v>
      </c>
      <c r="C2" s="3847" t="s">
        <v>928</v>
      </c>
      <c r="D2" s="3847" t="str">
        <f>结果表!D116</f>
        <v>出让国有建设用地使用权价值</v>
      </c>
      <c r="E2" s="3847"/>
      <c r="F2" s="3847" t="str">
        <f>结果表!F116</f>
        <v>在建建筑物价值</v>
      </c>
      <c r="G2" s="3847"/>
      <c r="H2" s="3847" t="str">
        <f>IF(项目基本情况!B9="房地产市场价值","房地产市场价值","房地产价值")</f>
        <v>房地产价值</v>
      </c>
      <c r="I2" s="3847"/>
    </row>
    <row r="3" spans="1:9" ht="15">
      <c r="A3" s="3848"/>
      <c r="B3" s="3848"/>
      <c r="C3" s="3848"/>
      <c r="D3" s="853" t="s">
        <v>923</v>
      </c>
      <c r="E3" s="853" t="s">
        <v>929</v>
      </c>
      <c r="F3" s="853" t="s">
        <v>923</v>
      </c>
      <c r="G3" s="853" t="s">
        <v>924</v>
      </c>
      <c r="H3" s="853" t="s">
        <v>923</v>
      </c>
      <c r="I3" s="853" t="s">
        <v>924</v>
      </c>
    </row>
    <row r="4" spans="1:9" ht="45">
      <c r="A4" s="1504" t="str">
        <f>项目基本情况!S2</f>
        <v>北京市海淀区中关村大街1号部分综合用房及全部车库用房房地产</v>
      </c>
      <c r="B4" s="853">
        <f>项目基本情况!C17</f>
        <v>34111.17</v>
      </c>
      <c r="C4" s="853">
        <f>项目基本情况!C18</f>
        <v>3697.41</v>
      </c>
      <c r="D4" s="853">
        <f ca="1">结果表!D118</f>
        <v>11587</v>
      </c>
      <c r="E4" s="853">
        <f ca="1">结果表!E118</f>
        <v>30880</v>
      </c>
      <c r="F4" s="853">
        <f ca="1">结果表!F118</f>
        <v>3326</v>
      </c>
      <c r="G4" s="853">
        <f ca="1">结果表!G118</f>
        <v>8863</v>
      </c>
      <c r="H4" s="853">
        <f ca="1">结果表!H118</f>
        <v>14913</v>
      </c>
      <c r="I4" s="853">
        <f ca="1">结果表!I118</f>
        <v>39743</v>
      </c>
    </row>
    <row r="5" spans="1:9" ht="30" customHeight="1">
      <c r="A5" s="3848" t="s">
        <v>925</v>
      </c>
      <c r="B5" s="3848"/>
      <c r="C5" s="3848"/>
      <c r="D5" s="3848" t="str">
        <f ca="1">结果表!D119</f>
        <v>壹亿壹仟伍佰捌拾柒万元整</v>
      </c>
      <c r="E5" s="3848"/>
      <c r="F5" s="3848" t="str">
        <f ca="1">结果表!F119</f>
        <v>叁仟叁佰贰拾陆万元整</v>
      </c>
      <c r="G5" s="3848"/>
      <c r="H5" s="3848" t="str">
        <f ca="1">结果表!H119</f>
        <v>壹亿肆仟玖佰壹拾叁万元整</v>
      </c>
      <c r="I5" s="3848"/>
    </row>
    <row r="6" spans="1:9" ht="15.75">
      <c r="A6" s="3849" t="str">
        <f>结果表!A120</f>
        <v>估价师知悉的法定优先受偿款</v>
      </c>
      <c r="B6" s="3849"/>
      <c r="C6" s="3849"/>
      <c r="D6" s="3849">
        <f>结果表!D120</f>
        <v>0</v>
      </c>
      <c r="E6" s="3849"/>
      <c r="F6" s="3849"/>
      <c r="G6" s="3849"/>
      <c r="H6" s="3849"/>
      <c r="I6" s="3849"/>
    </row>
    <row r="7" spans="1:9" ht="15">
      <c r="A7" s="3848" t="s">
        <v>925</v>
      </c>
      <c r="B7" s="3848"/>
      <c r="C7" s="3848"/>
      <c r="D7" s="3850" t="str">
        <f>结果表!D121</f>
        <v>零元整</v>
      </c>
      <c r="E7" s="3851"/>
      <c r="F7" s="3851"/>
      <c r="G7" s="3851"/>
      <c r="H7" s="3851"/>
      <c r="I7" s="3852"/>
    </row>
    <row r="8" spans="1:9" ht="15.75">
      <c r="A8" s="3849" t="str">
        <f>结果表!A122</f>
        <v>房地产抵押价值</v>
      </c>
      <c r="B8" s="3849"/>
      <c r="C8" s="3849"/>
      <c r="D8" s="3849">
        <f ca="1">结果表!D122</f>
        <v>14913</v>
      </c>
      <c r="E8" s="3849"/>
      <c r="F8" s="3849"/>
      <c r="G8" s="3849"/>
      <c r="H8" s="3849"/>
      <c r="I8" s="3849"/>
    </row>
    <row r="9" spans="1:9" ht="15">
      <c r="A9" s="3848" t="s">
        <v>925</v>
      </c>
      <c r="B9" s="3848"/>
      <c r="C9" s="3848"/>
      <c r="D9" s="3848" t="str">
        <f ca="1">结果表!D123</f>
        <v>壹亿肆仟玖佰壹拾叁万元整</v>
      </c>
      <c r="E9" s="3848"/>
      <c r="F9" s="3848"/>
      <c r="G9" s="3848"/>
      <c r="H9" s="3848"/>
      <c r="I9" s="3848"/>
    </row>
    <row r="10" spans="1:9" ht="15.75">
      <c r="A10" s="3849" t="str">
        <f>结果表!A124</f>
        <v/>
      </c>
      <c r="B10" s="3849"/>
      <c r="C10" s="3849"/>
      <c r="D10" s="3849" t="str">
        <f>结果表!D124</f>
        <v>——</v>
      </c>
      <c r="E10" s="3849"/>
      <c r="F10" s="3849"/>
      <c r="G10" s="3849"/>
      <c r="H10" s="3849"/>
      <c r="I10" s="3849"/>
    </row>
    <row r="11" spans="1:9" ht="15">
      <c r="A11" s="3848" t="s">
        <v>925</v>
      </c>
      <c r="B11" s="3848"/>
      <c r="C11" s="3848"/>
      <c r="D11" s="3848" t="e">
        <f>结果表!D125</f>
        <v>#VALUE!</v>
      </c>
      <c r="E11" s="3848"/>
      <c r="F11" s="3848"/>
      <c r="G11" s="3848"/>
      <c r="H11" s="3848"/>
      <c r="I11" s="3848"/>
    </row>
    <row r="12" spans="1:9" ht="15.75">
      <c r="A12" s="3849" t="str">
        <f>结果表!A126</f>
        <v/>
      </c>
      <c r="B12" s="3849"/>
      <c r="C12" s="3849"/>
      <c r="D12" s="3849" t="str">
        <f>结果表!D126</f>
        <v>——</v>
      </c>
      <c r="E12" s="3849"/>
      <c r="F12" s="3849"/>
      <c r="G12" s="3849"/>
      <c r="H12" s="3849"/>
      <c r="I12" s="3849"/>
    </row>
    <row r="13" spans="1:9" ht="15.75" thickBot="1">
      <c r="A13" s="3853" t="s">
        <v>925</v>
      </c>
      <c r="B13" s="3853"/>
      <c r="C13" s="3853"/>
      <c r="D13" s="3853" t="e">
        <f>结果表!D127</f>
        <v>#VALUE!</v>
      </c>
      <c r="E13" s="3853"/>
      <c r="F13" s="3853"/>
      <c r="G13" s="3853"/>
      <c r="H13" s="3853"/>
      <c r="I13" s="3853"/>
    </row>
    <row r="14" spans="1:9" ht="15" thickTop="1">
      <c r="A14" s="3854" t="s">
        <v>930</v>
      </c>
      <c r="B14" s="3854"/>
      <c r="C14" s="3854"/>
      <c r="D14" s="3854"/>
      <c r="E14" s="3854"/>
      <c r="F14" s="3854"/>
      <c r="G14" s="3854"/>
      <c r="H14" s="3854"/>
      <c r="I14" s="3854"/>
    </row>
    <row r="16" spans="1:9" ht="18.75">
      <c r="A16" s="1505" t="s">
        <v>913</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855" t="s">
        <v>947</v>
      </c>
      <c r="B1" s="3855"/>
      <c r="C1" s="3855"/>
      <c r="D1" s="3855"/>
    </row>
    <row r="2" spans="1:4" ht="18">
      <c r="A2" s="3856" t="s">
        <v>931</v>
      </c>
      <c r="B2" s="3856"/>
      <c r="C2" s="3856"/>
      <c r="D2" s="3856"/>
    </row>
    <row r="3" spans="1:4" ht="18.75">
      <c r="A3" s="1508" t="s">
        <v>932</v>
      </c>
      <c r="B3" s="1508" t="s">
        <v>933</v>
      </c>
      <c r="C3" s="1508" t="s">
        <v>934</v>
      </c>
      <c r="D3" s="1508" t="s">
        <v>935</v>
      </c>
    </row>
    <row r="4" spans="1:4" ht="56.25" customHeight="1">
      <c r="A4" s="1509">
        <f>项目基本情况!B4</f>
        <v>0</v>
      </c>
      <c r="B4" s="1510">
        <f>项目基本情况!C4</f>
        <v>0</v>
      </c>
      <c r="C4" s="1511"/>
      <c r="D4" s="1512" t="s">
        <v>936</v>
      </c>
    </row>
    <row r="5" spans="1:4" ht="56.25" customHeight="1">
      <c r="A5" s="1509">
        <f>项目基本情况!D4</f>
        <v>0</v>
      </c>
      <c r="B5" s="1510">
        <f>项目基本情况!E4</f>
        <v>0</v>
      </c>
      <c r="C5" s="1513"/>
      <c r="D5" s="1512" t="s">
        <v>936</v>
      </c>
    </row>
    <row r="6" spans="1:4" ht="18">
      <c r="A6" s="3856" t="s">
        <v>937</v>
      </c>
      <c r="B6" s="3856"/>
      <c r="C6" s="3856"/>
      <c r="D6" s="3856"/>
    </row>
    <row r="7" spans="1:4" ht="18.75">
      <c r="A7" s="1508" t="s">
        <v>932</v>
      </c>
      <c r="B7" s="1510" t="s">
        <v>938</v>
      </c>
      <c r="C7" s="1508" t="s">
        <v>934</v>
      </c>
      <c r="D7" s="1508" t="s">
        <v>935</v>
      </c>
    </row>
    <row r="8" spans="1:4" ht="56.25" customHeight="1">
      <c r="A8" s="1514" t="s">
        <v>390</v>
      </c>
      <c r="B8" s="1514" t="s">
        <v>0</v>
      </c>
      <c r="C8" s="1511"/>
      <c r="D8" s="1512" t="s">
        <v>936</v>
      </c>
    </row>
    <row r="9" spans="1:4">
      <c r="A9" s="674"/>
      <c r="B9" s="674"/>
      <c r="C9" s="674"/>
      <c r="D9" s="674"/>
    </row>
    <row r="10" spans="1:4" ht="18.75">
      <c r="A10" s="1515" t="s">
        <v>939</v>
      </c>
      <c r="B10" s="674"/>
      <c r="C10" s="674"/>
      <c r="D10" s="674"/>
    </row>
    <row r="11" spans="1:4" ht="30" customHeight="1">
      <c r="A11" s="3857" t="s">
        <v>940</v>
      </c>
      <c r="B11" s="3858"/>
      <c r="C11" s="3858"/>
      <c r="D11" s="3858"/>
    </row>
    <row r="12" spans="1:4" ht="15.75">
      <c r="A12" s="385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859"/>
      <c r="C12" s="3859"/>
      <c r="D12" s="3859"/>
    </row>
    <row r="13" spans="1:4" ht="30" customHeight="1">
      <c r="A13" s="385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859"/>
      <c r="C13" s="3859"/>
      <c r="D13" s="3859"/>
    </row>
    <row r="14" spans="1:4" ht="15.75" customHeight="1">
      <c r="A14" s="3858" t="str">
        <f>IF(项目基本情况!B8="抵押","4.本次评估估价师所知悉的法定优先受偿款情况说明如下：","——")</f>
        <v>4.本次评估估价师所知悉的法定优先受偿款情况说明如下：</v>
      </c>
      <c r="B14" s="3859"/>
      <c r="C14" s="3859"/>
      <c r="D14" s="3859"/>
    </row>
    <row r="15" spans="1:4" ht="42" customHeight="1">
      <c r="A15" s="385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858"/>
      <c r="C15" s="3858"/>
      <c r="D15" s="3858"/>
    </row>
    <row r="16" spans="1:4" ht="30" customHeight="1">
      <c r="A16" s="3861" t="s">
        <v>941</v>
      </c>
      <c r="B16" s="3861"/>
      <c r="C16" s="3861"/>
      <c r="D16" s="3861"/>
    </row>
    <row r="17" spans="1:4" ht="144" customHeight="1">
      <c r="A17" s="3861" t="s">
        <v>942</v>
      </c>
      <c r="B17" s="3861"/>
      <c r="C17" s="3861"/>
      <c r="D17" s="3861"/>
    </row>
    <row r="18" spans="1:4" ht="15.75" customHeight="1">
      <c r="A18" s="3858" t="str">
        <f>IF(项目基本情况!B8="抵押",结果表!K120,"——")</f>
        <v>故，本次评估不存在估价师知悉的法定优先受偿款</v>
      </c>
      <c r="B18" s="3858"/>
      <c r="C18" s="3858"/>
      <c r="D18" s="3858"/>
    </row>
    <row r="19" spans="1:4" ht="46.5" customHeight="1">
      <c r="A19" s="385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858"/>
      <c r="C19" s="3858"/>
      <c r="D19" s="3858"/>
    </row>
    <row r="20" spans="1:4" ht="57.75" customHeight="1">
      <c r="A20" s="385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858"/>
      <c r="C20" s="3858"/>
      <c r="D20" s="3858"/>
    </row>
    <row r="21" spans="1:4" ht="57.75" customHeight="1">
      <c r="A21" s="386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862"/>
      <c r="C21" s="3862"/>
      <c r="D21" s="3862"/>
    </row>
    <row r="22" spans="1:4" ht="18.75" customHeight="1">
      <c r="A22" s="3863" t="s">
        <v>943</v>
      </c>
      <c r="B22" s="3863"/>
      <c r="C22" s="3863"/>
      <c r="D22" s="3863"/>
    </row>
    <row r="23" spans="1:4">
      <c r="A23" s="1516"/>
      <c r="B23" s="1488"/>
      <c r="C23" s="1488"/>
      <c r="D23" s="1488"/>
    </row>
    <row r="24" spans="1:4">
      <c r="A24" s="1516"/>
      <c r="B24" s="1488"/>
      <c r="C24" s="1488"/>
      <c r="D24" s="1488"/>
    </row>
    <row r="25" spans="1:4" ht="18.75">
      <c r="A25" s="1517" t="s">
        <v>944</v>
      </c>
    </row>
    <row r="26" spans="1:4" ht="18">
      <c r="A26" s="1486"/>
    </row>
    <row r="27" spans="1:4" ht="18.75">
      <c r="A27" s="1486" t="s">
        <v>945</v>
      </c>
    </row>
    <row r="30" spans="1:4" ht="18.75">
      <c r="D30" s="1517" t="s">
        <v>946</v>
      </c>
    </row>
    <row r="31" spans="1:4" ht="13.5" customHeight="1">
      <c r="C31" s="3860">
        <v>42551</v>
      </c>
      <c r="D31" s="386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948</v>
      </c>
    </row>
    <row r="3" spans="1:7">
      <c r="A3" s="1522" t="s">
        <v>55</v>
      </c>
      <c r="B3" s="1506" t="s">
        <v>949</v>
      </c>
      <c r="G3" s="1523"/>
    </row>
    <row r="4" spans="1:7">
      <c r="G4" s="1523"/>
    </row>
    <row r="5" spans="1:7">
      <c r="A5" s="1525" t="s">
        <v>46</v>
      </c>
      <c r="B5" s="1506" t="s">
        <v>950</v>
      </c>
      <c r="G5" s="1523"/>
    </row>
    <row r="6" spans="1:7">
      <c r="G6" s="1523"/>
    </row>
    <row r="7" spans="1:7">
      <c r="A7" s="1526" t="s">
        <v>108</v>
      </c>
      <c r="B7" s="1506" t="s">
        <v>951</v>
      </c>
      <c r="G7" s="1523"/>
    </row>
    <row r="8" spans="1:7">
      <c r="G8" s="1523"/>
    </row>
    <row r="9" spans="1:7">
      <c r="A9" s="1527" t="s">
        <v>47</v>
      </c>
      <c r="B9" s="1506" t="s">
        <v>952</v>
      </c>
    </row>
    <row r="11" spans="1:7">
      <c r="A11" s="1528" t="s">
        <v>48</v>
      </c>
      <c r="B11" s="1529" t="s">
        <v>45</v>
      </c>
    </row>
    <row r="13" spans="1:7">
      <c r="A13" s="1530" t="s">
        <v>953</v>
      </c>
    </row>
    <row r="15" spans="1:7" ht="13.5">
      <c r="A15" s="3869" t="s">
        <v>954</v>
      </c>
      <c r="B15" s="3864" t="s">
        <v>109</v>
      </c>
      <c r="C15" s="3865"/>
    </row>
    <row r="16" spans="1:7" ht="13.5">
      <c r="A16" s="3870"/>
      <c r="B16" s="3864" t="s">
        <v>42</v>
      </c>
      <c r="C16" s="3865"/>
    </row>
    <row r="17" spans="1:3" ht="13.5">
      <c r="A17" s="3870"/>
      <c r="B17" s="3867" t="s">
        <v>955</v>
      </c>
      <c r="C17" s="1531" t="s">
        <v>954</v>
      </c>
    </row>
    <row r="18" spans="1:3" ht="13.5">
      <c r="A18" s="3870"/>
      <c r="B18" s="3867"/>
      <c r="C18" s="1531" t="s">
        <v>956</v>
      </c>
    </row>
    <row r="19" spans="1:3" ht="13.5">
      <c r="A19" s="3870"/>
      <c r="B19" s="3867"/>
      <c r="C19" s="1531" t="s">
        <v>957</v>
      </c>
    </row>
    <row r="20" spans="1:3" ht="13.5">
      <c r="A20" s="3871"/>
      <c r="B20" s="3866" t="s">
        <v>958</v>
      </c>
      <c r="C20" s="3865"/>
    </row>
    <row r="21" spans="1:3" ht="13.5">
      <c r="A21" s="1532" t="s">
        <v>959</v>
      </c>
      <c r="B21" s="1533"/>
      <c r="C21" s="1534"/>
    </row>
    <row r="22" spans="1:3" ht="13.5">
      <c r="A22" s="3868" t="s">
        <v>960</v>
      </c>
      <c r="B22" s="3866" t="s">
        <v>961</v>
      </c>
      <c r="C22" s="3865"/>
    </row>
    <row r="23" spans="1:3" ht="13.5">
      <c r="A23" s="3868"/>
      <c r="B23" s="3866" t="s">
        <v>962</v>
      </c>
      <c r="C23" s="3865"/>
    </row>
    <row r="24" spans="1:3" ht="13.5">
      <c r="A24" s="3868"/>
      <c r="B24" s="3866" t="s">
        <v>963</v>
      </c>
      <c r="C24" s="3865"/>
    </row>
    <row r="25" spans="1:3" ht="13.5">
      <c r="A25" s="3868"/>
      <c r="B25" s="3867" t="s">
        <v>964</v>
      </c>
      <c r="C25" s="1531" t="s">
        <v>965</v>
      </c>
    </row>
    <row r="26" spans="1:3" ht="13.5">
      <c r="A26" s="3868"/>
      <c r="B26" s="3867"/>
      <c r="C26" s="1531" t="s">
        <v>966</v>
      </c>
    </row>
    <row r="27" spans="1:3" ht="13.5">
      <c r="A27" s="3868"/>
      <c r="B27" s="3867"/>
      <c r="C27" s="1531" t="s">
        <v>967</v>
      </c>
    </row>
    <row r="28" spans="1:3" ht="13.5">
      <c r="A28" s="3868"/>
      <c r="B28" s="3867"/>
      <c r="C28" s="1531" t="s">
        <v>968</v>
      </c>
    </row>
    <row r="29" spans="1:3" ht="13.5">
      <c r="A29" s="3868"/>
      <c r="B29" s="3867"/>
      <c r="C29" s="1531" t="s">
        <v>969</v>
      </c>
    </row>
    <row r="30" spans="1:3" ht="13.5">
      <c r="A30" s="3868"/>
      <c r="B30" s="3867"/>
      <c r="C30" s="1531" t="s">
        <v>970</v>
      </c>
    </row>
    <row r="31" spans="1:3" ht="13.5">
      <c r="A31" s="3868"/>
      <c r="B31" s="3867"/>
      <c r="C31" s="1531" t="s">
        <v>971</v>
      </c>
    </row>
    <row r="32" spans="1:3" ht="13.5">
      <c r="A32" s="3868"/>
      <c r="B32" s="3867"/>
      <c r="C32" s="1531" t="s">
        <v>972</v>
      </c>
    </row>
    <row r="33" spans="1:3" ht="13.5">
      <c r="A33" s="3868"/>
      <c r="B33" s="3867"/>
      <c r="C33" s="1531" t="s">
        <v>973</v>
      </c>
    </row>
    <row r="34" spans="1:3">
      <c r="A34" s="1535" t="s">
        <v>49</v>
      </c>
    </row>
    <row r="37" spans="1:3">
      <c r="A37" s="1535" t="s">
        <v>974</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2136</v>
      </c>
      <c r="B2" s="2338">
        <f ca="1">TODAY()</f>
        <v>45580</v>
      </c>
      <c r="C2" s="2339" t="s">
        <v>2137</v>
      </c>
      <c r="D2" s="2339"/>
      <c r="E2" s="2339"/>
      <c r="F2" s="2335"/>
      <c r="G2" s="2335"/>
      <c r="H2" s="2335"/>
    </row>
    <row r="3" spans="1:8" ht="24" customHeight="1">
      <c r="A3" s="2340" t="s">
        <v>2138</v>
      </c>
      <c r="B3" s="2341" t="s">
        <v>2139</v>
      </c>
      <c r="C3" s="2341" t="s">
        <v>2140</v>
      </c>
      <c r="D3" s="2342" t="s">
        <v>2141</v>
      </c>
      <c r="E3" s="2343" t="s">
        <v>2142</v>
      </c>
      <c r="F3" s="1303" t="s">
        <v>2143</v>
      </c>
      <c r="G3" s="2341" t="s">
        <v>2140</v>
      </c>
      <c r="H3" s="2342" t="s">
        <v>2144</v>
      </c>
    </row>
    <row r="4" spans="1:8" ht="24" customHeight="1">
      <c r="A4" s="1303" t="s">
        <v>2145</v>
      </c>
      <c r="B4" s="1303">
        <f ca="1">IF(C4&lt;B2,"已过期",1119970066)</f>
        <v>1119970066</v>
      </c>
      <c r="C4" s="2344">
        <v>45937</v>
      </c>
      <c r="D4" s="2345" t="str">
        <f ca="1">A4&amp;"（注册号："&amp;B4&amp;"）"</f>
        <v>梁津（注册号：1119970066）</v>
      </c>
      <c r="E4" s="2346" t="s">
        <v>2145</v>
      </c>
      <c r="F4" s="1303">
        <f ca="1">IF(G4&lt;B2,"已过期",96010014)</f>
        <v>96010014</v>
      </c>
      <c r="G4" s="2347">
        <v>47118</v>
      </c>
      <c r="H4" s="2348" t="str">
        <f ca="1">E4&amp;"（注册号："&amp;F4&amp;"）"</f>
        <v>梁津（注册号：96010014）</v>
      </c>
    </row>
    <row r="5" spans="1:8" ht="24" customHeight="1">
      <c r="A5" s="1303" t="s">
        <v>2146</v>
      </c>
      <c r="B5" s="1303">
        <f ca="1">IF(C5&lt;B2,"已过期",1119970111)</f>
        <v>1119970111</v>
      </c>
      <c r="C5" s="2344">
        <v>45937</v>
      </c>
      <c r="D5" s="2345" t="str">
        <f t="shared" ref="D5:D15" ca="1" si="0">A5&amp;"（注册号："&amp;B5&amp;"）"</f>
        <v>叶凌（注册号：1119970111）</v>
      </c>
      <c r="E5" s="2346" t="s">
        <v>2146</v>
      </c>
      <c r="F5" s="1303">
        <f ca="1">IF(G5&lt;B2,"已过期",94010078)</f>
        <v>94010078</v>
      </c>
      <c r="G5" s="2347">
        <v>46387</v>
      </c>
      <c r="H5" s="2348" t="str">
        <f t="shared" ref="H5:H16" ca="1" si="1">E5&amp;"（注册号："&amp;F5&amp;"）"</f>
        <v>叶凌（注册号：94010078）</v>
      </c>
    </row>
    <row r="6" spans="1:8" ht="24" customHeight="1">
      <c r="A6" s="1303" t="s">
        <v>2147</v>
      </c>
      <c r="B6" s="1303" t="str">
        <f ca="1">IF(C6&lt;B2,"已过期",1120050019)</f>
        <v>已过期</v>
      </c>
      <c r="C6" s="2344">
        <v>45410</v>
      </c>
      <c r="D6" s="2345" t="str">
        <f t="shared" ca="1" si="0"/>
        <v>王鹏（注册号：已过期）</v>
      </c>
      <c r="E6" s="2346" t="s">
        <v>2147</v>
      </c>
      <c r="F6" s="1303">
        <f ca="1">IF(G6&lt;B2,"已过期",2002110030)</f>
        <v>2002110030</v>
      </c>
      <c r="G6" s="2347">
        <v>46387</v>
      </c>
      <c r="H6" s="2348" t="str">
        <f t="shared" ca="1" si="1"/>
        <v>王鹏（注册号：2002110030）</v>
      </c>
    </row>
    <row r="7" spans="1:8" ht="24" customHeight="1">
      <c r="A7" s="1303" t="s">
        <v>2148</v>
      </c>
      <c r="B7" s="1303">
        <f ca="1">IF(C7&lt;B2,"已过期",1120000080)</f>
        <v>1120000080</v>
      </c>
      <c r="C7" s="2344">
        <v>45937</v>
      </c>
      <c r="D7" s="2345" t="str">
        <f t="shared" ca="1" si="0"/>
        <v>欧红伟（注册号：1120000080）</v>
      </c>
      <c r="E7" s="2346" t="s">
        <v>2148</v>
      </c>
      <c r="F7" s="1303">
        <f ca="1">IF(G7&lt;B2,"已过期",2000110082)</f>
        <v>2000110082</v>
      </c>
      <c r="G7" s="2347">
        <v>46387</v>
      </c>
      <c r="H7" s="2348" t="str">
        <f t="shared" ca="1" si="1"/>
        <v>欧红伟（注册号：2000110082）</v>
      </c>
    </row>
    <row r="8" spans="1:8" ht="24" customHeight="1">
      <c r="A8" s="1303" t="s">
        <v>2149</v>
      </c>
      <c r="B8" s="1303">
        <f ca="1">IF(C8&lt;B2,"已过期",1419970001)</f>
        <v>1419970001</v>
      </c>
      <c r="C8" s="2344">
        <v>45937</v>
      </c>
      <c r="D8" s="2345" t="str">
        <f t="shared" ca="1" si="0"/>
        <v>吴薇（注册号：1419970001）</v>
      </c>
      <c r="E8" s="2346" t="s">
        <v>2149</v>
      </c>
      <c r="F8" s="1303">
        <f ca="1">IF(G8&lt;B2,"已过期",2002110125)</f>
        <v>2002110125</v>
      </c>
      <c r="G8" s="2347">
        <v>47118</v>
      </c>
      <c r="H8" s="2348" t="str">
        <f t="shared" ca="1" si="1"/>
        <v>吴薇（注册号：2002110125）</v>
      </c>
    </row>
    <row r="9" spans="1:8" ht="24" customHeight="1">
      <c r="A9" s="1303" t="s">
        <v>2150</v>
      </c>
      <c r="B9" s="1303">
        <f ca="1">IF(C9&lt;B2,"已过期",1120060040)</f>
        <v>1120060040</v>
      </c>
      <c r="C9" s="2349">
        <v>45592</v>
      </c>
      <c r="D9" s="2345" t="str">
        <f t="shared" ca="1" si="0"/>
        <v>陈颖（注册号：1120060040）</v>
      </c>
      <c r="E9" s="2346" t="s">
        <v>2150</v>
      </c>
      <c r="F9" s="1303">
        <f ca="1">IF(G9&lt;B2,"已过期",2004110096)</f>
        <v>2004110096</v>
      </c>
      <c r="G9" s="2347">
        <v>47118</v>
      </c>
      <c r="H9" s="2348" t="str">
        <f t="shared" ca="1" si="1"/>
        <v>陈颖（注册号：2004110096）</v>
      </c>
    </row>
    <row r="10" spans="1:8" ht="24" customHeight="1">
      <c r="A10" s="1303" t="s">
        <v>2151</v>
      </c>
      <c r="B10" s="1303">
        <f ca="1">IF(C10&lt;B2,"已过期",1120100036)</f>
        <v>1120100036</v>
      </c>
      <c r="C10" s="2349">
        <v>45752</v>
      </c>
      <c r="D10" s="2345" t="str">
        <f t="shared" ca="1" si="0"/>
        <v>崔锴（注册号：1120100036）</v>
      </c>
      <c r="E10" s="2346" t="s">
        <v>2151</v>
      </c>
      <c r="F10" s="1303">
        <f ca="1">IF(G10&lt;B2,"已过期",2010110070)</f>
        <v>2010110070</v>
      </c>
      <c r="G10" s="2347">
        <v>47907</v>
      </c>
      <c r="H10" s="2348" t="str">
        <f t="shared" ca="1" si="1"/>
        <v>崔锴（注册号：2010110070）</v>
      </c>
    </row>
    <row r="11" spans="1:8" ht="24" customHeight="1">
      <c r="A11" s="1303" t="s">
        <v>2152</v>
      </c>
      <c r="B11" s="1303">
        <f ca="1">IF(C11&lt;B2,"已过期",1120070131)</f>
        <v>1120070131</v>
      </c>
      <c r="C11" s="2344">
        <v>45937</v>
      </c>
      <c r="D11" s="2345" t="str">
        <f t="shared" ca="1" si="0"/>
        <v>郑燚（注册号：1120070131）</v>
      </c>
      <c r="E11" s="2346" t="s">
        <v>2152</v>
      </c>
      <c r="F11" s="1303">
        <f ca="1">IF(G11&lt;B2,"已过期",2014110011)</f>
        <v>2014110011</v>
      </c>
      <c r="G11" s="2347">
        <v>49302</v>
      </c>
      <c r="H11" s="2348" t="str">
        <f t="shared" ca="1" si="1"/>
        <v>郑燚（注册号：2014110011）</v>
      </c>
    </row>
    <row r="12" spans="1:8" ht="24" customHeight="1">
      <c r="A12" s="1303" t="s">
        <v>2153</v>
      </c>
      <c r="B12" s="1303">
        <f ca="1">IF(C12&lt;B2,"已过期",1120040230)</f>
        <v>1120040230</v>
      </c>
      <c r="C12" s="2349">
        <v>45937</v>
      </c>
      <c r="D12" s="2345" t="str">
        <f t="shared" ca="1" si="0"/>
        <v>苏海（注册号：1120040230）</v>
      </c>
      <c r="E12" s="2346" t="s">
        <v>2153</v>
      </c>
      <c r="F12" s="1303">
        <f ca="1">IF(G12&lt;B2,"已过期",98030020)</f>
        <v>98030020</v>
      </c>
      <c r="G12" s="2347">
        <v>47118</v>
      </c>
      <c r="H12" s="2348" t="str">
        <f t="shared" ca="1" si="1"/>
        <v>苏海（注册号：98030020）</v>
      </c>
    </row>
    <row r="13" spans="1:8" ht="24" customHeight="1">
      <c r="A13" s="1303" t="s">
        <v>2154</v>
      </c>
      <c r="B13" s="1303" t="str">
        <f ca="1">IF(C13&lt;B2,"已过期",1120020033)</f>
        <v>已过期</v>
      </c>
      <c r="C13" s="2344">
        <v>45375</v>
      </c>
      <c r="D13" s="2345" t="str">
        <f t="shared" ca="1" si="0"/>
        <v>刘敬东（注册号：已过期）</v>
      </c>
      <c r="E13" s="2346" t="s">
        <v>2154</v>
      </c>
      <c r="F13" s="1303">
        <f ca="1">IF(G13&lt;B2,"已过期",2000110137)</f>
        <v>2000110137</v>
      </c>
      <c r="G13" s="2347">
        <v>46387</v>
      </c>
      <c r="H13" s="2348" t="str">
        <f t="shared" ca="1" si="1"/>
        <v>刘敬东（注册号：2000110137）</v>
      </c>
    </row>
    <row r="14" spans="1:8" ht="24" customHeight="1">
      <c r="A14" s="1303" t="s">
        <v>2155</v>
      </c>
      <c r="B14" s="1303" t="str">
        <f ca="1">IF(C14&lt;B2,"已过期",1119980106)</f>
        <v>已过期</v>
      </c>
      <c r="C14" s="2349">
        <v>44969</v>
      </c>
      <c r="D14" s="2345" t="str">
        <f t="shared" ca="1" si="0"/>
        <v>刘俊财（注册号：已过期）</v>
      </c>
      <c r="E14" s="2346" t="s">
        <v>2155</v>
      </c>
      <c r="F14" s="1303">
        <f ca="1">IF(G14&lt;B2,"已过期",96010063)</f>
        <v>96010063</v>
      </c>
      <c r="G14" s="2347">
        <v>47483</v>
      </c>
      <c r="H14" s="2348" t="str">
        <f t="shared" ca="1" si="1"/>
        <v>刘俊财（注册号：96010063）</v>
      </c>
    </row>
    <row r="15" spans="1:8" ht="24" customHeight="1">
      <c r="A15" s="1303" t="s">
        <v>2436</v>
      </c>
      <c r="B15" s="1303">
        <v>1120210056</v>
      </c>
      <c r="C15" s="2349">
        <v>45410</v>
      </c>
      <c r="D15" s="2345" t="str">
        <f t="shared" si="0"/>
        <v>宁小鳗（注册号：1120210056）</v>
      </c>
      <c r="E15" s="2346" t="s">
        <v>2156</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872" t="s">
        <v>2157</v>
      </c>
      <c r="B17" s="3872"/>
      <c r="C17" s="3872"/>
      <c r="D17" s="3872"/>
      <c r="E17" s="3872"/>
      <c r="F17" s="3872"/>
      <c r="G17" s="3872"/>
      <c r="H17" s="3872"/>
    </row>
    <row r="18" spans="1:8" ht="24" customHeight="1">
      <c r="A18" s="3873" t="s">
        <v>2158</v>
      </c>
      <c r="B18" s="3873"/>
      <c r="C18" s="3873"/>
      <c r="D18" s="2342"/>
      <c r="E18" s="3874" t="s">
        <v>2159</v>
      </c>
      <c r="F18" s="3873"/>
      <c r="G18" s="3873"/>
    </row>
    <row r="19" spans="1:8" s="2353" customFormat="1" ht="24" customHeight="1">
      <c r="A19" s="2352" t="s">
        <v>2160</v>
      </c>
      <c r="B19" s="2341" t="s">
        <v>2161</v>
      </c>
      <c r="C19" s="2341" t="s">
        <v>2140</v>
      </c>
      <c r="D19" s="2342"/>
      <c r="E19" s="2346" t="s">
        <v>2160</v>
      </c>
      <c r="F19" s="2341" t="s">
        <v>2161</v>
      </c>
      <c r="G19" s="2341" t="s">
        <v>2140</v>
      </c>
    </row>
    <row r="20" spans="1:8" s="2353" customFormat="1" ht="24" customHeight="1">
      <c r="A20" s="2354" t="s">
        <v>2162</v>
      </c>
      <c r="B20" s="2354" t="s">
        <v>2163</v>
      </c>
      <c r="C20" s="2347">
        <v>45898</v>
      </c>
      <c r="D20" s="2355"/>
      <c r="E20" s="2356" t="s">
        <v>2164</v>
      </c>
      <c r="F20" s="2359" t="s">
        <v>2437</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66" priority="53">
      <formula>AND($C4-TODAY()&lt;30,TODAY()&lt;$C4)</formula>
    </cfRule>
  </conditionalFormatting>
  <conditionalFormatting sqref="C20:D20">
    <cfRule type="expression" dxfId="265" priority="52">
      <formula>AND($C20-TODAY()&lt;30,TODAY()&lt;$C20)</formula>
    </cfRule>
  </conditionalFormatting>
  <conditionalFormatting sqref="C20:D20 G4 C4:D5 C13:D13">
    <cfRule type="cellIs" dxfId="264" priority="54" stopIfTrue="1" operator="lessThan">
      <formula>$B$2</formula>
    </cfRule>
  </conditionalFormatting>
  <conditionalFormatting sqref="G5 G7 G9">
    <cfRule type="cellIs" dxfId="263" priority="51" stopIfTrue="1" operator="lessThan">
      <formula>$B$2</formula>
    </cfRule>
  </conditionalFormatting>
  <conditionalFormatting sqref="C6:D6 D14 D16">
    <cfRule type="expression" dxfId="262" priority="49">
      <formula>AND($C6-TODAY()&lt;30,TODAY()&lt;$C6)</formula>
    </cfRule>
  </conditionalFormatting>
  <conditionalFormatting sqref="G6 G8 G10 C6:D6 D7:D12 D14 D16">
    <cfRule type="cellIs" dxfId="261" priority="50" stopIfTrue="1" operator="lessThan">
      <formula>$B$2</formula>
    </cfRule>
  </conditionalFormatting>
  <conditionalFormatting sqref="D12">
    <cfRule type="expression" dxfId="260" priority="47">
      <formula>AND($C12-TODAY()&lt;30,TODAY()&lt;$C12)</formula>
    </cfRule>
  </conditionalFormatting>
  <conditionalFormatting sqref="D12">
    <cfRule type="cellIs" dxfId="259" priority="48" stopIfTrue="1" operator="lessThan">
      <formula>$B$2</formula>
    </cfRule>
  </conditionalFormatting>
  <conditionalFormatting sqref="C13:D13">
    <cfRule type="expression" dxfId="258" priority="45">
      <formula>AND($C13-TODAY()&lt;30,TODAY()&lt;$C13)</formula>
    </cfRule>
  </conditionalFormatting>
  <conditionalFormatting sqref="C13:D13">
    <cfRule type="cellIs" dxfId="257" priority="46" stopIfTrue="1" operator="lessThan">
      <formula>$B$2</formula>
    </cfRule>
  </conditionalFormatting>
  <conditionalFormatting sqref="D14">
    <cfRule type="expression" dxfId="256" priority="43">
      <formula>AND($C14-TODAY()&lt;30,TODAY()&lt;$C14)</formula>
    </cfRule>
  </conditionalFormatting>
  <conditionalFormatting sqref="D14">
    <cfRule type="cellIs" dxfId="255" priority="44" stopIfTrue="1" operator="lessThan">
      <formula>$B$2</formula>
    </cfRule>
  </conditionalFormatting>
  <conditionalFormatting sqref="G13">
    <cfRule type="cellIs" dxfId="254" priority="42" stopIfTrue="1" operator="lessThan">
      <formula>$B$2</formula>
    </cfRule>
  </conditionalFormatting>
  <conditionalFormatting sqref="B4:B11 F4:F11 B13 F13:F14">
    <cfRule type="cellIs" dxfId="253" priority="41" stopIfTrue="1" operator="equal">
      <formula>"已过期"</formula>
    </cfRule>
  </conditionalFormatting>
  <conditionalFormatting sqref="C7">
    <cfRule type="cellIs" dxfId="252" priority="38" stopIfTrue="1" operator="lessThan">
      <formula>$B$2</formula>
    </cfRule>
  </conditionalFormatting>
  <conditionalFormatting sqref="C7">
    <cfRule type="expression" dxfId="251" priority="37">
      <formula>AND($C7-TODAY()&lt;30,TODAY()&lt;$C7)</formula>
    </cfRule>
  </conditionalFormatting>
  <conditionalFormatting sqref="C8">
    <cfRule type="expression" dxfId="250" priority="35">
      <formula>AND($C8-TODAY()&lt;30,TODAY()&lt;$C8)</formula>
    </cfRule>
  </conditionalFormatting>
  <conditionalFormatting sqref="C8">
    <cfRule type="cellIs" dxfId="249" priority="36" stopIfTrue="1" operator="lessThan">
      <formula>$B$2</formula>
    </cfRule>
  </conditionalFormatting>
  <conditionalFormatting sqref="C11">
    <cfRule type="expression" dxfId="248" priority="33">
      <formula>AND($C11-TODAY()&lt;30,TODAY()&lt;$C11)</formula>
    </cfRule>
  </conditionalFormatting>
  <conditionalFormatting sqref="C11">
    <cfRule type="cellIs" dxfId="247" priority="34" stopIfTrue="1" operator="lessThan">
      <formula>$B$2</formula>
    </cfRule>
  </conditionalFormatting>
  <conditionalFormatting sqref="A16:C16">
    <cfRule type="cellIs" dxfId="246" priority="32" stopIfTrue="1" operator="equal">
      <formula>"已过期"</formula>
    </cfRule>
  </conditionalFormatting>
  <conditionalFormatting sqref="E16:G16">
    <cfRule type="cellIs" dxfId="245" priority="31" stopIfTrue="1" operator="equal">
      <formula>"已过期"</formula>
    </cfRule>
  </conditionalFormatting>
  <conditionalFormatting sqref="G11">
    <cfRule type="cellIs" dxfId="244" priority="30" stopIfTrue="1" operator="lessThan">
      <formula>$B$2</formula>
    </cfRule>
  </conditionalFormatting>
  <conditionalFormatting sqref="F12">
    <cfRule type="cellIs" dxfId="243" priority="29" stopIfTrue="1" operator="equal">
      <formula>"已过期"</formula>
    </cfRule>
  </conditionalFormatting>
  <conditionalFormatting sqref="G12">
    <cfRule type="cellIs" dxfId="242" priority="28" stopIfTrue="1" operator="lessThan">
      <formula>$B$2</formula>
    </cfRule>
  </conditionalFormatting>
  <conditionalFormatting sqref="C12">
    <cfRule type="cellIs" dxfId="241" priority="27" stopIfTrue="1" operator="lessThan">
      <formula>$B$2</formula>
    </cfRule>
  </conditionalFormatting>
  <conditionalFormatting sqref="C12">
    <cfRule type="expression" dxfId="240" priority="25">
      <formula>AND($C12-TODAY()&lt;30,TODAY()&lt;$C12)</formula>
    </cfRule>
  </conditionalFormatting>
  <conditionalFormatting sqref="C12">
    <cfRule type="cellIs" dxfId="239" priority="26" stopIfTrue="1" operator="lessThan">
      <formula>$B$2</formula>
    </cfRule>
  </conditionalFormatting>
  <conditionalFormatting sqref="B12">
    <cfRule type="cellIs" dxfId="238" priority="24" stopIfTrue="1" operator="equal">
      <formula>"已过期"</formula>
    </cfRule>
  </conditionalFormatting>
  <conditionalFormatting sqref="C9:C10">
    <cfRule type="expression" dxfId="237" priority="22">
      <formula>AND($C9-TODAY()&lt;30,TODAY()&lt;$C9)</formula>
    </cfRule>
  </conditionalFormatting>
  <conditionalFormatting sqref="C9:C10">
    <cfRule type="cellIs" dxfId="236" priority="23" stopIfTrue="1" operator="lessThan">
      <formula>$B$2</formula>
    </cfRule>
  </conditionalFormatting>
  <conditionalFormatting sqref="G21">
    <cfRule type="expression" dxfId="235" priority="20" stopIfTrue="1">
      <formula>AND(#REF!-TODAY()&lt;30,TODAY()&lt;#REF!)</formula>
    </cfRule>
  </conditionalFormatting>
  <conditionalFormatting sqref="G21">
    <cfRule type="cellIs" dxfId="234" priority="21" stopIfTrue="1" operator="lessThan">
      <formula>$B$2</formula>
    </cfRule>
  </conditionalFormatting>
  <conditionalFormatting sqref="C14">
    <cfRule type="expression" dxfId="233" priority="18">
      <formula>AND($C14-TODAY()&lt;30,TODAY()&lt;$C14)</formula>
    </cfRule>
  </conditionalFormatting>
  <conditionalFormatting sqref="C14">
    <cfRule type="cellIs" dxfId="232" priority="19" stopIfTrue="1" operator="lessThan">
      <formula>$B$2</formula>
    </cfRule>
  </conditionalFormatting>
  <conditionalFormatting sqref="C14">
    <cfRule type="expression" dxfId="231" priority="16">
      <formula>AND($C14-TODAY()&lt;30,TODAY()&lt;$C14)</formula>
    </cfRule>
  </conditionalFormatting>
  <conditionalFormatting sqref="C14">
    <cfRule type="cellIs" dxfId="230" priority="17" stopIfTrue="1" operator="lessThan">
      <formula>$B$2</formula>
    </cfRule>
  </conditionalFormatting>
  <conditionalFormatting sqref="B14">
    <cfRule type="cellIs" dxfId="229" priority="15" stopIfTrue="1" operator="equal">
      <formula>"已过期"</formula>
    </cfRule>
  </conditionalFormatting>
  <conditionalFormatting sqref="G14">
    <cfRule type="cellIs" dxfId="228" priority="14" stopIfTrue="1" operator="lessThan">
      <formula>$B$2</formula>
    </cfRule>
  </conditionalFormatting>
  <conditionalFormatting sqref="D15">
    <cfRule type="expression" dxfId="227" priority="12">
      <formula>AND($C15-TODAY()&lt;30,TODAY()&lt;$C15)</formula>
    </cfRule>
  </conditionalFormatting>
  <conditionalFormatting sqref="D15">
    <cfRule type="cellIs" dxfId="226" priority="13" stopIfTrue="1" operator="lessThan">
      <formula>$B$2</formula>
    </cfRule>
  </conditionalFormatting>
  <conditionalFormatting sqref="D15">
    <cfRule type="expression" dxfId="225" priority="10">
      <formula>AND($C15-TODAY()&lt;30,TODAY()&lt;$C15)</formula>
    </cfRule>
  </conditionalFormatting>
  <conditionalFormatting sqref="D15">
    <cfRule type="cellIs" dxfId="224" priority="11" stopIfTrue="1" operator="lessThan">
      <formula>$B$2</formula>
    </cfRule>
  </conditionalFormatting>
  <conditionalFormatting sqref="F15">
    <cfRule type="cellIs" dxfId="223" priority="9" stopIfTrue="1" operator="equal">
      <formula>"已过期"</formula>
    </cfRule>
  </conditionalFormatting>
  <conditionalFormatting sqref="C15">
    <cfRule type="expression" dxfId="222" priority="7">
      <formula>AND($C15-TODAY()&lt;30,TODAY()&lt;$C15)</formula>
    </cfRule>
  </conditionalFormatting>
  <conditionalFormatting sqref="C15">
    <cfRule type="cellIs" dxfId="221" priority="8" stopIfTrue="1" operator="lessThan">
      <formula>$B$2</formula>
    </cfRule>
  </conditionalFormatting>
  <conditionalFormatting sqref="C15">
    <cfRule type="expression" dxfId="220" priority="5">
      <formula>AND($C15-TODAY()&lt;30,TODAY()&lt;$C15)</formula>
    </cfRule>
  </conditionalFormatting>
  <conditionalFormatting sqref="C15">
    <cfRule type="cellIs" dxfId="219" priority="6" stopIfTrue="1" operator="lessThan">
      <formula>$B$2</formula>
    </cfRule>
  </conditionalFormatting>
  <conditionalFormatting sqref="B15">
    <cfRule type="cellIs" dxfId="218" priority="4" stopIfTrue="1" operator="equal">
      <formula>"已过期"</formula>
    </cfRule>
  </conditionalFormatting>
  <conditionalFormatting sqref="G15">
    <cfRule type="cellIs" dxfId="217" priority="3" stopIfTrue="1" operator="lessThan">
      <formula>$B$2</formula>
    </cfRule>
  </conditionalFormatting>
  <conditionalFormatting sqref="G20">
    <cfRule type="expression" dxfId="216" priority="1" stopIfTrue="1">
      <formula>AND(#REF!-TODAY()&lt;30,TODAY()&lt;#REF!)</formula>
    </cfRule>
  </conditionalFormatting>
  <conditionalFormatting sqref="G20">
    <cfRule type="cellIs" dxfId="215"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E19" sqref="E19"/>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975</v>
      </c>
      <c r="C1" s="1540" t="s">
        <v>314</v>
      </c>
      <c r="D1" s="1542" t="s">
        <v>3350</v>
      </c>
      <c r="E1" s="1541" t="s">
        <v>976</v>
      </c>
      <c r="F1" s="1541" t="s">
        <v>977</v>
      </c>
      <c r="G1" s="1541" t="s">
        <v>978</v>
      </c>
      <c r="H1" s="1541" t="s">
        <v>979</v>
      </c>
      <c r="I1" s="1541" t="s">
        <v>980</v>
      </c>
      <c r="J1" s="1541" t="s">
        <v>981</v>
      </c>
      <c r="K1" s="1541" t="s">
        <v>982</v>
      </c>
      <c r="L1" s="1541" t="s">
        <v>983</v>
      </c>
      <c r="M1" s="1541" t="s">
        <v>984</v>
      </c>
      <c r="N1" s="1541" t="s">
        <v>985</v>
      </c>
      <c r="O1" s="1541" t="s">
        <v>986</v>
      </c>
      <c r="P1" s="1542" t="s">
        <v>309</v>
      </c>
      <c r="Q1" s="1542" t="s">
        <v>447</v>
      </c>
      <c r="R1" s="1541" t="s">
        <v>441</v>
      </c>
      <c r="S1" s="1541" t="s">
        <v>987</v>
      </c>
      <c r="T1" s="1543" t="s">
        <v>988</v>
      </c>
      <c r="U1" s="1541" t="s">
        <v>989</v>
      </c>
      <c r="V1" s="1541" t="s">
        <v>990</v>
      </c>
      <c r="W1" s="1541" t="s">
        <v>311</v>
      </c>
    </row>
    <row r="2" spans="1:23">
      <c r="A2" s="1545" t="s">
        <v>19</v>
      </c>
      <c r="B2" s="1545" t="s">
        <v>991</v>
      </c>
      <c r="C2" s="1546" t="s">
        <v>315</v>
      </c>
      <c r="D2" s="1547" t="s">
        <v>992</v>
      </c>
      <c r="E2" s="1547" t="s">
        <v>993</v>
      </c>
      <c r="F2" s="1547" t="s">
        <v>994</v>
      </c>
      <c r="G2" s="1547">
        <v>20</v>
      </c>
      <c r="H2" s="1547" t="s">
        <v>994</v>
      </c>
      <c r="I2" s="1547" t="s">
        <v>3336</v>
      </c>
      <c r="J2" s="1547" t="s">
        <v>995</v>
      </c>
      <c r="K2" s="1547" t="s">
        <v>996</v>
      </c>
      <c r="L2" s="1547" t="s">
        <v>996</v>
      </c>
      <c r="M2" s="1547" t="s">
        <v>996</v>
      </c>
      <c r="N2" s="1547" t="s">
        <v>996</v>
      </c>
      <c r="O2" s="1547" t="s">
        <v>996</v>
      </c>
      <c r="P2" s="1547" t="s">
        <v>996</v>
      </c>
      <c r="Q2" s="1547" t="s">
        <v>996</v>
      </c>
      <c r="R2" s="1547" t="s">
        <v>443</v>
      </c>
      <c r="S2" s="1547" t="s">
        <v>996</v>
      </c>
      <c r="T2" s="1547" t="s">
        <v>997</v>
      </c>
      <c r="U2" s="1547" t="s">
        <v>996</v>
      </c>
      <c r="V2" s="1547" t="s">
        <v>998</v>
      </c>
      <c r="W2" s="1547" t="s">
        <v>996</v>
      </c>
    </row>
    <row r="3" spans="1:23">
      <c r="A3" s="1545" t="s">
        <v>999</v>
      </c>
      <c r="B3" s="1548" t="s">
        <v>448</v>
      </c>
      <c r="C3" s="1549" t="s">
        <v>316</v>
      </c>
      <c r="D3" s="1547" t="s">
        <v>1000</v>
      </c>
      <c r="E3" s="1547" t="s">
        <v>13</v>
      </c>
      <c r="F3" s="1547" t="s">
        <v>1001</v>
      </c>
      <c r="G3" s="1547">
        <v>40</v>
      </c>
      <c r="H3" s="1547" t="s">
        <v>1001</v>
      </c>
      <c r="I3" s="1547" t="s">
        <v>3337</v>
      </c>
      <c r="J3" s="1547" t="s">
        <v>1002</v>
      </c>
      <c r="K3" s="1547" t="s">
        <v>1003</v>
      </c>
      <c r="L3" s="1547" t="s">
        <v>1003</v>
      </c>
      <c r="M3" s="1547" t="s">
        <v>1003</v>
      </c>
      <c r="N3" s="1547" t="s">
        <v>1003</v>
      </c>
      <c r="O3" s="1547" t="s">
        <v>1003</v>
      </c>
      <c r="P3" s="1547" t="s">
        <v>1003</v>
      </c>
      <c r="Q3" s="1547" t="s">
        <v>1003</v>
      </c>
      <c r="R3" s="1547" t="s">
        <v>442</v>
      </c>
      <c r="S3" s="1547" t="s">
        <v>1003</v>
      </c>
      <c r="T3" s="1547" t="s">
        <v>1004</v>
      </c>
      <c r="U3" s="1547" t="s">
        <v>1003</v>
      </c>
      <c r="V3" s="1547" t="s">
        <v>1005</v>
      </c>
      <c r="W3" s="1547" t="s">
        <v>1003</v>
      </c>
    </row>
    <row r="4" spans="1:23">
      <c r="A4" s="1545" t="s">
        <v>1006</v>
      </c>
      <c r="B4" s="1545" t="s">
        <v>1007</v>
      </c>
      <c r="C4" s="1546" t="s">
        <v>317</v>
      </c>
      <c r="D4" s="1547" t="s">
        <v>389</v>
      </c>
      <c r="E4" s="1547" t="s">
        <v>1008</v>
      </c>
      <c r="F4" s="1547" t="s">
        <v>1009</v>
      </c>
      <c r="G4" s="1547">
        <v>50</v>
      </c>
      <c r="H4" s="1547" t="s">
        <v>1009</v>
      </c>
      <c r="I4" s="1547" t="s">
        <v>3338</v>
      </c>
      <c r="K4" s="1547" t="s">
        <v>1010</v>
      </c>
      <c r="L4" s="1547" t="s">
        <v>1010</v>
      </c>
      <c r="M4" s="1547" t="s">
        <v>1010</v>
      </c>
      <c r="N4" s="1547" t="s">
        <v>1010</v>
      </c>
      <c r="O4" s="1547" t="s">
        <v>1010</v>
      </c>
      <c r="P4" s="1547" t="s">
        <v>1010</v>
      </c>
      <c r="Q4" s="1547" t="s">
        <v>1010</v>
      </c>
      <c r="R4" s="1547" t="s">
        <v>444</v>
      </c>
      <c r="S4" s="1547" t="s">
        <v>1010</v>
      </c>
      <c r="T4" s="1547" t="s">
        <v>1011</v>
      </c>
      <c r="U4" s="1547" t="s">
        <v>1010</v>
      </c>
      <c r="W4" s="1547" t="s">
        <v>1010</v>
      </c>
    </row>
    <row r="5" spans="1:23">
      <c r="A5" s="1545" t="s">
        <v>1012</v>
      </c>
      <c r="B5" s="1545" t="s">
        <v>1013</v>
      </c>
      <c r="C5" s="1546" t="s">
        <v>318</v>
      </c>
      <c r="F5" s="1547" t="s">
        <v>1014</v>
      </c>
      <c r="G5" s="1547">
        <v>70</v>
      </c>
      <c r="H5" s="1547" t="s">
        <v>1015</v>
      </c>
      <c r="I5" s="1547" t="s">
        <v>3339</v>
      </c>
      <c r="K5" s="1547" t="s">
        <v>1016</v>
      </c>
      <c r="L5" s="1547" t="s">
        <v>1016</v>
      </c>
      <c r="M5" s="1547" t="s">
        <v>1016</v>
      </c>
      <c r="N5" s="1547" t="s">
        <v>1016</v>
      </c>
      <c r="O5" s="1547" t="s">
        <v>1016</v>
      </c>
      <c r="P5" s="1547" t="s">
        <v>1016</v>
      </c>
      <c r="Q5" s="1547" t="s">
        <v>1016</v>
      </c>
      <c r="R5" s="1547" t="s">
        <v>445</v>
      </c>
      <c r="S5" s="1547" t="s">
        <v>1016</v>
      </c>
      <c r="T5" s="1547" t="s">
        <v>1017</v>
      </c>
      <c r="U5" s="1547" t="s">
        <v>1016</v>
      </c>
      <c r="W5" s="1547" t="s">
        <v>1016</v>
      </c>
    </row>
    <row r="6" spans="1:23">
      <c r="A6" s="1545" t="s">
        <v>1018</v>
      </c>
      <c r="B6" s="1548" t="s">
        <v>449</v>
      </c>
      <c r="C6" s="1551" t="s">
        <v>24</v>
      </c>
      <c r="F6" s="1547" t="s">
        <v>1015</v>
      </c>
      <c r="H6" s="1547" t="s">
        <v>1019</v>
      </c>
      <c r="I6" s="1547" t="s">
        <v>3340</v>
      </c>
      <c r="K6" s="1547" t="s">
        <v>1020</v>
      </c>
      <c r="L6" s="1547" t="s">
        <v>1020</v>
      </c>
      <c r="M6" s="1547" t="s">
        <v>1020</v>
      </c>
      <c r="N6" s="1547" t="s">
        <v>1020</v>
      </c>
      <c r="O6" s="1547" t="s">
        <v>1020</v>
      </c>
      <c r="P6" s="1547" t="s">
        <v>1020</v>
      </c>
      <c r="Q6" s="1547" t="s">
        <v>1020</v>
      </c>
      <c r="R6" s="1547" t="s">
        <v>446</v>
      </c>
      <c r="S6" s="1547" t="s">
        <v>1020</v>
      </c>
      <c r="T6" s="1547"/>
      <c r="U6" s="1547" t="s">
        <v>1020</v>
      </c>
      <c r="W6" s="1547" t="s">
        <v>1020</v>
      </c>
    </row>
    <row r="7" spans="1:23">
      <c r="A7" s="1545" t="s">
        <v>1021</v>
      </c>
      <c r="B7" s="1548" t="s">
        <v>450</v>
      </c>
      <c r="C7" s="1546" t="s">
        <v>25</v>
      </c>
      <c r="F7" s="1547" t="s">
        <v>1022</v>
      </c>
      <c r="H7" s="1547" t="s">
        <v>1023</v>
      </c>
      <c r="I7" s="1547" t="s">
        <v>3341</v>
      </c>
    </row>
    <row r="8" spans="1:23">
      <c r="A8" s="1545" t="s">
        <v>1024</v>
      </c>
      <c r="B8" s="1545" t="s">
        <v>1025</v>
      </c>
      <c r="C8" s="1546" t="s">
        <v>319</v>
      </c>
      <c r="F8" s="1547" t="s">
        <v>1026</v>
      </c>
      <c r="H8" s="1547" t="s">
        <v>2576</v>
      </c>
      <c r="I8" s="1547" t="s">
        <v>3342</v>
      </c>
    </row>
    <row r="9" spans="1:23">
      <c r="A9" s="1545" t="s">
        <v>1027</v>
      </c>
      <c r="B9" s="1545" t="s">
        <v>1028</v>
      </c>
      <c r="C9" s="1546" t="s">
        <v>320</v>
      </c>
      <c r="F9" s="1547" t="s">
        <v>1029</v>
      </c>
      <c r="H9" s="1547"/>
      <c r="I9" s="1550" t="s">
        <v>3343</v>
      </c>
    </row>
    <row r="10" spans="1:23">
      <c r="A10" s="1545" t="s">
        <v>1030</v>
      </c>
      <c r="B10" s="1545" t="s">
        <v>1031</v>
      </c>
      <c r="C10" s="1546" t="s">
        <v>321</v>
      </c>
      <c r="F10" s="1547" t="s">
        <v>2577</v>
      </c>
      <c r="I10" s="1550" t="s">
        <v>3344</v>
      </c>
    </row>
    <row r="11" spans="1:23">
      <c r="A11" s="1545" t="s">
        <v>1032</v>
      </c>
      <c r="B11" s="1545" t="s">
        <v>1033</v>
      </c>
      <c r="C11" s="1546" t="s">
        <v>322</v>
      </c>
      <c r="F11" s="1547" t="s">
        <v>13</v>
      </c>
      <c r="I11" s="1550" t="s">
        <v>3345</v>
      </c>
    </row>
    <row r="12" spans="1:23">
      <c r="A12" s="1545" t="s">
        <v>1034</v>
      </c>
      <c r="B12" s="1545" t="s">
        <v>1035</v>
      </c>
      <c r="C12" s="1546" t="s">
        <v>323</v>
      </c>
      <c r="I12" s="1550" t="s">
        <v>3346</v>
      </c>
    </row>
    <row r="13" spans="1:23">
      <c r="A13" s="1545" t="s">
        <v>1036</v>
      </c>
      <c r="B13" s="1545" t="s">
        <v>1037</v>
      </c>
      <c r="C13" s="1546" t="s">
        <v>324</v>
      </c>
      <c r="I13" s="1550" t="s">
        <v>3347</v>
      </c>
    </row>
    <row r="14" spans="1:23">
      <c r="A14" s="1545" t="s">
        <v>1038</v>
      </c>
      <c r="B14" s="1545" t="s">
        <v>1039</v>
      </c>
      <c r="C14" s="1547" t="s">
        <v>13</v>
      </c>
      <c r="I14" s="1550" t="s">
        <v>3348</v>
      </c>
    </row>
    <row r="15" spans="1:23">
      <c r="A15" s="1545" t="s">
        <v>1040</v>
      </c>
      <c r="B15" s="1545" t="s">
        <v>1041</v>
      </c>
      <c r="C15" s="1546"/>
      <c r="I15" s="1550" t="s">
        <v>3349</v>
      </c>
    </row>
    <row r="16" spans="1:23">
      <c r="A16" s="1545" t="s">
        <v>1042</v>
      </c>
      <c r="B16" s="1545" t="s">
        <v>312</v>
      </c>
      <c r="C16" s="1546"/>
    </row>
    <row r="17" spans="1:3">
      <c r="A17" s="1545" t="s">
        <v>1043</v>
      </c>
      <c r="B17" s="1545" t="s">
        <v>2290</v>
      </c>
      <c r="C17" s="1546"/>
    </row>
    <row r="18" spans="1:3">
      <c r="A18" s="1545" t="s">
        <v>1044</v>
      </c>
      <c r="B18" s="1545" t="s">
        <v>2432</v>
      </c>
      <c r="C18" s="1546"/>
    </row>
    <row r="19" spans="1:3">
      <c r="A19" s="1545" t="s">
        <v>1045</v>
      </c>
      <c r="B19" s="1545" t="s">
        <v>5101</v>
      </c>
      <c r="C19" s="1546"/>
    </row>
    <row r="20" spans="1:3">
      <c r="A20" s="1545" t="s">
        <v>1046</v>
      </c>
      <c r="B20" s="1545" t="s">
        <v>313</v>
      </c>
      <c r="C20" s="1546"/>
    </row>
    <row r="21" spans="1:3">
      <c r="A21" s="1545" t="s">
        <v>1047</v>
      </c>
      <c r="B21" s="1545" t="s">
        <v>313</v>
      </c>
      <c r="C21" s="1546"/>
    </row>
    <row r="22" spans="1:3">
      <c r="A22" s="1545" t="s">
        <v>1048</v>
      </c>
      <c r="B22" s="1545" t="s">
        <v>313</v>
      </c>
      <c r="C22" s="1546"/>
    </row>
    <row r="23" spans="1:3">
      <c r="A23" s="1545" t="s">
        <v>1049</v>
      </c>
      <c r="B23" s="1545" t="s">
        <v>313</v>
      </c>
      <c r="C23" s="1546"/>
    </row>
    <row r="24" spans="1:3">
      <c r="A24" s="1545" t="s">
        <v>1050</v>
      </c>
      <c r="B24" s="1545" t="s">
        <v>313</v>
      </c>
      <c r="C24" s="1546"/>
    </row>
    <row r="25" spans="1:3">
      <c r="A25" s="1545" t="s">
        <v>1051</v>
      </c>
      <c r="B25" s="1545" t="s">
        <v>313</v>
      </c>
      <c r="C25" s="1546"/>
    </row>
    <row r="26" spans="1:3">
      <c r="A26" s="1545" t="s">
        <v>1052</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海淀区中关村大街1号部分综合用房及全部车库用房房地产作为抵押担保物，向办理贷款手续。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875"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10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875"/>
      <c r="B54" s="1553" t="s">
        <v>385</v>
      </c>
      <c r="C54" s="1550" t="s">
        <v>583</v>
      </c>
    </row>
    <row r="55" spans="1:4">
      <c r="A55" s="3875"/>
      <c r="B55" s="1553" t="s">
        <v>386</v>
      </c>
      <c r="C55" s="1550" t="s">
        <v>584</v>
      </c>
    </row>
    <row r="56" spans="1:4">
      <c r="A56" s="3875"/>
      <c r="B56" s="1553" t="s">
        <v>387</v>
      </c>
      <c r="C56" s="1550" t="s">
        <v>588</v>
      </c>
    </row>
    <row r="57" spans="1:4">
      <c r="A57" s="3875"/>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2499</v>
      </c>
      <c r="B1" s="3012"/>
      <c r="C1" s="3012"/>
      <c r="D1" s="3012"/>
      <c r="E1" s="3012"/>
      <c r="F1" s="3013"/>
      <c r="I1" s="3435" t="s">
        <v>2592</v>
      </c>
      <c r="J1" s="3224"/>
      <c r="K1" s="3224"/>
      <c r="L1" s="3224"/>
      <c r="M1" s="3224"/>
      <c r="N1" s="3436"/>
      <c r="O1" s="3436"/>
      <c r="P1" s="3436"/>
      <c r="Q1" s="3436"/>
      <c r="R1" s="3436"/>
    </row>
    <row r="2" spans="1:18">
      <c r="A2" s="3015"/>
      <c r="B2" s="3016"/>
      <c r="C2" s="3016"/>
      <c r="D2" s="3016"/>
      <c r="E2" s="3016"/>
      <c r="F2" s="3017"/>
      <c r="I2" s="3876" t="s">
        <v>2579</v>
      </c>
      <c r="J2" s="3876"/>
      <c r="K2" s="3876"/>
      <c r="L2" s="3876"/>
      <c r="M2" s="3876"/>
      <c r="N2" s="3876"/>
      <c r="O2" s="3876"/>
      <c r="P2" s="3876"/>
      <c r="Q2" s="3876"/>
      <c r="R2" s="3876"/>
    </row>
    <row r="3" spans="1:18">
      <c r="A3" s="3018" t="s">
        <v>2500</v>
      </c>
      <c r="B3" s="3019">
        <f>项目基本情况!D3</f>
        <v>45575</v>
      </c>
      <c r="C3" s="3021"/>
      <c r="D3" s="3021"/>
      <c r="E3" s="3021"/>
      <c r="F3" s="3017"/>
      <c r="I3" s="3437"/>
      <c r="J3" s="3437" t="s">
        <v>2583</v>
      </c>
      <c r="K3" s="3437" t="s">
        <v>2584</v>
      </c>
      <c r="L3" s="3437" t="s">
        <v>2585</v>
      </c>
      <c r="M3" s="3437" t="s">
        <v>2586</v>
      </c>
      <c r="N3" s="3438" t="s">
        <v>2587</v>
      </c>
      <c r="O3" s="3438" t="s">
        <v>2588</v>
      </c>
      <c r="P3" s="3438" t="s">
        <v>2589</v>
      </c>
      <c r="Q3" s="3438" t="s">
        <v>2590</v>
      </c>
      <c r="R3" s="3438" t="s">
        <v>2591</v>
      </c>
    </row>
    <row r="4" spans="1:18">
      <c r="A4" s="3018" t="s">
        <v>2501</v>
      </c>
      <c r="B4" s="3021" t="s">
        <v>2502</v>
      </c>
      <c r="C4" s="3021" t="s">
        <v>2503</v>
      </c>
      <c r="D4" s="3021" t="s">
        <v>2504</v>
      </c>
      <c r="E4" s="3021" t="s">
        <v>2505</v>
      </c>
      <c r="F4" s="3017"/>
      <c r="I4" s="3437" t="s">
        <v>2580</v>
      </c>
      <c r="J4" s="3437">
        <v>80</v>
      </c>
      <c r="K4" s="3437">
        <v>70</v>
      </c>
      <c r="L4" s="3437">
        <v>20</v>
      </c>
      <c r="M4" s="3437">
        <v>30</v>
      </c>
      <c r="N4" s="3021">
        <v>45</v>
      </c>
      <c r="O4" s="3021">
        <v>60</v>
      </c>
      <c r="P4" s="3021">
        <v>50</v>
      </c>
      <c r="Q4" s="3021">
        <v>20</v>
      </c>
      <c r="R4" s="3021">
        <v>375</v>
      </c>
    </row>
    <row r="5" spans="1:18">
      <c r="A5" s="3022">
        <v>40</v>
      </c>
      <c r="B5" s="3019">
        <v>46375</v>
      </c>
      <c r="C5" s="3021">
        <f>ROUNDDOWN(MIN((B5-B3)/365,A5),2)</f>
        <v>2.19</v>
      </c>
      <c r="D5" s="3023">
        <f>IF(ISERROR(ROUND(POWER(1+E5,A5-C5)*(POWER(1+E5,C5)-1)/(POWER(1+E5,A5)-1),3)),0,ROUND(POWER(1+E5,A5-C5)*(POWER(1+E5,C5)-1)/(POWER(1+E5,A5)-1),4))</f>
        <v>0.104</v>
      </c>
      <c r="E5" s="3024">
        <v>0.04</v>
      </c>
      <c r="F5" s="3017"/>
      <c r="I5" s="3437" t="s">
        <v>2581</v>
      </c>
      <c r="J5" s="3437">
        <v>70</v>
      </c>
      <c r="K5" s="3437">
        <v>60</v>
      </c>
      <c r="L5" s="3437">
        <v>15</v>
      </c>
      <c r="M5" s="3437">
        <v>25</v>
      </c>
      <c r="N5" s="3021">
        <v>40</v>
      </c>
      <c r="O5" s="3021">
        <v>50</v>
      </c>
      <c r="P5" s="3021">
        <v>40</v>
      </c>
      <c r="Q5" s="3021">
        <v>15</v>
      </c>
      <c r="R5" s="3021">
        <v>315</v>
      </c>
    </row>
    <row r="6" spans="1:18">
      <c r="A6" s="3022">
        <v>50</v>
      </c>
      <c r="B6" s="3019">
        <v>50028</v>
      </c>
      <c r="C6" s="3021">
        <f>ROUNDDOWN(MIN((B6-B3)/365,A6),2)</f>
        <v>12.2</v>
      </c>
      <c r="D6" s="3023">
        <f>IF(ISERROR(ROUND(POWER(1+E6,A6-C6)*(POWER(1+E6,C6)-1)/(POWER(1+E6,A6)-1),3)),0,ROUND(POWER(1+E6,A6-C6)*(POWER(1+E6,C6)-1)/(POWER(1+E6,A6)-1),4))</f>
        <v>0.44259999999999999</v>
      </c>
      <c r="E6" s="3024">
        <v>0.04</v>
      </c>
      <c r="F6" s="3017"/>
      <c r="I6" s="3437" t="s">
        <v>2582</v>
      </c>
      <c r="J6" s="3437">
        <v>60</v>
      </c>
      <c r="K6" s="3437">
        <v>50</v>
      </c>
      <c r="L6" s="3437">
        <v>10</v>
      </c>
      <c r="M6" s="3437">
        <v>20</v>
      </c>
      <c r="N6" s="3021">
        <v>35</v>
      </c>
      <c r="O6" s="3021">
        <v>40</v>
      </c>
      <c r="P6" s="3021">
        <v>30</v>
      </c>
      <c r="Q6" s="3021">
        <v>10</v>
      </c>
      <c r="R6" s="3021">
        <v>255</v>
      </c>
    </row>
    <row r="7" spans="1:18">
      <c r="A7" s="3022">
        <v>70</v>
      </c>
      <c r="B7" s="3019">
        <v>57333</v>
      </c>
      <c r="C7" s="3021">
        <f>ROUNDDOWN(MIN((B7-B3)/365,A7),2)</f>
        <v>32.21</v>
      </c>
      <c r="D7" s="3023">
        <f>IF(ISERROR(ROUND(POWER(1+E7,A7-C7)*(POWER(1+E7,C7)-1)/(POWER(1+E7,A7)-1),3)),0,ROUND(POWER(1+E7,A7-C7)*(POWER(1+E7,C7)-1)/(POWER(1+E7,A7)-1),4))</f>
        <v>0.76649999999999996</v>
      </c>
      <c r="E7" s="3024">
        <v>0.04</v>
      </c>
      <c r="F7" s="3017"/>
    </row>
    <row r="8" spans="1:18">
      <c r="A8" s="3015"/>
      <c r="B8" s="3016"/>
      <c r="C8" s="3016"/>
      <c r="D8" s="3016"/>
      <c r="E8" s="3016"/>
      <c r="F8" s="3017"/>
    </row>
    <row r="9" spans="1:18">
      <c r="A9" s="3018" t="s">
        <v>2506</v>
      </c>
      <c r="B9" s="3021"/>
      <c r="C9" s="3021"/>
      <c r="D9" s="3021"/>
      <c r="E9" s="3021"/>
      <c r="F9" s="3025"/>
    </row>
    <row r="10" spans="1:18">
      <c r="A10" s="3018" t="s">
        <v>2507</v>
      </c>
      <c r="B10" s="3021"/>
      <c r="C10" s="3021"/>
      <c r="D10" s="3021" t="s">
        <v>2505</v>
      </c>
      <c r="E10" s="3021"/>
      <c r="F10" s="3025" t="s">
        <v>2504</v>
      </c>
    </row>
    <row r="11" spans="1:18">
      <c r="A11" s="3018" t="s">
        <v>2508</v>
      </c>
      <c r="B11" s="3026">
        <v>70</v>
      </c>
      <c r="C11" s="3021" t="s">
        <v>2509</v>
      </c>
      <c r="D11" s="3027">
        <v>4.4999999999999998E-2</v>
      </c>
      <c r="E11" s="3021" t="s">
        <v>2510</v>
      </c>
      <c r="F11" s="3028">
        <f>ROUND(1-(1/(POWER(1+D11,B11))),4)</f>
        <v>0.95409999999999995</v>
      </c>
    </row>
    <row r="12" spans="1:18">
      <c r="A12" s="3018" t="s">
        <v>2511</v>
      </c>
      <c r="B12" s="3026">
        <v>40</v>
      </c>
      <c r="C12" s="3021" t="s">
        <v>2512</v>
      </c>
      <c r="D12" s="3027">
        <v>4.4999999999999998E-2</v>
      </c>
      <c r="E12" s="3021" t="s">
        <v>2513</v>
      </c>
      <c r="F12" s="3028">
        <f>ROUND(1-(1/(POWER(1+D12,B12))),4)</f>
        <v>0.82809999999999995</v>
      </c>
    </row>
    <row r="13" spans="1:18">
      <c r="A13" s="3018" t="s">
        <v>2514</v>
      </c>
      <c r="B13" s="3021"/>
      <c r="C13" s="3021"/>
      <c r="D13" s="3016"/>
      <c r="E13" s="3016"/>
      <c r="F13" s="3017"/>
    </row>
    <row r="14" spans="1:18">
      <c r="A14" s="3018" t="s">
        <v>2515</v>
      </c>
      <c r="B14" s="3026">
        <v>5000</v>
      </c>
      <c r="C14" s="3020"/>
      <c r="D14" s="3016"/>
      <c r="E14" s="3016"/>
      <c r="F14" s="3017"/>
    </row>
    <row r="15" spans="1:18">
      <c r="A15" s="3018" t="s">
        <v>2516</v>
      </c>
      <c r="B15" s="3021">
        <f>ROUND(B14*F12/F11,2)</f>
        <v>4339.6899999999996</v>
      </c>
      <c r="C15" s="3021">
        <f>ROUND(F12/F11,4)</f>
        <v>0.8679</v>
      </c>
      <c r="D15" s="3016"/>
      <c r="E15" s="3016"/>
      <c r="F15" s="3017"/>
    </row>
    <row r="16" spans="1:18">
      <c r="A16" s="3018" t="s">
        <v>2517</v>
      </c>
      <c r="B16" s="3021"/>
      <c r="C16" s="3021"/>
      <c r="D16" s="3016"/>
      <c r="E16" s="3016"/>
      <c r="F16" s="3017"/>
    </row>
    <row r="17" spans="1:13">
      <c r="A17" s="3018" t="s">
        <v>2516</v>
      </c>
      <c r="B17" s="3027">
        <v>4810</v>
      </c>
      <c r="C17" s="3020"/>
      <c r="D17" s="3016"/>
      <c r="E17" s="3016"/>
      <c r="F17" s="3017"/>
    </row>
    <row r="18" spans="1:13" ht="14.25" thickBot="1">
      <c r="A18" s="3029" t="s">
        <v>2515</v>
      </c>
      <c r="B18" s="3030">
        <f>ROUND(B17*F11/F12,2)</f>
        <v>5541.87</v>
      </c>
      <c r="C18" s="3030">
        <f>ROUND(F11/F12,4)</f>
        <v>1.1521999999999999</v>
      </c>
      <c r="D18" s="3031"/>
      <c r="E18" s="3031"/>
      <c r="F18" s="3032"/>
    </row>
    <row r="19" spans="1:13" ht="14.25" thickBot="1"/>
    <row r="20" spans="1:13" s="3067" customFormat="1" ht="14.25" thickTop="1">
      <c r="A20" s="3064" t="s">
        <v>2518</v>
      </c>
      <c r="B20" s="3065"/>
      <c r="C20" s="3065"/>
      <c r="D20" s="3065"/>
      <c r="E20" s="3065"/>
      <c r="F20" s="3065"/>
      <c r="G20" s="3066"/>
      <c r="I20" s="3068" t="s">
        <v>2563</v>
      </c>
      <c r="J20" s="3068" t="s">
        <v>2568</v>
      </c>
      <c r="K20" s="3068"/>
      <c r="L20" s="3068"/>
      <c r="M20" s="3068"/>
    </row>
    <row r="21" spans="1:13">
      <c r="A21" s="3033"/>
      <c r="B21" s="3034" t="s">
        <v>2519</v>
      </c>
      <c r="C21" s="3034" t="s">
        <v>2520</v>
      </c>
      <c r="D21" s="3034" t="s">
        <v>2521</v>
      </c>
      <c r="E21" s="3034" t="s">
        <v>2522</v>
      </c>
      <c r="F21" s="3034" t="s">
        <v>2523</v>
      </c>
      <c r="G21" s="3035" t="s">
        <v>2524</v>
      </c>
      <c r="I21" s="3056">
        <v>5</v>
      </c>
      <c r="J21" s="3056">
        <v>54.2</v>
      </c>
    </row>
    <row r="22" spans="1:13">
      <c r="A22" s="3033" t="s">
        <v>2525</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2526</v>
      </c>
      <c r="B23" s="3036">
        <v>70</v>
      </c>
      <c r="C23" s="3036">
        <v>40</v>
      </c>
      <c r="D23" s="3037">
        <v>0.04</v>
      </c>
      <c r="E23" s="3034">
        <f t="shared" ref="E23:E25" si="0">ROUND(POWER(1+D23,B23-C23)*(POWER(1+D23,C23)-1)/(POWER(1+D23,B23)-1),3)</f>
        <v>0.84599999999999997</v>
      </c>
      <c r="F23" s="3037">
        <f>F22</f>
        <v>0.7</v>
      </c>
      <c r="G23" s="3035">
        <f t="shared" ref="G23:G25" si="1">ROUND(100*(1-(1-E23)*F23),1)</f>
        <v>89.2</v>
      </c>
      <c r="I23" s="3056">
        <v>15</v>
      </c>
      <c r="J23" s="3056">
        <v>74.099999999999994</v>
      </c>
      <c r="K23" s="3056">
        <f t="shared" ref="K23:K30" si="2">J23-J22</f>
        <v>8.6999999999999886</v>
      </c>
      <c r="L23" s="3056" t="s">
        <v>2566</v>
      </c>
      <c r="M23" s="3056" t="s">
        <v>2567</v>
      </c>
    </row>
    <row r="24" spans="1:13">
      <c r="A24" s="3033" t="s">
        <v>2527</v>
      </c>
      <c r="B24" s="3036">
        <v>70</v>
      </c>
      <c r="C24" s="3036">
        <v>50</v>
      </c>
      <c r="D24" s="3037">
        <v>0.04</v>
      </c>
      <c r="E24" s="3034">
        <f t="shared" si="0"/>
        <v>0.91800000000000004</v>
      </c>
      <c r="F24" s="3037">
        <f>F23</f>
        <v>0.7</v>
      </c>
      <c r="G24" s="3035">
        <f t="shared" si="1"/>
        <v>94.3</v>
      </c>
      <c r="I24" s="3056">
        <v>20</v>
      </c>
      <c r="J24" s="3056">
        <v>81</v>
      </c>
      <c r="K24" s="3056">
        <f t="shared" si="2"/>
        <v>6.9000000000000057</v>
      </c>
      <c r="L24" s="3056" t="s">
        <v>2565</v>
      </c>
      <c r="M24" s="3056">
        <v>10</v>
      </c>
    </row>
    <row r="25" spans="1:13">
      <c r="A25" s="3033" t="s">
        <v>2528</v>
      </c>
      <c r="B25" s="3036">
        <v>70</v>
      </c>
      <c r="C25" s="3036">
        <v>60</v>
      </c>
      <c r="D25" s="3037">
        <v>0.04</v>
      </c>
      <c r="E25" s="3034">
        <f t="shared" si="0"/>
        <v>0.96699999999999997</v>
      </c>
      <c r="F25" s="3037">
        <f>F24</f>
        <v>0.7</v>
      </c>
      <c r="G25" s="3035">
        <f t="shared" si="1"/>
        <v>97.7</v>
      </c>
      <c r="I25" s="3056">
        <v>25</v>
      </c>
      <c r="J25" s="3056">
        <v>86.3</v>
      </c>
      <c r="K25" s="3056">
        <f t="shared" si="2"/>
        <v>5.2999999999999972</v>
      </c>
      <c r="L25" s="3056" t="s">
        <v>2569</v>
      </c>
      <c r="M25" s="3056">
        <v>8</v>
      </c>
    </row>
    <row r="26" spans="1:13">
      <c r="A26" s="3038"/>
      <c r="B26" s="3039"/>
      <c r="C26" s="3039"/>
      <c r="D26" s="3039"/>
      <c r="E26" s="3039"/>
      <c r="F26" s="3039"/>
      <c r="G26" s="3040"/>
      <c r="I26" s="3056">
        <v>30</v>
      </c>
      <c r="J26" s="3056">
        <v>90.5</v>
      </c>
      <c r="K26" s="3056">
        <f t="shared" si="2"/>
        <v>4.2000000000000028</v>
      </c>
      <c r="L26" s="3056" t="s">
        <v>2570</v>
      </c>
      <c r="M26" s="3056">
        <v>5</v>
      </c>
    </row>
    <row r="27" spans="1:13">
      <c r="A27" s="3038" t="s">
        <v>2529</v>
      </c>
      <c r="B27" s="3039"/>
      <c r="C27" s="3039"/>
      <c r="D27" s="3039"/>
      <c r="E27" s="3039"/>
      <c r="F27" s="3039"/>
      <c r="G27" s="3040"/>
      <c r="I27" s="3056">
        <v>35</v>
      </c>
      <c r="J27" s="3056">
        <v>93.8</v>
      </c>
      <c r="K27" s="3056">
        <f t="shared" si="2"/>
        <v>3.2999999999999972</v>
      </c>
      <c r="L27" s="3056" t="s">
        <v>2571</v>
      </c>
      <c r="M27" s="3056">
        <v>3</v>
      </c>
    </row>
    <row r="28" spans="1:13">
      <c r="A28" s="3038" t="s">
        <v>2530</v>
      </c>
      <c r="B28" s="3039"/>
      <c r="C28" s="3039"/>
      <c r="D28" s="3039"/>
      <c r="E28" s="3039"/>
      <c r="F28" s="3039"/>
      <c r="G28" s="3040"/>
      <c r="I28" s="3056">
        <v>40</v>
      </c>
      <c r="J28" s="3056">
        <v>96.4</v>
      </c>
      <c r="K28" s="3056">
        <f t="shared" si="2"/>
        <v>2.6000000000000085</v>
      </c>
      <c r="L28" s="3056" t="s">
        <v>2572</v>
      </c>
      <c r="M28" s="3056">
        <v>2</v>
      </c>
    </row>
    <row r="29" spans="1:13">
      <c r="A29" s="3038" t="s">
        <v>2531</v>
      </c>
      <c r="B29" s="3039"/>
      <c r="C29" s="3039"/>
      <c r="D29" s="3039"/>
      <c r="E29" s="3039"/>
      <c r="F29" s="3039"/>
      <c r="G29" s="3040"/>
      <c r="I29" s="3056">
        <v>45</v>
      </c>
      <c r="J29" s="3056">
        <v>98.4</v>
      </c>
      <c r="K29" s="3056">
        <f t="shared" si="2"/>
        <v>2</v>
      </c>
    </row>
    <row r="30" spans="1:13">
      <c r="A30" s="3038" t="s">
        <v>2532</v>
      </c>
      <c r="B30" s="3039"/>
      <c r="C30" s="3039"/>
      <c r="D30" s="3039"/>
      <c r="E30" s="3039"/>
      <c r="F30" s="3039"/>
      <c r="G30" s="3040"/>
      <c r="I30" s="3056">
        <v>50</v>
      </c>
      <c r="J30" s="3056">
        <v>100</v>
      </c>
      <c r="K30" s="3056">
        <f t="shared" si="2"/>
        <v>1.5999999999999943</v>
      </c>
    </row>
    <row r="31" spans="1:13">
      <c r="A31" s="3038" t="s">
        <v>2533</v>
      </c>
      <c r="B31" s="3039"/>
      <c r="C31" s="3039"/>
      <c r="D31" s="3039"/>
      <c r="E31" s="3039"/>
      <c r="F31" s="3039"/>
      <c r="G31" s="3040"/>
      <c r="I31" s="3056" t="s">
        <v>2564</v>
      </c>
    </row>
    <row r="32" spans="1:13">
      <c r="A32" s="3038" t="s">
        <v>2534</v>
      </c>
      <c r="B32" s="3039"/>
      <c r="C32" s="3039"/>
      <c r="D32" s="3039"/>
      <c r="E32" s="3039"/>
      <c r="F32" s="3039"/>
      <c r="G32" s="3040"/>
    </row>
    <row r="33" spans="1:13">
      <c r="A33" s="3038" t="s">
        <v>2535</v>
      </c>
      <c r="B33" s="3039"/>
      <c r="C33" s="3039"/>
      <c r="D33" s="3039"/>
      <c r="E33" s="3039"/>
      <c r="F33" s="3039"/>
      <c r="G33" s="3040"/>
      <c r="I33" s="3056" t="s">
        <v>2563</v>
      </c>
      <c r="J33" s="3056" t="s">
        <v>2573</v>
      </c>
    </row>
    <row r="34" spans="1:13">
      <c r="A34" s="3038" t="s">
        <v>2536</v>
      </c>
      <c r="B34" s="3039"/>
      <c r="C34" s="3039"/>
      <c r="D34" s="3039"/>
      <c r="E34" s="3039"/>
      <c r="F34" s="3039"/>
      <c r="G34" s="3040"/>
      <c r="I34" s="3056">
        <v>5</v>
      </c>
      <c r="J34" s="3056">
        <v>55.1</v>
      </c>
    </row>
    <row r="35" spans="1:13">
      <c r="A35" s="3038" t="s">
        <v>2537</v>
      </c>
      <c r="B35" s="3039"/>
      <c r="C35" s="3039"/>
      <c r="D35" s="3039"/>
      <c r="E35" s="3039"/>
      <c r="F35" s="3039"/>
      <c r="G35" s="3040"/>
      <c r="I35" s="3056">
        <v>10</v>
      </c>
      <c r="J35" s="3056">
        <v>67</v>
      </c>
      <c r="K35" s="3056">
        <f>J35-J34</f>
        <v>11.899999999999999</v>
      </c>
    </row>
    <row r="36" spans="1:13">
      <c r="A36" s="3038" t="s">
        <v>2538</v>
      </c>
      <c r="B36" s="3039"/>
      <c r="C36" s="3039"/>
      <c r="D36" s="3039"/>
      <c r="E36" s="3039"/>
      <c r="F36" s="3039"/>
      <c r="G36" s="3040"/>
      <c r="I36" s="3056">
        <v>15</v>
      </c>
      <c r="J36" s="3056">
        <v>76.3</v>
      </c>
      <c r="K36" s="3056">
        <f t="shared" ref="K36:K41" si="3">J36-J35</f>
        <v>9.2999999999999972</v>
      </c>
      <c r="L36" s="3056" t="s">
        <v>2566</v>
      </c>
      <c r="M36" s="3056" t="s">
        <v>2567</v>
      </c>
    </row>
    <row r="37" spans="1:13">
      <c r="A37" s="3038" t="s">
        <v>2539</v>
      </c>
      <c r="B37" s="3039"/>
      <c r="C37" s="3039"/>
      <c r="D37" s="3039"/>
      <c r="E37" s="3039"/>
      <c r="F37" s="3039"/>
      <c r="G37" s="3040"/>
      <c r="I37" s="3056">
        <v>20</v>
      </c>
      <c r="J37" s="3056">
        <v>83.6</v>
      </c>
      <c r="K37" s="3056">
        <f t="shared" si="3"/>
        <v>7.2999999999999972</v>
      </c>
      <c r="L37" s="3056" t="s">
        <v>2565</v>
      </c>
      <c r="M37" s="3056">
        <v>10</v>
      </c>
    </row>
    <row r="38" spans="1:13">
      <c r="A38" s="3038" t="s">
        <v>2540</v>
      </c>
      <c r="B38" s="3039"/>
      <c r="C38" s="3039"/>
      <c r="D38" s="3039"/>
      <c r="E38" s="3039"/>
      <c r="F38" s="3039"/>
      <c r="G38" s="3040"/>
      <c r="I38" s="3056">
        <v>25</v>
      </c>
      <c r="J38" s="3056">
        <v>89.3</v>
      </c>
      <c r="K38" s="3056">
        <f t="shared" si="3"/>
        <v>5.7000000000000028</v>
      </c>
      <c r="L38" s="3056" t="s">
        <v>2569</v>
      </c>
      <c r="M38" s="3056">
        <v>8</v>
      </c>
    </row>
    <row r="39" spans="1:13">
      <c r="A39" s="3038"/>
      <c r="B39" s="3039"/>
      <c r="C39" s="3039"/>
      <c r="D39" s="3039"/>
      <c r="E39" s="3039"/>
      <c r="F39" s="3039"/>
      <c r="G39" s="3040"/>
      <c r="I39" s="3056">
        <v>30</v>
      </c>
      <c r="J39" s="3056">
        <v>93.8</v>
      </c>
      <c r="K39" s="3056">
        <f t="shared" si="3"/>
        <v>4.5</v>
      </c>
      <c r="L39" s="3056" t="s">
        <v>2570</v>
      </c>
      <c r="M39" s="3056">
        <v>6</v>
      </c>
    </row>
    <row r="40" spans="1:13">
      <c r="A40" s="3041" t="s">
        <v>2541</v>
      </c>
      <c r="B40" s="3042"/>
      <c r="C40" s="3042"/>
      <c r="D40" s="3042"/>
      <c r="E40" s="3042"/>
      <c r="F40" s="3042"/>
      <c r="G40" s="3043"/>
      <c r="I40" s="3056">
        <v>35</v>
      </c>
      <c r="J40" s="3056">
        <v>97.2</v>
      </c>
      <c r="K40" s="3056">
        <f t="shared" si="3"/>
        <v>3.4000000000000057</v>
      </c>
      <c r="L40" s="3056" t="s">
        <v>2571</v>
      </c>
      <c r="M40" s="3056">
        <v>3</v>
      </c>
    </row>
    <row r="41" spans="1:13">
      <c r="A41" s="3044" t="s">
        <v>2542</v>
      </c>
      <c r="B41" s="3045" t="s">
        <v>2543</v>
      </c>
      <c r="C41" s="3046" t="s">
        <v>2544</v>
      </c>
      <c r="D41" s="3046" t="s">
        <v>2545</v>
      </c>
      <c r="E41" s="3047"/>
      <c r="F41" s="3048"/>
      <c r="G41" s="3049"/>
      <c r="I41" s="3056">
        <v>40</v>
      </c>
      <c r="J41" s="3056">
        <v>100</v>
      </c>
      <c r="K41" s="3056">
        <f t="shared" si="3"/>
        <v>2.7999999999999972</v>
      </c>
    </row>
    <row r="42" spans="1:13">
      <c r="A42" s="3044" t="s">
        <v>2546</v>
      </c>
      <c r="B42" s="3045" t="s">
        <v>2547</v>
      </c>
      <c r="C42" s="3046" t="s">
        <v>2548</v>
      </c>
      <c r="D42" s="3050" t="s">
        <v>2549</v>
      </c>
      <c r="E42" s="3042" t="s">
        <v>2550</v>
      </c>
      <c r="F42" s="3042"/>
      <c r="G42" s="3043"/>
    </row>
    <row r="43" spans="1:13">
      <c r="A43" s="3044" t="s">
        <v>2551</v>
      </c>
      <c r="B43" s="3045" t="s">
        <v>2552</v>
      </c>
      <c r="C43" s="3046" t="s">
        <v>2553</v>
      </c>
      <c r="D43" s="3046" t="s">
        <v>2554</v>
      </c>
      <c r="E43" s="3047" t="s">
        <v>2555</v>
      </c>
      <c r="F43" s="3048"/>
      <c r="G43" s="3049"/>
      <c r="I43" s="3056" t="s">
        <v>2563</v>
      </c>
      <c r="J43" s="3056" t="s">
        <v>2574</v>
      </c>
    </row>
    <row r="44" spans="1:13">
      <c r="A44" s="3044" t="s">
        <v>2556</v>
      </c>
      <c r="B44" s="3045" t="s">
        <v>2557</v>
      </c>
      <c r="C44" s="3046" t="s">
        <v>2558</v>
      </c>
      <c r="D44" s="3050">
        <v>0.5</v>
      </c>
      <c r="E44" s="3047" t="s">
        <v>2559</v>
      </c>
      <c r="F44" s="3048"/>
      <c r="G44" s="3049"/>
      <c r="I44" s="3056">
        <v>30</v>
      </c>
      <c r="J44" s="3056">
        <v>81.7</v>
      </c>
    </row>
    <row r="45" spans="1:13" ht="14.25" thickBot="1">
      <c r="A45" s="3051" t="s">
        <v>2560</v>
      </c>
      <c r="B45" s="3052" t="s">
        <v>2547</v>
      </c>
      <c r="C45" s="3053" t="s">
        <v>2547</v>
      </c>
      <c r="D45" s="3053" t="s">
        <v>2561</v>
      </c>
      <c r="E45" s="3054" t="s">
        <v>2562</v>
      </c>
      <c r="F45" s="3054"/>
      <c r="G45" s="3055"/>
      <c r="I45" s="3056">
        <v>40</v>
      </c>
      <c r="J45" s="3056">
        <v>89.2</v>
      </c>
      <c r="K45" s="3056">
        <f>J45-J44</f>
        <v>7.5</v>
      </c>
    </row>
    <row r="46" spans="1:13">
      <c r="I46" s="3056">
        <v>50</v>
      </c>
      <c r="J46" s="3056">
        <v>94.3</v>
      </c>
      <c r="K46" s="3056">
        <f t="shared" ref="K46:K47" si="4">J46-J45</f>
        <v>5.0999999999999943</v>
      </c>
    </row>
    <row r="47" spans="1:13">
      <c r="I47" s="3056">
        <v>60</v>
      </c>
      <c r="J47" s="3056">
        <v>97.7</v>
      </c>
      <c r="K47" s="3056">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8" sqref="H8"/>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6" customWidth="1"/>
    <col min="12" max="13" width="10" style="2627"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2165</v>
      </c>
      <c r="B1" s="3877" t="str">
        <f>IF(B10="北京市","北京市",C10)&amp;F10&amp;IF(结果表!G1="在建","出让国有建设用地使用权及在建建筑物",IF(结果表!G1="土地","出让国有建设用地使用权",))&amp;B9&amp;"预评估"</f>
        <v>北京市海淀区中关村大街1号部分综合用房及全部车库用房房地产抵押价值预评估</v>
      </c>
      <c r="C1" s="3878"/>
      <c r="D1" s="3878"/>
      <c r="E1" s="3878"/>
      <c r="F1" s="3878"/>
      <c r="G1" s="3878"/>
      <c r="H1" s="3878"/>
      <c r="I1" s="3879"/>
      <c r="J1" s="2469"/>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北京市海淀区中关村大街1号部分综合用房及全部车库用房房地产抵押价值</v>
      </c>
      <c r="T1" s="1744"/>
      <c r="U1" s="1744"/>
      <c r="V1" s="1744"/>
      <c r="W1" s="1744"/>
      <c r="X1" s="1744"/>
      <c r="Y1" s="1744"/>
      <c r="Z1" s="1744"/>
      <c r="AA1" s="1744"/>
      <c r="AB1" s="1744"/>
    </row>
    <row r="2" spans="1:30">
      <c r="A2" s="2366" t="s">
        <v>2166</v>
      </c>
      <c r="B2" s="2370"/>
      <c r="C2" s="2371"/>
      <c r="D2" s="2668"/>
      <c r="E2" s="2660"/>
      <c r="F2" s="2660"/>
      <c r="G2" s="2661"/>
      <c r="H2" s="2661"/>
      <c r="I2" s="2661"/>
      <c r="J2" s="2469"/>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北京市海淀区中关村大街1号部分综合用房及全部车库用房房地产</v>
      </c>
      <c r="T2" s="1744"/>
      <c r="U2" s="1744"/>
      <c r="V2" s="1744"/>
      <c r="W2" s="1744"/>
      <c r="X2" s="1744"/>
      <c r="Y2" s="1744"/>
      <c r="Z2" s="1744"/>
      <c r="AA2" s="1744"/>
      <c r="AB2" s="1744"/>
    </row>
    <row r="3" spans="1:30">
      <c r="A3" s="302" t="s">
        <v>2167</v>
      </c>
      <c r="B3" s="2372">
        <v>45575</v>
      </c>
      <c r="C3" s="2373" t="s">
        <v>2168</v>
      </c>
      <c r="D3" s="2372">
        <f>B3</f>
        <v>45575</v>
      </c>
      <c r="E3" s="2661"/>
      <c r="F3" s="2661"/>
      <c r="G3" s="2661"/>
      <c r="H3" s="2661"/>
      <c r="I3" s="2661"/>
      <c r="J3" s="2469"/>
      <c r="K3" s="2367"/>
      <c r="L3" s="2368"/>
      <c r="M3" s="2368"/>
      <c r="N3" s="2369"/>
      <c r="O3" s="1575"/>
      <c r="P3" s="2369"/>
      <c r="Q3" s="2369"/>
      <c r="R3" s="2369"/>
      <c r="S3" s="1681"/>
      <c r="T3" s="1744"/>
      <c r="U3" s="1744"/>
      <c r="V3" s="1744"/>
      <c r="W3" s="1744"/>
      <c r="X3" s="1744"/>
      <c r="Y3" s="1744"/>
      <c r="Z3" s="1744"/>
      <c r="AA3" s="1744"/>
      <c r="AB3" s="1744"/>
    </row>
    <row r="4" spans="1:30" ht="13.5" thickBot="1">
      <c r="A4" s="1089" t="s">
        <v>2169</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7"/>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5" thickTop="1">
      <c r="A5" s="2378" t="s">
        <v>2170</v>
      </c>
      <c r="B5" s="3479" t="s">
        <v>3386</v>
      </c>
      <c r="C5" s="2379"/>
      <c r="D5" s="2380"/>
      <c r="E5" s="2662"/>
      <c r="F5" s="2662"/>
      <c r="G5" s="2662"/>
      <c r="H5" s="2662"/>
      <c r="I5" s="2662"/>
      <c r="J5" s="2437"/>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2171</v>
      </c>
      <c r="B6" s="2382"/>
      <c r="C6" s="2383"/>
      <c r="D6" s="2384"/>
      <c r="E6" s="2660"/>
      <c r="F6" s="2662"/>
      <c r="G6" s="2662"/>
      <c r="H6" s="2662"/>
      <c r="I6" s="2662"/>
      <c r="J6" s="2437"/>
      <c r="K6" s="2613" t="str">
        <f>IF(COUNTIF(B6,"*上海银行*"),"上海银行","")</f>
        <v/>
      </c>
      <c r="L6" s="2611"/>
      <c r="M6" s="2611"/>
      <c r="N6" s="2437"/>
      <c r="O6" s="2448"/>
      <c r="P6" s="2437"/>
      <c r="Q6" s="2437"/>
      <c r="R6" s="2437"/>
    </row>
    <row r="7" spans="1:30">
      <c r="A7" s="2381" t="s">
        <v>2172</v>
      </c>
      <c r="B7" s="2385"/>
      <c r="C7" s="2383"/>
      <c r="D7" s="2384"/>
      <c r="E7" s="2660"/>
      <c r="F7" s="2662"/>
      <c r="G7" s="2662"/>
      <c r="H7" s="2662"/>
      <c r="I7" s="2662"/>
      <c r="J7" s="2437"/>
      <c r="K7" s="2614"/>
      <c r="L7" s="2611"/>
      <c r="M7" s="2611"/>
      <c r="N7" s="2437"/>
      <c r="O7" s="2448"/>
      <c r="P7" s="2437"/>
      <c r="Q7" s="2437"/>
      <c r="R7" s="2437"/>
    </row>
    <row r="8" spans="1:30">
      <c r="A8" s="2386" t="s">
        <v>2173</v>
      </c>
      <c r="B8" s="2387" t="s">
        <v>3387</v>
      </c>
      <c r="C8" s="2388"/>
      <c r="D8" s="3880" t="s">
        <v>2174</v>
      </c>
      <c r="E8" s="2389" t="s">
        <v>3388</v>
      </c>
      <c r="F8" s="2390"/>
      <c r="G8" s="2661"/>
      <c r="H8" s="2661"/>
      <c r="I8" s="2661"/>
      <c r="J8" s="2437"/>
      <c r="K8" s="2612"/>
      <c r="L8" s="2611"/>
      <c r="M8" s="2611"/>
      <c r="N8" s="2437"/>
      <c r="O8" s="2448"/>
      <c r="P8" s="2437"/>
      <c r="Q8" s="2437"/>
      <c r="R8" s="2437"/>
    </row>
    <row r="9" spans="1:30" ht="13.5" thickBot="1">
      <c r="A9" s="2391" t="s">
        <v>2175</v>
      </c>
      <c r="B9" s="2392" t="s">
        <v>3388</v>
      </c>
      <c r="C9" s="2393"/>
      <c r="D9" s="3881"/>
      <c r="E9" s="2392"/>
      <c r="F9" s="2394"/>
      <c r="G9" s="2663"/>
      <c r="H9" s="2663"/>
      <c r="I9" s="2663"/>
      <c r="J9" s="2437"/>
      <c r="K9" s="2614"/>
      <c r="L9" s="2611"/>
      <c r="M9" s="2611"/>
      <c r="N9" s="2437"/>
      <c r="O9" s="2448"/>
      <c r="P9" s="2437"/>
      <c r="Q9" s="2437"/>
      <c r="R9" s="2437"/>
    </row>
    <row r="10" spans="1:30" ht="13.5" thickTop="1">
      <c r="A10" s="2395" t="s">
        <v>2176</v>
      </c>
      <c r="B10" s="2396" t="s">
        <v>3389</v>
      </c>
      <c r="C10" s="2397"/>
      <c r="D10" s="2380"/>
      <c r="E10" s="2398" t="s">
        <v>2177</v>
      </c>
      <c r="F10" s="2664" t="s">
        <v>5102</v>
      </c>
      <c r="G10" s="2665"/>
      <c r="H10" s="2666"/>
      <c r="I10" s="2667"/>
      <c r="J10" s="2437"/>
      <c r="K10" s="2614"/>
      <c r="L10" s="2611"/>
      <c r="M10" s="2611"/>
      <c r="N10" s="2437"/>
      <c r="O10" s="2448"/>
      <c r="P10" s="2437"/>
      <c r="Q10" s="2437"/>
      <c r="R10" s="2437"/>
    </row>
    <row r="11" spans="1:30">
      <c r="A11" s="2399" t="s">
        <v>2178</v>
      </c>
      <c r="B11" s="2400" t="s">
        <v>3390</v>
      </c>
      <c r="C11" s="2401"/>
      <c r="D11" s="2402"/>
      <c r="E11" s="2369"/>
      <c r="F11" s="2369"/>
      <c r="G11" s="2369"/>
      <c r="H11" s="2369"/>
      <c r="I11" s="2369"/>
      <c r="J11" s="3059"/>
      <c r="K11" s="3058"/>
      <c r="L11" s="2611"/>
      <c r="M11" s="2611"/>
      <c r="N11" s="2437"/>
      <c r="O11" s="2448"/>
      <c r="P11" s="2437"/>
      <c r="Q11" s="2437"/>
      <c r="R11" s="2437"/>
    </row>
    <row r="12" spans="1:30">
      <c r="A12" s="2403" t="s">
        <v>2179</v>
      </c>
      <c r="B12" s="323" t="s">
        <v>2180</v>
      </c>
      <c r="C12" s="2404" t="s">
        <v>2181</v>
      </c>
      <c r="D12" s="2404" t="s">
        <v>2182</v>
      </c>
      <c r="E12" s="2404" t="s">
        <v>2183</v>
      </c>
      <c r="F12" s="2404" t="s">
        <v>2184</v>
      </c>
      <c r="G12" s="2404" t="s">
        <v>2185</v>
      </c>
      <c r="H12" s="2404" t="s">
        <v>2186</v>
      </c>
      <c r="I12" s="3057" t="s">
        <v>2575</v>
      </c>
      <c r="J12" s="3060"/>
      <c r="K12" s="2611"/>
      <c r="L12" s="2611"/>
      <c r="M12" s="2437"/>
      <c r="N12" s="2448"/>
      <c r="O12" s="2437"/>
      <c r="P12" s="2437"/>
      <c r="Q12" s="2437"/>
      <c r="AD12" s="1744"/>
    </row>
    <row r="13" spans="1:30">
      <c r="A13" s="3421" t="s">
        <v>3331</v>
      </c>
      <c r="B13" s="2405" t="s">
        <v>2187</v>
      </c>
      <c r="C13" s="855"/>
      <c r="D13" s="855">
        <v>54078</v>
      </c>
      <c r="E13" s="855">
        <v>54078</v>
      </c>
      <c r="F13" s="855">
        <v>54078</v>
      </c>
      <c r="G13" s="855"/>
      <c r="H13" s="855"/>
      <c r="I13" s="855"/>
      <c r="J13" s="3060"/>
      <c r="K13" s="2611"/>
      <c r="L13" s="2611"/>
      <c r="M13" s="2437"/>
      <c r="N13" s="2448"/>
      <c r="O13" s="2437"/>
      <c r="P13" s="2437"/>
      <c r="Q13" s="2437"/>
      <c r="AD13" s="1744"/>
    </row>
    <row r="14" spans="1:30">
      <c r="A14" s="1080"/>
      <c r="B14" s="2405" t="s">
        <v>2188</v>
      </c>
      <c r="C14" s="2406"/>
      <c r="D14" s="2406">
        <v>40</v>
      </c>
      <c r="E14" s="2406">
        <v>50</v>
      </c>
      <c r="F14" s="2406">
        <v>50</v>
      </c>
      <c r="G14" s="2406"/>
      <c r="H14" s="2406"/>
      <c r="I14" s="2406"/>
      <c r="J14" s="3061"/>
      <c r="K14" s="2611"/>
      <c r="L14" s="2611"/>
      <c r="M14" s="2437"/>
      <c r="N14" s="2448"/>
      <c r="O14" s="2437"/>
      <c r="P14" s="2437"/>
      <c r="Q14" s="2437"/>
      <c r="AD14" s="1744"/>
    </row>
    <row r="15" spans="1:30">
      <c r="A15" s="320"/>
      <c r="B15" s="2407" t="s">
        <v>2189</v>
      </c>
      <c r="C15" s="2408" t="str">
        <f>IF(A13="出让",IF(C13="","",ROUNDDOWN(MIN((C13-$D$3)/365,C14),2)),C14)</f>
        <v/>
      </c>
      <c r="D15" s="2408">
        <f>IF(A13="出让",IF(D13="","",ROUNDDOWN(MIN((D13-$D$3)/365,D14),2)),D14)</f>
        <v>23.29</v>
      </c>
      <c r="E15" s="2408">
        <f>IF(A13="出让",IF(E13="","",ROUNDDOWN(MIN((E13-$D$3)/365,E14),2)),E14)</f>
        <v>23.29</v>
      </c>
      <c r="F15" s="2408">
        <f>IF(A13="出让",IF(F13="","",ROUNDDOWN(MIN((F13-$D$3)/365,F14),2)),F14)</f>
        <v>23.29</v>
      </c>
      <c r="G15" s="2408" t="str">
        <f>IF(A13="出让",IF(G13="","",ROUNDDOWN(MIN((G13-$D$3)/365,G14),2)),G14)</f>
        <v/>
      </c>
      <c r="H15" s="2408" t="str">
        <f>IF(A13="出让",IF(H13="","",ROUNDDOWN(MIN((H13-$D$3)/365,H14),2)),H14)</f>
        <v/>
      </c>
      <c r="I15" s="2408" t="str">
        <f>IF(A13="出让",IF(I13="","",ROUNDDOWN(MIN((I13-$D$3)/365,I14),2)),I14)</f>
        <v/>
      </c>
      <c r="J15" s="3062"/>
      <c r="K15" s="2449"/>
      <c r="L15" s="2449"/>
      <c r="M15" s="2507"/>
      <c r="N15" s="2449"/>
      <c r="O15" s="2507"/>
      <c r="P15" s="2437"/>
      <c r="Q15" s="2437"/>
      <c r="AD15" s="1744"/>
    </row>
    <row r="16" spans="1:30">
      <c r="A16" s="2398" t="s">
        <v>2190</v>
      </c>
      <c r="B16" s="3887"/>
      <c r="C16" s="3888"/>
      <c r="D16" s="3889"/>
      <c r="E16" s="2411" t="s">
        <v>2191</v>
      </c>
      <c r="F16" s="3890"/>
      <c r="G16" s="3891"/>
      <c r="H16" s="3891"/>
      <c r="I16" s="3892"/>
      <c r="J16" s="2437"/>
      <c r="K16" s="2615"/>
      <c r="L16" s="2449"/>
      <c r="M16" s="2449"/>
      <c r="N16" s="2507"/>
      <c r="O16" s="2449"/>
      <c r="P16" s="2507"/>
      <c r="Q16" s="2437"/>
      <c r="R16" s="2437"/>
    </row>
    <row r="17" spans="1:28">
      <c r="A17" s="313" t="s">
        <v>2192</v>
      </c>
      <c r="B17" s="302" t="s">
        <v>2193</v>
      </c>
      <c r="C17" s="8">
        <f>'数据-汇总表'!E3</f>
        <v>34111.17</v>
      </c>
      <c r="D17" s="2321" t="s">
        <v>2194</v>
      </c>
      <c r="E17" s="3893" t="s">
        <v>2195</v>
      </c>
      <c r="F17" s="3894"/>
      <c r="G17" s="3894"/>
      <c r="H17" s="3894"/>
      <c r="I17" s="3895"/>
      <c r="J17" s="2437"/>
      <c r="K17" s="2616"/>
      <c r="L17" s="2449"/>
      <c r="M17" s="2449"/>
      <c r="N17" s="2507"/>
      <c r="O17" s="2449"/>
      <c r="P17" s="2507"/>
      <c r="Q17" s="2437"/>
      <c r="R17" s="2437"/>
      <c r="S17" s="2437"/>
      <c r="T17" s="2437"/>
      <c r="U17" s="2437"/>
      <c r="V17" s="2437"/>
    </row>
    <row r="18" spans="1:28" ht="24.75" thickBot="1">
      <c r="A18" s="2412" t="s">
        <v>2196</v>
      </c>
      <c r="B18" s="1089" t="s">
        <v>2197</v>
      </c>
      <c r="C18" s="2413">
        <f>'数据-汇总表'!D3</f>
        <v>3697.41</v>
      </c>
      <c r="D18" s="1091" t="s">
        <v>2198</v>
      </c>
      <c r="E18" s="3896" t="s">
        <v>2199</v>
      </c>
      <c r="F18" s="3897"/>
      <c r="G18" s="3897"/>
      <c r="H18" s="3897"/>
      <c r="I18" s="3898"/>
      <c r="J18" s="2437"/>
      <c r="K18" s="2616"/>
      <c r="L18" s="2449"/>
      <c r="M18" s="2449"/>
      <c r="N18" s="2507"/>
      <c r="O18" s="2449"/>
      <c r="P18" s="2507"/>
      <c r="Q18" s="2437"/>
      <c r="R18" s="2437"/>
      <c r="S18" s="2437"/>
      <c r="T18" s="2437"/>
      <c r="U18" s="2437"/>
      <c r="V18" s="2437"/>
    </row>
    <row r="19" spans="1:28" ht="37.5" thickTop="1" thickBot="1">
      <c r="A19" s="327" t="s">
        <v>1053</v>
      </c>
      <c r="B19" s="307" t="s">
        <v>2200</v>
      </c>
      <c r="C19" s="1562"/>
      <c r="D19" s="1563" t="s">
        <v>2201</v>
      </c>
      <c r="E19" s="1564"/>
      <c r="F19" s="1565" t="str">
        <f>IF(AND(C19="是",E19="否"),"是否提供他项权证或相关说明","")</f>
        <v/>
      </c>
      <c r="G19" s="1566"/>
      <c r="H19" s="2662"/>
      <c r="I19" s="2662"/>
      <c r="J19" s="2437"/>
      <c r="K19" s="2614"/>
      <c r="L19" s="2611"/>
      <c r="M19" s="2611"/>
      <c r="N19" s="2507"/>
      <c r="O19" s="2449"/>
      <c r="P19" s="2507"/>
      <c r="Q19" s="2437"/>
      <c r="R19" s="2437"/>
      <c r="S19" s="2437"/>
      <c r="T19" s="2437"/>
      <c r="U19" s="2437"/>
      <c r="V19" s="2437"/>
    </row>
    <row r="20" spans="1:28">
      <c r="A20" s="2630" t="s">
        <v>2202</v>
      </c>
      <c r="B20" s="3883" t="s">
        <v>2203</v>
      </c>
      <c r="C20" s="3884"/>
      <c r="D20" s="3885" t="s">
        <v>2204</v>
      </c>
      <c r="E20" s="3886"/>
      <c r="F20" s="2645" t="s">
        <v>1054</v>
      </c>
      <c r="G20" s="2662"/>
      <c r="H20" s="2662"/>
      <c r="I20" s="2662"/>
      <c r="J20" s="2437"/>
      <c r="K20" s="3882" t="s">
        <v>2205</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10"/>
      <c r="O20" s="2409"/>
      <c r="P20" s="2410"/>
      <c r="Q20" s="2369"/>
      <c r="R20" s="2369"/>
      <c r="S20" s="2369"/>
      <c r="T20" s="2369"/>
      <c r="U20" s="2369"/>
      <c r="V20" s="2369"/>
      <c r="W20" s="1744"/>
      <c r="X20" s="1744"/>
      <c r="Y20" s="1744"/>
      <c r="Z20" s="1744"/>
      <c r="AA20" s="1744"/>
      <c r="AB20" s="1744"/>
    </row>
    <row r="21" spans="1:28" ht="24.75" thickBot="1">
      <c r="A21" s="2630"/>
      <c r="B21" s="2631" t="s">
        <v>2206</v>
      </c>
      <c r="C21" s="2632" t="s">
        <v>1055</v>
      </c>
      <c r="D21" s="1567" t="s">
        <v>2207</v>
      </c>
      <c r="E21" s="2633" t="s">
        <v>1055</v>
      </c>
      <c r="F21" s="2646"/>
      <c r="G21" s="2662"/>
      <c r="H21" s="2662"/>
      <c r="I21" s="2662"/>
      <c r="J21" s="2437"/>
      <c r="K21" s="3882"/>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0"/>
      <c r="O21" s="2409"/>
      <c r="P21" s="2410"/>
      <c r="Q21" s="2369"/>
      <c r="R21" s="2369"/>
      <c r="S21" s="2369"/>
      <c r="T21" s="2369"/>
      <c r="U21" s="2369"/>
      <c r="V21" s="2369"/>
      <c r="W21" s="1744"/>
      <c r="X21" s="1744"/>
      <c r="Y21" s="1744"/>
      <c r="Z21" s="1744"/>
      <c r="AA21" s="1744"/>
      <c r="AB21" s="1744"/>
    </row>
    <row r="22" spans="1:28" ht="24.75" thickBot="1">
      <c r="A22" s="2630"/>
      <c r="B22" s="2634" t="s">
        <v>2208</v>
      </c>
      <c r="C22" s="2632" t="s">
        <v>1056</v>
      </c>
      <c r="D22" s="2661"/>
      <c r="E22" s="2661"/>
      <c r="F22" s="2661"/>
      <c r="G22" s="2662"/>
      <c r="H22" s="2662"/>
      <c r="I22" s="2662"/>
      <c r="J22" s="2437"/>
      <c r="K22" s="3882"/>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0"/>
      <c r="O22" s="2409"/>
      <c r="P22" s="2410"/>
      <c r="Q22" s="2369"/>
      <c r="R22" s="2369"/>
      <c r="S22" s="2369"/>
      <c r="T22" s="2369"/>
      <c r="U22" s="2369"/>
      <c r="V22" s="2369"/>
      <c r="W22" s="1744"/>
      <c r="X22" s="1744"/>
      <c r="Y22" s="1744"/>
      <c r="Z22" s="1744"/>
      <c r="AA22" s="1744"/>
      <c r="AB22" s="1744"/>
    </row>
    <row r="23" spans="1:28">
      <c r="A23" s="2635" t="s">
        <v>2209</v>
      </c>
      <c r="B23" s="2500" t="s">
        <v>2210</v>
      </c>
      <c r="C23" s="2636"/>
      <c r="D23" s="2637" t="s">
        <v>2210</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1057</v>
      </c>
      <c r="C24" s="2639"/>
      <c r="D24" s="2635" t="s">
        <v>1057</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1058</v>
      </c>
      <c r="C25" s="2639"/>
      <c r="D25" s="2635" t="s">
        <v>1058</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1059</v>
      </c>
      <c r="C26" s="2643"/>
      <c r="D26" s="2641" t="s">
        <v>1059</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900" t="s">
        <v>2211</v>
      </c>
      <c r="B27" s="320" t="s">
        <v>2212</v>
      </c>
      <c r="C27" s="2414" t="s">
        <v>3391</v>
      </c>
      <c r="D27" s="2415"/>
      <c r="E27" s="2662"/>
      <c r="F27" s="2662"/>
      <c r="G27" s="2662"/>
      <c r="H27" s="2662"/>
      <c r="I27" s="2662"/>
      <c r="J27" s="2437"/>
      <c r="K27" s="2615"/>
      <c r="L27" s="2449"/>
      <c r="M27" s="2449"/>
      <c r="N27" s="2507"/>
      <c r="O27" s="2449"/>
      <c r="P27" s="2507"/>
      <c r="Q27" s="2437"/>
      <c r="R27" s="2437"/>
      <c r="S27" s="2437"/>
      <c r="T27" s="2437"/>
      <c r="U27" s="2437"/>
      <c r="V27" s="2437"/>
    </row>
    <row r="28" spans="1:28">
      <c r="A28" s="3900"/>
      <c r="B28" s="302" t="s">
        <v>2213</v>
      </c>
      <c r="C28" s="2416" t="s">
        <v>3392</v>
      </c>
      <c r="D28" s="2417"/>
      <c r="E28" s="2662"/>
      <c r="F28" s="2662"/>
      <c r="G28" s="2662"/>
      <c r="H28" s="2662"/>
      <c r="I28" s="2662"/>
      <c r="J28" s="2437"/>
      <c r="K28" s="2614"/>
      <c r="L28" s="2611"/>
      <c r="M28" s="2611"/>
      <c r="N28" s="2437"/>
      <c r="O28" s="2448"/>
      <c r="P28" s="2437"/>
      <c r="Q28" s="2437"/>
      <c r="R28" s="2437"/>
      <c r="S28" s="2437"/>
      <c r="T28" s="2437"/>
      <c r="U28" s="2437"/>
      <c r="V28" s="2437"/>
    </row>
    <row r="29" spans="1:28">
      <c r="A29" s="3900"/>
      <c r="B29" s="302" t="s">
        <v>2214</v>
      </c>
      <c r="C29" s="2418" t="s">
        <v>3393</v>
      </c>
      <c r="D29" s="2419"/>
      <c r="E29" s="2662"/>
      <c r="F29" s="2662"/>
      <c r="G29" s="2662"/>
      <c r="H29" s="2662"/>
      <c r="I29" s="2662"/>
      <c r="J29" s="2437"/>
      <c r="K29" s="2614"/>
      <c r="L29" s="2611"/>
      <c r="M29" s="2611"/>
      <c r="N29" s="2437"/>
      <c r="O29" s="2448"/>
      <c r="P29" s="2437"/>
      <c r="Q29" s="2437"/>
      <c r="R29" s="2437"/>
      <c r="S29" s="2437"/>
      <c r="T29" s="2437"/>
      <c r="U29" s="2437"/>
      <c r="V29" s="2437"/>
    </row>
    <row r="30" spans="1:28">
      <c r="A30" s="3901"/>
      <c r="B30" s="302" t="s">
        <v>2215</v>
      </c>
      <c r="C30" s="3902"/>
      <c r="D30" s="3903"/>
      <c r="E30" s="2662"/>
      <c r="F30" s="2662"/>
      <c r="G30" s="2662"/>
      <c r="H30" s="2662"/>
      <c r="I30" s="2662"/>
      <c r="J30" s="2437"/>
      <c r="K30" s="2614"/>
      <c r="L30" s="2611"/>
      <c r="M30" s="2611"/>
      <c r="N30" s="2437"/>
      <c r="O30" s="2448"/>
      <c r="P30" s="2437"/>
      <c r="Q30" s="2437"/>
      <c r="R30" s="2437"/>
      <c r="S30" s="2437"/>
      <c r="T30" s="2437"/>
      <c r="U30" s="2437"/>
      <c r="V30" s="2437"/>
    </row>
    <row r="31" spans="1:28">
      <c r="A31" s="3904" t="s">
        <v>2216</v>
      </c>
      <c r="B31" s="2420" t="s">
        <v>3394</v>
      </c>
      <c r="C31" s="2322" t="str">
        <f>IF(B31="现房","成新及维护状况正常否",IF(B31="在建","工程状态是否正常",IF(B31="土地","是否闲置","-")))</f>
        <v>成新及维护状况正常否</v>
      </c>
      <c r="D31" s="1372"/>
      <c r="E31" s="2421"/>
      <c r="F31" s="2662"/>
      <c r="G31" s="2662"/>
      <c r="H31" s="2662"/>
      <c r="I31" s="2662"/>
      <c r="J31" s="2437"/>
      <c r="K31" s="2613"/>
      <c r="L31" s="2611"/>
      <c r="M31" s="2611"/>
      <c r="N31" s="2437"/>
      <c r="O31" s="2448"/>
      <c r="P31" s="2437"/>
      <c r="Q31" s="2437"/>
      <c r="R31" s="2437"/>
      <c r="S31" s="2437"/>
      <c r="T31" s="2437"/>
      <c r="U31" s="2437"/>
      <c r="V31" s="2437"/>
    </row>
    <row r="32" spans="1:28">
      <c r="A32" s="3905"/>
      <c r="B32" s="2420"/>
      <c r="C32" s="2322" t="str">
        <f>IF(B32="现房","成新及维护状况是否正常",IF(B32="在建","工程状态是否正常",IF(B32="土地","是否闲置","-")))</f>
        <v>-</v>
      </c>
      <c r="D32" s="1372"/>
      <c r="E32" s="2421"/>
      <c r="F32" s="2662"/>
      <c r="G32" s="2662"/>
      <c r="H32" s="2662"/>
      <c r="I32" s="2662"/>
      <c r="J32" s="2437"/>
      <c r="K32" s="2614"/>
      <c r="L32" s="2611"/>
      <c r="M32" s="2611"/>
      <c r="N32" s="2437"/>
      <c r="O32" s="2448"/>
      <c r="P32" s="2437"/>
      <c r="Q32" s="2437"/>
      <c r="R32" s="2437"/>
      <c r="S32" s="2437"/>
      <c r="T32" s="2437"/>
      <c r="U32" s="2437"/>
      <c r="V32" s="2437"/>
    </row>
    <row r="33" spans="1:30">
      <c r="A33" s="3905"/>
      <c r="B33" s="2423"/>
      <c r="C33" s="1589" t="str">
        <f>IF(B33="现房","成新及维护状况是否正常",IF(B33="在建","工程状态是否正常",IF(B33="土地","是否闲置","-")))</f>
        <v>-</v>
      </c>
      <c r="D33" s="1364"/>
      <c r="E33" s="2424"/>
      <c r="F33" s="2662"/>
      <c r="G33" s="2662"/>
      <c r="H33" s="2662"/>
      <c r="I33" s="2662"/>
      <c r="J33" s="2437"/>
      <c r="K33" s="2614"/>
      <c r="L33" s="2611"/>
      <c r="M33" s="2611"/>
      <c r="N33" s="2437"/>
      <c r="O33" s="2448"/>
      <c r="P33" s="2437"/>
      <c r="Q33" s="2437"/>
      <c r="R33" s="2437"/>
      <c r="S33" s="2437"/>
      <c r="T33" s="2437"/>
      <c r="U33" s="2437"/>
      <c r="V33" s="2437"/>
    </row>
    <row r="34" spans="1:30">
      <c r="A34" s="302" t="s">
        <v>2217</v>
      </c>
      <c r="B34" s="2025"/>
      <c r="C34" s="2025"/>
      <c r="D34" s="2025"/>
      <c r="E34" s="2025"/>
      <c r="F34" s="2025"/>
      <c r="G34" s="2025"/>
      <c r="H34" s="2025"/>
      <c r="I34" s="2662"/>
      <c r="J34" s="2437"/>
      <c r="K34" s="2425">
        <f>COUNTIF(B34:H34,"——")</f>
        <v>0</v>
      </c>
      <c r="L34" s="323" t="s">
        <v>2218</v>
      </c>
      <c r="M34" s="323" t="s">
        <v>2219</v>
      </c>
      <c r="N34" s="323" t="s">
        <v>2220</v>
      </c>
      <c r="O34" s="323" t="s">
        <v>2221</v>
      </c>
      <c r="P34" s="323" t="s">
        <v>2222</v>
      </c>
      <c r="Q34" s="323" t="s">
        <v>2223</v>
      </c>
      <c r="R34" s="323" t="s">
        <v>2224</v>
      </c>
      <c r="S34" s="3899" t="s">
        <v>2225</v>
      </c>
      <c r="T34" s="2426" t="str">
        <f>NUMBERSTRING(7-K34,1)&amp;"通"</f>
        <v>七通</v>
      </c>
      <c r="U34" s="2437"/>
      <c r="V34" s="2437"/>
    </row>
    <row r="35" spans="1:30">
      <c r="A35" s="2427"/>
      <c r="B35" s="3906" t="s">
        <v>2226</v>
      </c>
      <c r="C35" s="3906"/>
      <c r="D35" s="3906"/>
      <c r="E35" s="3906"/>
      <c r="F35" s="663">
        <f>C10</f>
        <v>0</v>
      </c>
      <c r="G35" s="2662"/>
      <c r="H35" s="2662"/>
      <c r="I35" s="2662"/>
      <c r="J35" s="2437"/>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899"/>
      <c r="T35" s="329" t="str">
        <f>IF(T34="一通",L35,IF(T34="二通",M35,IF(T34="三通",N35,IF(T34="四通",O35,IF(T34="五通",P35,IF(T34="六通",Q35,R35))))))</f>
        <v>、、、、、、</v>
      </c>
      <c r="U35" s="2437"/>
      <c r="V35" s="2437"/>
    </row>
    <row r="36" spans="1:30">
      <c r="A36" s="2428"/>
      <c r="B36" s="663" t="s">
        <v>2182</v>
      </c>
      <c r="C36" s="663" t="s">
        <v>2183</v>
      </c>
      <c r="D36" s="663" t="s">
        <v>2181</v>
      </c>
      <c r="E36" s="663" t="s">
        <v>2186</v>
      </c>
      <c r="F36" s="3063" t="s">
        <v>2578</v>
      </c>
      <c r="G36" s="2662"/>
      <c r="H36" s="2662"/>
      <c r="I36" s="2662"/>
      <c r="J36" s="2437"/>
      <c r="K36" s="2614"/>
      <c r="L36" s="2611"/>
      <c r="M36" s="2611"/>
      <c r="N36" s="2437"/>
      <c r="O36" s="2448"/>
      <c r="P36" s="2437"/>
      <c r="Q36" s="2437"/>
      <c r="R36" s="2437"/>
      <c r="S36" s="2437"/>
      <c r="T36" s="2437"/>
      <c r="U36" s="2437"/>
      <c r="V36" s="2437"/>
    </row>
    <row r="37" spans="1:30">
      <c r="A37" s="2628" t="s">
        <v>2227</v>
      </c>
      <c r="B37" s="2429"/>
      <c r="C37" s="2429" t="s">
        <v>184</v>
      </c>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2228</v>
      </c>
      <c r="B38" s="2430"/>
      <c r="C38" s="2430" t="s">
        <v>146</v>
      </c>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2229</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69"/>
      <c r="B40" s="2369"/>
      <c r="C40" s="2369"/>
      <c r="D40" s="2369"/>
      <c r="E40" s="2369"/>
      <c r="F40" s="2369"/>
      <c r="G40" s="2369"/>
      <c r="H40" s="2369"/>
      <c r="I40" s="1577"/>
      <c r="J40" s="2507"/>
      <c r="K40" s="2613"/>
      <c r="L40" s="2449"/>
      <c r="M40" s="2449"/>
      <c r="N40" s="2507"/>
      <c r="O40" s="2449"/>
      <c r="P40" s="2437"/>
      <c r="Q40" s="2437"/>
      <c r="R40" s="2437"/>
      <c r="S40" s="2437"/>
      <c r="T40" s="2437"/>
      <c r="U40" s="2437"/>
      <c r="V40" s="2437"/>
    </row>
    <row r="41" spans="1:30">
      <c r="A41" s="2434" t="s">
        <v>2230</v>
      </c>
      <c r="B41" s="1756"/>
      <c r="C41" s="1372"/>
      <c r="D41" s="2369"/>
      <c r="E41" s="2369"/>
      <c r="F41" s="2369"/>
      <c r="G41" s="2369"/>
      <c r="H41" s="2369"/>
      <c r="I41" s="1575"/>
      <c r="J41" s="2437"/>
      <c r="K41" s="2614"/>
      <c r="L41" s="2611"/>
      <c r="M41" s="2611"/>
      <c r="N41" s="2437"/>
      <c r="O41" s="2448"/>
      <c r="P41" s="2437"/>
      <c r="Q41" s="2437"/>
      <c r="R41" s="2437"/>
      <c r="S41" s="2437"/>
      <c r="T41" s="2437"/>
      <c r="U41" s="2437"/>
      <c r="V41" s="2437"/>
    </row>
    <row r="42" spans="1:30" ht="25.5">
      <c r="A42" s="323" t="s">
        <v>2231</v>
      </c>
      <c r="B42" s="8" t="s">
        <v>2232</v>
      </c>
      <c r="C42" s="8" t="s">
        <v>2233</v>
      </c>
      <c r="D42" s="8" t="s">
        <v>2234</v>
      </c>
      <c r="E42" s="8" t="s">
        <v>2235</v>
      </c>
      <c r="F42" s="8" t="s">
        <v>2236</v>
      </c>
      <c r="G42" s="8" t="s">
        <v>2237</v>
      </c>
      <c r="H42" s="8" t="s">
        <v>2238</v>
      </c>
      <c r="I42" s="8" t="s">
        <v>2239</v>
      </c>
      <c r="J42" s="2624" t="s">
        <v>2240</v>
      </c>
      <c r="K42" s="2625" t="s">
        <v>2241</v>
      </c>
      <c r="L42" s="2625" t="s">
        <v>2242</v>
      </c>
      <c r="M42" s="2625" t="s">
        <v>2243</v>
      </c>
      <c r="N42" s="2618" t="s">
        <v>2244</v>
      </c>
      <c r="O42" s="2618" t="s">
        <v>2245</v>
      </c>
      <c r="P42" s="2618" t="s">
        <v>2246</v>
      </c>
      <c r="Q42" s="2619" t="s">
        <v>2247</v>
      </c>
      <c r="R42" s="2619" t="s">
        <v>2248</v>
      </c>
      <c r="S42" s="2437"/>
      <c r="T42" s="2437"/>
      <c r="U42" s="2437"/>
      <c r="V42" s="2437"/>
    </row>
    <row r="43" spans="1:30" s="1742" customFormat="1">
      <c r="A43" s="1569"/>
      <c r="B43" s="1050"/>
      <c r="C43" s="1050"/>
      <c r="D43" s="1050"/>
      <c r="E43" s="1050"/>
      <c r="F43" s="1050"/>
      <c r="G43" s="1050"/>
      <c r="H43" s="1050"/>
      <c r="I43" s="1050"/>
      <c r="J43" s="2435"/>
      <c r="K43" s="2436"/>
      <c r="L43" s="2436"/>
      <c r="M43" s="1050"/>
      <c r="N43" s="1050"/>
      <c r="O43" s="1050"/>
      <c r="P43" s="1050"/>
      <c r="Q43" s="1050"/>
      <c r="R43" s="1050"/>
      <c r="S43" s="2437"/>
      <c r="T43" s="2437"/>
      <c r="U43" s="2437"/>
      <c r="V43" s="2437"/>
    </row>
    <row r="44" spans="1:30" s="1742" customFormat="1">
      <c r="A44" s="1569"/>
      <c r="B44" s="1569"/>
      <c r="C44" s="1050"/>
      <c r="D44" s="1050"/>
      <c r="E44" s="1050"/>
      <c r="F44" s="1050"/>
      <c r="G44" s="1050"/>
      <c r="H44" s="1050"/>
      <c r="I44" s="1050"/>
      <c r="J44" s="2435"/>
      <c r="K44" s="2436"/>
      <c r="L44" s="2436"/>
      <c r="M44" s="1050"/>
      <c r="N44" s="1050"/>
      <c r="O44" s="1050"/>
      <c r="P44" s="1050"/>
      <c r="Q44" s="1050"/>
      <c r="R44" s="1050"/>
      <c r="S44" s="2437"/>
      <c r="T44" s="2437"/>
      <c r="U44" s="2437"/>
      <c r="V44" s="2437"/>
    </row>
    <row r="45" spans="1:30" s="1742" customFormat="1">
      <c r="A45" s="1569"/>
      <c r="B45" s="1569"/>
      <c r="C45" s="1050"/>
      <c r="D45" s="1050"/>
      <c r="E45" s="1050"/>
      <c r="F45" s="1050"/>
      <c r="G45" s="1050"/>
      <c r="H45" s="1050"/>
      <c r="I45" s="1050"/>
      <c r="J45" s="2435"/>
      <c r="K45" s="2436"/>
      <c r="L45" s="2436"/>
      <c r="M45" s="1050"/>
      <c r="N45" s="1050"/>
      <c r="O45" s="1050"/>
      <c r="P45" s="1050"/>
      <c r="Q45" s="1050"/>
      <c r="R45" s="1050"/>
      <c r="S45" s="2437"/>
      <c r="T45" s="2437"/>
      <c r="U45" s="2437"/>
      <c r="V45" s="2437"/>
    </row>
    <row r="46" spans="1:30" s="1742" customFormat="1">
      <c r="A46" s="1569"/>
      <c r="B46" s="1569"/>
      <c r="C46" s="1050"/>
      <c r="D46" s="1050"/>
      <c r="E46" s="1050"/>
      <c r="F46" s="1050"/>
      <c r="G46" s="1050"/>
      <c r="H46" s="1050"/>
      <c r="I46" s="1050"/>
      <c r="J46" s="2435"/>
      <c r="K46" s="2436"/>
      <c r="L46" s="2436"/>
      <c r="M46" s="1050"/>
      <c r="N46" s="1050"/>
      <c r="O46" s="1050"/>
      <c r="P46" s="1050"/>
      <c r="Q46" s="1050"/>
      <c r="R46" s="1050"/>
      <c r="S46" s="2437"/>
      <c r="T46" s="2437"/>
      <c r="U46" s="2437"/>
      <c r="V46" s="2437"/>
    </row>
    <row r="47" spans="1:30" s="1742" customFormat="1">
      <c r="A47" s="1569"/>
      <c r="B47" s="1569"/>
      <c r="C47" s="1050"/>
      <c r="D47" s="1050"/>
      <c r="E47" s="1050"/>
      <c r="F47" s="1050"/>
      <c r="G47" s="1050"/>
      <c r="H47" s="1050"/>
      <c r="I47" s="1050"/>
      <c r="J47" s="2435"/>
      <c r="K47" s="2436"/>
      <c r="L47" s="2436"/>
      <c r="M47" s="1050"/>
      <c r="N47" s="1050"/>
      <c r="O47" s="1050"/>
      <c r="P47" s="1050"/>
      <c r="Q47" s="1050"/>
      <c r="R47" s="1050"/>
      <c r="S47" s="2437"/>
      <c r="T47" s="2437"/>
      <c r="U47" s="2437"/>
      <c r="V47" s="2437"/>
    </row>
    <row r="48" spans="1:30" s="1742" customFormat="1">
      <c r="A48" s="1569"/>
      <c r="B48" s="1569"/>
      <c r="C48" s="1050"/>
      <c r="D48" s="1050"/>
      <c r="E48" s="1050"/>
      <c r="F48" s="1050"/>
      <c r="G48" s="1050"/>
      <c r="H48" s="1050"/>
      <c r="I48" s="1050"/>
      <c r="J48" s="2435"/>
      <c r="K48" s="2436"/>
      <c r="L48" s="2436"/>
      <c r="M48" s="1050"/>
      <c r="N48" s="1050"/>
      <c r="O48" s="1050"/>
      <c r="P48" s="1050"/>
      <c r="Q48" s="1050"/>
      <c r="R48" s="1050"/>
      <c r="S48" s="2437"/>
      <c r="T48" s="2437"/>
      <c r="U48" s="2437"/>
      <c r="V48" s="2437"/>
    </row>
    <row r="49" spans="1:22" s="1742" customFormat="1">
      <c r="A49" s="1569"/>
      <c r="B49" s="1569"/>
      <c r="C49" s="1050"/>
      <c r="D49" s="1050"/>
      <c r="E49" s="1050"/>
      <c r="F49" s="1050"/>
      <c r="G49" s="1050"/>
      <c r="H49" s="1050"/>
      <c r="I49" s="1050"/>
      <c r="J49" s="2435"/>
      <c r="K49" s="2436"/>
      <c r="L49" s="2436"/>
      <c r="M49" s="1050"/>
      <c r="N49" s="1050"/>
      <c r="O49" s="1050"/>
      <c r="P49" s="1050"/>
      <c r="Q49" s="1050"/>
      <c r="R49" s="1050"/>
      <c r="S49" s="2437"/>
      <c r="T49" s="2437"/>
      <c r="U49" s="2437"/>
      <c r="V49" s="2437"/>
    </row>
    <row r="50" spans="1:22" s="1742" customFormat="1">
      <c r="A50" s="1569"/>
      <c r="B50" s="1569"/>
      <c r="C50" s="1050"/>
      <c r="D50" s="1050"/>
      <c r="E50" s="1050"/>
      <c r="F50" s="1050"/>
      <c r="G50" s="1050"/>
      <c r="H50" s="1050"/>
      <c r="I50" s="1050"/>
      <c r="J50" s="2435"/>
      <c r="K50" s="2436"/>
      <c r="L50" s="2436"/>
      <c r="M50" s="1050"/>
      <c r="N50" s="1050"/>
      <c r="O50" s="1050"/>
      <c r="P50" s="1050"/>
      <c r="Q50" s="1050"/>
      <c r="R50" s="1050"/>
      <c r="S50" s="2437"/>
      <c r="T50" s="2437"/>
      <c r="U50" s="2437"/>
      <c r="V50" s="2437"/>
    </row>
    <row r="51" spans="1:22" s="1742" customFormat="1">
      <c r="A51" s="1569"/>
      <c r="B51" s="1569"/>
      <c r="C51" s="1050"/>
      <c r="D51" s="1050"/>
      <c r="E51" s="1050"/>
      <c r="F51" s="1050"/>
      <c r="G51" s="1050"/>
      <c r="H51" s="1050"/>
      <c r="I51" s="1050"/>
      <c r="J51" s="2435"/>
      <c r="K51" s="2436"/>
      <c r="L51" s="2436"/>
      <c r="M51" s="1050"/>
      <c r="N51" s="1050"/>
      <c r="O51" s="1050"/>
      <c r="P51" s="1050"/>
      <c r="Q51" s="1050"/>
      <c r="R51" s="1050"/>
    </row>
    <row r="52" spans="1:22" s="1742" customFormat="1">
      <c r="A52" s="1569"/>
      <c r="B52" s="1569"/>
      <c r="C52" s="1569"/>
      <c r="D52" s="1569"/>
      <c r="E52" s="1569"/>
      <c r="F52" s="1050"/>
      <c r="G52" s="1569"/>
      <c r="H52" s="1569"/>
      <c r="I52" s="1569"/>
      <c r="J52" s="2438"/>
      <c r="K52" s="2436"/>
      <c r="L52" s="2436"/>
      <c r="M52" s="2436"/>
      <c r="N52" s="1569"/>
      <c r="O52" s="1569"/>
      <c r="P52" s="1569"/>
      <c r="Q52" s="1569"/>
      <c r="R52" s="1569"/>
    </row>
    <row r="53" spans="1:22" s="1742" customFormat="1">
      <c r="A53" s="1569"/>
      <c r="B53" s="1569"/>
      <c r="C53" s="1569"/>
      <c r="D53" s="1569"/>
      <c r="E53" s="1569"/>
      <c r="F53" s="1050"/>
      <c r="G53" s="1569"/>
      <c r="H53" s="1569"/>
      <c r="I53" s="1569"/>
      <c r="J53" s="2438"/>
      <c r="K53" s="2436"/>
      <c r="L53" s="2436"/>
      <c r="M53" s="2436"/>
      <c r="N53" s="1569"/>
      <c r="O53" s="1569"/>
      <c r="P53" s="1569"/>
      <c r="Q53" s="1569"/>
      <c r="R53" s="1569"/>
    </row>
    <row r="54" spans="1:22" s="1742" customFormat="1">
      <c r="A54" s="1569"/>
      <c r="B54" s="1569"/>
      <c r="C54" s="1569"/>
      <c r="D54" s="1569"/>
      <c r="E54" s="1569"/>
      <c r="F54" s="1050"/>
      <c r="G54" s="1569"/>
      <c r="H54" s="1569"/>
      <c r="I54" s="1569"/>
      <c r="J54" s="2438"/>
      <c r="K54" s="2436"/>
      <c r="L54" s="2436"/>
      <c r="M54" s="2436"/>
      <c r="N54" s="1569"/>
      <c r="O54" s="1569"/>
      <c r="P54" s="1569"/>
      <c r="Q54" s="1569"/>
      <c r="R54" s="1569"/>
    </row>
    <row r="55" spans="1:22" s="1742" customFormat="1">
      <c r="A55" s="1569"/>
      <c r="B55" s="1569"/>
      <c r="C55" s="1569"/>
      <c r="D55" s="1569"/>
      <c r="E55" s="1569"/>
      <c r="F55" s="1050"/>
      <c r="G55" s="1569"/>
      <c r="H55" s="1569"/>
      <c r="I55" s="1569"/>
      <c r="J55" s="2438"/>
      <c r="K55" s="2436"/>
      <c r="L55" s="2436"/>
      <c r="M55" s="2436"/>
      <c r="N55" s="1569"/>
      <c r="O55" s="1569"/>
      <c r="P55" s="1569"/>
      <c r="Q55" s="1569"/>
      <c r="R55" s="1569"/>
    </row>
    <row r="56" spans="1:22" s="1742" customFormat="1">
      <c r="A56" s="1569"/>
      <c r="B56" s="1569"/>
      <c r="C56" s="1569"/>
      <c r="D56" s="1569"/>
      <c r="E56" s="1569"/>
      <c r="F56" s="1050"/>
      <c r="G56" s="1569"/>
      <c r="H56" s="1569"/>
      <c r="I56" s="1569"/>
      <c r="J56" s="2438"/>
      <c r="K56" s="2436"/>
      <c r="L56" s="2436"/>
      <c r="M56" s="2436"/>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1065</v>
      </c>
      <c r="AZ2" s="1048"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f>抵押物清单!I16</f>
        <v>3697.41</v>
      </c>
      <c r="B3" s="11">
        <f>IF(C3="否",G5-AT5,G5)</f>
        <v>34111.17</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34111.17</v>
      </c>
      <c r="H5" s="13">
        <f t="shared" ref="H5:AT5" si="0">SUM(H13:H656)</f>
        <v>34111.17</v>
      </c>
      <c r="I5" s="13">
        <f t="shared" si="0"/>
        <v>28350.240000000002</v>
      </c>
      <c r="J5" s="13">
        <f t="shared" si="0"/>
        <v>0</v>
      </c>
      <c r="K5" s="13">
        <f t="shared" si="0"/>
        <v>5760.93</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34111.17</v>
      </c>
      <c r="BA5" s="15">
        <f t="shared" si="1"/>
        <v>34111.17</v>
      </c>
      <c r="BB5" s="15">
        <f t="shared" si="1"/>
        <v>28350.240000000002</v>
      </c>
      <c r="BC5" s="15">
        <f t="shared" si="1"/>
        <v>5760.93</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3697.41</v>
      </c>
      <c r="F6" s="13" t="s">
        <v>0</v>
      </c>
      <c r="G6" s="13" t="s">
        <v>1</v>
      </c>
      <c r="H6" s="17">
        <f>SUMIF(I$12:AB$12,"总值",I6:AB6)</f>
        <v>3697.41</v>
      </c>
      <c r="I6" s="13">
        <f t="shared" ref="I6:AB6" si="2">ROUND($A$3*I5/$B$3,2)</f>
        <v>3072.97</v>
      </c>
      <c r="J6" s="13">
        <f t="shared" si="2"/>
        <v>0</v>
      </c>
      <c r="K6" s="13">
        <f t="shared" si="2"/>
        <v>624.44000000000005</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3697.41</v>
      </c>
      <c r="AZ6" s="13" t="s">
        <v>2</v>
      </c>
      <c r="BA6" s="13">
        <f>ROUND($AY$6*BA5/$AZ$5,2)</f>
        <v>3697.41</v>
      </c>
      <c r="BB6" s="13">
        <f>ROUND($AY$6*BB5/$AZ$5,2)</f>
        <v>3072.97</v>
      </c>
      <c r="BC6" s="13">
        <f t="shared" ref="BC6:BH6" si="4">ROUND($AY$6*BC5/$AZ$5,2)</f>
        <v>624.44000000000005</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8" t="s">
        <v>1084</v>
      </c>
      <c r="AD8" s="1599"/>
      <c r="AE8" s="1591"/>
      <c r="AF8" s="1359"/>
      <c r="AG8" s="1359"/>
      <c r="AH8" s="1359"/>
      <c r="AI8" s="1359"/>
      <c r="AJ8" s="1359"/>
      <c r="AK8" s="1359"/>
      <c r="AL8" s="1359"/>
      <c r="AM8" s="1359"/>
      <c r="AN8" s="1359"/>
      <c r="AO8" s="1359"/>
      <c r="AP8" s="1359"/>
      <c r="AQ8" s="1359"/>
      <c r="AR8" s="1359"/>
      <c r="AS8" s="1359"/>
      <c r="AT8" s="1069" t="s">
        <v>1085</v>
      </c>
      <c r="AU8" s="1593" t="s">
        <v>1086</v>
      </c>
      <c r="AV8" s="1069"/>
      <c r="AW8" s="1576"/>
      <c r="AX8" s="1069"/>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1089</v>
      </c>
      <c r="I9" s="1602" t="s">
        <v>3396</v>
      </c>
      <c r="J9" s="808"/>
      <c r="K9" s="1602" t="s">
        <v>3397</v>
      </c>
      <c r="L9" s="808"/>
      <c r="M9" s="1602"/>
      <c r="N9" s="808"/>
      <c r="O9" s="1602"/>
      <c r="P9" s="808"/>
      <c r="Q9" s="1602"/>
      <c r="R9" s="808"/>
      <c r="S9" s="1602"/>
      <c r="T9" s="808"/>
      <c r="U9" s="1602"/>
      <c r="V9" s="808"/>
      <c r="W9" s="1602"/>
      <c r="X9" s="1603"/>
      <c r="Y9" s="1602"/>
      <c r="Z9" s="808"/>
      <c r="AA9" s="1602"/>
      <c r="AB9" s="808"/>
      <c r="AC9" s="1594" t="s">
        <v>1089</v>
      </c>
      <c r="AD9" s="12" t="s">
        <v>1090</v>
      </c>
      <c r="AE9" s="1075"/>
      <c r="AF9" s="12" t="s">
        <v>1091</v>
      </c>
      <c r="AG9" s="1075"/>
      <c r="AH9" s="12" t="s">
        <v>1090</v>
      </c>
      <c r="AI9" s="1075"/>
      <c r="AJ9" s="12" t="s">
        <v>1091</v>
      </c>
      <c r="AK9" s="1075"/>
      <c r="AL9" s="12" t="s">
        <v>1090</v>
      </c>
      <c r="AM9" s="1075"/>
      <c r="AN9" s="12" t="s">
        <v>1091</v>
      </c>
      <c r="AO9" s="1075"/>
      <c r="AP9" s="12" t="s">
        <v>1090</v>
      </c>
      <c r="AQ9" s="1075"/>
      <c r="AR9" s="12" t="s">
        <v>1091</v>
      </c>
      <c r="AS9" s="1604"/>
      <c r="AT9" s="1593"/>
      <c r="AU9" s="1593" t="s">
        <v>1092</v>
      </c>
      <c r="AV9" s="1069"/>
      <c r="AW9" s="1576"/>
      <c r="AX9" s="1069"/>
      <c r="AY9" s="25"/>
      <c r="AZ9" s="25" t="s">
        <v>1082</v>
      </c>
      <c r="BA9" s="1605" t="s">
        <v>1093</v>
      </c>
      <c r="BB9" s="1606"/>
      <c r="BC9" s="1087"/>
      <c r="BD9" s="1087"/>
      <c r="BE9" s="1087"/>
      <c r="BF9" s="1087"/>
      <c r="BG9" s="1087"/>
      <c r="BH9" s="1087"/>
      <c r="BI9" s="1087"/>
      <c r="BJ9" s="1087"/>
      <c r="BK9" s="1607"/>
      <c r="BL9" s="12" t="s">
        <v>1094</v>
      </c>
      <c r="BM9" s="1359"/>
      <c r="BN9" s="1596"/>
      <c r="BO9" s="1359"/>
      <c r="BP9" s="1359"/>
      <c r="BQ9" s="1359"/>
      <c r="BR9" s="1359"/>
      <c r="BS9" s="1359"/>
      <c r="BT9" s="23"/>
    </row>
    <row r="10" spans="1:72" s="1600" customFormat="1" ht="12.75">
      <c r="A10" s="1593"/>
      <c r="B10" s="1593"/>
      <c r="C10" s="1593"/>
      <c r="D10" s="1593"/>
      <c r="E10" s="1593"/>
      <c r="F10" s="1593"/>
      <c r="G10" s="1069"/>
      <c r="H10" s="25"/>
      <c r="I10" s="1602" t="s">
        <v>21</v>
      </c>
      <c r="J10" s="808"/>
      <c r="K10" s="1608" t="s">
        <v>3398</v>
      </c>
      <c r="L10" s="808"/>
      <c r="M10" s="1608"/>
      <c r="N10" s="808"/>
      <c r="O10" s="1608"/>
      <c r="P10" s="808"/>
      <c r="Q10" s="1608"/>
      <c r="R10" s="808"/>
      <c r="S10" s="1608"/>
      <c r="T10" s="808"/>
      <c r="U10" s="1608"/>
      <c r="V10" s="808"/>
      <c r="W10" s="1608"/>
      <c r="X10" s="808"/>
      <c r="Y10" s="1608"/>
      <c r="Z10" s="808"/>
      <c r="AA10" s="1608"/>
      <c r="AB10" s="808"/>
      <c r="AC10" s="1069"/>
      <c r="AD10" s="12" t="s">
        <v>1095</v>
      </c>
      <c r="AE10" s="1609"/>
      <c r="AF10" s="12" t="s">
        <v>1095</v>
      </c>
      <c r="AG10" s="1609"/>
      <c r="AH10" s="12" t="s">
        <v>1096</v>
      </c>
      <c r="AI10" s="1609"/>
      <c r="AJ10" s="12" t="s">
        <v>1096</v>
      </c>
      <c r="AK10" s="1609"/>
      <c r="AL10" s="12" t="s">
        <v>1097</v>
      </c>
      <c r="AM10" s="1075"/>
      <c r="AN10" s="12" t="s">
        <v>1097</v>
      </c>
      <c r="AO10" s="1075"/>
      <c r="AP10" s="12" t="s">
        <v>1098</v>
      </c>
      <c r="AQ10" s="1075"/>
      <c r="AR10" s="12" t="s">
        <v>1098</v>
      </c>
      <c r="AS10" s="1075"/>
      <c r="AT10" s="1593"/>
      <c r="AU10" s="1593"/>
      <c r="AV10" s="1069"/>
      <c r="AW10" s="1576"/>
      <c r="AX10" s="1069"/>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t="s">
        <v>3332</v>
      </c>
      <c r="L11" s="1614"/>
      <c r="M11" s="1613"/>
      <c r="N11" s="1614"/>
      <c r="O11" s="1613"/>
      <c r="P11" s="1614"/>
      <c r="Q11" s="1613"/>
      <c r="R11" s="1614"/>
      <c r="S11" s="1613"/>
      <c r="T11" s="1614"/>
      <c r="U11" s="1613"/>
      <c r="V11" s="1614"/>
      <c r="W11" s="1613"/>
      <c r="X11" s="1614"/>
      <c r="Y11" s="1613"/>
      <c r="Z11" s="1614"/>
      <c r="AA11" s="1613"/>
      <c r="AB11" s="1614"/>
      <c r="AC11" s="1069"/>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69"/>
      <c r="AW11" s="1576"/>
      <c r="AX11" s="1069"/>
      <c r="AY11" s="25"/>
      <c r="AZ11" s="25"/>
      <c r="BA11" s="25"/>
      <c r="BB11" s="1598" t="str">
        <f>I10</f>
        <v>办公</v>
      </c>
      <c r="BC11" s="1598" t="str">
        <f>K10</f>
        <v>车库—办公</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t="str">
        <f>K11</f>
        <v>车库</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t="s">
        <v>3442</v>
      </c>
      <c r="D13" s="1624" t="s">
        <v>3395</v>
      </c>
      <c r="E13" s="13">
        <f>IF($C$3="是",ROUND($A$3*G13/$B$3,2),ROUND($A$3*(G13-AT13)/$B$3,2))</f>
        <v>1031.18</v>
      </c>
      <c r="F13" s="29"/>
      <c r="G13" s="30">
        <f>H13+AC13+AT13</f>
        <v>9513.32</v>
      </c>
      <c r="H13" s="17">
        <f>SUMIF(I$12:AB$12,"总值",I13:AB13)</f>
        <v>9513.32</v>
      </c>
      <c r="I13" s="1625">
        <f>抵押物清单!H4</f>
        <v>3752.39</v>
      </c>
      <c r="J13" s="1625"/>
      <c r="K13" s="1625">
        <f>抵押物清单!H9</f>
        <v>5760.93</v>
      </c>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t="str">
        <f t="shared" si="6"/>
        <v>7层</v>
      </c>
      <c r="AY13" s="1348">
        <f>ROUND($AY$6*AZ13/$AZ$5,2)</f>
        <v>1031.18</v>
      </c>
      <c r="AZ13" s="13">
        <f>BA13+BL13</f>
        <v>9513.32</v>
      </c>
      <c r="BA13" s="13">
        <f>SUM(BB13:BK13)</f>
        <v>9513.32</v>
      </c>
      <c r="BB13" s="13">
        <f>IF($D13="是",I13-J13,0)</f>
        <v>3752.39</v>
      </c>
      <c r="BC13" s="13">
        <f>IF($D13="是",K13-L13,0)</f>
        <v>5760.93</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3484" t="s">
        <v>3444</v>
      </c>
      <c r="D14" s="1624" t="s">
        <v>3395</v>
      </c>
      <c r="E14" s="13">
        <f>IF($C$3="是",ROUND($A$3*G14/$B$3,2),ROUND($A$3*(G14-AT14)/$B$3,2))</f>
        <v>2666.23</v>
      </c>
      <c r="F14" s="29"/>
      <c r="G14" s="30">
        <f>H14+AC14+AT14</f>
        <v>24597.850000000002</v>
      </c>
      <c r="H14" s="17">
        <f>SUMIF(I$12:AB$12,"总值",I14:AB14)</f>
        <v>24597.850000000002</v>
      </c>
      <c r="I14" s="1625">
        <f>抵押物清单!H5+抵押物清单!H6+抵押物清单!H7+抵押物清单!H8+抵押物清单!H11+抵押物清单!H12+抵押物清单!H13+抵押物清单!H15</f>
        <v>24597.850000000002</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t="str">
        <f t="shared" si="6"/>
        <v>其余办公</v>
      </c>
      <c r="AY14" s="1348">
        <f>ROUND($AY$6*AZ14/$AZ$5,2)</f>
        <v>2666.23</v>
      </c>
      <c r="AZ14" s="13">
        <f>BA14+BL14</f>
        <v>24597.850000000002</v>
      </c>
      <c r="BA14" s="13">
        <f>SUM(BB14:BK14)</f>
        <v>24597.850000000002</v>
      </c>
      <c r="BB14" s="13">
        <f>IF($D14="是",I14-J14,0)</f>
        <v>24597.850000000002</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9"/>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9"/>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N20"/>
  <sheetViews>
    <sheetView workbookViewId="0">
      <selection activeCell="H24" sqref="H24"/>
    </sheetView>
  </sheetViews>
  <sheetFormatPr defaultRowHeight="13.5"/>
  <cols>
    <col min="1" max="1" width="9" style="3252"/>
    <col min="2" max="2" width="26.875" style="3252" customWidth="1"/>
    <col min="3" max="3" width="28.25" style="3252" customWidth="1"/>
    <col min="4" max="4" width="10.625" style="3252" customWidth="1"/>
    <col min="5" max="5" width="10.25" style="3252" customWidth="1"/>
    <col min="6" max="6" width="9" style="3252"/>
    <col min="7" max="7" width="12.25" style="3252" customWidth="1"/>
    <col min="8" max="8" width="10.5" style="3252" customWidth="1"/>
    <col min="9" max="9" width="14.625" style="3252" customWidth="1"/>
    <col min="10" max="11" width="9" style="3252"/>
    <col min="12" max="12" width="7.375" style="3252" customWidth="1"/>
    <col min="13" max="16384" width="9" style="3252"/>
  </cols>
  <sheetData>
    <row r="3" spans="1:14">
      <c r="A3" s="3481" t="s">
        <v>3429</v>
      </c>
      <c r="B3" s="3481" t="s">
        <v>3399</v>
      </c>
      <c r="C3" s="3481" t="s">
        <v>3401</v>
      </c>
      <c r="D3" s="3481" t="s">
        <v>3403</v>
      </c>
      <c r="E3" s="3481" t="s">
        <v>3409</v>
      </c>
      <c r="F3" s="3481" t="s">
        <v>3404</v>
      </c>
      <c r="G3" s="3481" t="s">
        <v>3405</v>
      </c>
      <c r="H3" s="3481" t="s">
        <v>3406</v>
      </c>
      <c r="I3" s="3481" t="s">
        <v>3407</v>
      </c>
      <c r="J3" s="3481" t="s">
        <v>3408</v>
      </c>
      <c r="K3" s="3481" t="s">
        <v>3419</v>
      </c>
    </row>
    <row r="4" spans="1:14">
      <c r="A4" s="3910" t="s">
        <v>3493</v>
      </c>
      <c r="B4" s="3913" t="s">
        <v>3400</v>
      </c>
      <c r="C4" s="3913" t="s">
        <v>3402</v>
      </c>
      <c r="D4" s="3916">
        <v>1</v>
      </c>
      <c r="E4" s="3913" t="s">
        <v>3410</v>
      </c>
      <c r="F4" s="3481" t="s">
        <v>3411</v>
      </c>
      <c r="G4" s="3481" t="s">
        <v>3420</v>
      </c>
      <c r="H4" s="3482">
        <v>3752.39</v>
      </c>
      <c r="I4" s="3922">
        <v>1957.24</v>
      </c>
      <c r="J4" s="3481" t="s">
        <v>3417</v>
      </c>
      <c r="K4" s="3482"/>
    </row>
    <row r="5" spans="1:14">
      <c r="A5" s="3911"/>
      <c r="B5" s="3914"/>
      <c r="C5" s="3914"/>
      <c r="D5" s="3917"/>
      <c r="E5" s="3914"/>
      <c r="F5" s="3481" t="s">
        <v>3412</v>
      </c>
      <c r="G5" s="3481" t="s">
        <v>3421</v>
      </c>
      <c r="H5" s="3482">
        <v>3272.56</v>
      </c>
      <c r="I5" s="3922"/>
      <c r="J5" s="3481" t="s">
        <v>3417</v>
      </c>
      <c r="K5" s="3482"/>
    </row>
    <row r="6" spans="1:14">
      <c r="A6" s="3911"/>
      <c r="B6" s="3914"/>
      <c r="C6" s="3914"/>
      <c r="D6" s="3917"/>
      <c r="E6" s="3914"/>
      <c r="F6" s="3481" t="s">
        <v>3413</v>
      </c>
      <c r="G6" s="3481" t="s">
        <v>3422</v>
      </c>
      <c r="H6" s="3482">
        <v>1972.79</v>
      </c>
      <c r="I6" s="3922"/>
      <c r="J6" s="3481" t="s">
        <v>3417</v>
      </c>
      <c r="K6" s="3482"/>
    </row>
    <row r="7" spans="1:14">
      <c r="A7" s="3911"/>
      <c r="B7" s="3914"/>
      <c r="C7" s="3914"/>
      <c r="D7" s="3917"/>
      <c r="E7" s="3914"/>
      <c r="F7" s="3481" t="s">
        <v>3414</v>
      </c>
      <c r="G7" s="3481" t="s">
        <v>3423</v>
      </c>
      <c r="H7" s="3482">
        <v>1660.81</v>
      </c>
      <c r="I7" s="3922"/>
      <c r="J7" s="3481" t="s">
        <v>3417</v>
      </c>
      <c r="K7" s="3482"/>
    </row>
    <row r="8" spans="1:14">
      <c r="A8" s="3911"/>
      <c r="B8" s="3914"/>
      <c r="C8" s="3914"/>
      <c r="D8" s="3917"/>
      <c r="E8" s="3914"/>
      <c r="F8" s="3481" t="s">
        <v>3415</v>
      </c>
      <c r="G8" s="3481" t="s">
        <v>3424</v>
      </c>
      <c r="H8" s="3482">
        <v>1637.44</v>
      </c>
      <c r="I8" s="3922"/>
      <c r="J8" s="3481" t="s">
        <v>3417</v>
      </c>
      <c r="K8" s="3482"/>
      <c r="M8" s="3480" t="s">
        <v>3443</v>
      </c>
    </row>
    <row r="9" spans="1:14">
      <c r="A9" s="3911"/>
      <c r="B9" s="3915"/>
      <c r="C9" s="3915"/>
      <c r="D9" s="3918"/>
      <c r="E9" s="3915"/>
      <c r="F9" s="3481" t="s">
        <v>3416</v>
      </c>
      <c r="G9" s="3481" t="s">
        <v>3425</v>
      </c>
      <c r="H9" s="3482">
        <v>5760.93</v>
      </c>
      <c r="I9" s="3922"/>
      <c r="J9" s="3481" t="s">
        <v>3418</v>
      </c>
      <c r="K9" s="3482">
        <v>65</v>
      </c>
      <c r="L9" s="3252">
        <f>ROUND(H9/K9,2)</f>
        <v>88.63</v>
      </c>
      <c r="M9" s="3252">
        <v>5907.11</v>
      </c>
      <c r="N9" s="3252">
        <f>M9-H9</f>
        <v>146.17999999999938</v>
      </c>
    </row>
    <row r="10" spans="1:14">
      <c r="A10" s="3911"/>
      <c r="B10" s="3919" t="s">
        <v>3426</v>
      </c>
      <c r="C10" s="3920"/>
      <c r="D10" s="3920"/>
      <c r="E10" s="3920"/>
      <c r="F10" s="3920"/>
      <c r="G10" s="3921"/>
      <c r="H10" s="3483">
        <f>SUM(H4:H9)</f>
        <v>18056.919999999998</v>
      </c>
      <c r="I10" s="3483">
        <v>1957.24</v>
      </c>
      <c r="J10" s="3483" t="s">
        <v>3441</v>
      </c>
      <c r="K10" s="3483" t="s">
        <v>3441</v>
      </c>
    </row>
    <row r="11" spans="1:14">
      <c r="A11" s="3911"/>
      <c r="B11" s="3913" t="s">
        <v>3427</v>
      </c>
      <c r="C11" s="3913" t="s">
        <v>3484</v>
      </c>
      <c r="D11" s="3916">
        <v>1</v>
      </c>
      <c r="E11" s="3913" t="s">
        <v>3430</v>
      </c>
      <c r="F11" s="3481" t="s">
        <v>3431</v>
      </c>
      <c r="G11" s="3481" t="s">
        <v>3434</v>
      </c>
      <c r="H11" s="3482">
        <v>2371.92</v>
      </c>
      <c r="I11" s="3916">
        <v>1330.21</v>
      </c>
      <c r="J11" s="3481" t="s">
        <v>3417</v>
      </c>
      <c r="K11" s="3482"/>
    </row>
    <row r="12" spans="1:14">
      <c r="A12" s="3911"/>
      <c r="B12" s="3914"/>
      <c r="C12" s="3914"/>
      <c r="D12" s="3917"/>
      <c r="E12" s="3914"/>
      <c r="F12" s="3481" t="s">
        <v>3432</v>
      </c>
      <c r="G12" s="3481" t="s">
        <v>3435</v>
      </c>
      <c r="H12" s="3482">
        <v>2335.88</v>
      </c>
      <c r="I12" s="3917"/>
      <c r="J12" s="3481" t="s">
        <v>3417</v>
      </c>
      <c r="K12" s="3482"/>
    </row>
    <row r="13" spans="1:14">
      <c r="A13" s="3911"/>
      <c r="B13" s="3915"/>
      <c r="C13" s="3915"/>
      <c r="D13" s="3918"/>
      <c r="E13" s="3915"/>
      <c r="F13" s="3481" t="s">
        <v>3433</v>
      </c>
      <c r="G13" s="3481" t="s">
        <v>3436</v>
      </c>
      <c r="H13" s="3482">
        <v>7564.3</v>
      </c>
      <c r="I13" s="3918"/>
      <c r="J13" s="3481" t="s">
        <v>3417</v>
      </c>
      <c r="K13" s="3482"/>
    </row>
    <row r="14" spans="1:14">
      <c r="A14" s="3911"/>
      <c r="B14" s="3919" t="s">
        <v>3426</v>
      </c>
      <c r="C14" s="3920"/>
      <c r="D14" s="3920"/>
      <c r="E14" s="3920"/>
      <c r="F14" s="3920"/>
      <c r="G14" s="3921"/>
      <c r="H14" s="3483">
        <f>SUM(H11:H13)</f>
        <v>12272.1</v>
      </c>
      <c r="I14" s="3483">
        <v>1330.21</v>
      </c>
      <c r="J14" s="3483" t="s">
        <v>3441</v>
      </c>
      <c r="K14" s="3483" t="s">
        <v>3441</v>
      </c>
    </row>
    <row r="15" spans="1:14">
      <c r="A15" s="3911"/>
      <c r="B15" s="3481" t="s">
        <v>3438</v>
      </c>
      <c r="C15" s="3481" t="s">
        <v>3428</v>
      </c>
      <c r="D15" s="3482">
        <v>1</v>
      </c>
      <c r="E15" s="3481" t="s">
        <v>3430</v>
      </c>
      <c r="F15" s="3481" t="s">
        <v>3439</v>
      </c>
      <c r="G15" s="3481" t="s">
        <v>3440</v>
      </c>
      <c r="H15" s="3483">
        <v>3782.15</v>
      </c>
      <c r="I15" s="3483">
        <f>1740.17-I14</f>
        <v>409.96000000000004</v>
      </c>
      <c r="J15" s="3481" t="s">
        <v>3417</v>
      </c>
      <c r="K15" s="3482"/>
    </row>
    <row r="16" spans="1:14">
      <c r="A16" s="3912"/>
      <c r="B16" s="3907" t="s">
        <v>3437</v>
      </c>
      <c r="C16" s="3908"/>
      <c r="D16" s="3908"/>
      <c r="E16" s="3908"/>
      <c r="F16" s="3908"/>
      <c r="G16" s="3909"/>
      <c r="H16" s="3485">
        <f>H10+H14+H15</f>
        <v>34111.17</v>
      </c>
      <c r="I16" s="3485">
        <f>I10+I14+I15</f>
        <v>3697.41</v>
      </c>
      <c r="J16" s="3481" t="s">
        <v>3441</v>
      </c>
      <c r="K16" s="3481" t="s">
        <v>3441</v>
      </c>
    </row>
    <row r="18" spans="7:9">
      <c r="I18" s="3480"/>
    </row>
    <row r="20" spans="7:9">
      <c r="G20" s="3252">
        <v>34111.17</v>
      </c>
    </row>
  </sheetData>
  <mergeCells count="14">
    <mergeCell ref="I11:I13"/>
    <mergeCell ref="I4:I9"/>
    <mergeCell ref="B4:B9"/>
    <mergeCell ref="C4:C9"/>
    <mergeCell ref="D4:D9"/>
    <mergeCell ref="E4:E9"/>
    <mergeCell ref="B10:G10"/>
    <mergeCell ref="B16:G16"/>
    <mergeCell ref="A4:A16"/>
    <mergeCell ref="B11:B13"/>
    <mergeCell ref="C11:C13"/>
    <mergeCell ref="D11:D13"/>
    <mergeCell ref="E11:E13"/>
    <mergeCell ref="B14:G14"/>
  </mergeCells>
  <phoneticPr fontId="134"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12" sqref="G12"/>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7"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8"/>
      <c r="C1" s="1138"/>
      <c r="D1" s="1138"/>
      <c r="E1" s="1138"/>
      <c r="F1" s="1138"/>
      <c r="G1" s="1138"/>
      <c r="H1" s="1138"/>
      <c r="I1" s="1138"/>
      <c r="J1" s="1138"/>
      <c r="K1" s="1138"/>
      <c r="L1" s="1138"/>
      <c r="M1" s="1138"/>
      <c r="N1" s="1138"/>
      <c r="O1" s="1138"/>
      <c r="P1" s="1138"/>
    </row>
    <row r="2" spans="1:16" ht="15">
      <c r="A2" s="3932" t="s">
        <v>1129</v>
      </c>
      <c r="B2" s="3932"/>
      <c r="C2" s="3932"/>
      <c r="D2" s="795" t="s">
        <v>1105</v>
      </c>
      <c r="E2" s="1638" t="s">
        <v>1106</v>
      </c>
      <c r="F2" s="2657"/>
      <c r="G2" s="2648"/>
      <c r="H2" s="2649"/>
      <c r="I2" s="2324" t="s">
        <v>1130</v>
      </c>
      <c r="J2" s="2657"/>
      <c r="K2" s="2657"/>
      <c r="L2" s="2657"/>
      <c r="M2" s="2657"/>
      <c r="N2" s="2659"/>
      <c r="O2" s="2657"/>
      <c r="P2" s="2657"/>
    </row>
    <row r="3" spans="1:16" ht="15.75" thickBot="1">
      <c r="A3" s="3933" t="s">
        <v>1103</v>
      </c>
      <c r="B3" s="3933"/>
      <c r="C3" s="3933"/>
      <c r="D3" s="43">
        <f>'数据-基础表'!AY6</f>
        <v>3697.41</v>
      </c>
      <c r="E3" s="43">
        <f>'数据-基础表'!AZ5</f>
        <v>34111.17</v>
      </c>
      <c r="F3" s="2657"/>
      <c r="G3" s="1144"/>
      <c r="H3" s="1025" t="s">
        <v>1104</v>
      </c>
      <c r="I3" s="854">
        <f>ROUND('数据-基础表'!B3/'数据-基础表'!A3,2)</f>
        <v>9.23</v>
      </c>
      <c r="J3" s="2657"/>
      <c r="K3" s="2657"/>
      <c r="L3" s="2657"/>
      <c r="M3" s="2657"/>
      <c r="N3" s="2659"/>
      <c r="O3" s="2657"/>
      <c r="P3" s="2657"/>
    </row>
    <row r="4" spans="1:16" ht="15">
      <c r="A4" s="3934"/>
      <c r="B4" s="3935"/>
      <c r="C4" s="3936"/>
      <c r="D4" s="1640" t="s">
        <v>1105</v>
      </c>
      <c r="E4" s="1641" t="s">
        <v>1106</v>
      </c>
      <c r="F4" s="2657"/>
      <c r="G4" s="2650" t="s">
        <v>1131</v>
      </c>
      <c r="H4" s="1025" t="s">
        <v>1111</v>
      </c>
      <c r="I4" s="854">
        <f>ROUND(SUMIF('数据-基础表'!I9:AS9,"地上",'数据-基础表'!I5:AS5)/'数据-基础表'!A3,2)</f>
        <v>7.67</v>
      </c>
      <c r="J4" s="2657"/>
      <c r="K4" s="2657"/>
      <c r="L4" s="2657"/>
      <c r="M4" s="2657"/>
      <c r="N4" s="2659"/>
      <c r="O4" s="2657"/>
      <c r="P4" s="2657"/>
    </row>
    <row r="5" spans="1:16">
      <c r="A5" s="44" t="s">
        <v>1107</v>
      </c>
      <c r="B5" s="3937" t="s">
        <v>1108</v>
      </c>
      <c r="C5" s="3937"/>
      <c r="D5" s="45">
        <f>ROUND($D$3*E5/$E$3,2)</f>
        <v>0</v>
      </c>
      <c r="E5" s="46">
        <f>SUMIF('数据-基础表'!$11:$11,"住宅",'数据-基础表'!$5:$5)</f>
        <v>0</v>
      </c>
      <c r="F5" s="2657"/>
      <c r="G5" s="1144"/>
      <c r="H5" s="1025" t="s">
        <v>1104</v>
      </c>
      <c r="I5" s="854">
        <f>ROUND(E31/D31,2)</f>
        <v>9.23</v>
      </c>
      <c r="J5" s="2657"/>
      <c r="K5" s="2657"/>
      <c r="L5" s="2657"/>
      <c r="M5" s="2657"/>
      <c r="N5" s="2657"/>
      <c r="O5" s="2657"/>
      <c r="P5" s="2657"/>
    </row>
    <row r="6" spans="1:16" ht="15" thickBot="1">
      <c r="A6" s="1643"/>
      <c r="B6" s="3937" t="s">
        <v>1109</v>
      </c>
      <c r="C6" s="3937"/>
      <c r="D6" s="45">
        <f>ROUND($D$3*E6/$E$3,2)</f>
        <v>3697.41</v>
      </c>
      <c r="E6" s="46">
        <f>E3-E5</f>
        <v>34111.17</v>
      </c>
      <c r="F6" s="2657"/>
      <c r="G6" s="2651" t="s">
        <v>1110</v>
      </c>
      <c r="H6" s="1145" t="s">
        <v>1111</v>
      </c>
      <c r="I6" s="2652">
        <f>ROUND(F31/D31,2)</f>
        <v>7.67</v>
      </c>
      <c r="J6" s="2657"/>
      <c r="K6" s="2657"/>
      <c r="L6" s="2657"/>
      <c r="M6" s="2657"/>
      <c r="N6" s="2657"/>
      <c r="O6" s="2657"/>
      <c r="P6" s="2657"/>
    </row>
    <row r="7" spans="1:16" ht="15.75" thickBot="1">
      <c r="A7" s="3929"/>
      <c r="B7" s="3930"/>
      <c r="C7" s="3931"/>
      <c r="D7" s="1640" t="s">
        <v>1105</v>
      </c>
      <c r="E7" s="1644" t="s">
        <v>1112</v>
      </c>
      <c r="F7" s="2657"/>
      <c r="G7" s="2653" t="s">
        <v>1113</v>
      </c>
      <c r="H7" s="2654"/>
      <c r="I7" s="2655">
        <v>3.5</v>
      </c>
      <c r="J7" s="2657"/>
      <c r="K7" s="2657"/>
      <c r="L7" s="2657"/>
      <c r="M7" s="2657"/>
      <c r="N7" s="2657"/>
      <c r="O7" s="2657"/>
      <c r="P7" s="2657"/>
    </row>
    <row r="8" spans="1:16">
      <c r="A8" s="44" t="s">
        <v>1114</v>
      </c>
      <c r="B8" s="47" t="s">
        <v>1115</v>
      </c>
      <c r="C8" s="45" t="s">
        <v>1116</v>
      </c>
      <c r="D8" s="45">
        <f t="shared" ref="D8:D15" si="0">ROUND($D$3*E8/$E$3,2)</f>
        <v>3072.97</v>
      </c>
      <c r="E8" s="48">
        <f>SUMIF('数据-基础表'!BB10:BK10,"地上",'数据-基础表'!BB5:BK5)</f>
        <v>28350.240000000002</v>
      </c>
      <c r="F8" s="2657"/>
      <c r="G8" s="2658"/>
      <c r="H8" s="2658"/>
      <c r="I8" s="2657"/>
      <c r="J8" s="2657"/>
      <c r="K8" s="2657"/>
      <c r="L8" s="2657"/>
      <c r="M8" s="2657"/>
      <c r="N8" s="2657"/>
      <c r="O8" s="2657"/>
      <c r="P8" s="2657"/>
    </row>
    <row r="9" spans="1:16">
      <c r="A9" s="1645"/>
      <c r="B9" s="1646"/>
      <c r="C9" s="45" t="s">
        <v>1117</v>
      </c>
      <c r="D9" s="45">
        <f t="shared" si="0"/>
        <v>0</v>
      </c>
      <c r="E9" s="49">
        <v>0</v>
      </c>
      <c r="F9" s="2657"/>
      <c r="G9" s="2658"/>
      <c r="H9" s="2658"/>
      <c r="I9" s="2657"/>
      <c r="J9" s="2657"/>
      <c r="K9" s="2657"/>
      <c r="L9" s="2657"/>
      <c r="M9" s="2657"/>
      <c r="N9" s="2657"/>
      <c r="O9" s="2657"/>
      <c r="P9" s="2657"/>
    </row>
    <row r="10" spans="1:16">
      <c r="A10" s="1645"/>
      <c r="B10" s="1646"/>
      <c r="C10" s="45" t="s">
        <v>1126</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5"/>
      <c r="B11" s="1646"/>
      <c r="C11" s="45" t="s">
        <v>1118</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5"/>
      <c r="B12" s="1646"/>
      <c r="C12" s="45" t="s">
        <v>1119</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5"/>
      <c r="B13" s="1646"/>
      <c r="C13" s="45" t="s">
        <v>1120</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5"/>
      <c r="B14" s="1646"/>
      <c r="C14" s="45" t="s">
        <v>1132</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5"/>
      <c r="B15" s="1646"/>
      <c r="C15" s="45" t="s">
        <v>1127</v>
      </c>
      <c r="D15" s="45">
        <f t="shared" si="0"/>
        <v>624.44000000000005</v>
      </c>
      <c r="E15" s="48">
        <f>SUMPRODUCT(('数据-基础表'!BB10:BK10="地下")*('数据-基础表'!BB11:BK11="车库—办公")*('数据-基础表'!BB5:BK5))</f>
        <v>5760.93</v>
      </c>
      <c r="F15" s="2657"/>
      <c r="G15" s="2658"/>
      <c r="H15" s="2658"/>
      <c r="I15" s="2657"/>
      <c r="J15" s="2657"/>
      <c r="K15" s="2657"/>
      <c r="L15" s="2657"/>
      <c r="M15" s="2657"/>
      <c r="N15" s="2657"/>
      <c r="O15" s="2657"/>
      <c r="P15" s="2657"/>
    </row>
    <row r="16" spans="1:16" ht="15.75" thickBot="1">
      <c r="A16" s="1643"/>
      <c r="B16" s="1646"/>
      <c r="C16" s="47" t="s">
        <v>1121</v>
      </c>
      <c r="D16" s="47">
        <f>SUM(D8:D15)</f>
        <v>3697.41</v>
      </c>
      <c r="E16" s="50">
        <f>SUM(E8:E15)</f>
        <v>34111.17</v>
      </c>
      <c r="F16" s="2657"/>
      <c r="G16" s="2658"/>
      <c r="H16" s="1647" t="s">
        <v>1133</v>
      </c>
      <c r="I16" s="1648"/>
      <c r="J16" s="1138"/>
      <c r="K16" s="3926" t="s">
        <v>1133</v>
      </c>
      <c r="L16" s="3927"/>
      <c r="M16" s="3927"/>
      <c r="N16" s="3927"/>
      <c r="O16" s="3927"/>
      <c r="P16" s="3928"/>
    </row>
    <row r="17" spans="1:19" ht="15">
      <c r="A17" s="1649" t="s">
        <v>1134</v>
      </c>
      <c r="B17" s="1650" t="s">
        <v>1135</v>
      </c>
      <c r="C17" s="1651" t="s">
        <v>1136</v>
      </c>
      <c r="D17" s="1652" t="s">
        <v>1124</v>
      </c>
      <c r="E17" s="1653" t="s">
        <v>1125</v>
      </c>
      <c r="F17" s="1654"/>
      <c r="G17" s="1655"/>
      <c r="H17" s="1656" t="s">
        <v>1137</v>
      </c>
      <c r="I17" s="1657" t="s">
        <v>1122</v>
      </c>
      <c r="J17" s="1138"/>
      <c r="K17" s="3923" t="s">
        <v>1138</v>
      </c>
      <c r="L17" s="3924"/>
      <c r="M17" s="3925"/>
      <c r="N17" s="3923" t="s">
        <v>1139</v>
      </c>
      <c r="O17" s="3924"/>
      <c r="P17" s="3925"/>
      <c r="R17" s="1639" t="s">
        <v>1140</v>
      </c>
      <c r="S17" s="56"/>
    </row>
    <row r="18" spans="1:19" ht="15">
      <c r="A18" s="1645"/>
      <c r="B18" s="1658"/>
      <c r="C18" s="1659"/>
      <c r="D18" s="1660"/>
      <c r="E18" s="1661" t="s">
        <v>1141</v>
      </c>
      <c r="F18" s="1662" t="s">
        <v>1142</v>
      </c>
      <c r="G18" s="1663" t="s">
        <v>1143</v>
      </c>
      <c r="H18" s="1040" t="s">
        <v>1144</v>
      </c>
      <c r="I18" s="1664" t="s">
        <v>1145</v>
      </c>
      <c r="J18" s="1138"/>
      <c r="K18" s="1040" t="s">
        <v>1146</v>
      </c>
      <c r="L18" s="1665" t="s">
        <v>1147</v>
      </c>
      <c r="M18" s="854" t="s">
        <v>1148</v>
      </c>
      <c r="N18" s="1040" t="s">
        <v>1146</v>
      </c>
      <c r="O18" s="1665" t="s">
        <v>1147</v>
      </c>
      <c r="P18" s="854" t="s">
        <v>1148</v>
      </c>
      <c r="R18" s="1025" t="s">
        <v>1149</v>
      </c>
      <c r="S18" s="1025" t="s">
        <v>1150</v>
      </c>
    </row>
    <row r="19" spans="1:19">
      <c r="A19" s="1666"/>
      <c r="B19" s="47" t="s">
        <v>1123</v>
      </c>
      <c r="C19" s="3415" t="s">
        <v>3446</v>
      </c>
      <c r="D19" s="45">
        <f>ROUND($D$3*E19/$E$3,2)</f>
        <v>406.73</v>
      </c>
      <c r="E19" s="53">
        <f t="shared" ref="E19:E26" si="1">SUM(F19:G19)</f>
        <v>3752.39</v>
      </c>
      <c r="F19" s="2793">
        <f>'数据-基础表'!I13</f>
        <v>3752.39</v>
      </c>
      <c r="G19" s="2794"/>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406.73</v>
      </c>
      <c r="S19" s="1026">
        <f t="shared" si="5"/>
        <v>3752.39</v>
      </c>
    </row>
    <row r="20" spans="1:19">
      <c r="A20" s="1669"/>
      <c r="B20" s="47" t="s">
        <v>1151</v>
      </c>
      <c r="C20" s="3415" t="s">
        <v>5099</v>
      </c>
      <c r="D20" s="45">
        <f t="shared" ref="D20:D26" si="6">ROUND($D$3*E20/$E$3,2)</f>
        <v>624.44000000000005</v>
      </c>
      <c r="E20" s="53">
        <f t="shared" si="1"/>
        <v>5760.93</v>
      </c>
      <c r="F20" s="2793"/>
      <c r="G20" s="2794">
        <f>'数据-基础表'!K13</f>
        <v>5760.93</v>
      </c>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624.44000000000005</v>
      </c>
      <c r="S20" s="1026">
        <f t="shared" si="5"/>
        <v>5760.93</v>
      </c>
    </row>
    <row r="21" spans="1:19">
      <c r="A21" s="1669"/>
      <c r="B21" s="47" t="s">
        <v>1151</v>
      </c>
      <c r="C21" s="3415" t="s">
        <v>3447</v>
      </c>
      <c r="D21" s="45">
        <f t="shared" si="6"/>
        <v>2666.23</v>
      </c>
      <c r="E21" s="53">
        <f t="shared" si="1"/>
        <v>24597.850000000002</v>
      </c>
      <c r="F21" s="2793">
        <f>'数据-基础表'!I14</f>
        <v>24597.850000000002</v>
      </c>
      <c r="G21" s="2794"/>
      <c r="H21" s="669">
        <f t="shared" si="7"/>
        <v>0</v>
      </c>
      <c r="I21" s="48">
        <f t="shared" si="2"/>
        <v>0</v>
      </c>
      <c r="J21" s="1138"/>
      <c r="K21" s="1137">
        <f t="shared" si="3"/>
        <v>0</v>
      </c>
      <c r="L21" s="1025">
        <f t="shared" si="4"/>
        <v>0</v>
      </c>
      <c r="M21" s="1149">
        <f t="shared" si="8"/>
        <v>0</v>
      </c>
      <c r="N21" s="1667"/>
      <c r="O21" s="1668"/>
      <c r="P21" s="1149">
        <f t="shared" si="9"/>
        <v>0</v>
      </c>
      <c r="R21" s="1025">
        <f t="shared" si="5"/>
        <v>2666.23</v>
      </c>
      <c r="S21" s="1026">
        <f t="shared" si="5"/>
        <v>24597.850000000002</v>
      </c>
    </row>
    <row r="22" spans="1:19">
      <c r="A22" s="1669"/>
      <c r="B22" s="47" t="s">
        <v>1151</v>
      </c>
      <c r="C22" s="3416"/>
      <c r="D22" s="45">
        <f t="shared" si="6"/>
        <v>0</v>
      </c>
      <c r="E22" s="53">
        <f t="shared" si="1"/>
        <v>0</v>
      </c>
      <c r="F22" s="2795"/>
      <c r="G22" s="2796"/>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1151</v>
      </c>
      <c r="C23" s="3416"/>
      <c r="D23" s="45">
        <f>ROUND($D$3*E23/$E$3,2)</f>
        <v>0</v>
      </c>
      <c r="E23" s="53">
        <f>SUM(F23:G23)</f>
        <v>0</v>
      </c>
      <c r="F23" s="2795"/>
      <c r="G23" s="2796"/>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1151</v>
      </c>
      <c r="C24" s="3416"/>
      <c r="D24" s="45">
        <f>ROUND($D$3*E24/$E$3,2)</f>
        <v>0</v>
      </c>
      <c r="E24" s="53">
        <f>SUM(F24:G24)</f>
        <v>0</v>
      </c>
      <c r="F24" s="2795"/>
      <c r="G24" s="2796"/>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1151</v>
      </c>
      <c r="C25" s="3416"/>
      <c r="D25" s="45">
        <f t="shared" si="6"/>
        <v>0</v>
      </c>
      <c r="E25" s="53">
        <f t="shared" si="1"/>
        <v>0</v>
      </c>
      <c r="F25" s="2795"/>
      <c r="G25" s="2796"/>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1151</v>
      </c>
      <c r="C26" s="55"/>
      <c r="D26" s="45">
        <f t="shared" si="6"/>
        <v>0</v>
      </c>
      <c r="E26" s="53">
        <f t="shared" si="1"/>
        <v>0</v>
      </c>
      <c r="F26" s="2795"/>
      <c r="G26" s="2796"/>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29.25" thickBot="1">
      <c r="A27" s="1669"/>
      <c r="B27" s="45"/>
      <c r="C27" s="1672" t="s">
        <v>1152</v>
      </c>
      <c r="D27" s="1139">
        <f>SUM(D19:D26)</f>
        <v>3697.4</v>
      </c>
      <c r="E27" s="1140">
        <f>IF(SUM(E19:E26)='数据-基础表'!BA5,SUM(E19:E26),IF(F27="地上面积有误","面积有误","地下面积有误"))</f>
        <v>34111.17</v>
      </c>
      <c r="F27" s="1139">
        <f>IF(SUM(F19:F26)=E8,SUM(F19:F26),"地上面积有误")</f>
        <v>28350.240000000002</v>
      </c>
      <c r="G27" s="1141">
        <f>SUM(G19:G26)</f>
        <v>5760.93</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t="str">
        <f>IF(SUM(R19:R26)=$D$3,SUM(R19:R26),SUM(R19:R26)&amp;"误差"&amp;ROUND(SUM(R19:R26)-$D$3,2))</f>
        <v>3697.4误差-0.01</v>
      </c>
      <c r="S27" s="1025">
        <f>IF(SUM(S19:S26)=$E$3,SUM(S19:S26),SUM(S19:S26)&amp;"误差"&amp;ROUND(SUM(S19:S26)-E3,2))</f>
        <v>34111.17</v>
      </c>
    </row>
    <row r="28" spans="1:19">
      <c r="A28" s="1669"/>
      <c r="B28" s="47" t="s">
        <v>1153</v>
      </c>
      <c r="C28" s="1037" t="s">
        <v>1154</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69"/>
      <c r="B29" s="47" t="s">
        <v>1153</v>
      </c>
      <c r="C29" s="1673" t="s">
        <v>1155</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69"/>
      <c r="B30" s="47"/>
      <c r="C30" s="1674" t="s">
        <v>1152</v>
      </c>
      <c r="D30" s="1139">
        <f>SUM(D28:D29)</f>
        <v>0</v>
      </c>
      <c r="E30" s="1139">
        <f>SUM(E28:E29)</f>
        <v>0</v>
      </c>
      <c r="F30" s="1139">
        <f>SUM(F28:F29)</f>
        <v>0</v>
      </c>
      <c r="G30" s="1141">
        <f>SUM(G28:G29)</f>
        <v>0</v>
      </c>
      <c r="H30" s="2657"/>
      <c r="I30" s="2657"/>
      <c r="J30" s="2657"/>
      <c r="K30" s="2657"/>
      <c r="L30" s="2657"/>
      <c r="M30" s="2657"/>
      <c r="N30" s="2657"/>
      <c r="O30" s="2657"/>
      <c r="P30" s="2657"/>
    </row>
    <row r="31" spans="1:19" ht="15.75" thickBot="1">
      <c r="A31" s="1675"/>
      <c r="B31" s="1676"/>
      <c r="C31" s="834" t="s">
        <v>1156</v>
      </c>
      <c r="D31" s="675">
        <f>D27+D30</f>
        <v>3697.4</v>
      </c>
      <c r="E31" s="675">
        <f>E27+E30</f>
        <v>34111.17</v>
      </c>
      <c r="F31" s="676">
        <f>F27+F30</f>
        <v>28350.240000000002</v>
      </c>
      <c r="G31" s="677">
        <f>G27+G30</f>
        <v>5760.93</v>
      </c>
      <c r="H31" s="2657"/>
      <c r="I31" s="2657"/>
      <c r="J31" s="2657"/>
      <c r="K31" s="2657"/>
      <c r="L31" s="2657"/>
      <c r="M31" s="2657"/>
      <c r="N31" s="2657"/>
      <c r="O31" s="2657"/>
      <c r="P31" s="2657"/>
    </row>
    <row r="32" spans="1:19">
      <c r="A32" s="1642"/>
      <c r="B32" s="1642" t="s">
        <v>1157</v>
      </c>
      <c r="C32" s="1642"/>
      <c r="D32" s="1642"/>
      <c r="E32" s="1052">
        <f>SUMIF(C19:C26,"*住宅*",E19:E26)</f>
        <v>0</v>
      </c>
      <c r="F32" s="1642"/>
      <c r="G32" s="1642"/>
      <c r="H32" s="2657"/>
      <c r="I32" s="2657"/>
      <c r="J32" s="2657"/>
      <c r="K32" s="2657"/>
      <c r="L32" s="2657"/>
      <c r="M32" s="2657"/>
      <c r="N32" s="2657"/>
      <c r="O32" s="2657"/>
      <c r="P32" s="2657"/>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14" priority="1" stopIfTrue="1" operator="containsText" text="面积有误">
      <formula>NOT(ISERROR(SEARCH("面积有误",E27)))</formula>
    </cfRule>
    <cfRule type="cellIs" dxfId="213" priority="3" stopIfTrue="1" operator="equal">
      <formula>"地下面积有误"</formula>
    </cfRule>
  </conditionalFormatting>
  <conditionalFormatting sqref="F27">
    <cfRule type="cellIs" dxfId="21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W7" sqref="W7"/>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7.75" style="1681" customWidth="1"/>
    <col min="23" max="30" width="6.75" style="1681" customWidth="1"/>
    <col min="31" max="31" width="8" style="1681" customWidth="1"/>
    <col min="32" max="33" width="7.25" style="1681" customWidth="1"/>
    <col min="34" max="34" width="10.1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8"/>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69"/>
      <c r="AO1" s="2669"/>
      <c r="AP1" s="2669"/>
      <c r="AQ1" s="2669"/>
      <c r="AR1" s="2669"/>
    </row>
    <row r="2" spans="1:67" s="1558" customFormat="1" ht="15.75" thickBot="1">
      <c r="A2" s="1682" t="s">
        <v>1159</v>
      </c>
      <c r="B2" s="1044">
        <f>项目基本情况!D3</f>
        <v>45575</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1"/>
      <c r="AO2" s="2671"/>
      <c r="AP2" s="2671"/>
      <c r="AQ2" s="2671"/>
      <c r="AR2" s="2671"/>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1"/>
      <c r="AO3" s="2671"/>
      <c r="AP3" s="2671"/>
      <c r="AQ3" s="2671"/>
      <c r="AR3" s="2671"/>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56"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71"/>
      <c r="AO4" s="2671"/>
      <c r="AP4" s="2671"/>
      <c r="AQ4" s="2671"/>
      <c r="AR4" s="2671"/>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6" t="s">
        <v>1170</v>
      </c>
      <c r="F5" s="1698" t="s">
        <v>1171</v>
      </c>
      <c r="G5" s="1046" t="s">
        <v>1172</v>
      </c>
      <c r="H5" s="1046" t="s">
        <v>1173</v>
      </c>
      <c r="I5" s="1046" t="s">
        <v>1174</v>
      </c>
      <c r="J5" s="1699" t="s">
        <v>1175</v>
      </c>
      <c r="K5" s="1700" t="s">
        <v>1176</v>
      </c>
      <c r="L5" s="1701" t="s">
        <v>1177</v>
      </c>
      <c r="M5" s="1702" t="s">
        <v>1178</v>
      </c>
      <c r="N5" s="1703" t="s">
        <v>3448</v>
      </c>
      <c r="O5" s="1701" t="s">
        <v>1179</v>
      </c>
      <c r="P5" s="1704" t="s">
        <v>1180</v>
      </c>
      <c r="Q5" s="61" t="s">
        <v>1181</v>
      </c>
      <c r="R5" s="1705" t="s">
        <v>1182</v>
      </c>
      <c r="S5" s="1706" t="s">
        <v>1183</v>
      </c>
      <c r="T5" s="1707" t="s">
        <v>1184</v>
      </c>
      <c r="U5" s="1045" t="s">
        <v>1185</v>
      </c>
      <c r="V5" s="1046" t="s">
        <v>1186</v>
      </c>
      <c r="W5" s="1046" t="s">
        <v>1187</v>
      </c>
      <c r="X5" s="63"/>
      <c r="Y5" s="62" t="s">
        <v>1188</v>
      </c>
      <c r="Z5" s="1708" t="s">
        <v>1185</v>
      </c>
      <c r="AA5" s="1046" t="s">
        <v>1186</v>
      </c>
      <c r="AB5" s="1046" t="s">
        <v>1187</v>
      </c>
      <c r="AC5" s="63"/>
      <c r="AD5" s="63" t="s">
        <v>1188</v>
      </c>
      <c r="AE5" s="1045" t="s">
        <v>1189</v>
      </c>
      <c r="AF5" s="1046" t="s">
        <v>1190</v>
      </c>
      <c r="AG5" s="62" t="s">
        <v>1191</v>
      </c>
      <c r="AH5" s="1045" t="s">
        <v>1192</v>
      </c>
      <c r="AI5" s="1708" t="s">
        <v>1193</v>
      </c>
      <c r="AJ5" s="1708" t="s">
        <v>1194</v>
      </c>
      <c r="AK5" s="1046" t="s">
        <v>1195</v>
      </c>
      <c r="AL5" s="1046" t="s">
        <v>1196</v>
      </c>
      <c r="AM5" s="62" t="s">
        <v>1197</v>
      </c>
      <c r="AN5" s="1709" t="s">
        <v>1198</v>
      </c>
      <c r="AO5" s="1561" t="s">
        <v>1199</v>
      </c>
      <c r="AP5" s="1027"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7层办公</v>
      </c>
      <c r="B6" s="1712" t="str">
        <f>IF(A6=0,"","经营性")</f>
        <v>经营性</v>
      </c>
      <c r="C6" s="1713" t="s">
        <v>21</v>
      </c>
      <c r="D6" s="857">
        <f>SUMIF(项目基本情况!C$12:I$12,C6,项目基本情况!C$14:I$14)</f>
        <v>50</v>
      </c>
      <c r="E6" s="856">
        <f>IF(B6="","",SUMIF(项目基本情况!C$12:I$12,C6,项目基本情况!C$13:I$13))</f>
        <v>54078</v>
      </c>
      <c r="F6" s="64">
        <f>SUMIF(项目基本情况!C$12:I$12,C6,项目基本情况!C$15:I$15)</f>
        <v>23.29</v>
      </c>
      <c r="G6" s="65">
        <f>IF(ISERROR(ROUND(POWER(1+H6,D6-F6)*(POWER(1+H6,F6)-1)/(POWER(1+H6,D6)-1),3)),0,ROUND(POWER(1+H6,D6-F6)*(POWER(1+H6,F6)-1)/(POWER(1+H6,D6)-1),3))</f>
        <v>0.74399999999999999</v>
      </c>
      <c r="H6" s="731">
        <v>0.05</v>
      </c>
      <c r="I6" s="731">
        <v>5.5E-2</v>
      </c>
      <c r="J6" s="66">
        <v>7.0000000000000007E-2</v>
      </c>
      <c r="K6" s="1029">
        <f>SUMIF('数据-汇总表'!C$19:C$33,A6,'数据-汇总表'!E$19:E$33)</f>
        <v>3752.39</v>
      </c>
      <c r="L6" s="732">
        <v>4500</v>
      </c>
      <c r="M6" s="67">
        <f t="shared" ref="M6:M14" si="0">ROUND(K6*L6/10000,0)</f>
        <v>1689</v>
      </c>
      <c r="N6" s="730">
        <f>N21</f>
        <v>0.73099999999999987</v>
      </c>
      <c r="O6" s="67" t="str">
        <f>IF($N$5="成新度","——",ROUND(M6*N6,0))</f>
        <v>——</v>
      </c>
      <c r="P6" s="68" t="str">
        <f>IF($N$5="成新度","——",M6-O6)</f>
        <v>——</v>
      </c>
      <c r="Q6" s="733">
        <v>0.15</v>
      </c>
      <c r="R6" s="69">
        <f ca="1">SUMIF('数据-汇总表'!C$19:C$33,A6,'数据-汇总表'!R$19:R$27)</f>
        <v>406.73</v>
      </c>
      <c r="S6" s="51">
        <f>IF('数据-汇总表'!$I$17="按面积比例",SUMIF('数据-汇总表'!C$19:C$33,A6,'数据-汇总表'!K$19:K$33),SUMIF('数据-汇总表'!C$19:C$33,A6,'数据-汇总表'!N$19:N$33))</f>
        <v>0</v>
      </c>
      <c r="T6" s="1171">
        <f>ROUND($L$14*S6/10000,0)</f>
        <v>0</v>
      </c>
      <c r="U6" s="3426">
        <v>5.6</v>
      </c>
      <c r="V6" s="70">
        <v>2.5000000000000001E-2</v>
      </c>
      <c r="W6" s="70">
        <v>0.08</v>
      </c>
      <c r="X6" s="1039"/>
      <c r="Y6" s="71">
        <f>N6</f>
        <v>0.73099999999999987</v>
      </c>
      <c r="Z6" s="72"/>
      <c r="AA6" s="66"/>
      <c r="AB6" s="66"/>
      <c r="AC6" s="1039"/>
      <c r="AD6" s="73"/>
      <c r="AE6" s="1040">
        <f ca="1">IF(AN6="",0,SUMIF(INDIRECT("'"&amp;AN6&amp;"'"&amp;"!E:E"),$AE$5,INDIRECT("'"&amp;AN6&amp;"'"&amp;"!F:F")))</f>
        <v>23.29</v>
      </c>
      <c r="AF6" s="1347"/>
      <c r="AG6" s="138">
        <f>IF(AF6="",0,AE6-AF6)</f>
        <v>0</v>
      </c>
      <c r="AH6" s="74"/>
      <c r="AI6" s="76">
        <v>365</v>
      </c>
      <c r="AJ6" s="77"/>
      <c r="AK6" s="78">
        <v>5.0000000000000001E-3</v>
      </c>
      <c r="AL6" s="79">
        <v>1E-3</v>
      </c>
      <c r="AM6" s="80">
        <v>0.01</v>
      </c>
      <c r="AN6" s="1714" t="s">
        <v>3449</v>
      </c>
      <c r="AO6" s="52">
        <f ca="1">SUMIF(INDIRECT("'"&amp;AN6&amp;"'"&amp;"!A:A"),"总价",INDIRECT("'"&amp;AN6&amp;"'"&amp;"!B:B"))</f>
        <v>9435</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t="str">
        <f>'数据-汇总表'!C20</f>
        <v>地下</v>
      </c>
      <c r="B7" s="1712" t="str">
        <f t="shared" ref="B7:B13" si="1">IF(A7=0,"","经营性")</f>
        <v>经营性</v>
      </c>
      <c r="C7" s="1713" t="s">
        <v>3332</v>
      </c>
      <c r="D7" s="857">
        <f>SUMIF(项目基本情况!C$12:I$12,C7,项目基本情况!C$14:I$14)</f>
        <v>50</v>
      </c>
      <c r="E7" s="856">
        <f>IF(B7="","",SUMIF(项目基本情况!C$12:I$12,C7,项目基本情况!C$13:I$13))</f>
        <v>54078</v>
      </c>
      <c r="F7" s="64">
        <f>SUMIF(项目基本情况!C$12:I$12,C7,项目基本情况!C$15:I$15)</f>
        <v>23.29</v>
      </c>
      <c r="G7" s="65">
        <f t="shared" ref="G7:G11" si="2">IF(ISERROR(ROUND(POWER(1+H7,D7-F7)*(POWER(1+H7,F7)-1)/(POWER(1+H7,D7)-1),3)),0,ROUND(POWER(1+H7,D7-F7)*(POWER(1+H7,F7)-1)/(POWER(1+H7,D7)-1),3))</f>
        <v>0.72099999999999997</v>
      </c>
      <c r="H7" s="731">
        <v>4.4999999999999998E-2</v>
      </c>
      <c r="I7" s="731">
        <v>0.05</v>
      </c>
      <c r="J7" s="66">
        <v>7.0000000000000007E-2</v>
      </c>
      <c r="K7" s="1029">
        <f>SUMIF('数据-汇总表'!C$19:C$33,A7,'数据-汇总表'!E$19:E$33)</f>
        <v>5760.93</v>
      </c>
      <c r="L7" s="732">
        <v>4500</v>
      </c>
      <c r="M7" s="67">
        <f t="shared" si="0"/>
        <v>2592</v>
      </c>
      <c r="N7" s="730">
        <f>N6</f>
        <v>0.73099999999999987</v>
      </c>
      <c r="O7" s="67" t="str">
        <f t="shared" ref="O7:O14" si="3">IF($N$5="成新度","——",ROUND(M7*N7,0))</f>
        <v>——</v>
      </c>
      <c r="P7" s="68" t="str">
        <f t="shared" ref="P7:P14" si="4">IF($N$5="成新度","——",M7-O7)</f>
        <v>——</v>
      </c>
      <c r="Q7" s="733">
        <v>0.05</v>
      </c>
      <c r="R7" s="69">
        <f ca="1">SUMIF('数据-汇总表'!C$19:C$33,A7,'数据-汇总表'!R$19:R$27)</f>
        <v>624.44000000000005</v>
      </c>
      <c r="S7" s="51">
        <f>IF('数据-汇总表'!$I$17="按面积比例",SUMIF('数据-汇总表'!C$19:C$33,A7,'数据-汇总表'!K$19:K$33),SUMIF('数据-汇总表'!C$19:C$33,A7,'数据-汇总表'!N$19:N$33))</f>
        <v>0</v>
      </c>
      <c r="T7" s="1171">
        <f t="shared" ref="T7:T13" si="5">ROUND($L$14*S7/10000,0)</f>
        <v>0</v>
      </c>
      <c r="U7" s="3426">
        <v>1</v>
      </c>
      <c r="V7" s="70">
        <v>1.4999999999999999E-2</v>
      </c>
      <c r="W7" s="70">
        <v>0.1</v>
      </c>
      <c r="X7" s="1039"/>
      <c r="Y7" s="71">
        <f>N7</f>
        <v>0.73099999999999987</v>
      </c>
      <c r="Z7" s="72"/>
      <c r="AA7" s="66"/>
      <c r="AB7" s="66"/>
      <c r="AC7" s="1039"/>
      <c r="AD7" s="73"/>
      <c r="AE7" s="1040">
        <f t="shared" ref="AE7:AE13" ca="1" si="6">IF(AN7="",0,SUMIF(INDIRECT("'"&amp;AN7&amp;"'"&amp;"!E:E"),$AE$5,INDIRECT("'"&amp;AN7&amp;"'"&amp;"!F:F")))</f>
        <v>23.29</v>
      </c>
      <c r="AF7" s="1347"/>
      <c r="AG7" s="138">
        <f t="shared" ref="AG7:AG13" si="7">IF(AF7="",0,AE7-AF7)</f>
        <v>0</v>
      </c>
      <c r="AH7" s="3426">
        <f>V26</f>
        <v>1899.58</v>
      </c>
      <c r="AI7" s="76">
        <v>365</v>
      </c>
      <c r="AJ7" s="77"/>
      <c r="AK7" s="78">
        <v>1E-3</v>
      </c>
      <c r="AL7" s="78">
        <f t="shared" ref="AL7:AM7" si="8">AL6</f>
        <v>1E-3</v>
      </c>
      <c r="AM7" s="78">
        <v>5.0000000000000001E-3</v>
      </c>
      <c r="AN7" s="1714" t="s">
        <v>5100</v>
      </c>
      <c r="AO7" s="52">
        <f t="shared" ref="AO7:AO13" ca="1" si="9">SUMIF(INDIRECT("'"&amp;AN7&amp;"'"&amp;"!A:A"),"总价",INDIRECT("'"&amp;AN7&amp;"'"&amp;"!B:B"))</f>
        <v>942</v>
      </c>
      <c r="AP7" s="1715">
        <f t="shared" ref="AP7:AP13" si="10">IF(C7="住宅",K7*L7,0)</f>
        <v>0</v>
      </c>
      <c r="AQ7" s="52">
        <f t="shared" ref="AQ7:AQ13" si="11">ROUND($L$14*$N$14*S7/10000,0)</f>
        <v>0</v>
      </c>
      <c r="AR7" s="52">
        <f t="shared" ref="AR7:AR13" si="12">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t="str">
        <f>'数据-汇总表'!C21</f>
        <v>其余办公</v>
      </c>
      <c r="B8" s="1712" t="str">
        <f t="shared" si="1"/>
        <v>经营性</v>
      </c>
      <c r="C8" s="1713" t="s">
        <v>21</v>
      </c>
      <c r="D8" s="857">
        <f>SUMIF(项目基本情况!C$12:I$12,C8,项目基本情况!C$14:I$14)</f>
        <v>50</v>
      </c>
      <c r="E8" s="856">
        <f>IF(B8="","",SUMIF(项目基本情况!C$12:I$12,C8,项目基本情况!C$13:I$13))</f>
        <v>54078</v>
      </c>
      <c r="F8" s="64">
        <f>SUMIF(项目基本情况!C$12:I$12,C8,项目基本情况!C$15:I$15)</f>
        <v>23.29</v>
      </c>
      <c r="G8" s="65">
        <f t="shared" si="2"/>
        <v>0</v>
      </c>
      <c r="H8" s="731"/>
      <c r="I8" s="731"/>
      <c r="J8" s="731"/>
      <c r="K8" s="1029">
        <f>SUMIF('数据-汇总表'!C$19:C$33,A8,'数据-汇总表'!E$19:E$33)</f>
        <v>24597.850000000002</v>
      </c>
      <c r="L8" s="732"/>
      <c r="M8" s="67">
        <f>ROUND(K8*L8/10000,0)</f>
        <v>0</v>
      </c>
      <c r="N8" s="730"/>
      <c r="O8" s="67" t="str">
        <f t="shared" si="3"/>
        <v>——</v>
      </c>
      <c r="P8" s="68" t="str">
        <f t="shared" si="4"/>
        <v>——</v>
      </c>
      <c r="Q8" s="733"/>
      <c r="R8" s="69">
        <f ca="1">SUMIF('数据-汇总表'!C$19:C$33,A8,'数据-汇总表'!R$19:R$27)</f>
        <v>2666.23</v>
      </c>
      <c r="S8" s="51">
        <f>IF('数据-汇总表'!$I$17="按面积比例",SUMIF('数据-汇总表'!C$19:C$33,A8,'数据-汇总表'!K$19:K$33),SUMIF('数据-汇总表'!C$19:C$33,A8,'数据-汇总表'!N$19:N$33))</f>
        <v>0</v>
      </c>
      <c r="T8" s="1171">
        <f t="shared" si="5"/>
        <v>0</v>
      </c>
      <c r="U8" s="3427"/>
      <c r="V8" s="734"/>
      <c r="W8" s="734"/>
      <c r="X8" s="1039"/>
      <c r="Y8" s="71"/>
      <c r="Z8" s="72"/>
      <c r="AA8" s="66"/>
      <c r="AB8" s="66"/>
      <c r="AC8" s="1039"/>
      <c r="AD8" s="73"/>
      <c r="AE8" s="1040">
        <f t="shared" ca="1" si="6"/>
        <v>0</v>
      </c>
      <c r="AF8" s="1347"/>
      <c r="AG8" s="138">
        <f t="shared" si="7"/>
        <v>0</v>
      </c>
      <c r="AH8" s="735"/>
      <c r="AI8" s="76"/>
      <c r="AJ8" s="77"/>
      <c r="AK8" s="736"/>
      <c r="AL8" s="737"/>
      <c r="AM8" s="738"/>
      <c r="AN8" s="1714"/>
      <c r="AO8" s="52" t="e">
        <f t="shared" ca="1" si="9"/>
        <v>#REF!</v>
      </c>
      <c r="AP8" s="1715">
        <f t="shared" si="10"/>
        <v>0</v>
      </c>
      <c r="AQ8" s="52">
        <f t="shared" si="11"/>
        <v>0</v>
      </c>
      <c r="AR8" s="52">
        <f t="shared" si="12"/>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hidden="1">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6"/>
      <c r="V9" s="70"/>
      <c r="W9" s="70"/>
      <c r="X9" s="1039"/>
      <c r="Y9" s="71"/>
      <c r="Z9" s="72"/>
      <c r="AA9" s="66"/>
      <c r="AB9" s="66"/>
      <c r="AC9" s="1039"/>
      <c r="AD9" s="73"/>
      <c r="AE9" s="1040">
        <f t="shared" ca="1" si="6"/>
        <v>0</v>
      </c>
      <c r="AF9" s="1347"/>
      <c r="AG9" s="138">
        <f t="shared" si="7"/>
        <v>0</v>
      </c>
      <c r="AH9" s="74"/>
      <c r="AI9" s="76"/>
      <c r="AJ9" s="77"/>
      <c r="AK9" s="78"/>
      <c r="AL9" s="79"/>
      <c r="AM9" s="80"/>
      <c r="AN9" s="1714"/>
      <c r="AO9" s="52" t="e">
        <f t="shared" ca="1" si="9"/>
        <v>#REF!</v>
      </c>
      <c r="AP9" s="1715">
        <f t="shared" si="10"/>
        <v>0</v>
      </c>
      <c r="AQ9" s="52">
        <f t="shared" si="11"/>
        <v>0</v>
      </c>
      <c r="AR9" s="52">
        <f t="shared" si="12"/>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hidden="1">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6"/>
      <c r="V10" s="70"/>
      <c r="W10" s="70"/>
      <c r="X10" s="1039"/>
      <c r="Y10" s="71"/>
      <c r="Z10" s="72"/>
      <c r="AA10" s="66"/>
      <c r="AB10" s="66"/>
      <c r="AC10" s="1039"/>
      <c r="AD10" s="73"/>
      <c r="AE10" s="1040">
        <f t="shared" ca="1" si="6"/>
        <v>0</v>
      </c>
      <c r="AF10" s="1347"/>
      <c r="AG10" s="138">
        <f t="shared" si="7"/>
        <v>0</v>
      </c>
      <c r="AH10" s="74"/>
      <c r="AI10" s="76"/>
      <c r="AJ10" s="77"/>
      <c r="AK10" s="78"/>
      <c r="AL10" s="79"/>
      <c r="AM10" s="80"/>
      <c r="AN10" s="1714"/>
      <c r="AO10" s="52" t="e">
        <f t="shared" ca="1" si="9"/>
        <v>#REF!</v>
      </c>
      <c r="AP10" s="1715">
        <f t="shared" si="10"/>
        <v>0</v>
      </c>
      <c r="AQ10" s="52">
        <f t="shared" si="11"/>
        <v>0</v>
      </c>
      <c r="AR10" s="52">
        <f t="shared" si="12"/>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hidden="1">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6"/>
      <c r="V11" s="66"/>
      <c r="W11" s="66"/>
      <c r="X11" s="1039"/>
      <c r="Y11" s="71"/>
      <c r="Z11" s="84"/>
      <c r="AA11" s="66"/>
      <c r="AB11" s="66"/>
      <c r="AC11" s="1039"/>
      <c r="AD11" s="73"/>
      <c r="AE11" s="1040">
        <f t="shared" ca="1" si="6"/>
        <v>0</v>
      </c>
      <c r="AF11" s="1347"/>
      <c r="AG11" s="138">
        <f t="shared" si="7"/>
        <v>0</v>
      </c>
      <c r="AH11" s="74"/>
      <c r="AI11" s="76"/>
      <c r="AJ11" s="77"/>
      <c r="AK11" s="85"/>
      <c r="AL11" s="86"/>
      <c r="AM11" s="87"/>
      <c r="AN11" s="1714"/>
      <c r="AO11" s="52" t="e">
        <f t="shared" ca="1" si="9"/>
        <v>#REF!</v>
      </c>
      <c r="AP11" s="1715">
        <f t="shared" si="10"/>
        <v>0</v>
      </c>
      <c r="AQ11" s="52">
        <f t="shared" si="11"/>
        <v>0</v>
      </c>
      <c r="AR11" s="52">
        <f t="shared" si="12"/>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hidden="1">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6"/>
      <c r="V12" s="66"/>
      <c r="W12" s="66"/>
      <c r="X12" s="1039"/>
      <c r="Y12" s="71"/>
      <c r="Z12" s="84"/>
      <c r="AA12" s="66"/>
      <c r="AB12" s="66"/>
      <c r="AC12" s="1039"/>
      <c r="AD12" s="73"/>
      <c r="AE12" s="1040">
        <f t="shared" ca="1" si="6"/>
        <v>0</v>
      </c>
      <c r="AF12" s="1347"/>
      <c r="AG12" s="138">
        <f t="shared" si="7"/>
        <v>0</v>
      </c>
      <c r="AH12" s="74"/>
      <c r="AI12" s="76"/>
      <c r="AJ12" s="77"/>
      <c r="AK12" s="85"/>
      <c r="AL12" s="86"/>
      <c r="AM12" s="87"/>
      <c r="AN12" s="1714"/>
      <c r="AO12" s="52" t="e">
        <f t="shared" ca="1" si="9"/>
        <v>#REF!</v>
      </c>
      <c r="AP12" s="1715">
        <f t="shared" si="10"/>
        <v>0</v>
      </c>
      <c r="AQ12" s="52">
        <f t="shared" si="11"/>
        <v>0</v>
      </c>
      <c r="AR12" s="52">
        <f t="shared" si="12"/>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hidden="1">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8"/>
      <c r="V13" s="70"/>
      <c r="W13" s="70"/>
      <c r="X13" s="1039"/>
      <c r="Y13" s="71"/>
      <c r="Z13" s="72"/>
      <c r="AA13" s="66"/>
      <c r="AB13" s="66"/>
      <c r="AC13" s="1039"/>
      <c r="AD13" s="73"/>
      <c r="AE13" s="1040">
        <f t="shared" ca="1" si="6"/>
        <v>0</v>
      </c>
      <c r="AF13" s="1347"/>
      <c r="AG13" s="138">
        <f t="shared" si="7"/>
        <v>0</v>
      </c>
      <c r="AH13" s="74"/>
      <c r="AI13" s="76"/>
      <c r="AJ13" s="77"/>
      <c r="AK13" s="78"/>
      <c r="AL13" s="79"/>
      <c r="AM13" s="80"/>
      <c r="AN13" s="1714"/>
      <c r="AO13" s="52" t="e">
        <f t="shared" ca="1" si="9"/>
        <v>#REF!</v>
      </c>
      <c r="AP13" s="1715">
        <f t="shared" si="10"/>
        <v>0</v>
      </c>
      <c r="AQ13" s="52">
        <f t="shared" si="11"/>
        <v>0</v>
      </c>
      <c r="AR13" s="52">
        <f t="shared" si="12"/>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8"/>
      <c r="AH14" s="1040"/>
      <c r="AI14" s="1356"/>
      <c r="AJ14" s="703"/>
      <c r="AK14" s="1041"/>
      <c r="AL14" s="1042"/>
      <c r="AM14" s="1043"/>
      <c r="AN14" s="2669"/>
      <c r="AO14" s="2671"/>
      <c r="AP14" s="2671"/>
      <c r="AQ14" s="2671"/>
      <c r="AR14" s="2671"/>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8"/>
      <c r="AH15" s="1040"/>
      <c r="AI15" s="1356"/>
      <c r="AJ15" s="703"/>
      <c r="AK15" s="1041"/>
      <c r="AL15" s="1042"/>
      <c r="AM15" s="1043"/>
      <c r="AN15" s="2669"/>
      <c r="AO15" s="2671"/>
      <c r="AP15" s="2671"/>
      <c r="AQ15" s="2671"/>
      <c r="AR15" s="2671"/>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2"/>
      <c r="D16" s="1719"/>
      <c r="E16" s="88"/>
      <c r="F16" s="88"/>
      <c r="G16" s="89">
        <f>ROUND(SUMPRODUCT(G6:G13,K6:K13)/SUMPRODUCT((G6:G13&gt;0)*(K6:K13)),3)</f>
        <v>0.73</v>
      </c>
      <c r="H16" s="90">
        <f>ROUND(SUMPRODUCT(H6:H13,K6:K13)/SUMPRODUCT((H6:H13&gt;0)*(K6:K13)),3)</f>
        <v>4.7E-2</v>
      </c>
      <c r="I16" s="91"/>
      <c r="J16" s="91"/>
      <c r="K16" s="92">
        <f>SUM(K6:K15)</f>
        <v>34111.17</v>
      </c>
      <c r="L16" s="93">
        <f>ROUND(M16*10000/SUM(K6:K14),0)</f>
        <v>1255</v>
      </c>
      <c r="M16" s="93">
        <f>SUM(M6:M14)</f>
        <v>4281</v>
      </c>
      <c r="N16" s="94">
        <f>ROUND(SUMPRODUCT(M6:M14,N6:N14)/M16,3)</f>
        <v>0.73099999999999998</v>
      </c>
      <c r="O16" s="93">
        <f>SUM(O6:O14)</f>
        <v>0</v>
      </c>
      <c r="P16" s="93">
        <f>SUM(P6:P14)</f>
        <v>0</v>
      </c>
      <c r="Q16" s="95">
        <f>ROUND(SUMPRODUCT(Q6:Q13,K6:K13)/SUMPRODUCT((Q6:Q13&gt;0)*(K6:K13)),2)</f>
        <v>0.09</v>
      </c>
      <c r="R16" s="1033">
        <f ca="1">SUM(R6:R13)</f>
        <v>3697.4</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1208</v>
      </c>
      <c r="B18" s="2683"/>
      <c r="C18" s="2671"/>
      <c r="D18" s="2674"/>
      <c r="E18" s="2671"/>
      <c r="F18" s="2671"/>
      <c r="G18" s="2671"/>
      <c r="H18" s="2671"/>
      <c r="I18" s="2671"/>
      <c r="J18" s="2671"/>
      <c r="K18" s="2670"/>
      <c r="L18" s="2670"/>
      <c r="M18" s="3486"/>
      <c r="N18" s="3486">
        <v>1998</v>
      </c>
      <c r="O18" s="2669"/>
      <c r="P18" s="2669"/>
      <c r="Q18" s="2669">
        <f>Q16/B20</f>
        <v>4.4999999999999998E-2</v>
      </c>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1" t="s">
        <v>1209</v>
      </c>
      <c r="B19" s="103">
        <v>0</v>
      </c>
      <c r="C19" s="2797" t="s">
        <v>2300</v>
      </c>
      <c r="D19" s="2674"/>
      <c r="E19" s="2671"/>
      <c r="F19" s="2671"/>
      <c r="G19" s="2671"/>
      <c r="H19" s="2671"/>
      <c r="I19" s="2671"/>
      <c r="J19" s="2671"/>
      <c r="K19" s="2670"/>
      <c r="L19" s="2670"/>
      <c r="M19" s="3486" t="s">
        <v>3485</v>
      </c>
      <c r="N19" s="2669">
        <f>ROUND(1-(1-0%)*(2024-N18)/60,2)</f>
        <v>0.56999999999999995</v>
      </c>
      <c r="O19" s="2669">
        <v>0.3</v>
      </c>
      <c r="P19" s="2669"/>
      <c r="Q19" s="2669"/>
      <c r="R19" s="2669"/>
      <c r="S19" s="2669"/>
      <c r="T19" s="2669"/>
      <c r="U19" s="2669"/>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2" t="s">
        <v>1210</v>
      </c>
      <c r="B20" s="104">
        <v>2</v>
      </c>
      <c r="C20" s="2798" t="s">
        <v>2298</v>
      </c>
      <c r="D20" s="2674"/>
      <c r="E20" s="2671"/>
      <c r="F20" s="2671"/>
      <c r="G20" s="2671"/>
      <c r="H20" s="2671"/>
      <c r="I20" s="2671"/>
      <c r="J20" s="2671"/>
      <c r="K20" s="2670"/>
      <c r="L20" s="2670"/>
      <c r="M20" s="3486" t="s">
        <v>3486</v>
      </c>
      <c r="N20" s="2669">
        <v>0.8</v>
      </c>
      <c r="O20" s="2669">
        <v>0.7</v>
      </c>
      <c r="P20" s="2669"/>
      <c r="Q20" s="2669"/>
      <c r="R20" s="2669"/>
      <c r="S20" s="2669"/>
      <c r="T20" s="2669"/>
      <c r="U20" s="2669">
        <f>U6*365</f>
        <v>2043.9999999999998</v>
      </c>
      <c r="V20" s="2669"/>
      <c r="W20" s="2669">
        <f>'比较法-办公'!C50</f>
        <v>46000</v>
      </c>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3" t="s">
        <v>1211</v>
      </c>
      <c r="B21" s="104">
        <v>2</v>
      </c>
      <c r="C21" s="2671"/>
      <c r="D21" s="2674"/>
      <c r="E21" s="2671"/>
      <c r="F21" s="2671"/>
      <c r="G21" s="2671"/>
      <c r="H21" s="2671"/>
      <c r="I21" s="2671"/>
      <c r="J21" s="2671"/>
      <c r="K21" s="2670"/>
      <c r="L21" s="2670"/>
      <c r="M21" s="3486" t="s">
        <v>3487</v>
      </c>
      <c r="N21" s="2669">
        <f>N19*O19+N20*O20</f>
        <v>0.73099999999999987</v>
      </c>
      <c r="O21" s="2669"/>
      <c r="P21" s="2669"/>
      <c r="Q21" s="2669"/>
      <c r="R21" s="2669"/>
      <c r="S21" s="2669"/>
      <c r="T21" s="2669"/>
      <c r="U21" s="2669"/>
      <c r="V21" s="2669"/>
      <c r="W21" s="2669">
        <f>U20/W20</f>
        <v>4.4434782608695648E-2</v>
      </c>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2" t="s">
        <v>1212</v>
      </c>
      <c r="B22" s="105">
        <f>B19+B20</f>
        <v>2</v>
      </c>
      <c r="C22" s="2671"/>
      <c r="D22" s="2674"/>
      <c r="E22" s="2671"/>
      <c r="F22" s="2671"/>
      <c r="G22" s="2671"/>
      <c r="H22" s="2671"/>
      <c r="I22" s="2671"/>
      <c r="J22" s="2671"/>
      <c r="K22" s="3492"/>
      <c r="L22" s="3493"/>
      <c r="M22" s="3494"/>
      <c r="N22" s="3494"/>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3" t="s">
        <v>1213</v>
      </c>
      <c r="B23" s="105">
        <f>B19+B21</f>
        <v>2</v>
      </c>
      <c r="C23" s="2671"/>
      <c r="D23" s="2674"/>
      <c r="E23" s="2671"/>
      <c r="F23" s="2671"/>
      <c r="G23" s="2671"/>
      <c r="H23" s="2671"/>
      <c r="I23" s="2671"/>
      <c r="J23" s="2671"/>
      <c r="K23" s="3495"/>
      <c r="L23" s="3496"/>
      <c r="M23" s="3496"/>
      <c r="N23" s="3496"/>
      <c r="O23" s="2669"/>
      <c r="P23" s="2669"/>
      <c r="Q23" s="2669"/>
      <c r="R23" s="2669"/>
      <c r="S23" s="2669"/>
      <c r="T23" s="2669"/>
      <c r="U23" s="2670"/>
      <c r="V23" s="3505" t="s">
        <v>3514</v>
      </c>
      <c r="W23" s="3505" t="s">
        <v>3515</v>
      </c>
      <c r="X23" s="3505" t="s">
        <v>3516</v>
      </c>
      <c r="Y23" s="3505" t="s">
        <v>3517</v>
      </c>
      <c r="Z23" s="3486" t="s">
        <v>3518</v>
      </c>
      <c r="AA23" s="2669"/>
      <c r="AB23" s="2669"/>
      <c r="AC23" s="3486" t="s">
        <v>5103</v>
      </c>
      <c r="AD23" s="2669"/>
      <c r="AE23" s="2669"/>
      <c r="AF23" s="2669"/>
      <c r="AG23" s="2669"/>
      <c r="AH23" s="2669"/>
      <c r="AI23" s="2669"/>
      <c r="AJ23" s="2669"/>
      <c r="AK23" s="2669"/>
      <c r="AL23" s="2669"/>
      <c r="AM23" s="2669"/>
      <c r="AN23" s="2669"/>
      <c r="AO23" s="2669"/>
      <c r="AP23" s="2669"/>
      <c r="AQ23" s="2669"/>
      <c r="AR23" s="2669"/>
    </row>
    <row r="24" spans="1:67" ht="15" thickBot="1">
      <c r="A24" s="1724" t="s">
        <v>1214</v>
      </c>
      <c r="B24" s="106">
        <f>B20-B21</f>
        <v>0</v>
      </c>
      <c r="C24" s="2671"/>
      <c r="D24" s="2674"/>
      <c r="E24" s="2671"/>
      <c r="F24" s="2671"/>
      <c r="G24" s="2671"/>
      <c r="H24" s="2671"/>
      <c r="I24" s="2671"/>
      <c r="J24" s="2671"/>
      <c r="K24" s="3497"/>
      <c r="L24" s="3498"/>
      <c r="M24" s="3499"/>
      <c r="N24" s="3499"/>
      <c r="O24" s="2669"/>
      <c r="P24" s="2669"/>
      <c r="Q24" s="2669"/>
      <c r="R24" s="2669"/>
      <c r="S24" s="2669"/>
      <c r="T24" s="2669"/>
      <c r="U24" s="3505" t="s">
        <v>3513</v>
      </c>
      <c r="V24" s="3506">
        <f>X24*W24</f>
        <v>1625</v>
      </c>
      <c r="W24" s="2670">
        <v>25</v>
      </c>
      <c r="X24" s="2670">
        <v>65</v>
      </c>
      <c r="Y24" s="2670">
        <v>800</v>
      </c>
      <c r="Z24" s="2669">
        <f>Y24/30/W24</f>
        <v>1.0666666666666667</v>
      </c>
      <c r="AA24" s="2669">
        <f>Z24*V24</f>
        <v>1733.3333333333333</v>
      </c>
      <c r="AB24" s="2669"/>
      <c r="AC24" s="2669">
        <f>4.8*2.25</f>
        <v>10.799999999999999</v>
      </c>
      <c r="AD24" s="2669"/>
      <c r="AE24" s="2669"/>
      <c r="AF24" s="2669">
        <f>800/35/30</f>
        <v>0.76190476190476197</v>
      </c>
      <c r="AG24" s="2669"/>
      <c r="AH24" s="2669"/>
      <c r="AI24" s="2669"/>
      <c r="AJ24" s="2669"/>
      <c r="AK24" s="2669"/>
      <c r="AL24" s="2669"/>
      <c r="AM24" s="2669"/>
      <c r="AN24" s="2669"/>
      <c r="AO24" s="2669"/>
      <c r="AP24" s="2669"/>
      <c r="AQ24" s="2669"/>
      <c r="AR24" s="2669"/>
    </row>
    <row r="25" spans="1:67" ht="15" thickBot="1">
      <c r="A25" s="1556"/>
      <c r="B25" s="1686"/>
      <c r="C25" s="2671"/>
      <c r="D25" s="2674"/>
      <c r="E25" s="2671"/>
      <c r="F25" s="2671"/>
      <c r="G25" s="2671"/>
      <c r="H25" s="2671"/>
      <c r="I25" s="2671"/>
      <c r="J25" s="2671"/>
      <c r="K25" s="3497"/>
      <c r="L25" s="3498"/>
      <c r="M25" s="3499"/>
      <c r="N25" s="3499"/>
      <c r="O25" s="2669"/>
      <c r="P25" s="2669"/>
      <c r="Q25" s="2669"/>
      <c r="R25" s="2669"/>
      <c r="S25" s="2669"/>
      <c r="T25" s="2669"/>
      <c r="U25" s="3505" t="s">
        <v>5095</v>
      </c>
      <c r="V25" s="3506">
        <v>274.58</v>
      </c>
      <c r="W25" s="2670">
        <f>V25/X25</f>
        <v>30.508888888888887</v>
      </c>
      <c r="X25" s="2670">
        <v>9</v>
      </c>
      <c r="Y25" s="2670"/>
      <c r="Z25" s="2669">
        <v>0.5</v>
      </c>
      <c r="AA25" s="2669">
        <f>Z25*V25</f>
        <v>137.29</v>
      </c>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2" t="s">
        <v>1215</v>
      </c>
      <c r="B26" s="1725" t="s">
        <v>1216</v>
      </c>
      <c r="C26" s="2675" t="s">
        <v>1217</v>
      </c>
      <c r="D26" s="2674"/>
      <c r="E26" s="2671"/>
      <c r="F26" s="2671"/>
      <c r="G26" s="2671"/>
      <c r="H26" s="2671"/>
      <c r="I26" s="2671"/>
      <c r="J26" s="2671"/>
      <c r="K26" s="3496"/>
      <c r="L26" s="3500"/>
      <c r="M26" s="3495"/>
      <c r="N26" s="3495"/>
      <c r="O26" s="2669"/>
      <c r="P26" s="2669"/>
      <c r="Q26" s="2669"/>
      <c r="R26" s="2669"/>
      <c r="S26" s="2669"/>
      <c r="T26" s="2669"/>
      <c r="U26" s="3505" t="s">
        <v>5098</v>
      </c>
      <c r="V26" s="3506">
        <f>V24+V25</f>
        <v>1899.58</v>
      </c>
      <c r="W26" s="2670"/>
      <c r="X26" s="2670"/>
      <c r="Y26" s="2670"/>
      <c r="Z26" s="2669">
        <f>AA26/V26</f>
        <v>0.98475627945826616</v>
      </c>
      <c r="AA26" s="2669">
        <f>AA24+AA25</f>
        <v>1870.6233333333332</v>
      </c>
      <c r="AB26" s="2669"/>
      <c r="AC26" s="2669"/>
      <c r="AD26" s="2669"/>
      <c r="AE26" s="2669"/>
      <c r="AF26" s="2669"/>
      <c r="AG26" s="2669"/>
      <c r="AH26" s="2669"/>
      <c r="AI26" s="2669"/>
      <c r="AJ26" s="2669"/>
      <c r="AK26" s="2669"/>
      <c r="AL26" s="2669"/>
      <c r="AM26" s="2669"/>
      <c r="AN26" s="2669"/>
      <c r="AO26" s="2669"/>
      <c r="AP26" s="2669"/>
      <c r="AQ26" s="2669"/>
      <c r="AR26" s="2669"/>
    </row>
    <row r="27" spans="1:67" s="1727" customFormat="1" ht="27.75">
      <c r="A27" s="1726" t="s">
        <v>1218</v>
      </c>
      <c r="B27" s="107">
        <v>160</v>
      </c>
      <c r="C27" s="2799" t="s">
        <v>2302</v>
      </c>
      <c r="D27" s="2677"/>
      <c r="E27" s="2659"/>
      <c r="F27" s="2659"/>
      <c r="G27" s="2671"/>
      <c r="H27" s="2671"/>
      <c r="I27" s="2671"/>
      <c r="J27" s="2671"/>
      <c r="K27" s="3496"/>
      <c r="L27" s="3495"/>
      <c r="M27" s="3495"/>
      <c r="N27" s="3495"/>
      <c r="O27" s="2669"/>
      <c r="P27" s="2669"/>
      <c r="Q27" s="2669"/>
      <c r="R27" s="2669"/>
      <c r="S27" s="2669"/>
      <c r="T27" s="2669"/>
      <c r="U27" s="3486" t="s">
        <v>5096</v>
      </c>
      <c r="V27" s="2673">
        <f>V28-V26</f>
        <v>3861.3500000000004</v>
      </c>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1219</v>
      </c>
      <c r="B28" s="110">
        <v>200</v>
      </c>
      <c r="C28" s="2678"/>
      <c r="D28" s="2677"/>
      <c r="E28" s="2659"/>
      <c r="F28" s="2659"/>
      <c r="G28" s="2671"/>
      <c r="H28" s="2671"/>
      <c r="I28" s="2671"/>
      <c r="J28" s="2671"/>
      <c r="K28" s="3497"/>
      <c r="L28" s="3498"/>
      <c r="M28" s="3499"/>
      <c r="N28" s="3495"/>
      <c r="O28" s="2669"/>
      <c r="P28" s="2669"/>
      <c r="Q28" s="2669"/>
      <c r="R28" s="2669"/>
      <c r="S28" s="2669"/>
      <c r="T28" s="2669"/>
      <c r="U28" s="3486" t="s">
        <v>5097</v>
      </c>
      <c r="V28" s="2669">
        <f>'数据-汇总表'!G20</f>
        <v>5760.93</v>
      </c>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1220</v>
      </c>
      <c r="B29" s="112">
        <f ca="1">成本法!C10</f>
        <v>115</v>
      </c>
      <c r="C29" s="2800" t="s">
        <v>2291</v>
      </c>
      <c r="D29" s="2677"/>
      <c r="E29" s="2659"/>
      <c r="F29" s="2659"/>
      <c r="G29" s="2671"/>
      <c r="H29" s="2671"/>
      <c r="I29" s="2671"/>
      <c r="J29" s="2671"/>
      <c r="K29" s="3497"/>
      <c r="L29" s="3498"/>
      <c r="M29" s="3499"/>
      <c r="N29" s="3495"/>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1221</v>
      </c>
      <c r="B30" s="670">
        <v>200</v>
      </c>
      <c r="C30" s="2678"/>
      <c r="D30" s="2677"/>
      <c r="E30" s="2659"/>
      <c r="F30" s="2659"/>
      <c r="G30" s="2671"/>
      <c r="H30" s="2671"/>
      <c r="I30" s="2671"/>
      <c r="J30" s="2671"/>
      <c r="K30" s="3497"/>
      <c r="L30" s="3498"/>
      <c r="M30" s="3499"/>
      <c r="N30" s="3495"/>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1222</v>
      </c>
      <c r="B31" s="111">
        <f>B30-B32</f>
        <v>200</v>
      </c>
      <c r="C31" s="2676"/>
      <c r="D31" s="2677"/>
      <c r="E31" s="2659"/>
      <c r="F31" s="2659"/>
      <c r="G31" s="2671"/>
      <c r="H31" s="2671"/>
      <c r="I31" s="2671"/>
      <c r="J31" s="2671"/>
      <c r="K31" s="3497"/>
      <c r="L31" s="3499"/>
      <c r="M31" s="3499"/>
      <c r="N31" s="3495"/>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1223</v>
      </c>
      <c r="B32" s="671"/>
      <c r="C32" s="2678"/>
      <c r="D32" s="2674"/>
      <c r="E32" s="2671"/>
      <c r="F32" s="2671"/>
      <c r="G32" s="2671"/>
      <c r="H32" s="2671"/>
      <c r="I32" s="2671"/>
      <c r="J32" s="2671"/>
      <c r="K32" s="3497"/>
      <c r="L32" s="3495"/>
      <c r="M32" s="3495"/>
      <c r="N32" s="3495"/>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1224</v>
      </c>
      <c r="B33" s="672">
        <v>0.05</v>
      </c>
      <c r="C33" s="2801" t="s">
        <v>3379</v>
      </c>
      <c r="D33" s="2674"/>
      <c r="E33" s="2671"/>
      <c r="F33" s="2671"/>
      <c r="G33" s="2671"/>
      <c r="H33" s="2671"/>
      <c r="I33" s="2671"/>
      <c r="J33" s="2671"/>
      <c r="K33" s="3496"/>
      <c r="L33" s="3495"/>
      <c r="M33" s="3495"/>
      <c r="N33" s="3495"/>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1225</v>
      </c>
      <c r="B34" s="113"/>
      <c r="C34" s="2801" t="s">
        <v>2292</v>
      </c>
      <c r="D34" s="2682" t="s">
        <v>2299</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1226</v>
      </c>
      <c r="B35" s="110">
        <v>200</v>
      </c>
      <c r="C35" s="2801" t="s">
        <v>2293</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1227</v>
      </c>
      <c r="B36" s="114">
        <v>0.02</v>
      </c>
      <c r="C36" s="2801" t="s">
        <v>3380</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30" t="s">
        <v>1228</v>
      </c>
      <c r="B37" s="115">
        <v>0.02</v>
      </c>
      <c r="C37" s="2801" t="s">
        <v>2294</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8" t="s">
        <v>1229</v>
      </c>
      <c r="B38" s="113">
        <v>0.02</v>
      </c>
      <c r="C38" s="2801" t="s">
        <v>2294</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1" t="s">
        <v>1230</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15" thickBot="1">
      <c r="A40" s="2813" t="s">
        <v>2309</v>
      </c>
      <c r="B40" s="1077">
        <f ca="1">IF(A40="利息：取LPR",存贷款利率!G1,存贷款利率!G1+C40)</f>
        <v>3.3500000000000002E-2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6" t="s">
        <v>1231</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2" t="s">
        <v>1232</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2" t="s">
        <v>1233</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3" t="s">
        <v>1234</v>
      </c>
      <c r="B44" s="119">
        <v>7.0000000000000007E-2</v>
      </c>
      <c r="C44" s="2801" t="s">
        <v>2303</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3" t="s">
        <v>1235</v>
      </c>
      <c r="B45" s="117">
        <v>0.03</v>
      </c>
      <c r="C45" s="2800" t="s">
        <v>2295</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3" t="s">
        <v>1236</v>
      </c>
      <c r="B46" s="117">
        <v>0.02</v>
      </c>
      <c r="C46" s="2800" t="s">
        <v>2296</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4" t="s">
        <v>1237</v>
      </c>
      <c r="B47" s="120"/>
      <c r="C47" s="2803" t="s">
        <v>2304</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5" t="s">
        <v>1238</v>
      </c>
      <c r="B48" s="121">
        <v>0.03</v>
      </c>
      <c r="C48" s="2800" t="s">
        <v>2295</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1" t="s">
        <v>1239</v>
      </c>
      <c r="B49" s="117">
        <v>0</v>
      </c>
      <c r="C49" s="2800" t="s">
        <v>2297</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6" t="s">
        <v>1240</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29" t="s">
        <v>1241</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6" t="s">
        <v>1242</v>
      </c>
      <c r="B52" s="124">
        <f>SUMIF(A54:A63,B53,B54:B63)</f>
        <v>24</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8" t="s">
        <v>1243</v>
      </c>
      <c r="B53" s="1737" t="s">
        <v>184</v>
      </c>
      <c r="C53" s="2659" t="s">
        <v>1244</v>
      </c>
      <c r="D53" s="2802" t="s">
        <v>2301</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8" t="s">
        <v>1245</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8" t="s">
        <v>1246</v>
      </c>
      <c r="B55" s="75">
        <v>24</v>
      </c>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8" t="s">
        <v>1247</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8" t="s">
        <v>1248</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8" t="s">
        <v>1249</v>
      </c>
      <c r="B58" s="75"/>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8" t="s">
        <v>1250</v>
      </c>
      <c r="B59" s="75"/>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8" t="s">
        <v>1251</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8" t="s">
        <v>1252</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8" t="s">
        <v>1253</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39" t="s">
        <v>1254</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2"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2"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2"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2"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2"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8" customWidth="1"/>
    <col min="4" max="4" width="2.625" style="2508" customWidth="1"/>
    <col min="5" max="5" width="5.875" style="2508" customWidth="1"/>
    <col min="6" max="6" width="27" style="1571"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8"/>
    <col min="30" max="16384" width="9" style="1685"/>
  </cols>
  <sheetData>
    <row r="1" spans="1:29" s="2455" customFormat="1" ht="18.75" thickBot="1">
      <c r="A1" s="3938" t="s">
        <v>2283</v>
      </c>
      <c r="B1" s="3939"/>
      <c r="C1" s="3939"/>
      <c r="D1" s="3939"/>
      <c r="E1" s="3939"/>
      <c r="F1" s="3939"/>
      <c r="G1" s="3939"/>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2278</v>
      </c>
      <c r="D2" s="2459"/>
      <c r="E2" s="2456"/>
      <c r="F2" s="2460"/>
      <c r="G2" s="2458" t="s">
        <v>2279</v>
      </c>
      <c r="H2" s="798"/>
      <c r="I2" s="798"/>
      <c r="J2" s="798"/>
      <c r="K2" s="798"/>
      <c r="L2" s="798"/>
      <c r="M2" s="798"/>
      <c r="N2" s="798"/>
      <c r="O2" s="798"/>
      <c r="P2" s="798"/>
      <c r="Q2" s="798"/>
      <c r="R2" s="798"/>
    </row>
    <row r="3" spans="1:29" ht="48">
      <c r="A3" s="2439" t="s">
        <v>2280</v>
      </c>
      <c r="B3" s="2461" t="s">
        <v>2249</v>
      </c>
      <c r="C3" s="2462" t="s">
        <v>2281</v>
      </c>
      <c r="D3" s="2463"/>
      <c r="E3" s="2440" t="s">
        <v>2280</v>
      </c>
      <c r="F3" s="2464" t="s">
        <v>2250</v>
      </c>
      <c r="G3" s="2465" t="s">
        <v>2282</v>
      </c>
      <c r="H3" s="798"/>
      <c r="I3" s="798"/>
      <c r="J3" s="798"/>
      <c r="K3" s="798"/>
      <c r="L3" s="798"/>
      <c r="M3" s="798"/>
      <c r="N3" s="798"/>
      <c r="O3" s="798"/>
      <c r="P3" s="798"/>
      <c r="Q3" s="798"/>
      <c r="R3" s="798"/>
    </row>
    <row r="4" spans="1:29" ht="36.75">
      <c r="A4" s="2440"/>
      <c r="B4" s="323" t="s">
        <v>2251</v>
      </c>
      <c r="C4" s="2466" t="s">
        <v>2252</v>
      </c>
      <c r="D4" s="2463"/>
      <c r="E4" s="2467"/>
      <c r="F4" s="1372" t="s">
        <v>2253</v>
      </c>
      <c r="G4" s="2468" t="s">
        <v>2254</v>
      </c>
      <c r="H4" s="798"/>
      <c r="I4" s="798"/>
      <c r="J4" s="798"/>
      <c r="K4" s="798"/>
      <c r="L4" s="798"/>
      <c r="M4" s="798"/>
      <c r="N4" s="798"/>
      <c r="O4" s="798"/>
      <c r="P4" s="798"/>
      <c r="Q4" s="798"/>
      <c r="R4" s="798"/>
    </row>
    <row r="5" spans="1:29" ht="36.75">
      <c r="A5" s="2440"/>
      <c r="B5" s="323" t="s">
        <v>2255</v>
      </c>
      <c r="C5" s="2466" t="s">
        <v>2256</v>
      </c>
      <c r="D5" s="2463"/>
      <c r="E5" s="2467"/>
      <c r="F5" s="323" t="s">
        <v>2257</v>
      </c>
      <c r="G5" s="2468" t="s">
        <v>2258</v>
      </c>
      <c r="H5" s="798"/>
      <c r="I5" s="798"/>
      <c r="J5" s="798"/>
      <c r="K5" s="798"/>
      <c r="L5" s="798"/>
      <c r="M5" s="798"/>
      <c r="N5" s="798"/>
      <c r="O5" s="798"/>
      <c r="P5" s="798"/>
      <c r="Q5" s="798"/>
      <c r="R5" s="798"/>
    </row>
    <row r="6" spans="1:29" ht="36">
      <c r="A6" s="2440"/>
      <c r="B6" s="323" t="s">
        <v>2259</v>
      </c>
      <c r="C6" s="2468" t="s">
        <v>2254</v>
      </c>
      <c r="D6" s="2463"/>
      <c r="E6" s="2467"/>
      <c r="F6" s="323" t="s">
        <v>2260</v>
      </c>
      <c r="G6" s="2468" t="s">
        <v>2261</v>
      </c>
      <c r="H6" s="798"/>
      <c r="I6" s="798"/>
      <c r="J6" s="798"/>
      <c r="K6" s="798"/>
      <c r="L6" s="798"/>
      <c r="M6" s="798"/>
      <c r="N6" s="798"/>
      <c r="O6" s="798"/>
      <c r="P6" s="798"/>
      <c r="Q6" s="798"/>
      <c r="R6" s="798"/>
    </row>
    <row r="7" spans="1:29" ht="24.75" thickBot="1">
      <c r="A7" s="2440"/>
      <c r="B7" s="323" t="s">
        <v>2257</v>
      </c>
      <c r="C7" s="2468" t="s">
        <v>2258</v>
      </c>
      <c r="D7" s="2469"/>
      <c r="E7" s="2470"/>
      <c r="F7" s="2471" t="s">
        <v>2262</v>
      </c>
      <c r="G7" s="2472" t="s">
        <v>2263</v>
      </c>
      <c r="H7" s="798"/>
      <c r="I7" s="798"/>
      <c r="J7" s="798"/>
      <c r="K7" s="798"/>
      <c r="L7" s="798"/>
      <c r="M7" s="798"/>
      <c r="N7" s="798"/>
      <c r="O7" s="798"/>
      <c r="P7" s="798"/>
      <c r="Q7" s="798"/>
      <c r="R7" s="798"/>
    </row>
    <row r="8" spans="1:29">
      <c r="A8" s="2440"/>
      <c r="B8" s="323" t="s">
        <v>2260</v>
      </c>
      <c r="C8" s="2468" t="s">
        <v>2261</v>
      </c>
      <c r="D8" s="2469"/>
      <c r="E8" s="2469"/>
      <c r="F8" s="2473"/>
      <c r="G8" s="2473"/>
      <c r="H8" s="798"/>
      <c r="I8" s="798"/>
      <c r="J8" s="798"/>
      <c r="K8" s="798"/>
      <c r="L8" s="798"/>
      <c r="M8" s="798"/>
      <c r="N8" s="798"/>
      <c r="O8" s="798"/>
      <c r="P8" s="798"/>
      <c r="Q8" s="798"/>
      <c r="R8" s="798"/>
    </row>
    <row r="9" spans="1:29" ht="24">
      <c r="A9" s="2440"/>
      <c r="B9" s="323" t="s">
        <v>2264</v>
      </c>
      <c r="C9" s="2466" t="s">
        <v>2265</v>
      </c>
      <c r="D9" s="2463"/>
      <c r="E9" s="2469"/>
      <c r="F9" s="2473"/>
      <c r="G9" s="2473"/>
      <c r="H9" s="798"/>
      <c r="I9" s="798"/>
      <c r="J9" s="798"/>
      <c r="K9" s="798"/>
      <c r="L9" s="798"/>
      <c r="M9" s="798"/>
      <c r="N9" s="798"/>
      <c r="O9" s="798"/>
      <c r="P9" s="798"/>
      <c r="Q9" s="798"/>
      <c r="R9" s="798"/>
    </row>
    <row r="10" spans="1:29" s="2479" customFormat="1" ht="15" thickBot="1">
      <c r="A10" s="2441"/>
      <c r="B10" s="2474" t="s">
        <v>2266</v>
      </c>
      <c r="C10" s="2475"/>
      <c r="D10" s="2463"/>
      <c r="E10" s="2463"/>
      <c r="F10" s="2473"/>
      <c r="G10" s="2473"/>
      <c r="H10" s="2476"/>
      <c r="I10" s="2477"/>
      <c r="J10" s="2478"/>
      <c r="K10" s="2476"/>
      <c r="L10" s="2477"/>
      <c r="M10" s="2478"/>
      <c r="N10" s="2476"/>
      <c r="O10" s="2477"/>
      <c r="P10" s="2478"/>
      <c r="Q10" s="2476"/>
      <c r="R10" s="2477"/>
      <c r="S10" s="798"/>
      <c r="T10" s="798"/>
      <c r="U10" s="798"/>
      <c r="V10" s="798"/>
      <c r="W10" s="798"/>
      <c r="X10" s="798"/>
      <c r="Y10" s="798"/>
      <c r="Z10" s="798"/>
      <c r="AA10" s="798"/>
      <c r="AB10" s="798"/>
      <c r="AC10" s="798"/>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8"/>
      <c r="T11" s="798"/>
      <c r="U11" s="798"/>
      <c r="V11" s="798"/>
      <c r="W11" s="798"/>
      <c r="X11" s="798"/>
      <c r="Y11" s="798"/>
      <c r="Z11" s="798"/>
      <c r="AA11" s="798"/>
      <c r="AB11" s="798"/>
      <c r="AC11" s="798"/>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2284</v>
      </c>
      <c r="B13" s="2482"/>
      <c r="C13" s="2482"/>
      <c r="D13" s="2480"/>
      <c r="E13" s="2482"/>
      <c r="F13" s="2482"/>
      <c r="G13" s="2482"/>
    </row>
    <row r="14" spans="1:29" ht="15" thickBot="1">
      <c r="A14" s="2492"/>
      <c r="B14" s="2492"/>
      <c r="C14" s="2493" t="s">
        <v>2267</v>
      </c>
      <c r="D14" s="2463"/>
      <c r="E14" s="2494"/>
      <c r="F14" s="2494"/>
      <c r="G14" s="2458" t="s">
        <v>2268</v>
      </c>
    </row>
    <row r="15" spans="1:29" ht="51">
      <c r="A15" s="2442" t="s">
        <v>2269</v>
      </c>
      <c r="B15" s="2495" t="s">
        <v>2249</v>
      </c>
      <c r="C15" s="2496" t="str">
        <f>C3</f>
        <v>估价对象周边居住用地比例、居住小区规模和社区发展完善程度，综合评价居住社区成熟度一般</v>
      </c>
      <c r="D15" s="2463"/>
      <c r="E15" s="2443" t="s">
        <v>2270</v>
      </c>
      <c r="F15" s="2495" t="s">
        <v>2271</v>
      </c>
      <c r="G15" s="2497" t="str">
        <f>G3</f>
        <v>估价对象位于XX开发区，园区建设成熟度XX，产业集聚程度XX</v>
      </c>
    </row>
    <row r="16" spans="1:29" ht="38.25">
      <c r="A16" s="2444"/>
      <c r="B16" s="2498" t="s">
        <v>2251</v>
      </c>
      <c r="C16" s="2499" t="str">
        <f>C4</f>
        <v>估价对象位于XX商圈，周边商业氛围成熟，人流量大，商业繁华度好</v>
      </c>
      <c r="D16" s="2463"/>
      <c r="E16" s="2445"/>
      <c r="F16" s="2500" t="s">
        <v>2253</v>
      </c>
      <c r="G16" s="2501" t="str">
        <f>G4</f>
        <v>估价对象周边道路状况、公共交通通达情况、停车便捷程度，综合评价交通便捷度较好</v>
      </c>
    </row>
    <row r="17" spans="1:18" ht="38.25">
      <c r="A17" s="2444"/>
      <c r="B17" s="2498" t="s">
        <v>2255</v>
      </c>
      <c r="C17" s="2499" t="str">
        <f>C5</f>
        <v>估价对象位于XX商圈，周边办公楼项目较多，入驻率高，办公集聚程度较好</v>
      </c>
      <c r="D17" s="2469"/>
      <c r="E17" s="2445"/>
      <c r="F17" s="2500" t="s">
        <v>2272</v>
      </c>
      <c r="G17" s="2502"/>
    </row>
    <row r="18" spans="1:18" ht="38.25">
      <c r="A18" s="2444"/>
      <c r="B18" s="2500" t="s">
        <v>2259</v>
      </c>
      <c r="C18" s="2501" t="str">
        <f>C6</f>
        <v>估价对象周边道路状况、公共交通通达情况、停车便捷程度，综合评价交通便捷度较好</v>
      </c>
      <c r="D18" s="2469"/>
      <c r="E18" s="2445"/>
      <c r="F18" s="2500" t="s">
        <v>2262</v>
      </c>
      <c r="G18" s="2501" t="str">
        <f>G7</f>
        <v>该园区内是否有污染型企业，绿化情况，卫生条件，整体环境状况判断</v>
      </c>
    </row>
    <row r="19" spans="1:18" ht="25.5">
      <c r="A19" s="2444"/>
      <c r="B19" s="2500" t="s">
        <v>2273</v>
      </c>
      <c r="C19" s="2502"/>
      <c r="D19" s="2463"/>
      <c r="E19" s="2445"/>
      <c r="F19" s="323" t="s">
        <v>2257</v>
      </c>
      <c r="G19" s="2501" t="str">
        <f>G5</f>
        <v>估价对象所在区域公共配套设施齐备情况</v>
      </c>
    </row>
    <row r="20" spans="1:18" ht="25.5">
      <c r="A20" s="2444"/>
      <c r="B20" s="2500" t="s">
        <v>2274</v>
      </c>
      <c r="C20" s="2499" t="str">
        <f>C9</f>
        <v>区域自然环境：；人文环境；综合评价环境状况一般</v>
      </c>
      <c r="D20" s="2469"/>
      <c r="E20" s="2445"/>
      <c r="F20" s="323" t="s">
        <v>2260</v>
      </c>
      <c r="G20" s="2501" t="str">
        <f>G6</f>
        <v>估价对象所在区域基础设施水平</v>
      </c>
    </row>
    <row r="21" spans="1:18" ht="25.5">
      <c r="A21" s="2444"/>
      <c r="B21" s="323" t="s">
        <v>2257</v>
      </c>
      <c r="C21" s="2501" t="str">
        <f>C7</f>
        <v>估价对象所在区域公共配套设施齐备情况</v>
      </c>
      <c r="D21" s="2463"/>
      <c r="E21" s="2445"/>
      <c r="F21" s="2500" t="s">
        <v>2275</v>
      </c>
      <c r="G21" s="2503"/>
    </row>
    <row r="22" spans="1:18" ht="13.5" customHeight="1">
      <c r="A22" s="2444"/>
      <c r="B22" s="323" t="s">
        <v>2260</v>
      </c>
      <c r="C22" s="2501" t="str">
        <f>C8</f>
        <v>估价对象所在区域基础设施水平</v>
      </c>
      <c r="D22" s="2463"/>
      <c r="E22" s="2445"/>
      <c r="F22" s="2500" t="s">
        <v>2266</v>
      </c>
      <c r="G22" s="2502"/>
    </row>
    <row r="23" spans="1:18" s="798" customFormat="1" ht="15" thickBot="1">
      <c r="A23" s="2444"/>
      <c r="B23" s="2500" t="s">
        <v>2275</v>
      </c>
      <c r="C23" s="2503"/>
      <c r="D23" s="1740"/>
      <c r="E23" s="2446"/>
      <c r="F23" s="2504" t="s">
        <v>2276</v>
      </c>
      <c r="G23" s="2505"/>
      <c r="H23" s="2489"/>
      <c r="I23" s="2490"/>
      <c r="J23" s="2489"/>
      <c r="K23" s="2489"/>
      <c r="L23" s="2490"/>
      <c r="M23" s="2489"/>
      <c r="N23" s="2489"/>
      <c r="O23" s="2490"/>
      <c r="P23" s="2489"/>
      <c r="Q23" s="2489"/>
      <c r="R23" s="2491"/>
    </row>
    <row r="24" spans="1:18" s="798" customFormat="1" ht="15" thickBot="1">
      <c r="A24" s="2447"/>
      <c r="B24" s="2504" t="s">
        <v>2277</v>
      </c>
      <c r="C24" s="2506">
        <f>C10</f>
        <v>0</v>
      </c>
      <c r="D24" s="1740"/>
      <c r="E24" s="2437"/>
      <c r="F24" s="2437"/>
      <c r="G24" s="2507"/>
      <c r="H24" s="2489"/>
      <c r="I24" s="2490"/>
      <c r="J24" s="2489"/>
      <c r="K24" s="2489"/>
      <c r="L24" s="2490"/>
      <c r="M24" s="2489"/>
      <c r="N24" s="2489"/>
      <c r="O24" s="2490"/>
      <c r="P24" s="2489"/>
      <c r="Q24" s="2489"/>
      <c r="R24" s="2491"/>
    </row>
    <row r="25" spans="1:18" s="798" customFormat="1">
      <c r="B25" s="2489"/>
      <c r="C25" s="2489"/>
      <c r="D25" s="2489"/>
      <c r="H25" s="2489"/>
      <c r="I25" s="2490"/>
      <c r="J25" s="2489"/>
      <c r="K25" s="2489"/>
      <c r="L25" s="2490"/>
      <c r="M25" s="2489"/>
      <c r="N25" s="2489"/>
      <c r="O25" s="2490"/>
      <c r="P25" s="2489"/>
      <c r="Q25" s="2489"/>
      <c r="R25" s="2491"/>
    </row>
    <row r="26" spans="1:18" s="798" customFormat="1">
      <c r="B26" s="2489"/>
      <c r="C26" s="2489"/>
      <c r="D26" s="2489"/>
      <c r="H26" s="2489"/>
      <c r="I26" s="2490"/>
      <c r="J26" s="2489"/>
      <c r="K26" s="2489"/>
      <c r="L26" s="2490"/>
      <c r="M26" s="2489"/>
      <c r="N26" s="2489"/>
      <c r="O26" s="2490"/>
      <c r="P26" s="2489"/>
      <c r="Q26" s="2489"/>
      <c r="R26" s="2491"/>
    </row>
    <row r="27" spans="1:18" s="798" customFormat="1">
      <c r="B27" s="2489"/>
      <c r="C27" s="2489"/>
      <c r="D27" s="2489"/>
      <c r="H27" s="2489"/>
      <c r="I27" s="2490"/>
      <c r="J27" s="2489"/>
      <c r="K27" s="2489"/>
      <c r="L27" s="2490"/>
      <c r="M27" s="2489"/>
      <c r="N27" s="2489"/>
      <c r="O27" s="2490"/>
      <c r="P27" s="2489"/>
      <c r="Q27" s="2489"/>
      <c r="R27" s="2491"/>
    </row>
    <row r="28" spans="1:18" s="798" customFormat="1">
      <c r="B28" s="2489"/>
      <c r="C28" s="2489"/>
      <c r="D28" s="2489"/>
      <c r="H28" s="2489"/>
      <c r="I28" s="2490"/>
      <c r="J28" s="2489"/>
      <c r="K28" s="2489"/>
      <c r="L28" s="2490"/>
      <c r="M28" s="2489"/>
      <c r="N28" s="2489"/>
      <c r="O28" s="2490"/>
      <c r="P28" s="2489"/>
      <c r="Q28" s="2489"/>
      <c r="R28" s="2491"/>
    </row>
    <row r="29" spans="1:18" s="798" customFormat="1">
      <c r="B29" s="2489"/>
      <c r="C29" s="2489"/>
      <c r="D29" s="2489"/>
      <c r="H29" s="2489"/>
      <c r="I29" s="2490"/>
      <c r="J29" s="2489"/>
      <c r="K29" s="2489"/>
      <c r="L29" s="2490"/>
      <c r="M29" s="2489"/>
      <c r="N29" s="2489"/>
      <c r="O29" s="2490"/>
      <c r="P29" s="2489"/>
      <c r="Q29" s="2489"/>
      <c r="R29" s="2491"/>
    </row>
    <row r="30" spans="1:18" s="798" customFormat="1">
      <c r="B30" s="2489"/>
      <c r="C30" s="2489"/>
      <c r="D30" s="2489"/>
      <c r="H30" s="2489"/>
      <c r="I30" s="2490"/>
      <c r="J30" s="2489"/>
      <c r="K30" s="2489"/>
      <c r="L30" s="2490"/>
      <c r="M30" s="2489"/>
      <c r="N30" s="2489"/>
      <c r="O30" s="2490"/>
      <c r="P30" s="2489"/>
      <c r="Q30" s="2489"/>
      <c r="R30" s="2491"/>
    </row>
    <row r="31" spans="1:18" s="798" customFormat="1">
      <c r="B31" s="2489"/>
      <c r="C31" s="2489"/>
      <c r="D31" s="2489"/>
      <c r="H31" s="2489"/>
      <c r="I31" s="2490"/>
      <c r="J31" s="2489"/>
      <c r="K31" s="2489"/>
      <c r="L31" s="2490"/>
      <c r="M31" s="2489"/>
      <c r="N31" s="2489"/>
      <c r="O31" s="2490"/>
      <c r="P31" s="2489"/>
      <c r="Q31" s="2489"/>
      <c r="R31" s="2491"/>
    </row>
    <row r="32" spans="1:18" s="798" customFormat="1">
      <c r="B32" s="2489"/>
      <c r="C32" s="2489"/>
      <c r="D32" s="2489"/>
      <c r="H32" s="2489"/>
      <c r="I32" s="2490"/>
      <c r="J32" s="2489"/>
      <c r="K32" s="2489"/>
      <c r="L32" s="2490"/>
      <c r="M32" s="2489"/>
      <c r="N32" s="2489"/>
      <c r="O32" s="2490"/>
      <c r="P32" s="2489"/>
      <c r="Q32" s="2489"/>
      <c r="R32" s="2491"/>
    </row>
    <row r="33" spans="2:18" s="798" customFormat="1">
      <c r="B33" s="2489"/>
      <c r="C33" s="2489"/>
      <c r="D33" s="2489"/>
      <c r="H33" s="2489"/>
      <c r="I33" s="2490"/>
      <c r="J33" s="2489"/>
      <c r="K33" s="2489"/>
      <c r="L33" s="2490"/>
      <c r="M33" s="2489"/>
      <c r="N33" s="2489"/>
      <c r="O33" s="2490"/>
      <c r="P33" s="2489"/>
      <c r="Q33" s="2489"/>
      <c r="R33" s="2491"/>
    </row>
    <row r="34" spans="2:18" s="798" customFormat="1">
      <c r="B34" s="2489"/>
      <c r="C34" s="2489"/>
      <c r="D34" s="2489"/>
      <c r="H34" s="2489"/>
      <c r="I34" s="2490"/>
      <c r="J34" s="2489"/>
      <c r="K34" s="2489"/>
      <c r="L34" s="2490"/>
      <c r="M34" s="2489"/>
      <c r="N34" s="2489"/>
      <c r="O34" s="2490"/>
      <c r="P34" s="2489"/>
      <c r="Q34" s="2489"/>
      <c r="R34" s="2491"/>
    </row>
    <row r="35" spans="2:18" s="798" customFormat="1">
      <c r="B35" s="2489"/>
      <c r="C35" s="2489"/>
      <c r="D35" s="2489"/>
      <c r="H35" s="2489"/>
      <c r="I35" s="2490"/>
      <c r="J35" s="2489"/>
      <c r="K35" s="2489"/>
      <c r="L35" s="2490"/>
      <c r="M35" s="2489"/>
      <c r="N35" s="2489"/>
      <c r="O35" s="2490"/>
      <c r="P35" s="2489"/>
      <c r="Q35" s="2489"/>
      <c r="R35" s="2491"/>
    </row>
    <row r="36" spans="2:18" s="798" customFormat="1">
      <c r="B36" s="2489"/>
      <c r="C36" s="2489"/>
      <c r="D36" s="2489"/>
      <c r="H36" s="2489"/>
      <c r="I36" s="2490"/>
      <c r="J36" s="2489"/>
      <c r="K36" s="2489"/>
      <c r="L36" s="2490"/>
      <c r="M36" s="2489"/>
      <c r="N36" s="2489"/>
      <c r="O36" s="2490"/>
      <c r="P36" s="2489"/>
      <c r="Q36" s="2489"/>
      <c r="R36" s="2491"/>
    </row>
    <row r="37" spans="2:18" s="798" customFormat="1">
      <c r="B37" s="2489"/>
      <c r="C37" s="2489"/>
      <c r="D37" s="2489"/>
      <c r="H37" s="2489"/>
      <c r="I37" s="2490"/>
      <c r="J37" s="2489"/>
      <c r="K37" s="2489"/>
      <c r="L37" s="2490"/>
      <c r="M37" s="2489"/>
      <c r="N37" s="2489"/>
      <c r="O37" s="2490"/>
      <c r="P37" s="2489"/>
      <c r="Q37" s="2489"/>
      <c r="R37" s="2491"/>
    </row>
    <row r="38" spans="2:18" s="798" customFormat="1">
      <c r="B38" s="2489"/>
      <c r="C38" s="2489"/>
      <c r="D38" s="2489"/>
      <c r="E38" s="2489"/>
      <c r="F38" s="2489"/>
      <c r="G38" s="2490"/>
      <c r="H38" s="2489"/>
      <c r="I38" s="2490"/>
      <c r="J38" s="2489"/>
      <c r="K38" s="2489"/>
      <c r="L38" s="2490"/>
      <c r="M38" s="2489"/>
      <c r="N38" s="2489"/>
      <c r="O38" s="2490"/>
      <c r="P38" s="2489"/>
      <c r="Q38" s="2489"/>
      <c r="R38" s="2491"/>
    </row>
    <row r="39" spans="2:18" s="798" customFormat="1">
      <c r="B39" s="2489"/>
      <c r="C39" s="2489"/>
      <c r="D39" s="2489"/>
      <c r="E39" s="2489"/>
      <c r="F39" s="2489"/>
      <c r="G39" s="2490"/>
      <c r="H39" s="2489"/>
      <c r="I39" s="2490"/>
      <c r="J39" s="2489"/>
      <c r="K39" s="2489"/>
      <c r="L39" s="2490"/>
      <c r="M39" s="2489"/>
      <c r="N39" s="2489"/>
      <c r="O39" s="2490"/>
      <c r="P39" s="2489"/>
      <c r="Q39" s="2489"/>
      <c r="R39" s="2491"/>
    </row>
    <row r="40" spans="2:18" s="798" customFormat="1">
      <c r="B40" s="2489"/>
      <c r="C40" s="2489"/>
      <c r="D40" s="2489"/>
      <c r="E40" s="2489"/>
      <c r="F40" s="2489"/>
      <c r="G40" s="2490"/>
      <c r="H40" s="2489"/>
      <c r="I40" s="2490"/>
      <c r="J40" s="2489"/>
      <c r="K40" s="2489"/>
      <c r="L40" s="2490"/>
      <c r="M40" s="2489"/>
      <c r="N40" s="2489"/>
      <c r="O40" s="2490"/>
      <c r="P40" s="2489"/>
      <c r="Q40" s="2489"/>
      <c r="R40" s="2491"/>
    </row>
    <row r="41" spans="2:18" s="798" customFormat="1">
      <c r="B41" s="2489"/>
      <c r="C41" s="2489"/>
      <c r="D41" s="2489"/>
      <c r="E41" s="2489"/>
      <c r="F41" s="2489"/>
      <c r="G41" s="2490"/>
      <c r="H41" s="2489"/>
      <c r="I41" s="2490"/>
      <c r="J41" s="2489"/>
      <c r="K41" s="2489"/>
      <c r="L41" s="2490"/>
      <c r="M41" s="2489"/>
      <c r="N41" s="2489"/>
      <c r="O41" s="2490"/>
      <c r="P41" s="2489"/>
      <c r="Q41" s="2489"/>
      <c r="R41" s="2491"/>
    </row>
    <row r="42" spans="2:18" s="798" customFormat="1">
      <c r="B42" s="2489"/>
      <c r="C42" s="2489"/>
      <c r="D42" s="2489"/>
      <c r="E42" s="2489"/>
      <c r="F42" s="2489"/>
      <c r="G42" s="2490"/>
      <c r="H42" s="2489"/>
      <c r="I42" s="2490"/>
      <c r="J42" s="2489"/>
      <c r="K42" s="2489"/>
      <c r="L42" s="2490"/>
      <c r="M42" s="2489"/>
      <c r="N42" s="2489"/>
      <c r="O42" s="2490"/>
      <c r="P42" s="2489"/>
      <c r="Q42" s="2489"/>
      <c r="R42" s="2491"/>
    </row>
    <row r="43" spans="2:18" s="798" customFormat="1">
      <c r="B43" s="2489"/>
      <c r="C43" s="2489"/>
      <c r="D43" s="2489"/>
      <c r="E43" s="2489"/>
      <c r="F43" s="2489"/>
      <c r="G43" s="2490"/>
      <c r="H43" s="2489"/>
      <c r="I43" s="2490"/>
      <c r="J43" s="2489"/>
      <c r="K43" s="2489"/>
      <c r="L43" s="2490"/>
      <c r="M43" s="2489"/>
      <c r="N43" s="2489"/>
      <c r="O43" s="2490"/>
      <c r="P43" s="2489"/>
      <c r="Q43" s="2489"/>
      <c r="R43" s="2491"/>
    </row>
    <row r="44" spans="2:18" s="798" customFormat="1">
      <c r="B44" s="2489"/>
      <c r="C44" s="2489"/>
      <c r="D44" s="2489"/>
      <c r="E44" s="2489"/>
      <c r="F44" s="2489"/>
      <c r="G44" s="2490"/>
      <c r="H44" s="2489"/>
      <c r="I44" s="2490"/>
      <c r="J44" s="2489"/>
      <c r="K44" s="2489"/>
      <c r="L44" s="2490"/>
      <c r="M44" s="2489"/>
      <c r="N44" s="2489"/>
      <c r="O44" s="2490"/>
      <c r="P44" s="2489"/>
      <c r="Q44" s="2489"/>
      <c r="R44" s="2491"/>
    </row>
    <row r="45" spans="2:18" s="798" customFormat="1">
      <c r="B45" s="2489"/>
      <c r="C45" s="2489"/>
      <c r="D45" s="2489"/>
      <c r="E45" s="2489"/>
      <c r="F45" s="2489"/>
      <c r="G45" s="2490"/>
      <c r="H45" s="2489"/>
      <c r="I45" s="2490"/>
      <c r="J45" s="2489"/>
      <c r="K45" s="2489"/>
      <c r="L45" s="2490"/>
      <c r="M45" s="2489"/>
      <c r="N45" s="2489"/>
      <c r="O45" s="2490"/>
      <c r="P45" s="2489"/>
      <c r="Q45" s="2489"/>
      <c r="R45" s="2491"/>
    </row>
    <row r="46" spans="2:18" s="798" customFormat="1">
      <c r="B46" s="2489"/>
      <c r="C46" s="2489"/>
      <c r="D46" s="2489"/>
      <c r="E46" s="2489"/>
      <c r="F46" s="2489"/>
      <c r="G46" s="2490"/>
      <c r="H46" s="2489"/>
      <c r="I46" s="2490"/>
      <c r="J46" s="2489"/>
      <c r="K46" s="2489"/>
      <c r="L46" s="2490"/>
      <c r="M46" s="2489"/>
      <c r="N46" s="2489"/>
      <c r="O46" s="2490"/>
      <c r="P46" s="2489"/>
      <c r="Q46" s="2489"/>
      <c r="R46" s="2491"/>
    </row>
    <row r="47" spans="2:18" s="798" customFormat="1">
      <c r="B47" s="2489"/>
      <c r="C47" s="2489"/>
      <c r="D47" s="2489"/>
      <c r="E47" s="2489"/>
      <c r="F47" s="2489"/>
      <c r="G47" s="2490"/>
      <c r="H47" s="2489"/>
      <c r="I47" s="2490"/>
      <c r="J47" s="2489"/>
      <c r="K47" s="2489"/>
      <c r="L47" s="2490"/>
      <c r="M47" s="2489"/>
      <c r="N47" s="2489"/>
      <c r="O47" s="2490"/>
      <c r="P47" s="2489"/>
      <c r="Q47" s="2489"/>
      <c r="R47" s="2491"/>
    </row>
    <row r="48" spans="2:18" s="798" customFormat="1">
      <c r="B48" s="2489"/>
      <c r="C48" s="2489"/>
      <c r="D48" s="2489"/>
      <c r="E48" s="2489"/>
      <c r="F48" s="2489"/>
      <c r="G48" s="2490"/>
      <c r="H48" s="2489"/>
      <c r="I48" s="2490"/>
      <c r="J48" s="2489"/>
      <c r="K48" s="2489"/>
      <c r="L48" s="2490"/>
      <c r="M48" s="2489"/>
      <c r="N48" s="2489"/>
      <c r="O48" s="2490"/>
      <c r="P48" s="2489"/>
      <c r="Q48" s="2489"/>
      <c r="R48" s="2491"/>
    </row>
    <row r="49" spans="2:18" s="798" customFormat="1">
      <c r="B49" s="2489"/>
      <c r="C49" s="2489"/>
      <c r="D49" s="2489"/>
      <c r="E49" s="2489"/>
      <c r="F49" s="2489"/>
      <c r="G49" s="2490"/>
      <c r="H49" s="2489"/>
      <c r="I49" s="2490"/>
      <c r="J49" s="2489"/>
      <c r="K49" s="2489"/>
      <c r="L49" s="2490"/>
      <c r="M49" s="2489"/>
      <c r="N49" s="2489"/>
      <c r="O49" s="2490"/>
      <c r="P49" s="2489"/>
      <c r="Q49" s="2489"/>
      <c r="R49" s="2491"/>
    </row>
    <row r="50" spans="2:18" s="798" customFormat="1">
      <c r="B50" s="2489"/>
      <c r="C50" s="2489"/>
      <c r="D50" s="2489"/>
      <c r="E50" s="2489"/>
      <c r="F50" s="2489"/>
      <c r="G50" s="2490"/>
      <c r="H50" s="2489"/>
      <c r="I50" s="2490"/>
      <c r="J50" s="2489"/>
      <c r="K50" s="2489"/>
      <c r="L50" s="2490"/>
      <c r="M50" s="2489"/>
      <c r="N50" s="2489"/>
      <c r="O50" s="2490"/>
      <c r="P50" s="2489"/>
      <c r="Q50" s="2489"/>
      <c r="R50" s="2491"/>
    </row>
    <row r="51" spans="2:18" s="798" customFormat="1">
      <c r="B51" s="2489"/>
      <c r="C51" s="2489"/>
      <c r="D51" s="2489"/>
      <c r="E51" s="2489"/>
      <c r="F51" s="2489"/>
      <c r="G51" s="2490"/>
      <c r="H51" s="2489"/>
      <c r="I51" s="2490"/>
      <c r="J51" s="2489"/>
      <c r="K51" s="2489"/>
      <c r="L51" s="2490"/>
      <c r="M51" s="2489"/>
      <c r="N51" s="2489"/>
      <c r="O51" s="2490"/>
      <c r="P51" s="2489"/>
      <c r="Q51" s="2489"/>
      <c r="R51" s="2491"/>
    </row>
    <row r="52" spans="2:18" s="798" customFormat="1">
      <c r="B52" s="2489"/>
      <c r="C52" s="2489"/>
      <c r="D52" s="2489"/>
      <c r="E52" s="2489"/>
      <c r="F52" s="2489"/>
      <c r="G52" s="2490"/>
      <c r="H52" s="2489"/>
      <c r="I52" s="2490"/>
      <c r="J52" s="2489"/>
      <c r="K52" s="2489"/>
      <c r="L52" s="2490"/>
      <c r="M52" s="2489"/>
      <c r="N52" s="2489"/>
      <c r="O52" s="2490"/>
      <c r="P52" s="2489"/>
      <c r="Q52" s="2489"/>
      <c r="R52" s="2491"/>
    </row>
    <row r="53" spans="2:18" s="798" customFormat="1">
      <c r="B53" s="2489"/>
      <c r="C53" s="2489"/>
      <c r="D53" s="2489"/>
      <c r="E53" s="2489"/>
      <c r="F53" s="2489"/>
      <c r="G53" s="2490"/>
      <c r="H53" s="2489"/>
      <c r="I53" s="2490"/>
      <c r="J53" s="2489"/>
      <c r="K53" s="2489"/>
      <c r="L53" s="2490"/>
      <c r="M53" s="2489"/>
      <c r="N53" s="2489"/>
      <c r="O53" s="2490"/>
      <c r="P53" s="2489"/>
      <c r="Q53" s="2489"/>
      <c r="R53" s="2491"/>
    </row>
    <row r="54" spans="2:18" s="798" customFormat="1">
      <c r="B54" s="2489"/>
      <c r="C54" s="2489"/>
      <c r="D54" s="2489"/>
      <c r="E54" s="2489"/>
      <c r="F54" s="2489"/>
      <c r="G54" s="2490"/>
      <c r="H54" s="2489"/>
      <c r="I54" s="2490"/>
      <c r="J54" s="2489"/>
      <c r="K54" s="2489"/>
      <c r="L54" s="2490"/>
      <c r="M54" s="2489"/>
      <c r="N54" s="2489"/>
      <c r="O54" s="2490"/>
      <c r="P54" s="2489"/>
      <c r="Q54" s="2489"/>
      <c r="R54" s="2491"/>
    </row>
    <row r="55" spans="2:18" s="798" customFormat="1">
      <c r="B55" s="2489"/>
      <c r="C55" s="2489"/>
      <c r="D55" s="2489"/>
      <c r="E55" s="2489"/>
      <c r="F55" s="2489"/>
      <c r="G55" s="2490"/>
      <c r="H55" s="2489"/>
      <c r="I55" s="2490"/>
      <c r="J55" s="2489"/>
      <c r="K55" s="2489"/>
      <c r="L55" s="2490"/>
      <c r="M55" s="2489"/>
      <c r="N55" s="2489"/>
      <c r="O55" s="2490"/>
      <c r="P55" s="2489"/>
      <c r="Q55" s="2489"/>
      <c r="R55" s="2491"/>
    </row>
    <row r="56" spans="2:18" s="798" customFormat="1">
      <c r="B56" s="2489"/>
      <c r="C56" s="2489"/>
      <c r="D56" s="2489"/>
      <c r="E56" s="2489"/>
      <c r="F56" s="2489"/>
      <c r="G56" s="2490"/>
      <c r="H56" s="2489"/>
      <c r="I56" s="2490"/>
      <c r="J56" s="2489"/>
      <c r="K56" s="2489"/>
      <c r="L56" s="2490"/>
      <c r="M56" s="2489"/>
      <c r="N56" s="2489"/>
      <c r="O56" s="2490"/>
      <c r="P56" s="2489"/>
      <c r="Q56" s="2489"/>
      <c r="R56" s="2491"/>
    </row>
    <row r="57" spans="2:18" s="798" customFormat="1">
      <c r="B57" s="2489"/>
      <c r="C57" s="2489"/>
      <c r="D57" s="2489"/>
      <c r="E57" s="2489"/>
      <c r="F57" s="2489"/>
      <c r="G57" s="2490"/>
      <c r="H57" s="2489"/>
      <c r="I57" s="2490"/>
      <c r="J57" s="2489"/>
      <c r="K57" s="2489"/>
      <c r="L57" s="2490"/>
      <c r="M57" s="2489"/>
      <c r="N57" s="2489"/>
      <c r="O57" s="2490"/>
      <c r="P57" s="2489"/>
      <c r="Q57" s="2489"/>
      <c r="R57" s="2491"/>
    </row>
    <row r="58" spans="2:18" s="798" customFormat="1">
      <c r="B58" s="2489"/>
      <c r="C58" s="2489"/>
      <c r="D58" s="2489"/>
      <c r="E58" s="2489"/>
      <c r="F58" s="2489"/>
      <c r="G58" s="2490"/>
      <c r="H58" s="2489"/>
      <c r="I58" s="2490"/>
      <c r="J58" s="2489"/>
      <c r="K58" s="2489"/>
      <c r="L58" s="2490"/>
      <c r="M58" s="2489"/>
      <c r="N58" s="2489"/>
      <c r="O58" s="2490"/>
      <c r="P58" s="2489"/>
      <c r="Q58" s="2489"/>
      <c r="R58" s="2491"/>
    </row>
    <row r="59" spans="2:18" s="798" customFormat="1">
      <c r="B59" s="2489"/>
      <c r="C59" s="2489"/>
      <c r="D59" s="2489"/>
      <c r="E59" s="2489"/>
      <c r="F59" s="2489"/>
      <c r="G59" s="2490"/>
      <c r="H59" s="2489"/>
      <c r="I59" s="2490"/>
      <c r="J59" s="2489"/>
      <c r="K59" s="2489"/>
      <c r="L59" s="2490"/>
      <c r="M59" s="2489"/>
      <c r="N59" s="2489"/>
      <c r="O59" s="2490"/>
      <c r="P59" s="2489"/>
      <c r="Q59" s="2489"/>
      <c r="R59" s="2491"/>
    </row>
    <row r="60" spans="2:18" s="798" customFormat="1">
      <c r="B60" s="2489"/>
      <c r="C60" s="2489"/>
      <c r="D60" s="2489"/>
      <c r="E60" s="2489"/>
      <c r="F60" s="2489"/>
      <c r="G60" s="2490"/>
      <c r="H60" s="2489"/>
      <c r="I60" s="2490"/>
      <c r="J60" s="2489"/>
      <c r="K60" s="2489"/>
      <c r="L60" s="2490"/>
      <c r="M60" s="2489"/>
      <c r="N60" s="2489"/>
      <c r="O60" s="2490"/>
      <c r="P60" s="2489"/>
      <c r="Q60" s="2489"/>
      <c r="R60" s="2491"/>
    </row>
    <row r="61" spans="2:18" s="798" customFormat="1">
      <c r="B61" s="2489"/>
      <c r="C61" s="2489"/>
      <c r="D61" s="2489"/>
      <c r="E61" s="2489"/>
      <c r="F61" s="2489"/>
      <c r="G61" s="2490"/>
      <c r="H61" s="2489"/>
      <c r="I61" s="2490"/>
      <c r="J61" s="2489"/>
      <c r="K61" s="2489"/>
      <c r="L61" s="2490"/>
      <c r="M61" s="2489"/>
      <c r="N61" s="2489"/>
      <c r="O61" s="2490"/>
      <c r="P61" s="2489"/>
      <c r="Q61" s="2489"/>
      <c r="R61" s="2491"/>
    </row>
    <row r="62" spans="2:18" s="798" customFormat="1">
      <c r="B62" s="2489"/>
      <c r="C62" s="2489"/>
      <c r="D62" s="2489"/>
      <c r="E62" s="2489"/>
      <c r="F62" s="2489"/>
      <c r="G62" s="2490"/>
      <c r="H62" s="2489"/>
      <c r="I62" s="2490"/>
      <c r="J62" s="2489"/>
      <c r="K62" s="2489"/>
      <c r="L62" s="2490"/>
      <c r="M62" s="2489"/>
      <c r="N62" s="2489"/>
      <c r="O62" s="2490"/>
      <c r="P62" s="2489"/>
      <c r="Q62" s="2489"/>
      <c r="R62" s="2491"/>
    </row>
    <row r="63" spans="2:18" s="798" customFormat="1">
      <c r="B63" s="2489"/>
      <c r="C63" s="2489"/>
      <c r="D63" s="2489"/>
      <c r="E63" s="2489"/>
      <c r="F63" s="2489"/>
      <c r="G63" s="2490"/>
      <c r="H63" s="2489"/>
      <c r="I63" s="2490"/>
      <c r="J63" s="2489"/>
      <c r="K63" s="2489"/>
      <c r="L63" s="2490"/>
      <c r="M63" s="2489"/>
      <c r="N63" s="2489"/>
      <c r="O63" s="2490"/>
      <c r="P63" s="2489"/>
      <c r="Q63" s="2489"/>
      <c r="R63" s="2491"/>
    </row>
    <row r="64" spans="2:18" s="798" customFormat="1">
      <c r="B64" s="2489"/>
      <c r="C64" s="2489"/>
      <c r="D64" s="2489"/>
      <c r="E64" s="2489"/>
      <c r="F64" s="2489"/>
      <c r="G64" s="2490"/>
      <c r="H64" s="2489"/>
      <c r="I64" s="2490"/>
      <c r="J64" s="2489"/>
      <c r="K64" s="2489"/>
      <c r="L64" s="2490"/>
      <c r="M64" s="2489"/>
      <c r="N64" s="2489"/>
      <c r="O64" s="2490"/>
      <c r="P64" s="2489"/>
      <c r="Q64" s="2489"/>
      <c r="R64" s="2491"/>
    </row>
    <row r="65" spans="2:18" s="798" customFormat="1">
      <c r="B65" s="2489"/>
      <c r="C65" s="2489"/>
      <c r="D65" s="2489"/>
      <c r="E65" s="2489"/>
      <c r="F65" s="2489"/>
      <c r="G65" s="2490"/>
      <c r="H65" s="2489"/>
      <c r="I65" s="2490"/>
      <c r="J65" s="2489"/>
      <c r="K65" s="2489"/>
      <c r="L65" s="2490"/>
      <c r="M65" s="2489"/>
      <c r="N65" s="2489"/>
      <c r="O65" s="2490"/>
      <c r="P65" s="2489"/>
      <c r="Q65" s="2489"/>
      <c r="R65" s="2491"/>
    </row>
    <row r="66" spans="2:18" s="798" customFormat="1">
      <c r="B66" s="2489"/>
      <c r="C66" s="2489"/>
      <c r="D66" s="2489"/>
      <c r="E66" s="2489"/>
      <c r="F66" s="2489"/>
      <c r="G66" s="2490"/>
      <c r="H66" s="2489"/>
      <c r="I66" s="2490"/>
      <c r="J66" s="2489"/>
      <c r="K66" s="2489"/>
      <c r="L66" s="2490"/>
      <c r="M66" s="2489"/>
      <c r="N66" s="2489"/>
      <c r="O66" s="2490"/>
      <c r="P66" s="2489"/>
      <c r="Q66" s="2489"/>
      <c r="R66" s="2491"/>
    </row>
    <row r="67" spans="2:18" s="798" customFormat="1">
      <c r="B67" s="2489"/>
      <c r="C67" s="2489"/>
      <c r="D67" s="2489"/>
      <c r="E67" s="2489"/>
      <c r="F67" s="2489"/>
      <c r="G67" s="2490"/>
      <c r="H67" s="2489"/>
      <c r="I67" s="2490"/>
      <c r="J67" s="2489"/>
      <c r="K67" s="2489"/>
      <c r="L67" s="2490"/>
      <c r="M67" s="2489"/>
      <c r="N67" s="2489"/>
      <c r="O67" s="2490"/>
      <c r="P67" s="2489"/>
      <c r="Q67" s="2489"/>
      <c r="R67" s="2491"/>
    </row>
    <row r="68" spans="2:18" s="798" customFormat="1">
      <c r="B68" s="2489"/>
      <c r="C68" s="2489"/>
      <c r="D68" s="2489"/>
      <c r="E68" s="2489"/>
      <c r="F68" s="2489"/>
      <c r="G68" s="2490"/>
      <c r="H68" s="2489"/>
      <c r="I68" s="2490"/>
      <c r="J68" s="2489"/>
      <c r="K68" s="2489"/>
      <c r="L68" s="2490"/>
      <c r="M68" s="2489"/>
      <c r="N68" s="2489"/>
      <c r="O68" s="2490"/>
      <c r="P68" s="2489"/>
      <c r="Q68" s="2489"/>
      <c r="R68" s="2491"/>
    </row>
    <row r="69" spans="2:18" s="798" customFormat="1">
      <c r="B69" s="2489"/>
      <c r="C69" s="2489"/>
      <c r="D69" s="2489"/>
      <c r="E69" s="2489"/>
      <c r="F69" s="2489"/>
      <c r="G69" s="2490"/>
      <c r="H69" s="2489"/>
      <c r="I69" s="2490"/>
      <c r="J69" s="2489"/>
      <c r="K69" s="2489"/>
      <c r="L69" s="2490"/>
      <c r="M69" s="2489"/>
      <c r="N69" s="2489"/>
      <c r="O69" s="2490"/>
      <c r="P69" s="2489"/>
      <c r="Q69" s="2489"/>
      <c r="R69" s="2491"/>
    </row>
    <row r="70" spans="2:18" s="798" customFormat="1">
      <c r="B70" s="2489"/>
      <c r="C70" s="2489"/>
      <c r="D70" s="2489"/>
      <c r="E70" s="2489"/>
      <c r="F70" s="2489"/>
      <c r="G70" s="2490"/>
      <c r="H70" s="2489"/>
      <c r="I70" s="2490"/>
      <c r="J70" s="2489"/>
      <c r="K70" s="2489"/>
      <c r="L70" s="2490"/>
      <c r="M70" s="2489"/>
      <c r="N70" s="2489"/>
      <c r="O70" s="2490"/>
      <c r="P70" s="2489"/>
      <c r="Q70" s="2489"/>
      <c r="R70" s="2491"/>
    </row>
    <row r="71" spans="2:18" s="798" customFormat="1">
      <c r="B71" s="2489"/>
      <c r="C71" s="2489"/>
      <c r="D71" s="2489"/>
      <c r="E71" s="2489"/>
      <c r="F71" s="2489"/>
      <c r="G71" s="2490"/>
      <c r="H71" s="2489"/>
      <c r="I71" s="2490"/>
      <c r="J71" s="2489"/>
      <c r="K71" s="2489"/>
      <c r="L71" s="2490"/>
      <c r="M71" s="2489"/>
      <c r="N71" s="2489"/>
      <c r="O71" s="2490"/>
      <c r="P71" s="2489"/>
      <c r="Q71" s="2489"/>
      <c r="R71" s="2491"/>
    </row>
    <row r="72" spans="2:18" s="798" customFormat="1">
      <c r="B72" s="2489"/>
      <c r="C72" s="2489"/>
      <c r="D72" s="2489"/>
      <c r="E72" s="2489"/>
      <c r="F72" s="2489"/>
      <c r="G72" s="2490"/>
      <c r="H72" s="2489"/>
      <c r="I72" s="2490"/>
      <c r="J72" s="2489"/>
      <c r="K72" s="2489"/>
      <c r="L72" s="2490"/>
      <c r="M72" s="2489"/>
      <c r="N72" s="2489"/>
      <c r="O72" s="2490"/>
      <c r="P72" s="2489"/>
      <c r="Q72" s="2489"/>
      <c r="R72" s="2491"/>
    </row>
    <row r="73" spans="2:18" s="798" customFormat="1">
      <c r="B73" s="2489"/>
      <c r="C73" s="2489"/>
      <c r="D73" s="2489"/>
      <c r="E73" s="2489"/>
      <c r="F73" s="2489"/>
      <c r="G73" s="2490"/>
      <c r="H73" s="2489"/>
      <c r="I73" s="2490"/>
      <c r="J73" s="2489"/>
      <c r="K73" s="2489"/>
      <c r="L73" s="2490"/>
      <c r="M73" s="2489"/>
      <c r="N73" s="2489"/>
      <c r="O73" s="2490"/>
      <c r="P73" s="2489"/>
      <c r="Q73" s="2489"/>
      <c r="R73" s="2491"/>
    </row>
    <row r="74" spans="2:18" s="798" customFormat="1">
      <c r="B74" s="2489"/>
      <c r="C74" s="2489"/>
      <c r="D74" s="2489"/>
      <c r="E74" s="2489"/>
      <c r="F74" s="2489"/>
      <c r="G74" s="2490"/>
      <c r="H74" s="2489"/>
      <c r="I74" s="2490"/>
      <c r="J74" s="2489"/>
      <c r="K74" s="2489"/>
      <c r="L74" s="2490"/>
      <c r="M74" s="2489"/>
      <c r="N74" s="2489"/>
      <c r="O74" s="2490"/>
      <c r="P74" s="2489"/>
      <c r="Q74" s="2489"/>
      <c r="R74" s="2491"/>
    </row>
    <row r="75" spans="2:18" s="798" customFormat="1">
      <c r="B75" s="2489"/>
      <c r="C75" s="2489"/>
      <c r="D75" s="2489"/>
      <c r="E75" s="2489"/>
      <c r="F75" s="2489"/>
      <c r="G75" s="2490"/>
      <c r="H75" s="2489"/>
      <c r="I75" s="2490"/>
      <c r="J75" s="2489"/>
      <c r="K75" s="2489"/>
      <c r="L75" s="2490"/>
      <c r="M75" s="2489"/>
      <c r="N75" s="2489"/>
      <c r="O75" s="2490"/>
      <c r="P75" s="2489"/>
      <c r="Q75" s="2489"/>
      <c r="R75" s="2491"/>
    </row>
    <row r="76" spans="2:18" s="798" customFormat="1">
      <c r="B76" s="2489"/>
      <c r="C76" s="2489"/>
      <c r="D76" s="2489"/>
      <c r="E76" s="2489"/>
      <c r="F76" s="2489"/>
      <c r="G76" s="2490"/>
      <c r="H76" s="2489"/>
      <c r="I76" s="2490"/>
      <c r="J76" s="2489"/>
      <c r="K76" s="2489"/>
      <c r="L76" s="2490"/>
      <c r="M76" s="2489"/>
      <c r="N76" s="2489"/>
      <c r="O76" s="2490"/>
      <c r="P76" s="2489"/>
      <c r="Q76" s="2489"/>
      <c r="R76" s="2491"/>
    </row>
    <row r="77" spans="2:18" s="798" customFormat="1">
      <c r="B77" s="2489"/>
      <c r="C77" s="2489"/>
      <c r="D77" s="2489"/>
      <c r="E77" s="2489"/>
      <c r="F77" s="2489"/>
      <c r="G77" s="2490"/>
      <c r="H77" s="2489"/>
      <c r="I77" s="2490"/>
      <c r="J77" s="2489"/>
      <c r="K77" s="2489"/>
      <c r="L77" s="2490"/>
      <c r="M77" s="2489"/>
      <c r="N77" s="2489"/>
      <c r="O77" s="2490"/>
      <c r="P77" s="2489"/>
      <c r="Q77" s="2489"/>
      <c r="R77" s="2491"/>
    </row>
    <row r="78" spans="2:18" s="798" customFormat="1">
      <c r="B78" s="2489"/>
      <c r="C78" s="2489"/>
      <c r="D78" s="2489"/>
      <c r="E78" s="2489"/>
      <c r="F78" s="2489"/>
      <c r="G78" s="2490"/>
      <c r="H78" s="2489"/>
      <c r="I78" s="2490"/>
      <c r="J78" s="2489"/>
      <c r="K78" s="2489"/>
      <c r="L78" s="2490"/>
      <c r="M78" s="2489"/>
      <c r="N78" s="2489"/>
      <c r="O78" s="2490"/>
      <c r="P78" s="2489"/>
      <c r="Q78" s="2489"/>
      <c r="R78" s="2491"/>
    </row>
    <row r="79" spans="2:18" s="798" customFormat="1">
      <c r="B79" s="2489"/>
      <c r="C79" s="2489"/>
      <c r="D79" s="2489"/>
      <c r="E79" s="2489"/>
      <c r="F79" s="2489"/>
      <c r="G79" s="2490"/>
      <c r="H79" s="2489"/>
      <c r="I79" s="2490"/>
      <c r="J79" s="2489"/>
      <c r="K79" s="2489"/>
      <c r="L79" s="2490"/>
      <c r="M79" s="2489"/>
      <c r="N79" s="2489"/>
      <c r="O79" s="2490"/>
      <c r="P79" s="2489"/>
      <c r="Q79" s="2489"/>
      <c r="R79" s="2491"/>
    </row>
    <row r="80" spans="2:18" s="798" customFormat="1">
      <c r="B80" s="2489"/>
      <c r="C80" s="2489"/>
      <c r="D80" s="2489"/>
      <c r="E80" s="2489"/>
      <c r="F80" s="2489"/>
      <c r="G80" s="2490"/>
      <c r="H80" s="2489"/>
      <c r="I80" s="2490"/>
      <c r="J80" s="2489"/>
      <c r="K80" s="2489"/>
      <c r="L80" s="2490"/>
      <c r="M80" s="2489"/>
      <c r="N80" s="2489"/>
      <c r="O80" s="2490"/>
      <c r="P80" s="2489"/>
      <c r="Q80" s="2489"/>
      <c r="R80" s="2491"/>
    </row>
    <row r="81" spans="2:18" s="798" customFormat="1">
      <c r="B81" s="2489"/>
      <c r="C81" s="2489"/>
      <c r="D81" s="2489"/>
      <c r="E81" s="2489"/>
      <c r="F81" s="2489"/>
      <c r="G81" s="2490"/>
      <c r="H81" s="2489"/>
      <c r="I81" s="2490"/>
      <c r="J81" s="2489"/>
      <c r="K81" s="2489"/>
      <c r="L81" s="2490"/>
      <c r="M81" s="2489"/>
      <c r="N81" s="2489"/>
      <c r="O81" s="2490"/>
      <c r="P81" s="2489"/>
      <c r="Q81" s="2489"/>
      <c r="R81" s="2491"/>
    </row>
    <row r="82" spans="2:18" s="798" customFormat="1">
      <c r="B82" s="2489"/>
      <c r="C82" s="2489"/>
      <c r="D82" s="2489"/>
      <c r="E82" s="2489"/>
      <c r="F82" s="2489"/>
      <c r="G82" s="2490"/>
      <c r="H82" s="2489"/>
      <c r="I82" s="2490"/>
      <c r="J82" s="2489"/>
      <c r="K82" s="2489"/>
      <c r="L82" s="2490"/>
      <c r="M82" s="2489"/>
      <c r="N82" s="2489"/>
      <c r="O82" s="2490"/>
      <c r="P82" s="2489"/>
      <c r="Q82" s="2489"/>
      <c r="R82" s="2491"/>
    </row>
    <row r="83" spans="2:18" s="798" customFormat="1">
      <c r="B83" s="2489"/>
      <c r="C83" s="2489"/>
      <c r="D83" s="2489"/>
      <c r="E83" s="2489"/>
      <c r="F83" s="2489"/>
      <c r="G83" s="2490"/>
      <c r="H83" s="2489"/>
      <c r="I83" s="2490"/>
      <c r="J83" s="2489"/>
      <c r="K83" s="2489"/>
      <c r="L83" s="2490"/>
      <c r="M83" s="2489"/>
      <c r="N83" s="2489"/>
      <c r="O83" s="2490"/>
      <c r="P83" s="2489"/>
      <c r="Q83" s="2489"/>
      <c r="R83" s="2491"/>
    </row>
    <row r="84" spans="2:18" s="798" customFormat="1">
      <c r="B84" s="2489"/>
      <c r="C84" s="2489"/>
      <c r="D84" s="2489"/>
      <c r="E84" s="2489"/>
      <c r="F84" s="2489"/>
      <c r="G84" s="2490"/>
      <c r="H84" s="2489"/>
      <c r="I84" s="2490"/>
      <c r="J84" s="2489"/>
      <c r="K84" s="2489"/>
      <c r="L84" s="2490"/>
      <c r="M84" s="2489"/>
      <c r="N84" s="2489"/>
      <c r="O84" s="2490"/>
      <c r="P84" s="2489"/>
      <c r="Q84" s="2489"/>
      <c r="R84" s="2491"/>
    </row>
    <row r="85" spans="2:18" s="798" customFormat="1">
      <c r="B85" s="2489"/>
      <c r="C85" s="2489"/>
      <c r="D85" s="2489"/>
      <c r="E85" s="2489"/>
      <c r="F85" s="2489"/>
      <c r="G85" s="2490"/>
      <c r="H85" s="2489"/>
      <c r="I85" s="2490"/>
      <c r="J85" s="2489"/>
      <c r="K85" s="2489"/>
      <c r="L85" s="2490"/>
      <c r="M85" s="2489"/>
      <c r="N85" s="2489"/>
      <c r="O85" s="2490"/>
      <c r="P85" s="2489"/>
      <c r="Q85" s="2489"/>
      <c r="R85" s="2491"/>
    </row>
    <row r="86" spans="2:18" s="798" customFormat="1">
      <c r="B86" s="2489"/>
      <c r="C86" s="2489"/>
      <c r="D86" s="2489"/>
      <c r="E86" s="2489"/>
      <c r="F86" s="2489"/>
      <c r="G86" s="2490"/>
      <c r="H86" s="2489"/>
      <c r="I86" s="2490"/>
      <c r="J86" s="2489"/>
      <c r="K86" s="2489"/>
      <c r="L86" s="2490"/>
      <c r="M86" s="2489"/>
      <c r="N86" s="2489"/>
      <c r="O86" s="2490"/>
      <c r="P86" s="2489"/>
      <c r="Q86" s="2489"/>
      <c r="R86" s="2491"/>
    </row>
    <row r="87" spans="2:18" s="798" customFormat="1">
      <c r="B87" s="2489"/>
      <c r="C87" s="2489"/>
      <c r="D87" s="2489"/>
      <c r="E87" s="2489"/>
      <c r="F87" s="2489"/>
      <c r="G87" s="2490"/>
      <c r="H87" s="2489"/>
      <c r="I87" s="2490"/>
      <c r="J87" s="2489"/>
      <c r="K87" s="2489"/>
      <c r="L87" s="2490"/>
      <c r="M87" s="2489"/>
      <c r="N87" s="2489"/>
      <c r="O87" s="2490"/>
      <c r="P87" s="2489"/>
      <c r="Q87" s="2489"/>
      <c r="R87" s="2491"/>
    </row>
    <row r="88" spans="2:18" s="798" customFormat="1">
      <c r="B88" s="2489"/>
      <c r="C88" s="2489"/>
      <c r="D88" s="2489"/>
      <c r="E88" s="2489"/>
      <c r="F88" s="2489"/>
      <c r="G88" s="2490"/>
      <c r="H88" s="2489"/>
      <c r="I88" s="2490"/>
      <c r="J88" s="2489"/>
      <c r="K88" s="2489"/>
      <c r="L88" s="2490"/>
      <c r="M88" s="2489"/>
      <c r="N88" s="2489"/>
      <c r="O88" s="2490"/>
      <c r="P88" s="2489"/>
      <c r="Q88" s="2489"/>
      <c r="R88" s="2491"/>
    </row>
    <row r="89" spans="2:18" s="798" customFormat="1">
      <c r="B89" s="2489"/>
      <c r="C89" s="2489"/>
      <c r="D89" s="2489"/>
      <c r="E89" s="2489"/>
      <c r="F89" s="2489"/>
      <c r="G89" s="2490"/>
      <c r="H89" s="2489"/>
      <c r="I89" s="2490"/>
      <c r="J89" s="2489"/>
      <c r="K89" s="2489"/>
      <c r="L89" s="2490"/>
      <c r="M89" s="2489"/>
      <c r="N89" s="2489"/>
      <c r="O89" s="2490"/>
      <c r="P89" s="2489"/>
      <c r="Q89" s="2489"/>
      <c r="R89" s="2491"/>
    </row>
    <row r="90" spans="2:18" s="798" customFormat="1">
      <c r="B90" s="2489"/>
      <c r="C90" s="2489"/>
      <c r="D90" s="2489"/>
      <c r="E90" s="2489"/>
      <c r="F90" s="2489"/>
      <c r="G90" s="2490"/>
      <c r="H90" s="2489"/>
      <c r="I90" s="2490"/>
      <c r="J90" s="2489"/>
      <c r="K90" s="2489"/>
      <c r="L90" s="2490"/>
      <c r="M90" s="2489"/>
      <c r="N90" s="2489"/>
      <c r="O90" s="2490"/>
      <c r="P90" s="2489"/>
      <c r="Q90" s="2489"/>
      <c r="R90" s="2491"/>
    </row>
    <row r="91" spans="2:18" s="798" customFormat="1">
      <c r="B91" s="2489"/>
      <c r="C91" s="2489"/>
      <c r="D91" s="2489"/>
      <c r="E91" s="2489"/>
      <c r="F91" s="2489"/>
      <c r="G91" s="2490"/>
      <c r="H91" s="2489"/>
      <c r="I91" s="2490"/>
      <c r="J91" s="2489"/>
      <c r="K91" s="2489"/>
      <c r="L91" s="2490"/>
      <c r="M91" s="2489"/>
      <c r="N91" s="2489"/>
      <c r="O91" s="2490"/>
      <c r="P91" s="2489"/>
      <c r="Q91" s="2489"/>
      <c r="R91" s="2491"/>
    </row>
    <row r="92" spans="2:18" s="798" customFormat="1">
      <c r="B92" s="2489"/>
      <c r="C92" s="2489"/>
      <c r="D92" s="2489"/>
      <c r="E92" s="2489"/>
      <c r="F92" s="2489"/>
      <c r="G92" s="2490"/>
      <c r="H92" s="2489"/>
      <c r="I92" s="2490"/>
      <c r="J92" s="2489"/>
      <c r="K92" s="2489"/>
      <c r="L92" s="2490"/>
      <c r="M92" s="2489"/>
      <c r="N92" s="2489"/>
      <c r="O92" s="2490"/>
      <c r="P92" s="2489"/>
      <c r="Q92" s="2489"/>
      <c r="R92" s="2491"/>
    </row>
    <row r="93" spans="2:18" s="798" customFormat="1">
      <c r="B93" s="2489"/>
      <c r="C93" s="2489"/>
      <c r="D93" s="2489"/>
      <c r="E93" s="2489"/>
      <c r="F93" s="2489"/>
      <c r="G93" s="2490"/>
      <c r="H93" s="2489"/>
      <c r="I93" s="2490"/>
      <c r="J93" s="2489"/>
      <c r="K93" s="2489"/>
      <c r="L93" s="2490"/>
      <c r="M93" s="2489"/>
      <c r="N93" s="2489"/>
      <c r="O93" s="2490"/>
      <c r="P93" s="2489"/>
      <c r="Q93" s="2489"/>
      <c r="R93" s="2491"/>
    </row>
    <row r="94" spans="2:18" s="798" customFormat="1">
      <c r="B94" s="2489"/>
      <c r="C94" s="2489"/>
      <c r="D94" s="2489"/>
      <c r="E94" s="2489"/>
      <c r="F94" s="2489"/>
      <c r="G94" s="2490"/>
      <c r="H94" s="2489"/>
      <c r="I94" s="2490"/>
      <c r="J94" s="2489"/>
      <c r="K94" s="2489"/>
      <c r="L94" s="2490"/>
      <c r="M94" s="2489"/>
      <c r="N94" s="2489"/>
      <c r="O94" s="2490"/>
      <c r="P94" s="2489"/>
      <c r="Q94" s="2489"/>
      <c r="R94" s="2491"/>
    </row>
    <row r="95" spans="2:18" s="798" customFormat="1">
      <c r="B95" s="2489"/>
      <c r="C95" s="2489"/>
      <c r="D95" s="2489"/>
      <c r="E95" s="2489"/>
      <c r="F95" s="2489"/>
      <c r="G95" s="2490"/>
      <c r="H95" s="2489"/>
      <c r="I95" s="2490"/>
      <c r="J95" s="2489"/>
      <c r="K95" s="2489"/>
      <c r="L95" s="2490"/>
      <c r="M95" s="2489"/>
      <c r="N95" s="2489"/>
      <c r="O95" s="2490"/>
      <c r="P95" s="2489"/>
      <c r="Q95" s="2489"/>
      <c r="R95" s="2491"/>
    </row>
    <row r="96" spans="2:18" s="798" customFormat="1">
      <c r="B96" s="2489"/>
      <c r="C96" s="2489"/>
      <c r="D96" s="2489"/>
      <c r="E96" s="2489"/>
      <c r="F96" s="2489"/>
      <c r="G96" s="2490"/>
      <c r="H96" s="2489"/>
      <c r="I96" s="2490"/>
      <c r="J96" s="2489"/>
      <c r="K96" s="2489"/>
      <c r="L96" s="2490"/>
      <c r="M96" s="2489"/>
      <c r="N96" s="2489"/>
      <c r="O96" s="2490"/>
      <c r="P96" s="2489"/>
      <c r="Q96" s="2489"/>
      <c r="R96" s="2491"/>
    </row>
    <row r="97" spans="2:18" s="798" customFormat="1">
      <c r="B97" s="2489"/>
      <c r="C97" s="2489"/>
      <c r="D97" s="2489"/>
      <c r="E97" s="2489"/>
      <c r="F97" s="2489"/>
      <c r="G97" s="2490"/>
      <c r="H97" s="2489"/>
      <c r="I97" s="2490"/>
      <c r="J97" s="2489"/>
      <c r="K97" s="2489"/>
      <c r="L97" s="2490"/>
      <c r="M97" s="2489"/>
      <c r="N97" s="2489"/>
      <c r="O97" s="2490"/>
      <c r="P97" s="2489"/>
      <c r="Q97" s="2489"/>
      <c r="R97" s="2491"/>
    </row>
    <row r="98" spans="2:18" s="798" customFormat="1">
      <c r="B98" s="2489"/>
      <c r="C98" s="2489"/>
      <c r="D98" s="2489"/>
      <c r="E98" s="2489"/>
      <c r="F98" s="2489"/>
      <c r="G98" s="2490"/>
      <c r="H98" s="2489"/>
      <c r="I98" s="2490"/>
      <c r="J98" s="2489"/>
      <c r="K98" s="2489"/>
      <c r="L98" s="2490"/>
      <c r="M98" s="2489"/>
      <c r="N98" s="2489"/>
      <c r="O98" s="2490"/>
      <c r="P98" s="2489"/>
      <c r="Q98" s="2489"/>
      <c r="R98" s="2491"/>
    </row>
    <row r="99" spans="2:18" s="798" customFormat="1">
      <c r="B99" s="2489"/>
      <c r="C99" s="2489"/>
      <c r="D99" s="2489"/>
      <c r="E99" s="2489"/>
      <c r="F99" s="2489"/>
      <c r="G99" s="2490"/>
      <c r="H99" s="2489"/>
      <c r="I99" s="2490"/>
      <c r="J99" s="2489"/>
      <c r="K99" s="2489"/>
      <c r="L99" s="2490"/>
      <c r="M99" s="2489"/>
      <c r="N99" s="2489"/>
      <c r="O99" s="2490"/>
      <c r="P99" s="2489"/>
      <c r="Q99" s="2489"/>
      <c r="R99" s="2491"/>
    </row>
    <row r="100" spans="2:18" s="798" customFormat="1">
      <c r="B100" s="2489"/>
      <c r="C100" s="2489"/>
      <c r="D100" s="2489"/>
      <c r="E100" s="2489"/>
      <c r="F100" s="2489"/>
      <c r="G100" s="2490"/>
      <c r="H100" s="2489"/>
      <c r="I100" s="2490"/>
      <c r="J100" s="2489"/>
      <c r="K100" s="2489"/>
      <c r="L100" s="2490"/>
      <c r="M100" s="2489"/>
      <c r="N100" s="2489"/>
      <c r="O100" s="2490"/>
      <c r="P100" s="2489"/>
      <c r="Q100" s="2489"/>
      <c r="R100" s="2491"/>
    </row>
    <row r="101" spans="2:18" s="798" customFormat="1">
      <c r="B101" s="2489"/>
      <c r="C101" s="2489"/>
      <c r="D101" s="2489"/>
      <c r="E101" s="2489"/>
      <c r="F101" s="2489"/>
      <c r="G101" s="2490"/>
      <c r="H101" s="2489"/>
      <c r="I101" s="2490"/>
      <c r="J101" s="2489"/>
      <c r="K101" s="2489"/>
      <c r="L101" s="2490"/>
      <c r="M101" s="2489"/>
      <c r="N101" s="2489"/>
      <c r="O101" s="2490"/>
      <c r="P101" s="2489"/>
      <c r="Q101" s="2489"/>
      <c r="R101" s="2491"/>
    </row>
    <row r="102" spans="2:18" s="798" customFormat="1">
      <c r="B102" s="2489"/>
      <c r="C102" s="2489"/>
      <c r="D102" s="2489"/>
      <c r="E102" s="2489"/>
      <c r="F102" s="2489"/>
      <c r="G102" s="2490"/>
      <c r="H102" s="2489"/>
      <c r="I102" s="2490"/>
      <c r="J102" s="2489"/>
      <c r="K102" s="2489"/>
      <c r="L102" s="2490"/>
      <c r="M102" s="2489"/>
      <c r="N102" s="2489"/>
      <c r="O102" s="2490"/>
      <c r="P102" s="2489"/>
      <c r="Q102" s="2489"/>
      <c r="R102" s="2491"/>
    </row>
    <row r="103" spans="2:18" s="798" customFormat="1">
      <c r="B103" s="2489"/>
      <c r="C103" s="2489"/>
      <c r="D103" s="2489"/>
      <c r="E103" s="2489"/>
      <c r="F103" s="2489"/>
      <c r="G103" s="2490"/>
      <c r="H103" s="2489"/>
      <c r="I103" s="2490"/>
      <c r="J103" s="2489"/>
      <c r="K103" s="2489"/>
      <c r="L103" s="2490"/>
      <c r="M103" s="2489"/>
      <c r="N103" s="2489"/>
      <c r="O103" s="2490"/>
      <c r="P103" s="2489"/>
      <c r="Q103" s="2489"/>
      <c r="R103" s="2491"/>
    </row>
    <row r="104" spans="2:18" s="798" customFormat="1">
      <c r="B104" s="2489"/>
      <c r="C104" s="2489"/>
      <c r="D104" s="2489"/>
      <c r="E104" s="2489"/>
      <c r="F104" s="2489"/>
      <c r="G104" s="2490"/>
      <c r="H104" s="2489"/>
      <c r="I104" s="2490"/>
      <c r="J104" s="2489"/>
      <c r="K104" s="2489"/>
      <c r="L104" s="2490"/>
      <c r="M104" s="2489"/>
      <c r="N104" s="2489"/>
      <c r="O104" s="2490"/>
      <c r="P104" s="2489"/>
      <c r="Q104" s="2489"/>
      <c r="R104" s="2491"/>
    </row>
    <row r="105" spans="2:18" s="798" customFormat="1">
      <c r="B105" s="2489"/>
      <c r="C105" s="2489"/>
      <c r="D105" s="2489"/>
      <c r="E105" s="2489"/>
      <c r="F105" s="2489"/>
      <c r="G105" s="2490"/>
      <c r="H105" s="2489"/>
      <c r="I105" s="2490"/>
      <c r="J105" s="2489"/>
      <c r="K105" s="2489"/>
      <c r="L105" s="2490"/>
      <c r="M105" s="2489"/>
      <c r="N105" s="2489"/>
      <c r="O105" s="2490"/>
      <c r="P105" s="2489"/>
      <c r="Q105" s="2489"/>
      <c r="R105" s="2491"/>
    </row>
    <row r="106" spans="2:18" s="798" customFormat="1">
      <c r="B106" s="2489"/>
      <c r="C106" s="2489"/>
      <c r="D106" s="2489"/>
      <c r="E106" s="2489"/>
      <c r="F106" s="2489"/>
      <c r="G106" s="2490"/>
      <c r="H106" s="2489"/>
      <c r="I106" s="2490"/>
      <c r="J106" s="2489"/>
      <c r="K106" s="2489"/>
      <c r="L106" s="2490"/>
      <c r="M106" s="2489"/>
      <c r="N106" s="2489"/>
      <c r="O106" s="2490"/>
      <c r="P106" s="2489"/>
      <c r="Q106" s="2489"/>
      <c r="R106" s="2491"/>
    </row>
    <row r="107" spans="2:18" s="798" customFormat="1">
      <c r="B107" s="2489"/>
      <c r="C107" s="2489"/>
      <c r="D107" s="2489"/>
      <c r="E107" s="2489"/>
      <c r="F107" s="2489"/>
      <c r="G107" s="2490"/>
      <c r="H107" s="2489"/>
      <c r="I107" s="2490"/>
      <c r="J107" s="2489"/>
      <c r="K107" s="2489"/>
      <c r="L107" s="2490"/>
      <c r="M107" s="2489"/>
      <c r="N107" s="2489"/>
      <c r="O107" s="2490"/>
      <c r="P107" s="2489"/>
      <c r="Q107" s="2489"/>
      <c r="R107" s="2491"/>
    </row>
    <row r="108" spans="2:18" s="798" customFormat="1">
      <c r="B108" s="2489"/>
      <c r="C108" s="2489"/>
      <c r="D108" s="2489"/>
      <c r="E108" s="2489"/>
      <c r="F108" s="2489"/>
      <c r="G108" s="2490"/>
      <c r="H108" s="2489"/>
      <c r="I108" s="2490"/>
      <c r="J108" s="2489"/>
      <c r="K108" s="2489"/>
      <c r="L108" s="2490"/>
      <c r="M108" s="2489"/>
      <c r="N108" s="2489"/>
      <c r="O108" s="2490"/>
      <c r="P108" s="2489"/>
      <c r="Q108" s="2489"/>
      <c r="R108" s="2491"/>
    </row>
    <row r="109" spans="2:18" s="798" customFormat="1">
      <c r="B109" s="2489"/>
      <c r="C109" s="2489"/>
      <c r="D109" s="2489"/>
      <c r="E109" s="2489"/>
      <c r="F109" s="2489"/>
      <c r="G109" s="2490"/>
      <c r="H109" s="2489"/>
      <c r="I109" s="2490"/>
      <c r="J109" s="2489"/>
      <c r="K109" s="2489"/>
      <c r="L109" s="2490"/>
      <c r="M109" s="2489"/>
      <c r="N109" s="2489"/>
      <c r="O109" s="2490"/>
      <c r="P109" s="2489"/>
      <c r="Q109" s="2489"/>
      <c r="R109" s="2491"/>
    </row>
    <row r="110" spans="2:18" s="798" customFormat="1">
      <c r="B110" s="2489"/>
      <c r="C110" s="2489"/>
      <c r="D110" s="2489"/>
      <c r="E110" s="2489"/>
      <c r="F110" s="2489"/>
      <c r="G110" s="2490"/>
      <c r="H110" s="2489"/>
      <c r="I110" s="2490"/>
      <c r="J110" s="2489"/>
      <c r="K110" s="2489"/>
      <c r="L110" s="2490"/>
      <c r="M110" s="2489"/>
      <c r="N110" s="2489"/>
      <c r="O110" s="2490"/>
      <c r="P110" s="2489"/>
      <c r="Q110" s="2489"/>
      <c r="R110" s="2491"/>
    </row>
    <row r="111" spans="2:18" s="798" customFormat="1">
      <c r="B111" s="2489"/>
      <c r="C111" s="2489"/>
      <c r="D111" s="2489"/>
      <c r="E111" s="2489"/>
      <c r="F111" s="2489"/>
      <c r="G111" s="2490"/>
      <c r="H111" s="2489"/>
      <c r="I111" s="2490"/>
      <c r="J111" s="2489"/>
      <c r="K111" s="2489"/>
      <c r="L111" s="2490"/>
      <c r="M111" s="2489"/>
      <c r="N111" s="2489"/>
      <c r="O111" s="2490"/>
      <c r="P111" s="2489"/>
      <c r="Q111" s="2489"/>
      <c r="R111" s="2491"/>
    </row>
    <row r="112" spans="2:18" s="798" customFormat="1">
      <c r="B112" s="2489"/>
      <c r="C112" s="2489"/>
      <c r="D112" s="2489"/>
      <c r="E112" s="2489"/>
      <c r="F112" s="2489"/>
      <c r="G112" s="2490"/>
      <c r="H112" s="2489"/>
      <c r="I112" s="2490"/>
      <c r="J112" s="2489"/>
      <c r="K112" s="2489"/>
      <c r="L112" s="2490"/>
      <c r="M112" s="2489"/>
      <c r="N112" s="2489"/>
      <c r="O112" s="2490"/>
      <c r="P112" s="2489"/>
      <c r="Q112" s="2489"/>
      <c r="R112" s="2491"/>
    </row>
    <row r="113" spans="2:18" s="798" customFormat="1">
      <c r="B113" s="2489"/>
      <c r="C113" s="2489"/>
      <c r="D113" s="2489"/>
      <c r="E113" s="2489"/>
      <c r="F113" s="2489"/>
      <c r="G113" s="2490"/>
      <c r="H113" s="2489"/>
      <c r="I113" s="2490"/>
      <c r="J113" s="2489"/>
      <c r="K113" s="2489"/>
      <c r="L113" s="2490"/>
      <c r="M113" s="2489"/>
      <c r="N113" s="2489"/>
      <c r="O113" s="2490"/>
      <c r="P113" s="2489"/>
      <c r="Q113" s="2489"/>
      <c r="R113" s="2491"/>
    </row>
    <row r="114" spans="2:18" s="798" customFormat="1">
      <c r="B114" s="2489"/>
      <c r="C114" s="2489"/>
      <c r="D114" s="2489"/>
      <c r="E114" s="2489"/>
      <c r="F114" s="2489"/>
      <c r="G114" s="2490"/>
      <c r="H114" s="2489"/>
      <c r="I114" s="2490"/>
      <c r="J114" s="2489"/>
      <c r="K114" s="2489"/>
      <c r="L114" s="2490"/>
      <c r="M114" s="2489"/>
      <c r="N114" s="2489"/>
      <c r="O114" s="2490"/>
      <c r="P114" s="2489"/>
      <c r="Q114" s="2489"/>
      <c r="R114" s="2491"/>
    </row>
    <row r="115" spans="2:18" s="798" customFormat="1">
      <c r="B115" s="2489"/>
      <c r="C115" s="2489"/>
      <c r="D115" s="2489"/>
      <c r="E115" s="2489"/>
      <c r="F115" s="2489"/>
      <c r="G115" s="2490"/>
      <c r="H115" s="2489"/>
      <c r="I115" s="2490"/>
      <c r="J115" s="2489"/>
      <c r="K115" s="2489"/>
      <c r="L115" s="2490"/>
      <c r="M115" s="2489"/>
      <c r="N115" s="2489"/>
      <c r="O115" s="2490"/>
      <c r="P115" s="2489"/>
      <c r="Q115" s="2489"/>
      <c r="R115" s="2491"/>
    </row>
    <row r="116" spans="2:18" s="798" customFormat="1">
      <c r="B116" s="2489"/>
      <c r="C116" s="2489"/>
      <c r="D116" s="2489"/>
      <c r="E116" s="2489"/>
      <c r="F116" s="2489"/>
      <c r="G116" s="2490"/>
      <c r="H116" s="2489"/>
      <c r="I116" s="2490"/>
      <c r="J116" s="2489"/>
      <c r="K116" s="2489"/>
      <c r="L116" s="2490"/>
      <c r="M116" s="2489"/>
      <c r="N116" s="2489"/>
      <c r="O116" s="2490"/>
      <c r="P116" s="2489"/>
      <c r="Q116" s="2489"/>
      <c r="R116" s="2491"/>
    </row>
    <row r="117" spans="2:18" s="798" customFormat="1">
      <c r="B117" s="2489"/>
      <c r="C117" s="2489"/>
      <c r="D117" s="2489"/>
      <c r="E117" s="2489"/>
      <c r="F117" s="2489"/>
      <c r="G117" s="2490"/>
      <c r="H117" s="2489"/>
      <c r="I117" s="2490"/>
      <c r="J117" s="2489"/>
      <c r="K117" s="2489"/>
      <c r="L117" s="2490"/>
      <c r="M117" s="2489"/>
      <c r="N117" s="2489"/>
      <c r="O117" s="2490"/>
      <c r="P117" s="2489"/>
      <c r="Q117" s="2489"/>
      <c r="R117" s="2491"/>
    </row>
    <row r="118" spans="2:18" s="798" customFormat="1">
      <c r="B118" s="2489"/>
      <c r="C118" s="2489"/>
      <c r="D118" s="2489"/>
      <c r="E118" s="2489"/>
      <c r="F118" s="2489"/>
      <c r="G118" s="2490"/>
      <c r="H118" s="2489"/>
      <c r="I118" s="2490"/>
      <c r="J118" s="2489"/>
      <c r="K118" s="2489"/>
      <c r="L118" s="2490"/>
      <c r="M118" s="2489"/>
      <c r="N118" s="2489"/>
      <c r="O118" s="2490"/>
      <c r="P118" s="2489"/>
      <c r="Q118" s="2489"/>
      <c r="R118" s="2491"/>
    </row>
    <row r="119" spans="2:18" s="798" customFormat="1">
      <c r="B119" s="2489"/>
      <c r="C119" s="2489"/>
      <c r="D119" s="2489"/>
      <c r="E119" s="2489"/>
      <c r="F119" s="2489"/>
      <c r="G119" s="2490"/>
      <c r="H119" s="2489"/>
      <c r="I119" s="2490"/>
      <c r="J119" s="2489"/>
      <c r="K119" s="2489"/>
      <c r="L119" s="2490"/>
      <c r="M119" s="2489"/>
      <c r="N119" s="2489"/>
      <c r="O119" s="2490"/>
      <c r="P119" s="2489"/>
      <c r="Q119" s="2489"/>
      <c r="R119" s="2491"/>
    </row>
    <row r="120" spans="2:18" s="798" customFormat="1">
      <c r="B120" s="2489"/>
      <c r="C120" s="2489"/>
      <c r="D120" s="2489"/>
      <c r="E120" s="2489"/>
      <c r="F120" s="2489"/>
      <c r="G120" s="2490"/>
      <c r="H120" s="2489"/>
      <c r="I120" s="2490"/>
      <c r="J120" s="2489"/>
      <c r="K120" s="2489"/>
      <c r="L120" s="2490"/>
      <c r="M120" s="2489"/>
      <c r="N120" s="2489"/>
      <c r="O120" s="2490"/>
      <c r="P120" s="2489"/>
      <c r="Q120" s="2489"/>
      <c r="R120" s="2491"/>
    </row>
    <row r="121" spans="2:18" s="798" customFormat="1">
      <c r="B121" s="2489"/>
      <c r="C121" s="2489"/>
      <c r="D121" s="2489"/>
      <c r="E121" s="2489"/>
      <c r="F121" s="2489"/>
      <c r="G121" s="2490"/>
      <c r="H121" s="2489"/>
      <c r="I121" s="2490"/>
      <c r="J121" s="2489"/>
      <c r="K121" s="2489"/>
      <c r="L121" s="2490"/>
      <c r="M121" s="2489"/>
      <c r="N121" s="2489"/>
      <c r="O121" s="2490"/>
      <c r="P121" s="2489"/>
      <c r="Q121" s="2489"/>
      <c r="R121" s="2491"/>
    </row>
    <row r="122" spans="2:18" s="798" customFormat="1">
      <c r="B122" s="2489"/>
      <c r="C122" s="2489"/>
      <c r="D122" s="2489"/>
      <c r="E122" s="2489"/>
      <c r="F122" s="2489"/>
      <c r="G122" s="2490"/>
      <c r="H122" s="2489"/>
      <c r="I122" s="2490"/>
      <c r="J122" s="2489"/>
      <c r="K122" s="2489"/>
      <c r="L122" s="2490"/>
      <c r="M122" s="2489"/>
      <c r="N122" s="2489"/>
      <c r="O122" s="2490"/>
      <c r="P122" s="2489"/>
      <c r="Q122" s="2489"/>
      <c r="R122" s="2491"/>
    </row>
    <row r="123" spans="2:18" s="798" customFormat="1">
      <c r="B123" s="2489"/>
      <c r="C123" s="2489"/>
      <c r="D123" s="2489"/>
      <c r="E123" s="2489"/>
      <c r="F123" s="2489"/>
      <c r="G123" s="2490"/>
      <c r="H123" s="2489"/>
      <c r="I123" s="2490"/>
      <c r="J123" s="2489"/>
      <c r="K123" s="2489"/>
      <c r="L123" s="2490"/>
      <c r="M123" s="2489"/>
      <c r="N123" s="2489"/>
      <c r="O123" s="2490"/>
      <c r="P123" s="2489"/>
      <c r="Q123" s="2489"/>
      <c r="R123" s="2491"/>
    </row>
    <row r="124" spans="2:18" s="798" customFormat="1">
      <c r="B124" s="2489"/>
      <c r="C124" s="2489"/>
      <c r="D124" s="2489"/>
      <c r="E124" s="2489"/>
      <c r="F124" s="2489"/>
      <c r="G124" s="2490"/>
      <c r="H124" s="2489"/>
      <c r="I124" s="2490"/>
      <c r="J124" s="2489"/>
      <c r="K124" s="2489"/>
      <c r="L124" s="2490"/>
      <c r="M124" s="2489"/>
      <c r="N124" s="2489"/>
      <c r="O124" s="2490"/>
      <c r="P124" s="2489"/>
      <c r="Q124" s="2489"/>
      <c r="R124" s="2491"/>
    </row>
    <row r="125" spans="2:18" s="798" customFormat="1">
      <c r="B125" s="2489"/>
      <c r="C125" s="2489"/>
      <c r="D125" s="2489"/>
      <c r="E125" s="2489"/>
      <c r="F125" s="2489"/>
      <c r="G125" s="2490"/>
      <c r="H125" s="2489"/>
      <c r="I125" s="2490"/>
      <c r="J125" s="2489"/>
      <c r="K125" s="2489"/>
      <c r="L125" s="2490"/>
      <c r="M125" s="2489"/>
      <c r="N125" s="2489"/>
      <c r="O125" s="2490"/>
      <c r="P125" s="2489"/>
      <c r="Q125" s="2489"/>
      <c r="R125" s="2491"/>
    </row>
    <row r="126" spans="2:18" s="798" customFormat="1">
      <c r="B126" s="2489"/>
      <c r="C126" s="2489"/>
      <c r="D126" s="2489"/>
      <c r="E126" s="2489"/>
      <c r="F126" s="2489"/>
      <c r="G126" s="2490"/>
      <c r="H126" s="2489"/>
      <c r="I126" s="2490"/>
      <c r="J126" s="2489"/>
      <c r="K126" s="2489"/>
      <c r="L126" s="2490"/>
      <c r="M126" s="2489"/>
      <c r="N126" s="2489"/>
      <c r="O126" s="2490"/>
      <c r="P126" s="2489"/>
      <c r="Q126" s="2489"/>
      <c r="R126" s="2491"/>
    </row>
    <row r="127" spans="2:18" s="798" customFormat="1">
      <c r="B127" s="2489"/>
      <c r="C127" s="2489"/>
      <c r="D127" s="2489"/>
      <c r="E127" s="2489"/>
      <c r="F127" s="2489"/>
      <c r="G127" s="2490"/>
      <c r="H127" s="2489"/>
      <c r="I127" s="2490"/>
      <c r="J127" s="2489"/>
      <c r="K127" s="2489"/>
      <c r="L127" s="2490"/>
      <c r="M127" s="2489"/>
      <c r="N127" s="2489"/>
      <c r="O127" s="2490"/>
      <c r="P127" s="2489"/>
      <c r="Q127" s="2489"/>
      <c r="R127" s="2491"/>
    </row>
    <row r="128" spans="2:18" s="798" customFormat="1">
      <c r="B128" s="2489"/>
      <c r="C128" s="2489"/>
      <c r="D128" s="2489"/>
      <c r="E128" s="2489"/>
      <c r="F128" s="2489"/>
      <c r="G128" s="2490"/>
      <c r="H128" s="2489"/>
      <c r="I128" s="2490"/>
      <c r="J128" s="2489"/>
      <c r="K128" s="2489"/>
      <c r="L128" s="2490"/>
      <c r="M128" s="2489"/>
      <c r="N128" s="2489"/>
      <c r="O128" s="2490"/>
      <c r="P128" s="2489"/>
      <c r="Q128" s="2489"/>
      <c r="R128" s="2491"/>
    </row>
    <row r="129" spans="2:18" s="798" customFormat="1">
      <c r="B129" s="2489"/>
      <c r="C129" s="2489"/>
      <c r="D129" s="2489"/>
      <c r="E129" s="2489"/>
      <c r="F129" s="2489"/>
      <c r="G129" s="2490"/>
      <c r="H129" s="2489"/>
      <c r="I129" s="2490"/>
      <c r="J129" s="2489"/>
      <c r="K129" s="2489"/>
      <c r="L129" s="2490"/>
      <c r="M129" s="2489"/>
      <c r="N129" s="2489"/>
      <c r="O129" s="2490"/>
      <c r="P129" s="2489"/>
      <c r="Q129" s="2489"/>
      <c r="R129" s="2491"/>
    </row>
    <row r="130" spans="2:18" s="798" customFormat="1">
      <c r="B130" s="2489"/>
      <c r="C130" s="2489"/>
      <c r="D130" s="2489"/>
      <c r="E130" s="2489"/>
      <c r="F130" s="2489"/>
      <c r="G130" s="2490"/>
      <c r="H130" s="2489"/>
      <c r="I130" s="2490"/>
      <c r="J130" s="2489"/>
      <c r="K130" s="2489"/>
      <c r="L130" s="2490"/>
      <c r="M130" s="2489"/>
      <c r="N130" s="2489"/>
      <c r="O130" s="2490"/>
      <c r="P130" s="2489"/>
      <c r="Q130" s="2489"/>
      <c r="R130" s="2491"/>
    </row>
    <row r="131" spans="2:18" s="798" customFormat="1">
      <c r="B131" s="2489"/>
      <c r="C131" s="2489"/>
      <c r="D131" s="2489"/>
      <c r="E131" s="2489"/>
      <c r="F131" s="2489"/>
      <c r="G131" s="2490"/>
      <c r="H131" s="2489"/>
      <c r="I131" s="2490"/>
      <c r="J131" s="2489"/>
      <c r="K131" s="2489"/>
      <c r="L131" s="2490"/>
      <c r="M131" s="2489"/>
      <c r="N131" s="2489"/>
      <c r="O131" s="2490"/>
      <c r="P131" s="2489"/>
      <c r="Q131" s="2489"/>
      <c r="R131" s="2491"/>
    </row>
    <row r="132" spans="2:18" s="798" customFormat="1">
      <c r="B132" s="2489"/>
      <c r="C132" s="2489"/>
      <c r="D132" s="2489"/>
      <c r="E132" s="2489"/>
      <c r="F132" s="2489"/>
      <c r="G132" s="2490"/>
      <c r="H132" s="2489"/>
      <c r="I132" s="2490"/>
      <c r="J132" s="2489"/>
      <c r="K132" s="2489"/>
      <c r="L132" s="2490"/>
      <c r="M132" s="2489"/>
      <c r="N132" s="2489"/>
      <c r="O132" s="2490"/>
      <c r="P132" s="2489"/>
      <c r="Q132" s="2489"/>
      <c r="R132" s="2491"/>
    </row>
    <row r="133" spans="2:18" s="798" customFormat="1">
      <c r="B133" s="2489"/>
      <c r="C133" s="2489"/>
      <c r="D133" s="2489"/>
      <c r="E133" s="2489"/>
      <c r="F133" s="2489"/>
      <c r="G133" s="2490"/>
      <c r="H133" s="2489"/>
      <c r="I133" s="2490"/>
      <c r="J133" s="2489"/>
      <c r="K133" s="2489"/>
      <c r="L133" s="2490"/>
      <c r="M133" s="2489"/>
      <c r="N133" s="2489"/>
      <c r="O133" s="2490"/>
      <c r="P133" s="2489"/>
      <c r="Q133" s="2489"/>
      <c r="R133" s="2491"/>
    </row>
    <row r="134" spans="2:18" s="798" customFormat="1">
      <c r="B134" s="2489"/>
      <c r="C134" s="2489"/>
      <c r="D134" s="2489"/>
      <c r="E134" s="2489"/>
      <c r="F134" s="2489"/>
      <c r="G134" s="2490"/>
      <c r="H134" s="2489"/>
      <c r="I134" s="2490"/>
      <c r="J134" s="2489"/>
      <c r="K134" s="2489"/>
      <c r="L134" s="2490"/>
      <c r="M134" s="2489"/>
      <c r="N134" s="2489"/>
      <c r="O134" s="2490"/>
      <c r="P134" s="2489"/>
      <c r="Q134" s="2489"/>
      <c r="R134" s="2491"/>
    </row>
    <row r="135" spans="2:18" s="798" customFormat="1">
      <c r="B135" s="2489"/>
      <c r="C135" s="2489"/>
      <c r="D135" s="2489"/>
      <c r="E135" s="2489"/>
      <c r="F135" s="2489"/>
      <c r="G135" s="2490"/>
      <c r="H135" s="2489"/>
      <c r="I135" s="2490"/>
      <c r="J135" s="2489"/>
      <c r="K135" s="2489"/>
      <c r="L135" s="2490"/>
      <c r="M135" s="2489"/>
      <c r="N135" s="2489"/>
      <c r="O135" s="2490"/>
      <c r="P135" s="2489"/>
      <c r="Q135" s="2489"/>
      <c r="R135" s="2491"/>
    </row>
    <row r="136" spans="2:18" s="798" customFormat="1">
      <c r="B136" s="2489"/>
      <c r="C136" s="2489"/>
      <c r="D136" s="2489"/>
      <c r="E136" s="2489"/>
      <c r="F136" s="2489"/>
      <c r="G136" s="2490"/>
      <c r="H136" s="2489"/>
      <c r="I136" s="2490"/>
      <c r="J136" s="2489"/>
      <c r="K136" s="2489"/>
      <c r="L136" s="2490"/>
      <c r="M136" s="2489"/>
      <c r="N136" s="2489"/>
      <c r="O136" s="2490"/>
      <c r="P136" s="2489"/>
      <c r="Q136" s="2489"/>
      <c r="R136" s="2491"/>
    </row>
    <row r="137" spans="2:18" s="798" customFormat="1">
      <c r="B137" s="2489"/>
      <c r="C137" s="2489"/>
      <c r="D137" s="2489"/>
      <c r="E137" s="2489"/>
      <c r="F137" s="2489"/>
      <c r="G137" s="2490"/>
      <c r="H137" s="2489"/>
      <c r="I137" s="2490"/>
      <c r="J137" s="2489"/>
      <c r="K137" s="2489"/>
      <c r="L137" s="2490"/>
      <c r="M137" s="2489"/>
      <c r="N137" s="2489"/>
      <c r="O137" s="2490"/>
      <c r="P137" s="2489"/>
      <c r="Q137" s="2489"/>
      <c r="R137" s="2491"/>
    </row>
    <row r="138" spans="2:18" s="798" customFormat="1">
      <c r="B138" s="2489"/>
      <c r="C138" s="2489"/>
      <c r="D138" s="2489"/>
      <c r="E138" s="2489"/>
      <c r="F138" s="2489"/>
      <c r="G138" s="2490"/>
      <c r="H138" s="2489"/>
      <c r="I138" s="2490"/>
      <c r="J138" s="2489"/>
      <c r="K138" s="2489"/>
      <c r="L138" s="2490"/>
      <c r="M138" s="2489"/>
      <c r="N138" s="2489"/>
      <c r="O138" s="2490"/>
      <c r="P138" s="2489"/>
      <c r="Q138" s="2489"/>
      <c r="R138" s="2491"/>
    </row>
    <row r="139" spans="2:18" s="798" customFormat="1">
      <c r="B139" s="2489"/>
      <c r="C139" s="2489"/>
      <c r="D139" s="2489"/>
      <c r="E139" s="2489"/>
      <c r="F139" s="2489"/>
      <c r="G139" s="2490"/>
      <c r="H139" s="2489"/>
      <c r="I139" s="2490"/>
      <c r="J139" s="2489"/>
      <c r="K139" s="2489"/>
      <c r="L139" s="2490"/>
      <c r="M139" s="2489"/>
      <c r="N139" s="2489"/>
      <c r="O139" s="2490"/>
      <c r="P139" s="2489"/>
      <c r="Q139" s="2489"/>
      <c r="R139" s="2491"/>
    </row>
    <row r="140" spans="2:18" s="798" customFormat="1">
      <c r="B140" s="2489"/>
      <c r="C140" s="2489"/>
      <c r="D140" s="2489"/>
      <c r="E140" s="2489"/>
      <c r="F140" s="2489"/>
      <c r="G140" s="2490"/>
      <c r="H140" s="2489"/>
      <c r="I140" s="2490"/>
      <c r="J140" s="2489"/>
      <c r="K140" s="2489"/>
      <c r="L140" s="2490"/>
      <c r="M140" s="2489"/>
      <c r="N140" s="2489"/>
      <c r="O140" s="2490"/>
      <c r="P140" s="2489"/>
      <c r="Q140" s="2489"/>
      <c r="R140" s="2491"/>
    </row>
    <row r="141" spans="2:18" s="798" customFormat="1">
      <c r="B141" s="2489"/>
      <c r="C141" s="2489"/>
      <c r="D141" s="2489"/>
      <c r="E141" s="2489"/>
      <c r="F141" s="2489"/>
      <c r="G141" s="2490"/>
      <c r="H141" s="2489"/>
      <c r="I141" s="2490"/>
      <c r="J141" s="2489"/>
      <c r="K141" s="2489"/>
      <c r="L141" s="2490"/>
      <c r="M141" s="2489"/>
      <c r="N141" s="2489"/>
      <c r="O141" s="2490"/>
      <c r="P141" s="2489"/>
      <c r="Q141" s="2489"/>
      <c r="R141" s="2491"/>
    </row>
    <row r="142" spans="2:18" s="798" customFormat="1">
      <c r="B142" s="2489"/>
      <c r="C142" s="2489"/>
      <c r="D142" s="2489"/>
      <c r="E142" s="2489"/>
      <c r="F142" s="2489"/>
      <c r="G142" s="2490"/>
      <c r="H142" s="2489"/>
      <c r="I142" s="2490"/>
      <c r="J142" s="2489"/>
      <c r="K142" s="2489"/>
      <c r="L142" s="2490"/>
      <c r="M142" s="2489"/>
      <c r="N142" s="2489"/>
      <c r="O142" s="2490"/>
      <c r="P142" s="2489"/>
      <c r="Q142" s="2489"/>
      <c r="R142" s="2491"/>
    </row>
    <row r="143" spans="2:18" s="798" customFormat="1">
      <c r="B143" s="2489"/>
      <c r="C143" s="2489"/>
      <c r="D143" s="2489"/>
      <c r="E143" s="2489"/>
      <c r="F143" s="2489"/>
      <c r="G143" s="2490"/>
      <c r="H143" s="2489"/>
      <c r="I143" s="2490"/>
      <c r="J143" s="2489"/>
      <c r="K143" s="2489"/>
      <c r="L143" s="2490"/>
      <c r="M143" s="2489"/>
      <c r="N143" s="2489"/>
      <c r="O143" s="2490"/>
      <c r="P143" s="2489"/>
      <c r="Q143" s="2489"/>
      <c r="R143" s="2491"/>
    </row>
    <row r="144" spans="2:18" s="798" customFormat="1">
      <c r="B144" s="2489"/>
      <c r="C144" s="2489"/>
      <c r="D144" s="2489"/>
      <c r="E144" s="2489"/>
      <c r="F144" s="2489"/>
      <c r="G144" s="2490"/>
      <c r="H144" s="2489"/>
      <c r="I144" s="2490"/>
      <c r="J144" s="2489"/>
      <c r="K144" s="2489"/>
      <c r="L144" s="2490"/>
      <c r="M144" s="2489"/>
      <c r="N144" s="2489"/>
      <c r="O144" s="2490"/>
      <c r="P144" s="2489"/>
      <c r="Q144" s="2489"/>
      <c r="R144" s="2491"/>
    </row>
    <row r="145" spans="2:18" s="798" customFormat="1">
      <c r="B145" s="2489"/>
      <c r="C145" s="2489"/>
      <c r="D145" s="2489"/>
      <c r="E145" s="2489"/>
      <c r="F145" s="2489"/>
      <c r="G145" s="2490"/>
      <c r="H145" s="2489"/>
      <c r="I145" s="2490"/>
      <c r="J145" s="2489"/>
      <c r="K145" s="2489"/>
      <c r="L145" s="2490"/>
      <c r="M145" s="2489"/>
      <c r="N145" s="2489"/>
      <c r="O145" s="2490"/>
      <c r="P145" s="2489"/>
      <c r="Q145" s="2489"/>
      <c r="R145" s="2491"/>
    </row>
    <row r="146" spans="2:18" s="798" customFormat="1">
      <c r="B146" s="2489"/>
      <c r="C146" s="2489"/>
      <c r="D146" s="2489"/>
      <c r="E146" s="2489"/>
      <c r="F146" s="2489"/>
      <c r="G146" s="2490"/>
      <c r="H146" s="2489"/>
      <c r="I146" s="2490"/>
      <c r="J146" s="2489"/>
      <c r="K146" s="2489"/>
      <c r="L146" s="2490"/>
      <c r="M146" s="2489"/>
      <c r="N146" s="2489"/>
      <c r="O146" s="2490"/>
      <c r="P146" s="2489"/>
      <c r="Q146" s="2489"/>
      <c r="R146" s="2491"/>
    </row>
    <row r="147" spans="2:18" s="798" customFormat="1">
      <c r="B147" s="2489"/>
      <c r="C147" s="2489"/>
      <c r="D147" s="2489"/>
      <c r="E147" s="2489"/>
      <c r="F147" s="2489"/>
      <c r="G147" s="2490"/>
      <c r="H147" s="2489"/>
      <c r="I147" s="2490"/>
      <c r="J147" s="2489"/>
      <c r="K147" s="2489"/>
      <c r="L147" s="2490"/>
      <c r="M147" s="2489"/>
      <c r="N147" s="2489"/>
      <c r="O147" s="2490"/>
      <c r="P147" s="2489"/>
      <c r="Q147" s="2489"/>
      <c r="R147" s="2491"/>
    </row>
    <row r="148" spans="2:18" s="798" customFormat="1">
      <c r="B148" s="2489"/>
      <c r="C148" s="2489"/>
      <c r="D148" s="2489"/>
      <c r="E148" s="2489"/>
      <c r="F148" s="2489"/>
      <c r="G148" s="2490"/>
      <c r="H148" s="2489"/>
      <c r="I148" s="2490"/>
      <c r="J148" s="2489"/>
      <c r="K148" s="2489"/>
      <c r="L148" s="2490"/>
      <c r="M148" s="2489"/>
      <c r="N148" s="2489"/>
      <c r="O148" s="2490"/>
      <c r="P148" s="2489"/>
      <c r="Q148" s="2489"/>
      <c r="R148" s="2491"/>
    </row>
    <row r="149" spans="2:18" s="798" customFormat="1">
      <c r="B149" s="2489"/>
      <c r="C149" s="2489"/>
      <c r="D149" s="2489"/>
      <c r="E149" s="2489"/>
      <c r="F149" s="2489"/>
      <c r="G149" s="2490"/>
      <c r="H149" s="2489"/>
      <c r="I149" s="2490"/>
      <c r="J149" s="2489"/>
      <c r="K149" s="2489"/>
      <c r="L149" s="2490"/>
      <c r="M149" s="2489"/>
      <c r="N149" s="2489"/>
      <c r="O149" s="2490"/>
      <c r="P149" s="2489"/>
      <c r="Q149" s="2489"/>
      <c r="R149" s="2491"/>
    </row>
    <row r="150" spans="2:18" s="798" customFormat="1">
      <c r="B150" s="2489"/>
      <c r="C150" s="2489"/>
      <c r="D150" s="2489"/>
      <c r="E150" s="2489"/>
      <c r="F150" s="2489"/>
      <c r="G150" s="2490"/>
      <c r="H150" s="2489"/>
      <c r="I150" s="2490"/>
      <c r="J150" s="2489"/>
      <c r="K150" s="2489"/>
      <c r="L150" s="2490"/>
      <c r="M150" s="2489"/>
      <c r="N150" s="2489"/>
      <c r="O150" s="2490"/>
      <c r="P150" s="2489"/>
      <c r="Q150" s="2489"/>
      <c r="R150" s="2491"/>
    </row>
    <row r="151" spans="2:18" s="798" customFormat="1">
      <c r="B151" s="2489"/>
      <c r="C151" s="2489"/>
      <c r="D151" s="2489"/>
      <c r="E151" s="2489"/>
      <c r="F151" s="2489"/>
      <c r="G151" s="2490"/>
      <c r="H151" s="2489"/>
      <c r="I151" s="2490"/>
      <c r="J151" s="2489"/>
      <c r="K151" s="2489"/>
      <c r="L151" s="2490"/>
      <c r="M151" s="2489"/>
      <c r="N151" s="2489"/>
      <c r="O151" s="2490"/>
      <c r="P151" s="2489"/>
      <c r="Q151" s="2489"/>
      <c r="R151" s="2491"/>
    </row>
    <row r="152" spans="2:18" s="798" customFormat="1">
      <c r="B152" s="2489"/>
      <c r="C152" s="2489"/>
      <c r="D152" s="2489"/>
      <c r="E152" s="2489"/>
      <c r="F152" s="2489"/>
      <c r="G152" s="2490"/>
      <c r="H152" s="2489"/>
      <c r="I152" s="2490"/>
      <c r="J152" s="2489"/>
      <c r="K152" s="2489"/>
      <c r="L152" s="2490"/>
      <c r="M152" s="2489"/>
      <c r="N152" s="2489"/>
      <c r="O152" s="2490"/>
      <c r="P152" s="2489"/>
      <c r="Q152" s="2489"/>
      <c r="R152" s="2491"/>
    </row>
    <row r="153" spans="2:18" s="798" customFormat="1">
      <c r="B153" s="2489"/>
      <c r="C153" s="2489"/>
      <c r="D153" s="2489"/>
      <c r="E153" s="2489"/>
      <c r="F153" s="2489"/>
      <c r="G153" s="2490"/>
      <c r="H153" s="2489"/>
      <c r="I153" s="2490"/>
      <c r="J153" s="2489"/>
      <c r="K153" s="2489"/>
      <c r="L153" s="2490"/>
      <c r="M153" s="2489"/>
      <c r="N153" s="2489"/>
      <c r="O153" s="2490"/>
      <c r="P153" s="2489"/>
      <c r="Q153" s="2489"/>
      <c r="R153" s="2491"/>
    </row>
    <row r="154" spans="2:18" s="798" customFormat="1">
      <c r="B154" s="2489"/>
      <c r="C154" s="2489"/>
      <c r="D154" s="2489"/>
      <c r="E154" s="2489"/>
      <c r="F154" s="2489"/>
      <c r="G154" s="2490"/>
      <c r="H154" s="2489"/>
      <c r="I154" s="2490"/>
      <c r="J154" s="2489"/>
      <c r="K154" s="2489"/>
      <c r="L154" s="2490"/>
      <c r="M154" s="2489"/>
      <c r="N154" s="2489"/>
      <c r="O154" s="2490"/>
      <c r="P154" s="2489"/>
      <c r="Q154" s="2489"/>
      <c r="R154" s="2491"/>
    </row>
    <row r="155" spans="2:18" s="798" customFormat="1">
      <c r="B155" s="2489"/>
      <c r="C155" s="2489"/>
      <c r="D155" s="2489"/>
      <c r="E155" s="2489"/>
      <c r="F155" s="2489"/>
      <c r="G155" s="2490"/>
      <c r="H155" s="2489"/>
      <c r="I155" s="2490"/>
      <c r="J155" s="2489"/>
      <c r="K155" s="2489"/>
      <c r="L155" s="2490"/>
      <c r="M155" s="2489"/>
      <c r="N155" s="2489"/>
      <c r="O155" s="2490"/>
      <c r="P155" s="2489"/>
      <c r="Q155" s="2489"/>
      <c r="R155" s="2491"/>
    </row>
    <row r="156" spans="2:18" s="798" customFormat="1">
      <c r="B156" s="2489"/>
      <c r="C156" s="2489"/>
      <c r="D156" s="2489"/>
      <c r="E156" s="2489"/>
      <c r="F156" s="2489"/>
      <c r="G156" s="2490"/>
      <c r="H156" s="2489"/>
      <c r="I156" s="2490"/>
      <c r="J156" s="2489"/>
      <c r="K156" s="2489"/>
      <c r="L156" s="2490"/>
      <c r="M156" s="2489"/>
      <c r="N156" s="2489"/>
      <c r="O156" s="2490"/>
      <c r="P156" s="2489"/>
      <c r="Q156" s="2489"/>
      <c r="R156" s="2491"/>
    </row>
    <row r="157" spans="2:18" s="798" customFormat="1">
      <c r="B157" s="2489"/>
      <c r="C157" s="2489"/>
      <c r="D157" s="2489"/>
      <c r="E157" s="2489"/>
      <c r="F157" s="2489"/>
      <c r="G157" s="2490"/>
      <c r="H157" s="2489"/>
      <c r="I157" s="2490"/>
      <c r="J157" s="2489"/>
      <c r="K157" s="2489"/>
      <c r="L157" s="2490"/>
      <c r="M157" s="2489"/>
      <c r="N157" s="2489"/>
      <c r="O157" s="2490"/>
      <c r="P157" s="2489"/>
      <c r="Q157" s="2489"/>
      <c r="R157" s="2491"/>
    </row>
    <row r="158" spans="2:18" s="798" customFormat="1">
      <c r="B158" s="2489"/>
      <c r="C158" s="2489"/>
      <c r="D158" s="2489"/>
      <c r="E158" s="2489"/>
      <c r="F158" s="2489"/>
      <c r="G158" s="2490"/>
      <c r="H158" s="2489"/>
      <c r="I158" s="2490"/>
      <c r="J158" s="2489"/>
      <c r="K158" s="2489"/>
      <c r="L158" s="2490"/>
      <c r="M158" s="2489"/>
      <c r="N158" s="2489"/>
      <c r="O158" s="2490"/>
      <c r="P158" s="2489"/>
      <c r="Q158" s="2489"/>
      <c r="R158" s="2491"/>
    </row>
    <row r="159" spans="2:18" s="798" customFormat="1">
      <c r="B159" s="2489"/>
      <c r="C159" s="2489"/>
      <c r="D159" s="2489"/>
      <c r="E159" s="2489"/>
      <c r="F159" s="2489"/>
      <c r="G159" s="2490"/>
      <c r="H159" s="2489"/>
      <c r="I159" s="2490"/>
      <c r="J159" s="2489"/>
      <c r="K159" s="2489"/>
      <c r="L159" s="2490"/>
      <c r="M159" s="2489"/>
      <c r="N159" s="2489"/>
      <c r="O159" s="2490"/>
      <c r="P159" s="2489"/>
      <c r="Q159" s="2489"/>
      <c r="R159" s="2491"/>
    </row>
    <row r="160" spans="2:18" s="798" customFormat="1">
      <c r="B160" s="2489"/>
      <c r="C160" s="2489"/>
      <c r="D160" s="2489"/>
      <c r="E160" s="2489"/>
      <c r="F160" s="2489"/>
      <c r="G160" s="2490"/>
      <c r="H160" s="2489"/>
      <c r="I160" s="2490"/>
      <c r="J160" s="2489"/>
      <c r="K160" s="2489"/>
      <c r="L160" s="2490"/>
      <c r="M160" s="2489"/>
      <c r="N160" s="2489"/>
      <c r="O160" s="2490"/>
      <c r="P160" s="2489"/>
      <c r="Q160" s="2489"/>
      <c r="R160" s="2491"/>
    </row>
    <row r="161" spans="2:18" s="798" customFormat="1">
      <c r="B161" s="2489"/>
      <c r="C161" s="2489"/>
      <c r="D161" s="2489"/>
      <c r="E161" s="2489"/>
      <c r="F161" s="2489"/>
      <c r="G161" s="2490"/>
      <c r="H161" s="2489"/>
      <c r="I161" s="2490"/>
      <c r="J161" s="2489"/>
      <c r="K161" s="2489"/>
      <c r="L161" s="2490"/>
      <c r="M161" s="2489"/>
      <c r="N161" s="2489"/>
      <c r="O161" s="2490"/>
      <c r="P161" s="2489"/>
      <c r="Q161" s="2489"/>
      <c r="R161" s="2491"/>
    </row>
    <row r="162" spans="2:18" s="798" customFormat="1">
      <c r="B162" s="2489"/>
      <c r="C162" s="2489"/>
      <c r="D162" s="2489"/>
      <c r="E162" s="2489"/>
      <c r="F162" s="2489"/>
      <c r="G162" s="2490"/>
      <c r="H162" s="2489"/>
      <c r="I162" s="2490"/>
      <c r="J162" s="2489"/>
      <c r="K162" s="2489"/>
      <c r="L162" s="2490"/>
      <c r="M162" s="2489"/>
      <c r="N162" s="2489"/>
      <c r="O162" s="2490"/>
      <c r="P162" s="2489"/>
      <c r="Q162" s="2489"/>
      <c r="R162" s="2491"/>
    </row>
    <row r="163" spans="2:18" s="798" customFormat="1">
      <c r="B163" s="2489"/>
      <c r="C163" s="2489"/>
      <c r="D163" s="2489"/>
      <c r="E163" s="2489"/>
      <c r="F163" s="2489"/>
      <c r="G163" s="2490"/>
      <c r="H163" s="2489"/>
      <c r="I163" s="2490"/>
      <c r="J163" s="2489"/>
      <c r="K163" s="2489"/>
      <c r="L163" s="2490"/>
      <c r="M163" s="2489"/>
      <c r="N163" s="2489"/>
      <c r="O163" s="2490"/>
      <c r="P163" s="2489"/>
      <c r="Q163" s="2489"/>
      <c r="R163" s="2491"/>
    </row>
    <row r="164" spans="2:18" s="798" customFormat="1">
      <c r="B164" s="2489"/>
      <c r="C164" s="2489"/>
      <c r="D164" s="2489"/>
      <c r="E164" s="2489"/>
      <c r="F164" s="2489"/>
      <c r="G164" s="2490"/>
      <c r="H164" s="2489"/>
      <c r="I164" s="2490"/>
      <c r="J164" s="2489"/>
      <c r="K164" s="2489"/>
      <c r="L164" s="2490"/>
      <c r="M164" s="2489"/>
      <c r="N164" s="2489"/>
      <c r="O164" s="2490"/>
      <c r="P164" s="2489"/>
      <c r="Q164" s="2489"/>
      <c r="R164" s="2491"/>
    </row>
    <row r="165" spans="2:18" s="798" customFormat="1">
      <c r="B165" s="2489"/>
      <c r="C165" s="2489"/>
      <c r="D165" s="2489"/>
      <c r="E165" s="2489"/>
      <c r="F165" s="2489"/>
      <c r="G165" s="2490"/>
      <c r="H165" s="2489"/>
      <c r="I165" s="2490"/>
      <c r="J165" s="2489"/>
      <c r="K165" s="2489"/>
      <c r="L165" s="2490"/>
      <c r="M165" s="2489"/>
      <c r="N165" s="2489"/>
      <c r="O165" s="2490"/>
      <c r="P165" s="2489"/>
      <c r="Q165" s="2489"/>
      <c r="R165" s="2491"/>
    </row>
    <row r="166" spans="2:18" s="798" customFormat="1">
      <c r="B166" s="2489"/>
      <c r="C166" s="2489"/>
      <c r="D166" s="2489"/>
      <c r="E166" s="2489"/>
      <c r="F166" s="2489"/>
      <c r="G166" s="2490"/>
      <c r="H166" s="2489"/>
      <c r="I166" s="2490"/>
      <c r="J166" s="2489"/>
      <c r="K166" s="2489"/>
      <c r="L166" s="2490"/>
      <c r="M166" s="2489"/>
      <c r="N166" s="2489"/>
      <c r="O166" s="2490"/>
      <c r="P166" s="2489"/>
      <c r="Q166" s="2489"/>
      <c r="R166" s="2491"/>
    </row>
    <row r="167" spans="2:18" s="798" customFormat="1">
      <c r="B167" s="2489"/>
      <c r="C167" s="2489"/>
      <c r="D167" s="2489"/>
      <c r="E167" s="2489"/>
      <c r="F167" s="2489"/>
      <c r="G167" s="2490"/>
      <c r="H167" s="2489"/>
      <c r="I167" s="2490"/>
      <c r="J167" s="2489"/>
      <c r="K167" s="2489"/>
      <c r="L167" s="2490"/>
      <c r="M167" s="2489"/>
      <c r="N167" s="2489"/>
      <c r="O167" s="2490"/>
      <c r="P167" s="2489"/>
      <c r="Q167" s="2489"/>
      <c r="R167" s="2491"/>
    </row>
    <row r="168" spans="2:18" s="798" customFormat="1">
      <c r="B168" s="2489"/>
      <c r="C168" s="2489"/>
      <c r="D168" s="2489"/>
      <c r="E168" s="2489"/>
      <c r="F168" s="2489"/>
      <c r="G168" s="2490"/>
      <c r="H168" s="2489"/>
      <c r="I168" s="2490"/>
      <c r="J168" s="2489"/>
      <c r="K168" s="2489"/>
      <c r="L168" s="2490"/>
      <c r="M168" s="2489"/>
      <c r="N168" s="2489"/>
      <c r="O168" s="2490"/>
      <c r="P168" s="2489"/>
      <c r="Q168" s="2489"/>
      <c r="R168" s="2491"/>
    </row>
    <row r="169" spans="2:18" s="798" customFormat="1">
      <c r="B169" s="2489"/>
      <c r="C169" s="2489"/>
      <c r="D169" s="2489"/>
      <c r="E169" s="2489"/>
      <c r="F169" s="2489"/>
      <c r="G169" s="2490"/>
      <c r="H169" s="2489"/>
      <c r="I169" s="2490"/>
      <c r="J169" s="2489"/>
      <c r="K169" s="2489"/>
      <c r="L169" s="2490"/>
      <c r="M169" s="2489"/>
      <c r="N169" s="2489"/>
      <c r="O169" s="2490"/>
      <c r="P169" s="2489"/>
      <c r="Q169" s="2489"/>
      <c r="R169" s="2491"/>
    </row>
    <row r="170" spans="2:18" s="798" customFormat="1">
      <c r="B170" s="2489"/>
      <c r="C170" s="2489"/>
      <c r="D170" s="2489"/>
      <c r="E170" s="2489"/>
      <c r="F170" s="2489"/>
      <c r="G170" s="2490"/>
      <c r="H170" s="2489"/>
      <c r="I170" s="2490"/>
      <c r="J170" s="2489"/>
      <c r="K170" s="2489"/>
      <c r="L170" s="2490"/>
      <c r="M170" s="2489"/>
      <c r="N170" s="2489"/>
      <c r="O170" s="2490"/>
      <c r="P170" s="2489"/>
      <c r="Q170" s="2489"/>
      <c r="R170" s="2491"/>
    </row>
    <row r="171" spans="2:18" s="798" customFormat="1">
      <c r="B171" s="2489"/>
      <c r="C171" s="2489"/>
      <c r="D171" s="2489"/>
      <c r="E171" s="2489"/>
      <c r="F171" s="2489"/>
      <c r="G171" s="2490"/>
      <c r="H171" s="2489"/>
      <c r="I171" s="2490"/>
      <c r="J171" s="2489"/>
      <c r="K171" s="2489"/>
      <c r="L171" s="2490"/>
      <c r="M171" s="2489"/>
      <c r="N171" s="2489"/>
      <c r="O171" s="2490"/>
      <c r="P171" s="2489"/>
      <c r="Q171" s="2489"/>
      <c r="R171" s="2491"/>
    </row>
    <row r="172" spans="2:18" s="798" customFormat="1">
      <c r="B172" s="2489"/>
      <c r="C172" s="2489"/>
      <c r="D172" s="2489"/>
      <c r="E172" s="2489"/>
      <c r="F172" s="2489"/>
      <c r="G172" s="2490"/>
      <c r="H172" s="2489"/>
      <c r="I172" s="2490"/>
      <c r="J172" s="2489"/>
      <c r="K172" s="2489"/>
      <c r="L172" s="2490"/>
      <c r="M172" s="2489"/>
      <c r="N172" s="2489"/>
      <c r="O172" s="2490"/>
      <c r="P172" s="2489"/>
      <c r="Q172" s="2489"/>
      <c r="R172" s="2491"/>
    </row>
    <row r="173" spans="2:18" s="798" customFormat="1">
      <c r="B173" s="2489"/>
      <c r="C173" s="2489"/>
      <c r="D173" s="2489"/>
      <c r="E173" s="2489"/>
      <c r="F173" s="2489"/>
      <c r="G173" s="2490"/>
      <c r="H173" s="2489"/>
      <c r="I173" s="2490"/>
      <c r="J173" s="2489"/>
      <c r="K173" s="2489"/>
      <c r="L173" s="2490"/>
      <c r="M173" s="2489"/>
      <c r="N173" s="2489"/>
      <c r="O173" s="2490"/>
      <c r="P173" s="2489"/>
      <c r="Q173" s="2489"/>
      <c r="R173" s="2491"/>
    </row>
    <row r="174" spans="2:18" s="798" customFormat="1">
      <c r="B174" s="2489"/>
      <c r="C174" s="2489"/>
      <c r="D174" s="2489"/>
      <c r="E174" s="2489"/>
      <c r="F174" s="2489"/>
      <c r="G174" s="2490"/>
      <c r="H174" s="2489"/>
      <c r="I174" s="2490"/>
      <c r="J174" s="2489"/>
      <c r="K174" s="2489"/>
      <c r="L174" s="2490"/>
      <c r="M174" s="2489"/>
      <c r="N174" s="2489"/>
      <c r="O174" s="2490"/>
      <c r="P174" s="2489"/>
      <c r="Q174" s="2489"/>
      <c r="R174" s="2491"/>
    </row>
    <row r="175" spans="2:18" s="798" customFormat="1">
      <c r="B175" s="2489"/>
      <c r="C175" s="2489"/>
      <c r="D175" s="2489"/>
      <c r="E175" s="2489"/>
      <c r="F175" s="2489"/>
      <c r="G175" s="2490"/>
      <c r="H175" s="2489"/>
      <c r="I175" s="2490"/>
      <c r="J175" s="2489"/>
      <c r="K175" s="2489"/>
      <c r="L175" s="2490"/>
      <c r="M175" s="2489"/>
      <c r="N175" s="2489"/>
      <c r="O175" s="2490"/>
      <c r="P175" s="2489"/>
      <c r="Q175" s="2489"/>
      <c r="R175" s="2491"/>
    </row>
    <row r="176" spans="2:18" s="798" customFormat="1">
      <c r="B176" s="2489"/>
      <c r="C176" s="2489"/>
      <c r="D176" s="2489"/>
      <c r="E176" s="2489"/>
      <c r="F176" s="2489"/>
      <c r="G176" s="2490"/>
      <c r="H176" s="2489"/>
      <c r="I176" s="2490"/>
      <c r="J176" s="2489"/>
      <c r="K176" s="2489"/>
      <c r="L176" s="2490"/>
      <c r="M176" s="2489"/>
      <c r="N176" s="2489"/>
      <c r="O176" s="2490"/>
      <c r="P176" s="2489"/>
      <c r="Q176" s="2489"/>
      <c r="R176" s="2491"/>
    </row>
    <row r="177" spans="1:18" s="798" customFormat="1">
      <c r="B177" s="2489"/>
      <c r="C177" s="2489"/>
      <c r="D177" s="2489"/>
      <c r="E177" s="2489"/>
      <c r="F177" s="2489"/>
      <c r="G177" s="2490"/>
      <c r="H177" s="2489"/>
      <c r="I177" s="2490"/>
      <c r="J177" s="2489"/>
      <c r="K177" s="2489"/>
      <c r="L177" s="2490"/>
      <c r="M177" s="2489"/>
      <c r="N177" s="2489"/>
      <c r="O177" s="2490"/>
      <c r="P177" s="2489"/>
      <c r="Q177" s="2489"/>
      <c r="R177" s="2491"/>
    </row>
    <row r="178" spans="1:18" s="798" customFormat="1">
      <c r="B178" s="2489"/>
      <c r="C178" s="2489"/>
      <c r="D178" s="2489"/>
      <c r="E178" s="2489"/>
      <c r="F178" s="2489"/>
      <c r="G178" s="2490"/>
      <c r="H178" s="2489"/>
      <c r="I178" s="2490"/>
      <c r="J178" s="2489"/>
      <c r="K178" s="2489"/>
      <c r="L178" s="2490"/>
      <c r="M178" s="2489"/>
      <c r="N178" s="2489"/>
      <c r="O178" s="2490"/>
      <c r="P178" s="2489"/>
      <c r="Q178" s="2489"/>
      <c r="R178" s="2491"/>
    </row>
    <row r="179" spans="1:18" s="798" customFormat="1">
      <c r="B179" s="2489"/>
      <c r="C179" s="2489"/>
      <c r="D179" s="2489"/>
      <c r="E179" s="2489"/>
      <c r="F179" s="2489"/>
      <c r="G179" s="2490"/>
      <c r="H179" s="2489"/>
      <c r="I179" s="2490"/>
      <c r="J179" s="2489"/>
      <c r="K179" s="2489"/>
      <c r="L179" s="2490"/>
      <c r="M179" s="2489"/>
      <c r="N179" s="2489"/>
      <c r="O179" s="2490"/>
      <c r="P179" s="2489"/>
      <c r="Q179" s="2489"/>
      <c r="R179" s="2491"/>
    </row>
    <row r="180" spans="1:18" s="798" customFormat="1">
      <c r="B180" s="2489"/>
      <c r="C180" s="2489"/>
      <c r="D180" s="2489"/>
      <c r="E180" s="2489"/>
      <c r="F180" s="2489"/>
      <c r="G180" s="2490"/>
      <c r="H180" s="2489"/>
      <c r="I180" s="2490"/>
      <c r="J180" s="2489"/>
      <c r="K180" s="2489"/>
      <c r="L180" s="2490"/>
      <c r="M180" s="2489"/>
      <c r="N180" s="2489"/>
      <c r="O180" s="2490"/>
      <c r="P180" s="2489"/>
      <c r="Q180" s="2489"/>
      <c r="R180" s="2491"/>
    </row>
    <row r="181" spans="1:18" s="798" customFormat="1">
      <c r="B181" s="2489"/>
      <c r="C181" s="2489"/>
      <c r="D181" s="2489"/>
      <c r="E181" s="2489"/>
      <c r="F181" s="2489"/>
      <c r="G181" s="2490"/>
      <c r="H181" s="2489"/>
      <c r="I181" s="2490"/>
      <c r="J181" s="2489"/>
      <c r="K181" s="2489"/>
      <c r="L181" s="2490"/>
      <c r="M181" s="2489"/>
      <c r="N181" s="2489"/>
      <c r="O181" s="2490"/>
      <c r="P181" s="2489"/>
      <c r="Q181" s="2489"/>
      <c r="R181" s="2491"/>
    </row>
    <row r="182" spans="1:18" s="798" customFormat="1">
      <c r="B182" s="2489"/>
      <c r="C182" s="2489"/>
      <c r="D182" s="2489"/>
      <c r="E182" s="2489"/>
      <c r="F182" s="2489"/>
      <c r="G182" s="2490"/>
      <c r="H182" s="2489"/>
      <c r="I182" s="2490"/>
      <c r="J182" s="2489"/>
      <c r="K182" s="2489"/>
      <c r="L182" s="2490"/>
      <c r="M182" s="2489"/>
      <c r="N182" s="2489"/>
      <c r="O182" s="2490"/>
      <c r="P182" s="2489"/>
      <c r="Q182" s="2489"/>
      <c r="R182" s="2491"/>
    </row>
    <row r="183" spans="1:18" s="798" customFormat="1">
      <c r="B183" s="2489"/>
      <c r="C183" s="2489"/>
      <c r="D183" s="2489"/>
      <c r="E183" s="2489"/>
      <c r="F183" s="2489"/>
      <c r="G183" s="2490"/>
      <c r="H183" s="2489"/>
      <c r="I183" s="2490"/>
      <c r="J183" s="2489"/>
      <c r="K183" s="2489"/>
      <c r="L183" s="2490"/>
      <c r="M183" s="2489"/>
      <c r="N183" s="2489"/>
      <c r="O183" s="2490"/>
      <c r="P183" s="2489"/>
      <c r="Q183" s="2489"/>
      <c r="R183" s="2491"/>
    </row>
    <row r="184" spans="1:18" s="798" customFormat="1">
      <c r="B184" s="2489"/>
      <c r="C184" s="2489"/>
      <c r="D184" s="2489"/>
      <c r="E184" s="2489"/>
      <c r="F184" s="2489"/>
      <c r="G184" s="2490"/>
      <c r="H184" s="2489"/>
      <c r="I184" s="2490"/>
      <c r="J184" s="2489"/>
      <c r="K184" s="2489"/>
      <c r="L184" s="2490"/>
      <c r="M184" s="2489"/>
      <c r="N184" s="2489"/>
      <c r="O184" s="2490"/>
      <c r="P184" s="2489"/>
      <c r="Q184" s="2489"/>
      <c r="R184" s="2491"/>
    </row>
    <row r="185" spans="1:18" s="798"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8"/>
      <c r="B186" s="2489"/>
      <c r="C186" s="2489"/>
      <c r="E186" s="2489"/>
      <c r="F186" s="2489"/>
      <c r="G186" s="2490"/>
    </row>
    <row r="187" spans="1:18">
      <c r="A187" s="798"/>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B216"/>
  <sheetViews>
    <sheetView zoomScale="80" zoomScaleNormal="80" workbookViewId="0">
      <pane xSplit="12" ySplit="3" topLeftCell="M88" activePane="bottomRight" state="frozen"/>
      <selection pane="topRight"/>
      <selection pane="bottomLeft"/>
      <selection pane="bottomRight" activeCell="A2" sqref="A2:T132"/>
    </sheetView>
  </sheetViews>
  <sheetFormatPr defaultColWidth="9" defaultRowHeight="18" customHeight="1"/>
  <cols>
    <col min="1" max="1" width="4.125" style="3507" customWidth="1"/>
    <col min="2" max="2" width="11.125" style="3507" hidden="1" customWidth="1"/>
    <col min="3" max="3" width="15.375" style="3517" customWidth="1"/>
    <col min="4" max="4" width="11.75" style="3508" customWidth="1"/>
    <col min="5" max="5" width="3.75" style="3507" customWidth="1"/>
    <col min="6" max="6" width="5.875" style="3507" hidden="1" customWidth="1"/>
    <col min="7" max="7" width="30.625" style="3517" customWidth="1"/>
    <col min="8" max="8" width="15.25" style="3517" customWidth="1"/>
    <col min="9" max="9" width="14.25" style="3580" customWidth="1"/>
    <col min="10" max="10" width="11" style="3580" customWidth="1"/>
    <col min="11" max="11" width="10.75" style="3507" hidden="1" customWidth="1"/>
    <col min="12" max="12" width="44.125" style="3507" hidden="1" customWidth="1"/>
    <col min="13" max="13" width="17.125" style="3508" hidden="1" customWidth="1"/>
    <col min="14" max="18" width="17.375" style="3508" hidden="1" customWidth="1"/>
    <col min="19" max="19" width="14.125" style="3508" hidden="1" customWidth="1"/>
    <col min="20" max="20" width="17.75" style="3508" customWidth="1"/>
    <col min="21" max="21" width="18.375" style="3508" customWidth="1"/>
    <col min="22" max="22" width="15.375" style="3508" customWidth="1"/>
    <col min="23" max="23" width="14.125" style="3508" hidden="1" customWidth="1"/>
    <col min="24" max="24" width="15.5" style="3508" customWidth="1"/>
    <col min="25" max="25" width="17.375" style="3508" customWidth="1"/>
    <col min="26" max="26" width="17.375" style="3508" hidden="1" customWidth="1"/>
    <col min="27" max="27" width="17.375" style="3507" hidden="1" customWidth="1"/>
    <col min="28" max="28" width="13.75" style="3507" customWidth="1"/>
    <col min="29" max="33" width="15.625" style="3508" customWidth="1"/>
    <col min="34" max="37" width="15" style="3508" customWidth="1"/>
    <col min="38" max="38" width="14.875" style="3508" customWidth="1"/>
    <col min="39" max="39" width="30.25" style="3508" hidden="1" customWidth="1"/>
    <col min="40" max="40" width="13.25" style="3509" hidden="1" customWidth="1"/>
    <col min="41" max="41" width="12" style="3510" hidden="1" customWidth="1"/>
    <col min="42" max="42" width="13.25" style="3511" hidden="1" customWidth="1"/>
    <col min="43" max="43" width="12" style="3509" hidden="1" customWidth="1"/>
    <col min="44" max="44" width="12" style="3510" hidden="1" customWidth="1"/>
    <col min="45" max="45" width="9.5" style="3508" hidden="1" customWidth="1"/>
    <col min="46" max="46" width="85.25" style="3508" hidden="1" customWidth="1"/>
    <col min="47" max="47" width="20" style="3508" hidden="1" customWidth="1"/>
    <col min="48" max="48" width="13.25" style="3509" hidden="1" customWidth="1"/>
    <col min="49" max="49" width="12" style="3510" hidden="1" customWidth="1"/>
    <col min="50" max="50" width="13.25" style="3508" hidden="1" customWidth="1"/>
    <col min="51" max="51" width="12" style="3509" hidden="1" customWidth="1"/>
    <col min="52" max="52" width="12" style="3510" hidden="1" customWidth="1"/>
    <col min="53" max="53" width="9.5" style="3508" hidden="1" customWidth="1"/>
    <col min="54" max="54" width="85.25" style="3508" hidden="1" customWidth="1"/>
    <col min="55" max="55" width="20.25" style="3508" hidden="1" customWidth="1"/>
    <col min="56" max="56" width="14.875" style="3509" hidden="1" customWidth="1"/>
    <col min="57" max="57" width="14.875" style="3512" hidden="1" customWidth="1"/>
    <col min="58" max="58" width="14.875" style="3511" hidden="1" customWidth="1"/>
    <col min="59" max="59" width="14.875" style="3509" hidden="1" customWidth="1"/>
    <col min="60" max="60" width="14.875" style="3512" hidden="1" customWidth="1"/>
    <col min="61" max="61" width="14.875" style="3511" hidden="1" customWidth="1"/>
    <col min="62" max="62" width="69.625" style="3508" hidden="1" customWidth="1"/>
    <col min="63" max="63" width="21.375" style="3508" hidden="1" customWidth="1"/>
    <col min="64" max="64" width="13.25" style="3509" hidden="1" customWidth="1"/>
    <col min="65" max="65" width="12" style="3510" hidden="1" customWidth="1"/>
    <col min="66" max="66" width="13.25" style="3511" hidden="1" customWidth="1"/>
    <col min="67" max="67" width="12" style="3509" hidden="1" customWidth="1"/>
    <col min="68" max="68" width="12" style="3510" hidden="1" customWidth="1"/>
    <col min="69" max="69" width="11" style="3511" hidden="1" customWidth="1"/>
    <col min="70" max="70" width="69.625" style="3508" hidden="1" customWidth="1"/>
    <col min="71" max="71" width="18.625" style="3508" hidden="1" customWidth="1"/>
    <col min="72" max="72" width="14.875" style="3509" hidden="1" customWidth="1"/>
    <col min="73" max="73" width="14.875" style="3510" hidden="1" customWidth="1"/>
    <col min="74" max="74" width="14.875" style="3511" hidden="1" customWidth="1"/>
    <col min="75" max="75" width="14.875" style="3509" hidden="1" customWidth="1"/>
    <col min="76" max="76" width="14.875" style="3510" hidden="1" customWidth="1"/>
    <col min="77" max="77" width="14.875" style="3511" hidden="1" customWidth="1"/>
    <col min="78" max="78" width="61.25" style="3508" hidden="1" customWidth="1"/>
    <col min="79" max="79" width="20" style="3508" hidden="1" customWidth="1"/>
    <col min="80" max="80" width="13.25" style="3509" hidden="1" customWidth="1"/>
    <col min="81" max="81" width="12" style="3510" hidden="1" customWidth="1"/>
    <col min="82" max="82" width="13.25" style="3508" hidden="1" customWidth="1"/>
    <col min="83" max="83" width="12" style="3509" hidden="1" customWidth="1"/>
    <col min="84" max="84" width="12" style="3510" hidden="1" customWidth="1"/>
    <col min="85" max="85" width="11" style="3508" hidden="1" customWidth="1"/>
    <col min="86" max="86" width="60.875" style="3508" hidden="1" customWidth="1"/>
    <col min="87" max="87" width="23.75" style="3508" hidden="1" customWidth="1"/>
    <col min="88" max="88" width="14.875" style="3509" hidden="1" customWidth="1"/>
    <col min="89" max="89" width="14.875" style="3510" hidden="1" customWidth="1"/>
    <col min="90" max="90" width="14.875" style="3508" hidden="1" customWidth="1"/>
    <col min="91" max="91" width="12" style="3509" hidden="1" customWidth="1"/>
    <col min="92" max="92" width="12" style="3510" hidden="1" customWidth="1"/>
    <col min="93" max="93" width="10.375" style="3508" hidden="1" customWidth="1"/>
    <col min="94" max="94" width="80" style="3508" hidden="1" customWidth="1"/>
    <col min="95" max="95" width="24.5" style="3508" hidden="1" customWidth="1"/>
    <col min="96" max="96" width="13.25" style="3509" hidden="1" customWidth="1"/>
    <col min="97" max="97" width="12" style="3510" hidden="1" customWidth="1"/>
    <col min="98" max="98" width="13.25" style="3508" hidden="1" customWidth="1"/>
    <col min="99" max="99" width="12" style="3509" hidden="1" customWidth="1"/>
    <col min="100" max="100" width="13.25" style="3510" hidden="1" customWidth="1"/>
    <col min="101" max="101" width="10" style="3508" hidden="1" customWidth="1"/>
    <col min="102" max="102" width="80" style="3508" hidden="1" customWidth="1"/>
    <col min="103" max="103" width="24.5" style="3508" customWidth="1"/>
    <col min="104" max="104" width="16.125" style="3509" customWidth="1"/>
    <col min="105" max="105" width="16.125" style="3510" customWidth="1"/>
    <col min="106" max="106" width="16.125" style="3508" customWidth="1"/>
    <col min="107" max="107" width="16.125" style="3509" customWidth="1"/>
    <col min="108" max="108" width="16.125" style="3510" customWidth="1"/>
    <col min="109" max="109" width="16.125" style="3508" customWidth="1"/>
    <col min="110" max="110" width="37" style="3508" customWidth="1"/>
    <col min="111" max="111" width="19.875" style="3508" hidden="1" customWidth="1"/>
    <col min="112" max="112" width="14.875" style="3509" hidden="1" customWidth="1"/>
    <col min="113" max="113" width="14.875" style="3510" hidden="1" customWidth="1"/>
    <col min="114" max="114" width="14.875" style="3508" hidden="1" customWidth="1"/>
    <col min="115" max="115" width="14.875" style="3509" hidden="1" customWidth="1"/>
    <col min="116" max="116" width="14.875" style="3510" hidden="1" customWidth="1"/>
    <col min="117" max="117" width="14.875" style="3508" hidden="1" customWidth="1"/>
    <col min="118" max="118" width="14.875" style="3513" hidden="1" customWidth="1"/>
    <col min="119" max="119" width="20" style="3508" hidden="1" customWidth="1"/>
    <col min="120" max="120" width="14.875" style="3509" hidden="1" customWidth="1"/>
    <col min="121" max="121" width="14.875" style="3510" hidden="1" customWidth="1"/>
    <col min="122" max="122" width="14.875" style="3508" hidden="1" customWidth="1"/>
    <col min="123" max="123" width="14.875" style="3509" hidden="1" customWidth="1"/>
    <col min="124" max="124" width="14.875" style="3510" hidden="1" customWidth="1"/>
    <col min="125" max="125" width="14.875" style="3508" hidden="1" customWidth="1"/>
    <col min="126" max="126" width="14.875" style="3513" hidden="1" customWidth="1"/>
    <col min="127" max="127" width="20" style="3508" hidden="1" customWidth="1"/>
    <col min="128" max="128" width="14.875" style="3509" hidden="1" customWidth="1"/>
    <col min="129" max="129" width="14.875" style="3510" hidden="1" customWidth="1"/>
    <col min="130" max="130" width="14.875" style="3508" hidden="1" customWidth="1"/>
    <col min="131" max="131" width="14.875" style="3509" hidden="1" customWidth="1"/>
    <col min="132" max="132" width="14.875" style="3510" hidden="1" customWidth="1"/>
    <col min="133" max="133" width="14.875" style="3508" hidden="1" customWidth="1"/>
    <col min="134" max="134" width="14.875" style="3513" hidden="1" customWidth="1"/>
    <col min="135" max="135" width="7.625" style="3507" customWidth="1"/>
    <col min="136" max="136" width="18.625" style="3508" customWidth="1"/>
    <col min="137" max="137" width="18.375" style="3508" customWidth="1"/>
    <col min="138" max="139" width="17.375" style="3508" customWidth="1"/>
    <col min="140" max="141" width="17.25" style="3508" customWidth="1"/>
    <col min="142" max="142" width="14.5" style="3508" hidden="1" customWidth="1"/>
    <col min="143" max="143" width="17.5" style="3508" customWidth="1"/>
    <col min="144" max="146" width="17.25" style="3508" customWidth="1"/>
    <col min="147" max="148" width="14.875" style="3508" customWidth="1"/>
    <col min="149" max="149" width="11.875" style="3508" customWidth="1"/>
    <col min="150" max="150" width="13.75" style="3509" hidden="1" customWidth="1"/>
    <col min="151" max="151" width="15.125" style="3510" hidden="1" customWidth="1"/>
    <col min="152" max="152" width="13.75" style="3510" hidden="1" customWidth="1"/>
    <col min="153" max="153" width="11.375" style="3511" hidden="1" customWidth="1"/>
    <col min="154" max="154" width="15.5" style="3509" hidden="1" customWidth="1"/>
    <col min="155" max="156" width="15.5" style="3510" hidden="1" customWidth="1"/>
    <col min="157" max="157" width="10" style="3511" hidden="1" customWidth="1"/>
    <col min="158" max="158" width="13.75" style="3509" hidden="1" customWidth="1"/>
    <col min="159" max="160" width="13.75" style="3510" hidden="1" customWidth="1"/>
    <col min="161" max="161" width="10" style="3511" hidden="1" customWidth="1"/>
    <col min="162" max="162" width="15.875" style="3509" hidden="1" customWidth="1"/>
    <col min="163" max="163" width="13.75" style="3510" hidden="1" customWidth="1"/>
    <col min="164" max="164" width="15.5" style="3510" hidden="1" customWidth="1"/>
    <col min="165" max="165" width="10" style="3511" hidden="1" customWidth="1"/>
    <col min="166" max="166" width="13.75" style="3509" hidden="1" customWidth="1"/>
    <col min="167" max="168" width="13.75" style="3510" hidden="1" customWidth="1"/>
    <col min="169" max="169" width="10.375" style="3511" hidden="1" customWidth="1"/>
    <col min="170" max="170" width="15.5" style="3509" hidden="1" customWidth="1"/>
    <col min="171" max="172" width="15.5" style="3510" hidden="1" customWidth="1"/>
    <col min="173" max="173" width="10" style="3511" hidden="1" customWidth="1"/>
    <col min="174" max="174" width="17" style="3509" hidden="1" customWidth="1"/>
    <col min="175" max="176" width="17" style="3510" hidden="1" customWidth="1"/>
    <col min="177" max="177" width="11" style="3511" hidden="1" customWidth="1"/>
    <col min="178" max="178" width="17" style="3509" hidden="1" customWidth="1"/>
    <col min="179" max="180" width="17" style="3510" hidden="1" customWidth="1"/>
    <col min="181" max="181" width="16.375" style="3511" hidden="1" customWidth="1"/>
    <col min="182" max="182" width="16.875" style="3509" hidden="1" customWidth="1"/>
    <col min="183" max="183" width="25.75" style="3510" hidden="1" customWidth="1"/>
    <col min="184" max="184" width="13.75" style="3510" hidden="1" customWidth="1"/>
    <col min="185" max="185" width="11" style="3511" hidden="1" customWidth="1"/>
    <col min="186" max="186" width="15.5" style="3509" hidden="1" customWidth="1"/>
    <col min="187" max="188" width="15.5" style="3510" hidden="1" customWidth="1"/>
    <col min="189" max="189" width="11" style="3511" hidden="1" customWidth="1"/>
    <col min="190" max="190" width="16.375" style="3509" hidden="1" customWidth="1"/>
    <col min="191" max="192" width="16.375" style="3510" hidden="1" customWidth="1"/>
    <col min="193" max="193" width="16.375" style="3511" hidden="1" customWidth="1"/>
    <col min="194" max="194" width="16.375" style="3509" hidden="1" customWidth="1"/>
    <col min="195" max="196" width="16.375" style="3510" hidden="1" customWidth="1"/>
    <col min="197" max="197" width="16.375" style="3511" hidden="1" customWidth="1"/>
    <col min="198" max="198" width="16.375" style="3509" hidden="1" customWidth="1"/>
    <col min="199" max="200" width="16.375" style="3510" hidden="1" customWidth="1"/>
    <col min="201" max="201" width="16.375" style="3511" hidden="1" customWidth="1"/>
    <col min="202" max="202" width="15.5" style="3509" hidden="1" customWidth="1"/>
    <col min="203" max="204" width="15.5" style="3510" hidden="1" customWidth="1"/>
    <col min="205" max="205" width="11" style="3511" hidden="1" customWidth="1"/>
    <col min="206" max="206" width="14.625" style="3509" hidden="1" customWidth="1"/>
    <col min="207" max="208" width="14.625" style="3510" hidden="1" customWidth="1"/>
    <col min="209" max="209" width="14.625" style="3511" hidden="1" customWidth="1"/>
    <col min="210" max="210" width="14.625" style="3509" hidden="1" customWidth="1"/>
    <col min="211" max="212" width="14.625" style="3510" hidden="1" customWidth="1"/>
    <col min="213" max="213" width="14.625" style="3511" hidden="1" customWidth="1"/>
    <col min="214" max="214" width="15.875" style="3509" customWidth="1"/>
    <col min="215" max="216" width="15.875" style="3510" customWidth="1"/>
    <col min="217" max="217" width="15.875" style="3511" customWidth="1"/>
    <col min="218" max="218" width="15.875" style="3509" customWidth="1"/>
    <col min="219" max="220" width="15.875" style="3510" customWidth="1"/>
    <col min="221" max="221" width="15.875" style="3511" customWidth="1"/>
    <col min="222" max="222" width="16.375" style="3509" customWidth="1"/>
    <col min="223" max="224" width="16.375" style="3510" customWidth="1"/>
    <col min="225" max="225" width="16.375" style="3511" customWidth="1"/>
    <col min="226" max="226" width="16.375" style="3509" customWidth="1"/>
    <col min="227" max="228" width="16.375" style="3510" customWidth="1"/>
    <col min="229" max="229" width="16.375" style="3511" customWidth="1"/>
    <col min="230" max="230" width="16.375" style="3509" customWidth="1"/>
    <col min="231" max="232" width="16.375" style="3510" customWidth="1"/>
    <col min="233" max="233" width="16.375" style="3511" customWidth="1"/>
    <col min="234" max="234" width="16.375" style="3509" customWidth="1"/>
    <col min="235" max="236" width="16.375" style="3510" customWidth="1"/>
    <col min="237" max="237" width="16.375" style="3511" customWidth="1"/>
    <col min="238" max="238" width="16.375" style="3509" customWidth="1"/>
    <col min="239" max="240" width="16.375" style="3510" customWidth="1"/>
    <col min="241" max="241" width="16.375" style="3511" customWidth="1"/>
    <col min="242" max="242" width="16.375" style="3509" customWidth="1"/>
    <col min="243" max="244" width="16.375" style="3510" customWidth="1"/>
    <col min="245" max="245" width="16.375" style="3511" customWidth="1"/>
    <col min="246" max="246" width="19" style="3517" customWidth="1"/>
    <col min="247" max="247" width="16" style="3516" customWidth="1"/>
    <col min="248" max="248" width="15.5" style="3516" customWidth="1"/>
    <col min="249" max="249" width="15.25" style="3507" customWidth="1"/>
    <col min="250" max="250" width="12.875" style="3515" customWidth="1"/>
    <col min="251" max="257" width="13.25" style="3515" customWidth="1"/>
    <col min="258" max="262" width="15.5" style="3515" customWidth="1"/>
    <col min="263" max="263" width="12.625" style="3515" customWidth="1"/>
    <col min="264" max="270" width="13.875" style="3515" customWidth="1"/>
    <col min="271" max="275" width="15.5" style="3515" customWidth="1"/>
    <col min="276" max="276" width="16.5" style="3507" customWidth="1"/>
    <col min="277" max="278" width="17.375" style="3516" customWidth="1"/>
    <col min="279" max="282" width="15.875" style="3507" customWidth="1"/>
    <col min="283" max="283" width="9" style="3507" customWidth="1"/>
    <col min="284" max="285" width="15.25" style="3507" customWidth="1"/>
    <col min="286" max="286" width="14.5" style="3516" customWidth="1"/>
    <col min="287" max="290" width="13.25" style="3516" hidden="1" customWidth="1"/>
    <col min="291" max="291" width="14.375" style="3516" hidden="1" customWidth="1"/>
    <col min="292" max="292" width="11.25" style="3516" hidden="1" customWidth="1"/>
    <col min="293" max="293" width="12.25" style="3516" hidden="1" customWidth="1"/>
    <col min="294" max="299" width="10.75" style="3516" hidden="1" customWidth="1"/>
    <col min="300" max="300" width="10.25" style="3516" hidden="1" customWidth="1"/>
    <col min="301" max="301" width="12.25" style="3516" hidden="1" customWidth="1"/>
    <col min="302" max="304" width="10.75" style="3516" hidden="1" customWidth="1"/>
    <col min="305" max="305" width="17.625" style="3516" hidden="1" customWidth="1"/>
    <col min="306" max="306" width="17.375" style="3516" hidden="1" customWidth="1"/>
    <col min="307" max="319" width="12.625" style="3516" hidden="1" customWidth="1"/>
    <col min="320" max="320" width="23.5" style="3516" hidden="1" customWidth="1"/>
    <col min="321" max="321" width="9" style="3507" hidden="1" customWidth="1"/>
    <col min="322" max="322" width="13.125" style="3507" hidden="1" customWidth="1"/>
    <col min="323" max="323" width="12.875" style="3507" hidden="1" customWidth="1"/>
    <col min="324" max="324" width="18.25" style="3507" hidden="1" customWidth="1"/>
    <col min="325" max="325" width="20.5" style="3507" hidden="1" customWidth="1"/>
    <col min="326" max="16382" width="9" style="3507" hidden="1" customWidth="1"/>
    <col min="16383" max="16384" width="9" style="3507"/>
  </cols>
  <sheetData>
    <row r="1" spans="1:324" ht="36" customHeight="1">
      <c r="A1" s="3942" t="s">
        <v>3524</v>
      </c>
      <c r="B1" s="3942"/>
      <c r="C1" s="3942"/>
      <c r="D1" s="3942"/>
      <c r="E1" s="3942"/>
      <c r="F1" s="3942"/>
      <c r="G1" s="3942"/>
      <c r="H1" s="3942"/>
      <c r="I1" s="3942"/>
      <c r="J1" s="3942"/>
      <c r="BD1" s="3511"/>
      <c r="BE1" s="3511"/>
      <c r="EV1" s="3511"/>
      <c r="GC1" s="3514"/>
      <c r="GD1" s="3514"/>
      <c r="GE1" s="3514"/>
      <c r="IF1" s="3515"/>
      <c r="IG1" s="3516"/>
      <c r="IH1" s="3507"/>
      <c r="KA1" s="3507" t="s">
        <v>3525</v>
      </c>
      <c r="KB1" s="3507" t="s">
        <v>3526</v>
      </c>
      <c r="KC1" s="3507" t="s">
        <v>3527</v>
      </c>
      <c r="KD1" s="3507"/>
      <c r="KF1" s="3518" t="s">
        <v>3525</v>
      </c>
      <c r="KG1" s="3518" t="s">
        <v>3526</v>
      </c>
      <c r="KH1" s="3518" t="s">
        <v>3527</v>
      </c>
      <c r="KI1" s="3518"/>
      <c r="KJ1" s="3518"/>
      <c r="KK1" s="3518"/>
      <c r="KL1" s="3518"/>
      <c r="KM1" s="3518"/>
      <c r="KN1" s="3518"/>
      <c r="KO1" s="3518"/>
      <c r="KP1" s="3518"/>
    </row>
    <row r="2" spans="1:324" ht="18" customHeight="1">
      <c r="A2" s="3943" t="s">
        <v>3528</v>
      </c>
      <c r="B2" s="3943" t="s">
        <v>3529</v>
      </c>
      <c r="C2" s="3943" t="s">
        <v>3530</v>
      </c>
      <c r="D2" s="3945" t="s">
        <v>3531</v>
      </c>
      <c r="E2" s="3943" t="s">
        <v>3532</v>
      </c>
      <c r="F2" s="3943" t="s">
        <v>3533</v>
      </c>
      <c r="G2" s="3947" t="s">
        <v>3534</v>
      </c>
      <c r="H2" s="3943" t="s">
        <v>3535</v>
      </c>
      <c r="I2" s="3943" t="s">
        <v>3536</v>
      </c>
      <c r="J2" s="3943" t="s">
        <v>3537</v>
      </c>
      <c r="K2" s="3943" t="s">
        <v>3538</v>
      </c>
      <c r="L2" s="3943" t="s">
        <v>3539</v>
      </c>
      <c r="M2" s="3940" t="s">
        <v>3540</v>
      </c>
      <c r="N2" s="3940" t="s">
        <v>3541</v>
      </c>
      <c r="O2" s="3940" t="s">
        <v>3542</v>
      </c>
      <c r="P2" s="3948" t="s">
        <v>3543</v>
      </c>
      <c r="Q2" s="3950" t="s">
        <v>3544</v>
      </c>
      <c r="R2" s="3950" t="s">
        <v>3545</v>
      </c>
      <c r="S2" s="3952" t="s">
        <v>3546</v>
      </c>
      <c r="T2" s="3952" t="s">
        <v>3547</v>
      </c>
      <c r="U2" s="3952" t="s">
        <v>3548</v>
      </c>
      <c r="V2" s="3952" t="s">
        <v>3549</v>
      </c>
      <c r="W2" s="3950" t="s">
        <v>3550</v>
      </c>
      <c r="X2" s="3950" t="s">
        <v>3551</v>
      </c>
      <c r="Y2" s="3950" t="s">
        <v>3552</v>
      </c>
      <c r="Z2" s="3950" t="s">
        <v>3553</v>
      </c>
      <c r="AA2" s="3943" t="s">
        <v>3554</v>
      </c>
      <c r="AB2" s="3943" t="s">
        <v>3555</v>
      </c>
      <c r="AC2" s="3519" t="s">
        <v>3556</v>
      </c>
      <c r="AD2" s="3520"/>
      <c r="AE2" s="3520"/>
      <c r="AF2" s="3520"/>
      <c r="AG2" s="3520"/>
      <c r="AH2" s="3520"/>
      <c r="AI2" s="3520"/>
      <c r="AJ2" s="3520"/>
      <c r="AK2" s="3520"/>
      <c r="AL2" s="3520"/>
      <c r="AM2" s="3954">
        <v>45292</v>
      </c>
      <c r="AN2" s="3955"/>
      <c r="AO2" s="3956"/>
      <c r="AP2" s="3955"/>
      <c r="AQ2" s="3955"/>
      <c r="AR2" s="3956"/>
      <c r="AS2" s="3955"/>
      <c r="AT2" s="3957"/>
      <c r="AU2" s="3958">
        <v>45323</v>
      </c>
      <c r="AV2" s="3959"/>
      <c r="AW2" s="3960"/>
      <c r="AX2" s="3959"/>
      <c r="AY2" s="3959"/>
      <c r="AZ2" s="3960"/>
      <c r="BA2" s="3959"/>
      <c r="BB2" s="3957"/>
      <c r="BC2" s="3954">
        <v>45352</v>
      </c>
      <c r="BD2" s="3955"/>
      <c r="BE2" s="3955"/>
      <c r="BF2" s="3955"/>
      <c r="BG2" s="3955"/>
      <c r="BH2" s="3956"/>
      <c r="BI2" s="3955"/>
      <c r="BJ2" s="3957"/>
      <c r="BK2" s="3958">
        <v>45383</v>
      </c>
      <c r="BL2" s="3959"/>
      <c r="BM2" s="3959"/>
      <c r="BN2" s="3959"/>
      <c r="BO2" s="3959"/>
      <c r="BP2" s="3959"/>
      <c r="BQ2" s="3959"/>
      <c r="BR2" s="3961"/>
      <c r="BS2" s="3954">
        <v>45413</v>
      </c>
      <c r="BT2" s="3955"/>
      <c r="BU2" s="3955"/>
      <c r="BV2" s="3955"/>
      <c r="BW2" s="3955"/>
      <c r="BX2" s="3956"/>
      <c r="BY2" s="3955"/>
      <c r="BZ2" s="3961"/>
      <c r="CA2" s="3958">
        <v>45444</v>
      </c>
      <c r="CB2" s="3959"/>
      <c r="CC2" s="3959"/>
      <c r="CD2" s="3959"/>
      <c r="CE2" s="3959"/>
      <c r="CF2" s="3959"/>
      <c r="CG2" s="3959"/>
      <c r="CH2" s="3961"/>
      <c r="CI2" s="3954">
        <v>45474</v>
      </c>
      <c r="CJ2" s="3955"/>
      <c r="CK2" s="3955"/>
      <c r="CL2" s="3955"/>
      <c r="CM2" s="3955"/>
      <c r="CN2" s="3956"/>
      <c r="CO2" s="3955"/>
      <c r="CP2" s="3961"/>
      <c r="CQ2" s="3958">
        <v>45505</v>
      </c>
      <c r="CR2" s="3959"/>
      <c r="CS2" s="3959"/>
      <c r="CT2" s="3959"/>
      <c r="CU2" s="3959"/>
      <c r="CV2" s="3959"/>
      <c r="CW2" s="3959"/>
      <c r="CX2" s="3961"/>
      <c r="CY2" s="3954">
        <v>45536</v>
      </c>
      <c r="CZ2" s="3955"/>
      <c r="DA2" s="3955"/>
      <c r="DB2" s="3955"/>
      <c r="DC2" s="3955"/>
      <c r="DD2" s="3956"/>
      <c r="DE2" s="3955"/>
      <c r="DF2" s="3961"/>
      <c r="DG2" s="3958">
        <v>45566</v>
      </c>
      <c r="DH2" s="3959"/>
      <c r="DI2" s="3959"/>
      <c r="DJ2" s="3959"/>
      <c r="DK2" s="3959"/>
      <c r="DL2" s="3959"/>
      <c r="DM2" s="3959"/>
      <c r="DN2" s="3961"/>
      <c r="DO2" s="3954">
        <v>45597</v>
      </c>
      <c r="DP2" s="3955"/>
      <c r="DQ2" s="3955"/>
      <c r="DR2" s="3955"/>
      <c r="DS2" s="3955"/>
      <c r="DT2" s="3956"/>
      <c r="DU2" s="3955"/>
      <c r="DV2" s="3957"/>
      <c r="DW2" s="3958">
        <v>45627</v>
      </c>
      <c r="DX2" s="3959"/>
      <c r="DY2" s="3959"/>
      <c r="DZ2" s="3959"/>
      <c r="EA2" s="3959"/>
      <c r="EB2" s="3959"/>
      <c r="EC2" s="3959"/>
      <c r="ED2" s="3957"/>
      <c r="EF2" s="3979" t="s">
        <v>3557</v>
      </c>
      <c r="EG2" s="3980"/>
      <c r="EH2" s="3980"/>
      <c r="EI2" s="3980"/>
      <c r="EJ2" s="3980"/>
      <c r="EK2" s="3980"/>
      <c r="EL2" s="3980"/>
      <c r="EM2" s="3980"/>
      <c r="EN2" s="3980"/>
      <c r="EO2" s="3980"/>
      <c r="EP2" s="3980"/>
      <c r="EQ2" s="3980"/>
      <c r="ER2" s="3980"/>
      <c r="ES2" s="3980"/>
      <c r="ET2" s="3969">
        <v>45292</v>
      </c>
      <c r="EU2" s="3970"/>
      <c r="EV2" s="3971"/>
      <c r="EW2" s="3970"/>
      <c r="EX2" s="3970"/>
      <c r="EY2" s="3970"/>
      <c r="EZ2" s="3971"/>
      <c r="FA2" s="3970"/>
      <c r="FB2" s="3972">
        <v>45323</v>
      </c>
      <c r="FC2" s="3973"/>
      <c r="FD2" s="3974"/>
      <c r="FE2" s="3973"/>
      <c r="FF2" s="3973"/>
      <c r="FG2" s="3973"/>
      <c r="FH2" s="3974"/>
      <c r="FI2" s="3973"/>
      <c r="FJ2" s="3969">
        <v>45352</v>
      </c>
      <c r="FK2" s="3970"/>
      <c r="FL2" s="3971"/>
      <c r="FM2" s="3970"/>
      <c r="FN2" s="3970"/>
      <c r="FO2" s="3970"/>
      <c r="FP2" s="3971"/>
      <c r="FQ2" s="3970"/>
      <c r="FR2" s="3972">
        <v>45383</v>
      </c>
      <c r="FS2" s="3973"/>
      <c r="FT2" s="3974"/>
      <c r="FU2" s="3973"/>
      <c r="FV2" s="3973"/>
      <c r="FW2" s="3973"/>
      <c r="FX2" s="3974"/>
      <c r="FY2" s="3973"/>
      <c r="FZ2" s="3954">
        <v>45413</v>
      </c>
      <c r="GA2" s="3963"/>
      <c r="GB2" s="3964"/>
      <c r="GC2" s="3963"/>
      <c r="GD2" s="3963"/>
      <c r="GE2" s="3963"/>
      <c r="GF2" s="3964"/>
      <c r="GG2" s="3965"/>
      <c r="GH2" s="3958">
        <v>45444</v>
      </c>
      <c r="GI2" s="3966"/>
      <c r="GJ2" s="3967"/>
      <c r="GK2" s="3966"/>
      <c r="GL2" s="3966"/>
      <c r="GM2" s="3966"/>
      <c r="GN2" s="3967"/>
      <c r="GO2" s="3968"/>
      <c r="GP2" s="3969">
        <v>45474</v>
      </c>
      <c r="GQ2" s="3970"/>
      <c r="GR2" s="3971"/>
      <c r="GS2" s="3970"/>
      <c r="GT2" s="3970"/>
      <c r="GU2" s="3970"/>
      <c r="GV2" s="3971"/>
      <c r="GW2" s="3970"/>
      <c r="GX2" s="3972">
        <v>45505</v>
      </c>
      <c r="GY2" s="3973"/>
      <c r="GZ2" s="3974"/>
      <c r="HA2" s="3973"/>
      <c r="HB2" s="3973"/>
      <c r="HC2" s="3973"/>
      <c r="HD2" s="3974"/>
      <c r="HE2" s="3973"/>
      <c r="HF2" s="3969">
        <v>45536</v>
      </c>
      <c r="HG2" s="3970"/>
      <c r="HH2" s="3971"/>
      <c r="HI2" s="3970"/>
      <c r="HJ2" s="3970"/>
      <c r="HK2" s="3970"/>
      <c r="HL2" s="3971"/>
      <c r="HM2" s="3970"/>
      <c r="HN2" s="3972">
        <v>45566</v>
      </c>
      <c r="HO2" s="3973"/>
      <c r="HP2" s="3974"/>
      <c r="HQ2" s="3973"/>
      <c r="HR2" s="3973"/>
      <c r="HS2" s="3973"/>
      <c r="HT2" s="3974"/>
      <c r="HU2" s="3973"/>
      <c r="HV2" s="3969">
        <v>45597</v>
      </c>
      <c r="HW2" s="3970"/>
      <c r="HX2" s="3971"/>
      <c r="HY2" s="3970"/>
      <c r="HZ2" s="3970"/>
      <c r="IA2" s="3970"/>
      <c r="IB2" s="3971"/>
      <c r="IC2" s="3970"/>
      <c r="ID2" s="3972">
        <v>45627</v>
      </c>
      <c r="IE2" s="3973"/>
      <c r="IF2" s="3974"/>
      <c r="IG2" s="3973"/>
      <c r="IH2" s="3973"/>
      <c r="II2" s="3973"/>
      <c r="IJ2" s="3974"/>
      <c r="IK2" s="3973"/>
      <c r="KA2" s="3977" t="s">
        <v>3558</v>
      </c>
      <c r="KB2" s="3977"/>
      <c r="KC2" s="3977"/>
      <c r="KD2" s="3977"/>
      <c r="KE2" s="3977"/>
      <c r="KF2" s="3978" t="s">
        <v>3559</v>
      </c>
      <c r="KG2" s="3978"/>
      <c r="KH2" s="3978"/>
      <c r="KI2" s="3978"/>
      <c r="KJ2" s="3978"/>
      <c r="KK2" s="3978"/>
      <c r="KL2" s="3978"/>
      <c r="KM2" s="3978"/>
      <c r="KN2" s="3978"/>
      <c r="KO2" s="3978"/>
      <c r="KP2" s="3978"/>
      <c r="KQ2" s="3978"/>
      <c r="KR2" s="3978"/>
      <c r="LK2" s="3962" t="s">
        <v>3560</v>
      </c>
      <c r="LL2" s="3962" t="s">
        <v>3561</v>
      </c>
    </row>
    <row r="3" spans="1:324" s="3530" customFormat="1" ht="18" customHeight="1">
      <c r="A3" s="3944"/>
      <c r="B3" s="3944"/>
      <c r="C3" s="3944"/>
      <c r="D3" s="3946"/>
      <c r="E3" s="3944"/>
      <c r="F3" s="3944"/>
      <c r="G3" s="3944"/>
      <c r="H3" s="3944"/>
      <c r="I3" s="3944"/>
      <c r="J3" s="3944"/>
      <c r="K3" s="3944"/>
      <c r="L3" s="3944"/>
      <c r="M3" s="3941"/>
      <c r="N3" s="3941"/>
      <c r="O3" s="3941"/>
      <c r="P3" s="3949"/>
      <c r="Q3" s="3951"/>
      <c r="R3" s="3951"/>
      <c r="S3" s="3953"/>
      <c r="T3" s="3953"/>
      <c r="U3" s="3953"/>
      <c r="V3" s="3953"/>
      <c r="W3" s="3951"/>
      <c r="X3" s="3951"/>
      <c r="Y3" s="3951"/>
      <c r="Z3" s="3951"/>
      <c r="AA3" s="3944"/>
      <c r="AB3" s="3944"/>
      <c r="AC3" s="3521" t="s">
        <v>3562</v>
      </c>
      <c r="AD3" s="3521" t="s">
        <v>3563</v>
      </c>
      <c r="AE3" s="3521" t="s">
        <v>3564</v>
      </c>
      <c r="AF3" s="3521" t="s">
        <v>3565</v>
      </c>
      <c r="AG3" s="3521" t="s">
        <v>3566</v>
      </c>
      <c r="AH3" s="3522" t="s">
        <v>3567</v>
      </c>
      <c r="AI3" s="3522" t="s">
        <v>3568</v>
      </c>
      <c r="AJ3" s="3522" t="s">
        <v>3569</v>
      </c>
      <c r="AK3" s="3522" t="s">
        <v>3565</v>
      </c>
      <c r="AL3" s="3522" t="s">
        <v>3566</v>
      </c>
      <c r="AM3" s="3523" t="s">
        <v>3570</v>
      </c>
      <c r="AN3" s="3524" t="s">
        <v>3571</v>
      </c>
      <c r="AO3" s="3525" t="s">
        <v>3572</v>
      </c>
      <c r="AP3" s="3526" t="s">
        <v>3573</v>
      </c>
      <c r="AQ3" s="3524" t="s">
        <v>3574</v>
      </c>
      <c r="AR3" s="3525" t="s">
        <v>3575</v>
      </c>
      <c r="AS3" s="3526" t="s">
        <v>3573</v>
      </c>
      <c r="AT3" s="3526" t="s">
        <v>3576</v>
      </c>
      <c r="AU3" s="3523" t="s">
        <v>3577</v>
      </c>
      <c r="AV3" s="3524" t="s">
        <v>3578</v>
      </c>
      <c r="AW3" s="3525" t="s">
        <v>3579</v>
      </c>
      <c r="AX3" s="3527" t="s">
        <v>3580</v>
      </c>
      <c r="AY3" s="3524" t="s">
        <v>3581</v>
      </c>
      <c r="AZ3" s="3525" t="s">
        <v>3582</v>
      </c>
      <c r="BA3" s="3527" t="s">
        <v>3580</v>
      </c>
      <c r="BB3" s="3526" t="s">
        <v>3576</v>
      </c>
      <c r="BC3" s="3523" t="s">
        <v>3583</v>
      </c>
      <c r="BD3" s="3524" t="s">
        <v>3584</v>
      </c>
      <c r="BE3" s="3528" t="s">
        <v>3585</v>
      </c>
      <c r="BF3" s="3526" t="s">
        <v>3573</v>
      </c>
      <c r="BG3" s="3524" t="s">
        <v>3586</v>
      </c>
      <c r="BH3" s="3529" t="s">
        <v>3587</v>
      </c>
      <c r="BI3" s="3526" t="s">
        <v>3573</v>
      </c>
      <c r="BJ3" s="3526" t="s">
        <v>3576</v>
      </c>
      <c r="BK3" s="3523" t="s">
        <v>3588</v>
      </c>
      <c r="BL3" s="3524" t="s">
        <v>3589</v>
      </c>
      <c r="BM3" s="3525" t="s">
        <v>3590</v>
      </c>
      <c r="BN3" s="3526" t="s">
        <v>3573</v>
      </c>
      <c r="BO3" s="3524" t="s">
        <v>3591</v>
      </c>
      <c r="BP3" s="3525" t="s">
        <v>3592</v>
      </c>
      <c r="BQ3" s="3526" t="s">
        <v>3573</v>
      </c>
      <c r="BR3" s="3526" t="s">
        <v>3576</v>
      </c>
      <c r="BS3" s="3523" t="s">
        <v>3593</v>
      </c>
      <c r="BT3" s="3524" t="s">
        <v>3594</v>
      </c>
      <c r="BU3" s="3525" t="s">
        <v>3595</v>
      </c>
      <c r="BV3" s="3526" t="s">
        <v>3573</v>
      </c>
      <c r="BW3" s="3524" t="s">
        <v>3596</v>
      </c>
      <c r="BX3" s="3525" t="s">
        <v>3597</v>
      </c>
      <c r="BY3" s="3526" t="s">
        <v>3573</v>
      </c>
      <c r="BZ3" s="3526" t="s">
        <v>3576</v>
      </c>
      <c r="CA3" s="3523" t="s">
        <v>3598</v>
      </c>
      <c r="CB3" s="3524" t="s">
        <v>3599</v>
      </c>
      <c r="CC3" s="3525" t="s">
        <v>3600</v>
      </c>
      <c r="CD3" s="3526" t="s">
        <v>3573</v>
      </c>
      <c r="CE3" s="3524" t="s">
        <v>3601</v>
      </c>
      <c r="CF3" s="3525" t="s">
        <v>3602</v>
      </c>
      <c r="CG3" s="3526" t="s">
        <v>3573</v>
      </c>
      <c r="CH3" s="3526" t="s">
        <v>3576</v>
      </c>
      <c r="CI3" s="3523" t="s">
        <v>3603</v>
      </c>
      <c r="CJ3" s="3524" t="s">
        <v>3604</v>
      </c>
      <c r="CK3" s="3525" t="s">
        <v>3605</v>
      </c>
      <c r="CL3" s="3526" t="s">
        <v>3573</v>
      </c>
      <c r="CM3" s="3524" t="s">
        <v>3606</v>
      </c>
      <c r="CN3" s="3525" t="s">
        <v>3607</v>
      </c>
      <c r="CO3" s="3526" t="s">
        <v>3573</v>
      </c>
      <c r="CP3" s="3526" t="s">
        <v>3576</v>
      </c>
      <c r="CQ3" s="3523" t="s">
        <v>3608</v>
      </c>
      <c r="CR3" s="3524" t="s">
        <v>3609</v>
      </c>
      <c r="CS3" s="3525" t="s">
        <v>3610</v>
      </c>
      <c r="CT3" s="3526" t="s">
        <v>3573</v>
      </c>
      <c r="CU3" s="3524" t="s">
        <v>3611</v>
      </c>
      <c r="CV3" s="3525" t="s">
        <v>3612</v>
      </c>
      <c r="CW3" s="3526" t="s">
        <v>3573</v>
      </c>
      <c r="CX3" s="3526" t="s">
        <v>3576</v>
      </c>
      <c r="CY3" s="3523" t="s">
        <v>3613</v>
      </c>
      <c r="CZ3" s="3524" t="s">
        <v>3614</v>
      </c>
      <c r="DA3" s="3525" t="s">
        <v>3615</v>
      </c>
      <c r="DB3" s="3526" t="s">
        <v>3573</v>
      </c>
      <c r="DC3" s="3524" t="s">
        <v>3616</v>
      </c>
      <c r="DD3" s="3525" t="s">
        <v>3617</v>
      </c>
      <c r="DE3" s="3526" t="s">
        <v>3573</v>
      </c>
      <c r="DF3" s="3526" t="s">
        <v>3576</v>
      </c>
      <c r="DG3" s="3523" t="s">
        <v>3618</v>
      </c>
      <c r="DH3" s="3524" t="s">
        <v>3619</v>
      </c>
      <c r="DI3" s="3525" t="s">
        <v>3620</v>
      </c>
      <c r="DJ3" s="3526" t="s">
        <v>3573</v>
      </c>
      <c r="DK3" s="3524" t="s">
        <v>3621</v>
      </c>
      <c r="DL3" s="3525" t="s">
        <v>3622</v>
      </c>
      <c r="DM3" s="3526" t="s">
        <v>3573</v>
      </c>
      <c r="DN3" s="3526" t="s">
        <v>3576</v>
      </c>
      <c r="DO3" s="3523" t="s">
        <v>3623</v>
      </c>
      <c r="DP3" s="3524" t="s">
        <v>3624</v>
      </c>
      <c r="DQ3" s="3525" t="s">
        <v>3625</v>
      </c>
      <c r="DR3" s="3526" t="s">
        <v>3573</v>
      </c>
      <c r="DS3" s="3524" t="s">
        <v>3626</v>
      </c>
      <c r="DT3" s="3525" t="s">
        <v>3627</v>
      </c>
      <c r="DU3" s="3526" t="s">
        <v>3573</v>
      </c>
      <c r="DV3" s="3526" t="s">
        <v>3576</v>
      </c>
      <c r="DW3" s="3523" t="s">
        <v>3628</v>
      </c>
      <c r="DX3" s="3524" t="s">
        <v>3629</v>
      </c>
      <c r="DY3" s="3525" t="s">
        <v>3630</v>
      </c>
      <c r="DZ3" s="3526" t="s">
        <v>3573</v>
      </c>
      <c r="EA3" s="3524" t="s">
        <v>3631</v>
      </c>
      <c r="EB3" s="3525" t="s">
        <v>3632</v>
      </c>
      <c r="EC3" s="3526" t="s">
        <v>3573</v>
      </c>
      <c r="ED3" s="3526" t="s">
        <v>3576</v>
      </c>
      <c r="EF3" s="3521" t="s">
        <v>3633</v>
      </c>
      <c r="EG3" s="3521" t="s">
        <v>3634</v>
      </c>
      <c r="EH3" s="3521" t="s">
        <v>3635</v>
      </c>
      <c r="EI3" s="3521" t="s">
        <v>3636</v>
      </c>
      <c r="EJ3" s="3521" t="s">
        <v>3637</v>
      </c>
      <c r="EK3" s="3521" t="s">
        <v>3638</v>
      </c>
      <c r="EL3" s="3521" t="s">
        <v>3566</v>
      </c>
      <c r="EM3" s="3522" t="s">
        <v>3639</v>
      </c>
      <c r="EN3" s="3522" t="s">
        <v>3640</v>
      </c>
      <c r="EO3" s="3522" t="s">
        <v>3641</v>
      </c>
      <c r="EP3" s="3522" t="s">
        <v>3642</v>
      </c>
      <c r="EQ3" s="3522" t="s">
        <v>3637</v>
      </c>
      <c r="ER3" s="3522" t="s">
        <v>3638</v>
      </c>
      <c r="ES3" s="3522" t="s">
        <v>3566</v>
      </c>
      <c r="ET3" s="3524" t="s">
        <v>3643</v>
      </c>
      <c r="EU3" s="3531" t="s">
        <v>3644</v>
      </c>
      <c r="EV3" s="3525" t="s">
        <v>3645</v>
      </c>
      <c r="EW3" s="3526" t="s">
        <v>3573</v>
      </c>
      <c r="EX3" s="3524" t="s">
        <v>3646</v>
      </c>
      <c r="EY3" s="3531" t="s">
        <v>3647</v>
      </c>
      <c r="EZ3" s="3525" t="s">
        <v>3648</v>
      </c>
      <c r="FA3" s="3526" t="s">
        <v>3573</v>
      </c>
      <c r="FB3" s="3524" t="s">
        <v>3649</v>
      </c>
      <c r="FC3" s="3531" t="s">
        <v>3650</v>
      </c>
      <c r="FD3" s="3525" t="s">
        <v>3651</v>
      </c>
      <c r="FE3" s="3526" t="s">
        <v>3573</v>
      </c>
      <c r="FF3" s="3524" t="s">
        <v>3652</v>
      </c>
      <c r="FG3" s="3531" t="s">
        <v>3653</v>
      </c>
      <c r="FH3" s="3525" t="s">
        <v>3654</v>
      </c>
      <c r="FI3" s="3526" t="s">
        <v>3573</v>
      </c>
      <c r="FJ3" s="3524" t="s">
        <v>3655</v>
      </c>
      <c r="FK3" s="3531" t="s">
        <v>3656</v>
      </c>
      <c r="FL3" s="3525" t="s">
        <v>3657</v>
      </c>
      <c r="FM3" s="3526" t="s">
        <v>3573</v>
      </c>
      <c r="FN3" s="3524" t="s">
        <v>3658</v>
      </c>
      <c r="FO3" s="3531" t="s">
        <v>3659</v>
      </c>
      <c r="FP3" s="3525" t="s">
        <v>3660</v>
      </c>
      <c r="FQ3" s="3526" t="s">
        <v>3573</v>
      </c>
      <c r="FR3" s="3524" t="s">
        <v>3661</v>
      </c>
      <c r="FS3" s="3531" t="s">
        <v>3662</v>
      </c>
      <c r="FT3" s="3525" t="s">
        <v>3663</v>
      </c>
      <c r="FU3" s="3526" t="s">
        <v>3573</v>
      </c>
      <c r="FV3" s="3524" t="s">
        <v>3664</v>
      </c>
      <c r="FW3" s="3531" t="s">
        <v>3665</v>
      </c>
      <c r="FX3" s="3525" t="s">
        <v>3666</v>
      </c>
      <c r="FY3" s="3526" t="s">
        <v>3573</v>
      </c>
      <c r="FZ3" s="3524" t="s">
        <v>3667</v>
      </c>
      <c r="GA3" s="3531" t="s">
        <v>3668</v>
      </c>
      <c r="GB3" s="3525" t="s">
        <v>3669</v>
      </c>
      <c r="GC3" s="3526" t="s">
        <v>3573</v>
      </c>
      <c r="GD3" s="3524" t="s">
        <v>3670</v>
      </c>
      <c r="GE3" s="3531" t="s">
        <v>3671</v>
      </c>
      <c r="GF3" s="3525" t="s">
        <v>3672</v>
      </c>
      <c r="GG3" s="3526" t="s">
        <v>3573</v>
      </c>
      <c r="GH3" s="3524" t="s">
        <v>3673</v>
      </c>
      <c r="GI3" s="3531" t="s">
        <v>3674</v>
      </c>
      <c r="GJ3" s="3525" t="s">
        <v>3675</v>
      </c>
      <c r="GK3" s="3526" t="s">
        <v>3573</v>
      </c>
      <c r="GL3" s="3524" t="s">
        <v>3676</v>
      </c>
      <c r="GM3" s="3531" t="s">
        <v>3677</v>
      </c>
      <c r="GN3" s="3525" t="s">
        <v>3678</v>
      </c>
      <c r="GO3" s="3526" t="s">
        <v>3573</v>
      </c>
      <c r="GP3" s="3524" t="s">
        <v>3679</v>
      </c>
      <c r="GQ3" s="3531" t="s">
        <v>3680</v>
      </c>
      <c r="GR3" s="3525" t="s">
        <v>3681</v>
      </c>
      <c r="GS3" s="3526" t="s">
        <v>3573</v>
      </c>
      <c r="GT3" s="3524" t="s">
        <v>3682</v>
      </c>
      <c r="GU3" s="3531" t="s">
        <v>3683</v>
      </c>
      <c r="GV3" s="3525" t="s">
        <v>3684</v>
      </c>
      <c r="GW3" s="3526" t="s">
        <v>3573</v>
      </c>
      <c r="GX3" s="3524" t="s">
        <v>3685</v>
      </c>
      <c r="GY3" s="3531" t="s">
        <v>3686</v>
      </c>
      <c r="GZ3" s="3525" t="s">
        <v>3687</v>
      </c>
      <c r="HA3" s="3526" t="s">
        <v>3573</v>
      </c>
      <c r="HB3" s="3524" t="s">
        <v>3688</v>
      </c>
      <c r="HC3" s="3531" t="s">
        <v>3689</v>
      </c>
      <c r="HD3" s="3525" t="s">
        <v>3690</v>
      </c>
      <c r="HE3" s="3526" t="s">
        <v>3573</v>
      </c>
      <c r="HF3" s="3524" t="s">
        <v>3691</v>
      </c>
      <c r="HG3" s="3531" t="s">
        <v>3692</v>
      </c>
      <c r="HH3" s="3525" t="s">
        <v>3693</v>
      </c>
      <c r="HI3" s="3526" t="s">
        <v>3573</v>
      </c>
      <c r="HJ3" s="3524" t="s">
        <v>3694</v>
      </c>
      <c r="HK3" s="3531" t="s">
        <v>3695</v>
      </c>
      <c r="HL3" s="3525" t="s">
        <v>3696</v>
      </c>
      <c r="HM3" s="3526" t="s">
        <v>3573</v>
      </c>
      <c r="HN3" s="3524" t="s">
        <v>3697</v>
      </c>
      <c r="HO3" s="3531" t="s">
        <v>3698</v>
      </c>
      <c r="HP3" s="3525" t="s">
        <v>3699</v>
      </c>
      <c r="HQ3" s="3526" t="s">
        <v>3573</v>
      </c>
      <c r="HR3" s="3524" t="s">
        <v>3700</v>
      </c>
      <c r="HS3" s="3531" t="s">
        <v>3701</v>
      </c>
      <c r="HT3" s="3525" t="s">
        <v>3702</v>
      </c>
      <c r="HU3" s="3526" t="s">
        <v>3573</v>
      </c>
      <c r="HV3" s="3524" t="s">
        <v>3703</v>
      </c>
      <c r="HW3" s="3531" t="s">
        <v>3704</v>
      </c>
      <c r="HX3" s="3525" t="s">
        <v>3705</v>
      </c>
      <c r="HY3" s="3526" t="s">
        <v>3573</v>
      </c>
      <c r="HZ3" s="3524" t="s">
        <v>3706</v>
      </c>
      <c r="IA3" s="3531" t="s">
        <v>3707</v>
      </c>
      <c r="IB3" s="3525" t="s">
        <v>3708</v>
      </c>
      <c r="IC3" s="3526" t="s">
        <v>3573</v>
      </c>
      <c r="ID3" s="3524" t="s">
        <v>3709</v>
      </c>
      <c r="IE3" s="3531" t="s">
        <v>3710</v>
      </c>
      <c r="IF3" s="3525" t="s">
        <v>3711</v>
      </c>
      <c r="IG3" s="3526" t="s">
        <v>3573</v>
      </c>
      <c r="IH3" s="3524" t="s">
        <v>3712</v>
      </c>
      <c r="II3" s="3531" t="s">
        <v>3713</v>
      </c>
      <c r="IJ3" s="3525" t="s">
        <v>3714</v>
      </c>
      <c r="IK3" s="3526" t="s">
        <v>3573</v>
      </c>
      <c r="IL3" s="3532" t="s">
        <v>3715</v>
      </c>
      <c r="IM3" s="3532" t="s">
        <v>3716</v>
      </c>
      <c r="IN3" s="3532" t="s">
        <v>3717</v>
      </c>
      <c r="IO3" s="3533" t="s">
        <v>3718</v>
      </c>
      <c r="IP3" s="3534" t="s">
        <v>3719</v>
      </c>
      <c r="IQ3" s="3533" t="s">
        <v>3720</v>
      </c>
      <c r="IR3" s="3533" t="s">
        <v>3721</v>
      </c>
      <c r="IS3" s="3533" t="s">
        <v>3722</v>
      </c>
      <c r="IT3" s="3533" t="s">
        <v>3723</v>
      </c>
      <c r="IU3" s="3533" t="s">
        <v>3724</v>
      </c>
      <c r="IV3" s="3533" t="s">
        <v>3725</v>
      </c>
      <c r="IW3" s="3533" t="s">
        <v>3726</v>
      </c>
      <c r="IX3" s="3533" t="s">
        <v>3727</v>
      </c>
      <c r="IY3" s="3533" t="s">
        <v>3728</v>
      </c>
      <c r="IZ3" s="3533" t="s">
        <v>3729</v>
      </c>
      <c r="JA3" s="3533" t="s">
        <v>3730</v>
      </c>
      <c r="JB3" s="3533" t="s">
        <v>3731</v>
      </c>
      <c r="JC3" s="3535" t="s">
        <v>3732</v>
      </c>
      <c r="JD3" s="3533" t="s">
        <v>3733</v>
      </c>
      <c r="JE3" s="3533" t="s">
        <v>3734</v>
      </c>
      <c r="JF3" s="3533" t="s">
        <v>3735</v>
      </c>
      <c r="JG3" s="3533" t="s">
        <v>3736</v>
      </c>
      <c r="JH3" s="3533" t="s">
        <v>3737</v>
      </c>
      <c r="JI3" s="3533" t="s">
        <v>3738</v>
      </c>
      <c r="JJ3" s="3533" t="s">
        <v>3739</v>
      </c>
      <c r="JK3" s="3533" t="s">
        <v>3740</v>
      </c>
      <c r="JL3" s="3533" t="s">
        <v>3741</v>
      </c>
      <c r="JM3" s="3533" t="s">
        <v>3742</v>
      </c>
      <c r="JN3" s="3533" t="s">
        <v>3743</v>
      </c>
      <c r="JO3" s="3533" t="s">
        <v>3744</v>
      </c>
      <c r="JP3" s="3536" t="s">
        <v>3745</v>
      </c>
      <c r="JQ3" s="3533" t="s">
        <v>3746</v>
      </c>
      <c r="JR3" s="3533" t="s">
        <v>3747</v>
      </c>
      <c r="JS3" s="3537" t="s">
        <v>3748</v>
      </c>
      <c r="JT3" s="3537" t="s">
        <v>3749</v>
      </c>
      <c r="JU3" s="3538" t="s">
        <v>3750</v>
      </c>
      <c r="JV3" s="3538" t="s">
        <v>3751</v>
      </c>
      <c r="JX3" s="3537" t="s">
        <v>3752</v>
      </c>
      <c r="JY3" s="3537" t="s">
        <v>3753</v>
      </c>
      <c r="JZ3" s="3539"/>
      <c r="KA3" s="3538" t="s">
        <v>3754</v>
      </c>
      <c r="KB3" s="3538" t="s">
        <v>3755</v>
      </c>
      <c r="KC3" s="3538" t="s">
        <v>3756</v>
      </c>
      <c r="KD3" s="3538" t="s">
        <v>3757</v>
      </c>
      <c r="KE3" s="3538" t="s">
        <v>3758</v>
      </c>
      <c r="KF3" s="3540" t="s">
        <v>3759</v>
      </c>
      <c r="KG3" s="3541" t="s">
        <v>3760</v>
      </c>
      <c r="KH3" s="3540" t="s">
        <v>3761</v>
      </c>
      <c r="KI3" s="3541" t="s">
        <v>3762</v>
      </c>
      <c r="KJ3" s="3541" t="s">
        <v>3763</v>
      </c>
      <c r="KK3" s="3541" t="s">
        <v>3764</v>
      </c>
      <c r="KL3" s="3540" t="s">
        <v>3765</v>
      </c>
      <c r="KM3" s="3541" t="s">
        <v>3766</v>
      </c>
      <c r="KN3" s="3540" t="s">
        <v>3767</v>
      </c>
      <c r="KO3" s="3541" t="s">
        <v>3768</v>
      </c>
      <c r="KP3" s="3541" t="s">
        <v>3769</v>
      </c>
      <c r="KQ3" s="3541" t="s">
        <v>3757</v>
      </c>
      <c r="KR3" s="3541" t="s">
        <v>3770</v>
      </c>
      <c r="KS3" s="3542" t="s">
        <v>3771</v>
      </c>
      <c r="KT3" s="3543" t="s">
        <v>3772</v>
      </c>
      <c r="KU3" s="3544" t="s">
        <v>3773</v>
      </c>
      <c r="KV3" s="3544" t="s">
        <v>3774</v>
      </c>
      <c r="KW3" s="3544" t="s">
        <v>3775</v>
      </c>
      <c r="KX3" s="3544" t="s">
        <v>3776</v>
      </c>
      <c r="KY3" s="3544" t="s">
        <v>3777</v>
      </c>
      <c r="KZ3" s="3544" t="s">
        <v>3778</v>
      </c>
      <c r="LA3" s="3544" t="s">
        <v>3779</v>
      </c>
      <c r="LB3" s="3544" t="s">
        <v>3780</v>
      </c>
      <c r="LC3" s="3544" t="s">
        <v>3781</v>
      </c>
      <c r="LD3" s="3544" t="s">
        <v>3782</v>
      </c>
      <c r="LE3" s="3544" t="s">
        <v>3783</v>
      </c>
      <c r="LF3" s="3544" t="s">
        <v>3784</v>
      </c>
      <c r="LG3" s="3542" t="s">
        <v>3785</v>
      </c>
      <c r="LH3" s="3544" t="s">
        <v>3786</v>
      </c>
      <c r="LK3" s="3962"/>
      <c r="LL3" s="3962"/>
    </row>
    <row r="4" spans="1:324" s="3580" customFormat="1" ht="18" customHeight="1">
      <c r="A4" s="3545">
        <v>1</v>
      </c>
      <c r="B4" s="3546" t="s">
        <v>3787</v>
      </c>
      <c r="C4" s="3546" t="s">
        <v>3788</v>
      </c>
      <c r="D4" s="3547">
        <v>530</v>
      </c>
      <c r="E4" s="3548" t="s">
        <v>3789</v>
      </c>
      <c r="F4" s="3546" t="s">
        <v>3790</v>
      </c>
      <c r="G4" s="3549" t="s">
        <v>3791</v>
      </c>
      <c r="H4" s="3546" t="s">
        <v>3792</v>
      </c>
      <c r="I4" s="3550" t="s">
        <v>3793</v>
      </c>
      <c r="J4" s="3550" t="s">
        <v>3794</v>
      </c>
      <c r="K4" s="3545" t="s">
        <v>3795</v>
      </c>
      <c r="L4" s="3545"/>
      <c r="M4" s="3551"/>
      <c r="N4" s="3551"/>
      <c r="O4" s="3551">
        <f>N4-M4</f>
        <v>0</v>
      </c>
      <c r="P4" s="3547"/>
      <c r="Q4" s="3547"/>
      <c r="R4" s="3547">
        <f>Q4-P4</f>
        <v>0</v>
      </c>
      <c r="S4" s="3547">
        <f>U4/365/D4</f>
        <v>0</v>
      </c>
      <c r="T4" s="3552"/>
      <c r="U4" s="3553">
        <f>T4*12</f>
        <v>0</v>
      </c>
      <c r="V4" s="3547"/>
      <c r="W4" s="3547">
        <f>Y4/365/D4</f>
        <v>0</v>
      </c>
      <c r="X4" s="3547"/>
      <c r="Y4" s="3547">
        <f>X4*12</f>
        <v>0</v>
      </c>
      <c r="Z4" s="3554"/>
      <c r="AA4" s="3555"/>
      <c r="AB4" s="3547"/>
      <c r="AC4" s="3556">
        <f>SUM(AN4,AV4,BD4,BL4,BT4,CB4,CJ4,CR4,CZ4,DH4,DP4,DX4)</f>
        <v>0</v>
      </c>
      <c r="AD4" s="3556">
        <f>SUM(AN4,AV4,BD4,BL4,BT4,CB4,CJ4,CR4,CZ4)</f>
        <v>0</v>
      </c>
      <c r="AE4" s="3556">
        <f>SUM(AO4,AW4,BE4,BM4,BU4,CC4,CK4,CS4,DA4)</f>
        <v>0</v>
      </c>
      <c r="AF4" s="3556">
        <f>AE4-AD4</f>
        <v>0</v>
      </c>
      <c r="AG4" s="3556"/>
      <c r="AH4" s="3557">
        <f>SUM(AQ4,AY4,BG4,BO4,BW4,CE4,CM4,CU4,DC4,DK4,DS4,EA4)</f>
        <v>0</v>
      </c>
      <c r="AI4" s="3558">
        <f>SUM(AQ4,AY4,BG4,BO4,BW4,CE4,CM4,CU4,DC4)</f>
        <v>0</v>
      </c>
      <c r="AJ4" s="3558">
        <f>SUM(AR4,AZ4,BH4,BP4,BX4,CF4,CN4,CV4,DD4)</f>
        <v>0</v>
      </c>
      <c r="AK4" s="3557">
        <f>AJ4-AI4</f>
        <v>0</v>
      </c>
      <c r="AL4" s="3557"/>
      <c r="AM4" s="3547" t="s">
        <v>3796</v>
      </c>
      <c r="AN4" s="3559"/>
      <c r="AO4" s="3560"/>
      <c r="AP4" s="3561">
        <f>AO4-AN4</f>
        <v>0</v>
      </c>
      <c r="AQ4" s="3559"/>
      <c r="AR4" s="3562"/>
      <c r="AS4" s="3561">
        <f>AR4-AQ4</f>
        <v>0</v>
      </c>
      <c r="AT4" s="3563" t="s">
        <v>3797</v>
      </c>
      <c r="AU4" s="3547"/>
      <c r="AV4" s="3559"/>
      <c r="AW4" s="3560"/>
      <c r="AX4" s="3561">
        <f t="shared" ref="AX4:AX6" si="0">AW4-AV4</f>
        <v>0</v>
      </c>
      <c r="AY4" s="3559"/>
      <c r="AZ4" s="3562"/>
      <c r="BA4" s="3561">
        <f>AZ4-AY4</f>
        <v>0</v>
      </c>
      <c r="BB4" s="3563" t="s">
        <v>3797</v>
      </c>
      <c r="BC4" s="3547"/>
      <c r="BD4" s="3559"/>
      <c r="BE4" s="3560"/>
      <c r="BF4" s="3561">
        <f t="shared" ref="BF4:BF6" si="1">BE4-BD4</f>
        <v>0</v>
      </c>
      <c r="BG4" s="3559"/>
      <c r="BH4" s="3562"/>
      <c r="BI4" s="3561">
        <f>BH4-BG4</f>
        <v>0</v>
      </c>
      <c r="BJ4" s="3563" t="s">
        <v>3797</v>
      </c>
      <c r="BK4" s="3547"/>
      <c r="BL4" s="3559"/>
      <c r="BM4" s="3560"/>
      <c r="BN4" s="3561">
        <f t="shared" ref="BN4:BN6" si="2">BM4-BL4</f>
        <v>0</v>
      </c>
      <c r="BO4" s="3559"/>
      <c r="BP4" s="3562"/>
      <c r="BQ4" s="3561">
        <f>BP4-BO4</f>
        <v>0</v>
      </c>
      <c r="BR4" s="3563" t="s">
        <v>3797</v>
      </c>
      <c r="BS4" s="3547"/>
      <c r="BT4" s="3559"/>
      <c r="BU4" s="3560"/>
      <c r="BV4" s="3561">
        <f t="shared" ref="BV4:BV6" si="3">BU4-BT4</f>
        <v>0</v>
      </c>
      <c r="BW4" s="3559"/>
      <c r="BX4" s="3562"/>
      <c r="BY4" s="3561">
        <f>BX4-BW4</f>
        <v>0</v>
      </c>
      <c r="BZ4" s="3563" t="s">
        <v>3797</v>
      </c>
      <c r="CA4" s="3547"/>
      <c r="CB4" s="3559"/>
      <c r="CC4" s="3560"/>
      <c r="CD4" s="3561">
        <f t="shared" ref="CD4:CD6" si="4">CC4-CB4</f>
        <v>0</v>
      </c>
      <c r="CE4" s="3559"/>
      <c r="CF4" s="3562"/>
      <c r="CG4" s="3561">
        <f>CF4-CE4</f>
        <v>0</v>
      </c>
      <c r="CH4" s="3563" t="s">
        <v>3797</v>
      </c>
      <c r="CI4" s="3547"/>
      <c r="CJ4" s="3559"/>
      <c r="CK4" s="3560"/>
      <c r="CL4" s="3561">
        <f t="shared" ref="CL4:CL67" si="5">CK4-CJ4</f>
        <v>0</v>
      </c>
      <c r="CM4" s="3559"/>
      <c r="CN4" s="3562"/>
      <c r="CO4" s="3561">
        <f>CN4-CM4</f>
        <v>0</v>
      </c>
      <c r="CP4" s="3563" t="s">
        <v>3797</v>
      </c>
      <c r="CQ4" s="3547"/>
      <c r="CR4" s="3559"/>
      <c r="CS4" s="3560"/>
      <c r="CT4" s="3561">
        <f t="shared" ref="CT4:CT6" si="6">CS4-CR4</f>
        <v>0</v>
      </c>
      <c r="CU4" s="3559"/>
      <c r="CV4" s="3562"/>
      <c r="CW4" s="3561">
        <f>CV4-CU4</f>
        <v>0</v>
      </c>
      <c r="CX4" s="3563" t="s">
        <v>3797</v>
      </c>
      <c r="CY4" s="3547"/>
      <c r="CZ4" s="3559"/>
      <c r="DA4" s="3560"/>
      <c r="DB4" s="3561">
        <f t="shared" ref="DB4:DB6" si="7">DA4-CZ4</f>
        <v>0</v>
      </c>
      <c r="DC4" s="3559"/>
      <c r="DD4" s="3562"/>
      <c r="DE4" s="3561">
        <f>DD4-DC4</f>
        <v>0</v>
      </c>
      <c r="DF4" s="3563" t="s">
        <v>3797</v>
      </c>
      <c r="DG4" s="3547"/>
      <c r="DH4" s="3559"/>
      <c r="DI4" s="3560"/>
      <c r="DJ4" s="3561">
        <f t="shared" ref="DJ4:DJ6" si="8">DI4-DH4</f>
        <v>0</v>
      </c>
      <c r="DK4" s="3559"/>
      <c r="DL4" s="3562"/>
      <c r="DM4" s="3561">
        <f>DL4-DK4</f>
        <v>0</v>
      </c>
      <c r="DN4" s="3563"/>
      <c r="DO4" s="3547"/>
      <c r="DP4" s="3559"/>
      <c r="DQ4" s="3560"/>
      <c r="DR4" s="3561">
        <f t="shared" ref="DR4:DR6" si="9">DQ4-DP4</f>
        <v>0</v>
      </c>
      <c r="DS4" s="3559"/>
      <c r="DT4" s="3562"/>
      <c r="DU4" s="3561">
        <f>DT4-DS4</f>
        <v>0</v>
      </c>
      <c r="DV4" s="3563"/>
      <c r="DW4" s="3547"/>
      <c r="DX4" s="3559"/>
      <c r="DY4" s="3560"/>
      <c r="DZ4" s="3561">
        <f t="shared" ref="DZ4:DZ6" si="10">DY4-DX4</f>
        <v>0</v>
      </c>
      <c r="EA4" s="3559"/>
      <c r="EB4" s="3562"/>
      <c r="EC4" s="3561">
        <f>EB4-EA4</f>
        <v>0</v>
      </c>
      <c r="ED4" s="3563"/>
      <c r="EE4" s="3564"/>
      <c r="EF4" s="3565">
        <f>SUM(ET4,FB4,FJ4,FR4,FZ4,GH4,GP4,GX4,HF4,HN4,HV4,ID4)</f>
        <v>512181.90476190479</v>
      </c>
      <c r="EG4" s="3565">
        <f>SUM(ET4,FB4,FJ4,FR4,FZ4,GH4,GP4,GX4,HF4)</f>
        <v>320113.69047619047</v>
      </c>
      <c r="EH4" s="3565">
        <f>SUM(EU4,FC4,FK4,FS4,GA4,GI4,GQ4,GY4,HG4)</f>
        <v>0</v>
      </c>
      <c r="EI4" s="3565">
        <f>SUM(EV4,FD4,FL4,FT4,GB4,GJ4,GR4,GZ4,HH4)</f>
        <v>0</v>
      </c>
      <c r="EJ4" s="3565">
        <f>EI4-EG4</f>
        <v>-320113.69047619047</v>
      </c>
      <c r="EK4" s="3566">
        <f>EI4-EH4</f>
        <v>0</v>
      </c>
      <c r="EL4" s="3556"/>
      <c r="EM4" s="3567">
        <f>SUM(EX4,FF4,FN4,FV4,GD4,GL4,GT4,HB4,HJ4,HR4,HZ4,IH4)</f>
        <v>113606.25000000031</v>
      </c>
      <c r="EN4" s="3557">
        <f>SUM(EX4,FF4,FN4,FV4,GD4,GL4,GT4,HB4,HJ4)</f>
        <v>75737.500000000204</v>
      </c>
      <c r="EO4" s="3557">
        <f>SUM(EY4,FG4,FO4,FW4,GE4,GM4,GU4,HC4,HK4)</f>
        <v>0</v>
      </c>
      <c r="EP4" s="3557">
        <f>SUM(EZ4,FH4,FP4,FX4,GF4,GN4,GV4,HD4,HL4)</f>
        <v>0</v>
      </c>
      <c r="EQ4" s="3557">
        <f>EP4-EN4</f>
        <v>-75737.500000000204</v>
      </c>
      <c r="ER4" s="3557">
        <f>EP4-EO4</f>
        <v>0</v>
      </c>
      <c r="ES4" s="3557"/>
      <c r="ET4" s="3568"/>
      <c r="EU4" s="3569"/>
      <c r="EV4" s="3562"/>
      <c r="EW4" s="3547">
        <f>EV4-ET4</f>
        <v>0</v>
      </c>
      <c r="EX4" s="3568"/>
      <c r="EY4" s="3569"/>
      <c r="EZ4" s="3562"/>
      <c r="FA4" s="3547">
        <f>EZ4-EX4</f>
        <v>0</v>
      </c>
      <c r="FB4" s="3568"/>
      <c r="FC4" s="3569"/>
      <c r="FD4" s="3562"/>
      <c r="FE4" s="3547">
        <f>FD4-FB4</f>
        <v>0</v>
      </c>
      <c r="FF4" s="3568"/>
      <c r="FG4" s="3569"/>
      <c r="FH4" s="3562"/>
      <c r="FI4" s="3547">
        <f>FH4-FF4</f>
        <v>0</v>
      </c>
      <c r="FJ4" s="3568"/>
      <c r="FK4" s="3569"/>
      <c r="FL4" s="3562"/>
      <c r="FM4" s="3547">
        <f>FL4-FJ4</f>
        <v>0</v>
      </c>
      <c r="FN4" s="3568"/>
      <c r="FO4" s="3569"/>
      <c r="FP4" s="3562"/>
      <c r="FQ4" s="3547">
        <f>FP4-FN4</f>
        <v>0</v>
      </c>
      <c r="FR4" s="3568"/>
      <c r="FS4" s="3569"/>
      <c r="FT4" s="3562"/>
      <c r="FU4" s="3547">
        <f>FT4-FR4</f>
        <v>0</v>
      </c>
      <c r="FV4" s="3568">
        <v>12622.916666666701</v>
      </c>
      <c r="FW4" s="3569"/>
      <c r="FX4" s="3560"/>
      <c r="FY4" s="3547">
        <f>FX4-FV4</f>
        <v>-12622.916666666701</v>
      </c>
      <c r="FZ4" s="3568">
        <v>64022.738095238099</v>
      </c>
      <c r="GA4" s="3569"/>
      <c r="GB4" s="3562"/>
      <c r="GC4" s="3547">
        <f>GB4-FZ4</f>
        <v>-64022.738095238099</v>
      </c>
      <c r="GD4" s="3568">
        <v>12622.916666666701</v>
      </c>
      <c r="GE4" s="3569"/>
      <c r="GF4" s="3560"/>
      <c r="GG4" s="3547">
        <f>GF4-GD4</f>
        <v>-12622.916666666701</v>
      </c>
      <c r="GH4" s="3568">
        <v>64022.738095238099</v>
      </c>
      <c r="GI4" s="3569"/>
      <c r="GJ4" s="3562"/>
      <c r="GK4" s="3547">
        <f>GJ4-GH4</f>
        <v>-64022.738095238099</v>
      </c>
      <c r="GL4" s="3568">
        <v>12622.916666666701</v>
      </c>
      <c r="GM4" s="3569"/>
      <c r="GN4" s="3560"/>
      <c r="GO4" s="3547">
        <f>GN4-GL4</f>
        <v>-12622.916666666701</v>
      </c>
      <c r="GP4" s="3568">
        <v>64022.738095238099</v>
      </c>
      <c r="GQ4" s="3569"/>
      <c r="GR4" s="3562"/>
      <c r="GS4" s="3547">
        <f>GR4-GP4</f>
        <v>-64022.738095238099</v>
      </c>
      <c r="GT4" s="3568">
        <v>12622.916666666701</v>
      </c>
      <c r="GU4" s="3569"/>
      <c r="GV4" s="3560"/>
      <c r="GW4" s="3547">
        <f>GV4-GT4</f>
        <v>-12622.916666666701</v>
      </c>
      <c r="GX4" s="3568">
        <v>64022.738095238099</v>
      </c>
      <c r="GY4" s="3569"/>
      <c r="GZ4" s="3562"/>
      <c r="HA4" s="3547">
        <f>GZ4-GX4</f>
        <v>-64022.738095238099</v>
      </c>
      <c r="HB4" s="3568">
        <v>12622.916666666701</v>
      </c>
      <c r="HC4" s="3569"/>
      <c r="HD4" s="3562"/>
      <c r="HE4" s="3547">
        <f>HD4-HB4</f>
        <v>-12622.916666666701</v>
      </c>
      <c r="HF4" s="3568">
        <v>64022.738095238099</v>
      </c>
      <c r="HG4" s="3569"/>
      <c r="HH4" s="3562"/>
      <c r="HI4" s="3547">
        <f>HH4-HF4</f>
        <v>-64022.738095238099</v>
      </c>
      <c r="HJ4" s="3568">
        <v>12622.916666666701</v>
      </c>
      <c r="HK4" s="3569"/>
      <c r="HL4" s="3562"/>
      <c r="HM4" s="3547">
        <f>HL4-HJ4</f>
        <v>-12622.916666666701</v>
      </c>
      <c r="HN4" s="3568">
        <v>64022.738095238099</v>
      </c>
      <c r="HO4" s="3569"/>
      <c r="HP4" s="3562"/>
      <c r="HQ4" s="3547">
        <f>HP4-HN4</f>
        <v>-64022.738095238099</v>
      </c>
      <c r="HR4" s="3568">
        <v>12622.916666666701</v>
      </c>
      <c r="HS4" s="3569"/>
      <c r="HT4" s="3562"/>
      <c r="HU4" s="3547">
        <f>HT4-HR4</f>
        <v>-12622.916666666701</v>
      </c>
      <c r="HV4" s="3568">
        <v>64022.738095238099</v>
      </c>
      <c r="HW4" s="3569"/>
      <c r="HX4" s="3562"/>
      <c r="HY4" s="3547">
        <f>HX4-HV4</f>
        <v>-64022.738095238099</v>
      </c>
      <c r="HZ4" s="3568">
        <v>12622.916666666701</v>
      </c>
      <c r="IA4" s="3569"/>
      <c r="IB4" s="3562"/>
      <c r="IC4" s="3547">
        <f>IB4-HZ4</f>
        <v>-12622.916666666701</v>
      </c>
      <c r="ID4" s="3568">
        <v>64022.738095238099</v>
      </c>
      <c r="IE4" s="3569"/>
      <c r="IF4" s="3562"/>
      <c r="IG4" s="3547">
        <f>IF4-ID4</f>
        <v>-64022.738095238099</v>
      </c>
      <c r="IH4" s="3568">
        <v>12622.916666666701</v>
      </c>
      <c r="II4" s="3569"/>
      <c r="IJ4" s="3562"/>
      <c r="IK4" s="3547">
        <f>IJ4-IH4</f>
        <v>-12622.916666666701</v>
      </c>
      <c r="IL4" s="3570"/>
      <c r="IM4" s="3569"/>
      <c r="IN4" s="3569"/>
      <c r="IO4" s="3571"/>
      <c r="IP4" s="3560">
        <f>SUM(IQ4:JB4)</f>
        <v>0</v>
      </c>
      <c r="IQ4" s="3568"/>
      <c r="IR4" s="3568"/>
      <c r="IS4" s="3568"/>
      <c r="IT4" s="3568"/>
      <c r="IU4" s="3568"/>
      <c r="IV4" s="3568"/>
      <c r="IW4" s="3568"/>
      <c r="IX4" s="3568"/>
      <c r="IY4" s="3568"/>
      <c r="IZ4" s="3560"/>
      <c r="JA4" s="3560"/>
      <c r="JB4" s="3560"/>
      <c r="JC4" s="3560">
        <f t="shared" ref="JC4:JC67" si="11">SUM(JD4:JO4)</f>
        <v>0</v>
      </c>
      <c r="JD4" s="3571"/>
      <c r="JE4" s="3568"/>
      <c r="JF4" s="3568"/>
      <c r="JG4" s="3568"/>
      <c r="JH4" s="3568"/>
      <c r="JI4" s="3568"/>
      <c r="JJ4" s="3568"/>
      <c r="JK4" s="3568"/>
      <c r="JL4" s="3568"/>
      <c r="JM4" s="3568"/>
      <c r="JN4" s="3560"/>
      <c r="JO4" s="3560"/>
      <c r="JP4" s="3570"/>
      <c r="JQ4" s="3572"/>
      <c r="JR4" s="3572"/>
      <c r="JS4" s="3573">
        <f>JQ4+(AN4+AV4+BD4+BL4+BT4+CB4+CJ4+CR4+CZ4+DH4+DP4+DX4)/1.05-(EU4+FC4+FK4+FS4+GA4+GI4+GQ4+GY4+HG4+HO4+HW4+IE4)-IM4</f>
        <v>0</v>
      </c>
      <c r="JT4" s="3573">
        <f>JR4+(AQ4+AY4+BG4+BO4+BW4+CE4+CM4+CU4+DC4+DK4+DS4+EA4)/1.06-(EY4+FG4+FO4+FW4+GE4+GM4+GU4+HC4+HK4+HS4+IA4+II4)-IN4</f>
        <v>0</v>
      </c>
      <c r="JU4" s="3574">
        <f>JQ4+AE4/1.05-EI4-JX4</f>
        <v>0</v>
      </c>
      <c r="JV4" s="3574">
        <f>JR4+AJ4/1.06-EP4-JY4</f>
        <v>0</v>
      </c>
      <c r="JW4" s="3575"/>
      <c r="JX4" s="3576">
        <f>HP4+HX4+IF4+IP4</f>
        <v>0</v>
      </c>
      <c r="JY4" s="3576">
        <f>HT4+IB4+IJ4+JC4</f>
        <v>0</v>
      </c>
      <c r="JZ4" s="3577"/>
      <c r="KA4" s="3573">
        <f t="shared" ref="KA4:KA24" si="12">HI4+HM4</f>
        <v>-76645.654761904792</v>
      </c>
      <c r="KB4" s="3573"/>
      <c r="KC4" s="3573"/>
      <c r="KD4" s="3573">
        <f>SUM(KA4:KC4)</f>
        <v>-76645.654761904792</v>
      </c>
      <c r="KE4" s="3578" t="s">
        <v>3765</v>
      </c>
      <c r="KF4" s="3579"/>
      <c r="KG4" s="3579"/>
      <c r="KH4" s="3579"/>
      <c r="KI4" s="3579"/>
      <c r="KJ4" s="3579"/>
      <c r="KK4" s="3579"/>
      <c r="KL4" s="3579">
        <f>-12622.92/10000-76645.65/10000*5</f>
        <v>-39.585116999999997</v>
      </c>
      <c r="KM4" s="3579"/>
      <c r="KN4" s="3579"/>
      <c r="KO4" s="3579"/>
      <c r="KP4" s="3579"/>
      <c r="KQ4" s="3579">
        <f>SUM(KF4:KP4)</f>
        <v>-39.585116999999997</v>
      </c>
      <c r="KR4" s="3579">
        <f>(EJ4+EQ4)/10000-KQ4</f>
        <v>-2.0476190698559549E-6</v>
      </c>
      <c r="KS4" s="3577"/>
      <c r="KT4" s="3577"/>
      <c r="KU4" s="3577"/>
      <c r="KV4" s="3577"/>
      <c r="KW4" s="3577"/>
      <c r="KX4" s="3577"/>
      <c r="KY4" s="3577"/>
      <c r="KZ4" s="3577"/>
      <c r="LA4" s="3577"/>
      <c r="LB4" s="3577"/>
      <c r="LC4" s="3577"/>
      <c r="LD4" s="3577"/>
      <c r="LE4" s="3577"/>
      <c r="LF4" s="3577"/>
      <c r="LG4" s="3577"/>
      <c r="LH4" s="3577"/>
      <c r="LJ4" s="3575"/>
      <c r="LK4" s="3571"/>
      <c r="LL4" s="3576"/>
    </row>
    <row r="5" spans="1:324" s="3580" customFormat="1" ht="18" customHeight="1">
      <c r="A5" s="3545">
        <v>2</v>
      </c>
      <c r="B5" s="3546" t="s">
        <v>3787</v>
      </c>
      <c r="C5" s="3546" t="s">
        <v>3798</v>
      </c>
      <c r="D5" s="3547">
        <f>1500</f>
        <v>1500</v>
      </c>
      <c r="E5" s="3548" t="s">
        <v>3799</v>
      </c>
      <c r="F5" s="3546" t="s">
        <v>3790</v>
      </c>
      <c r="G5" s="3549" t="s">
        <v>3800</v>
      </c>
      <c r="H5" s="3546" t="s">
        <v>3801</v>
      </c>
      <c r="I5" s="3550" t="s">
        <v>3802</v>
      </c>
      <c r="J5" s="3550" t="s">
        <v>3803</v>
      </c>
      <c r="K5" s="3545"/>
      <c r="L5" s="3545"/>
      <c r="M5" s="3551">
        <v>817143.75</v>
      </c>
      <c r="N5" s="3551">
        <v>817143.75</v>
      </c>
      <c r="O5" s="3551">
        <f t="shared" ref="O5:O68" si="13">N5-M5</f>
        <v>0</v>
      </c>
      <c r="P5" s="3547">
        <v>113606.25</v>
      </c>
      <c r="Q5" s="3547">
        <v>113606.25</v>
      </c>
      <c r="R5" s="3547">
        <f>Q5-P5</f>
        <v>0</v>
      </c>
      <c r="S5" s="3547">
        <f t="shared" ref="S5:S34" si="14">U5/365/D5</f>
        <v>4.17</v>
      </c>
      <c r="T5" s="3552">
        <v>190256.25</v>
      </c>
      <c r="U5" s="3553">
        <f t="shared" ref="U5:U68" si="15">T5*12</f>
        <v>2283075</v>
      </c>
      <c r="V5" s="3551">
        <f>T5*12</f>
        <v>2283075</v>
      </c>
      <c r="W5" s="3547">
        <f t="shared" ref="W5:W34" si="16">Y5/365/D5</f>
        <v>0.83</v>
      </c>
      <c r="X5" s="3581">
        <v>37868.75</v>
      </c>
      <c r="Y5" s="3547">
        <f t="shared" ref="Y5:Y68" si="17">X5*12</f>
        <v>454425</v>
      </c>
      <c r="Z5" s="3554"/>
      <c r="AA5" s="3555"/>
      <c r="AB5" s="3552" t="s">
        <v>3804</v>
      </c>
      <c r="AC5" s="3556">
        <f t="shared" ref="AC5:AC68" si="18">SUM(AN5,AV5,BD5,BL5,BT5,CB5,CJ5,CR5,CZ5,DH5,DP5,DX5)</f>
        <v>2283075</v>
      </c>
      <c r="AD5" s="3556">
        <f t="shared" ref="AD5:AE36" si="19">SUM(AN5,AV5,BD5,BL5,BT5,CB5,CJ5,CR5,CZ5)</f>
        <v>2283075</v>
      </c>
      <c r="AE5" s="3556">
        <f t="shared" si="19"/>
        <v>1712306.25</v>
      </c>
      <c r="AF5" s="3556">
        <f t="shared" ref="AF5:AF68" si="20">AE5-AD5</f>
        <v>-570768.75</v>
      </c>
      <c r="AG5" s="3556"/>
      <c r="AH5" s="3557">
        <f t="shared" ref="AH5:AH68" si="21">SUM(AQ5,AY5,BG5,BO5,BW5,CE5,CM5,CU5,DC5,DK5,DS5,EA5)</f>
        <v>454425</v>
      </c>
      <c r="AI5" s="3558">
        <f t="shared" ref="AI5:AJ36" si="22">SUM(AQ5,AY5,BG5,BO5,BW5,CE5,CM5,CU5,DC5)</f>
        <v>454425</v>
      </c>
      <c r="AJ5" s="3558">
        <f t="shared" si="22"/>
        <v>359493.75</v>
      </c>
      <c r="AK5" s="3557">
        <f>AJ5-AI5</f>
        <v>-94931.25</v>
      </c>
      <c r="AL5" s="3557" t="s">
        <v>3805</v>
      </c>
      <c r="AM5" s="3547" t="s">
        <v>3806</v>
      </c>
      <c r="AN5" s="3559">
        <v>570768.75</v>
      </c>
      <c r="AO5" s="3560">
        <f>570768.75</f>
        <v>570768.75</v>
      </c>
      <c r="AP5" s="3561">
        <f>AO5-AN5</f>
        <v>0</v>
      </c>
      <c r="AQ5" s="3559">
        <v>113606.25</v>
      </c>
      <c r="AR5" s="3562">
        <f>18675+113606.25</f>
        <v>132281.25</v>
      </c>
      <c r="AS5" s="3582">
        <f>AR5-AQ5</f>
        <v>18675</v>
      </c>
      <c r="AT5" s="3563" t="s">
        <v>3807</v>
      </c>
      <c r="AU5" s="3547"/>
      <c r="AV5" s="3559"/>
      <c r="AW5" s="3560"/>
      <c r="AX5" s="3561">
        <f t="shared" si="0"/>
        <v>0</v>
      </c>
      <c r="AY5" s="3559"/>
      <c r="AZ5" s="3562"/>
      <c r="BA5" s="3561">
        <f t="shared" ref="BA5:BA34" si="23">AZ5-AY5</f>
        <v>0</v>
      </c>
      <c r="BB5" s="3563" t="s">
        <v>3807</v>
      </c>
      <c r="BC5" s="3547" t="s">
        <v>3808</v>
      </c>
      <c r="BD5" s="3559">
        <v>570768.75</v>
      </c>
      <c r="BE5" s="3560">
        <f>90000+90000+90000+90000+90000+90000+30768.75</f>
        <v>570768.75</v>
      </c>
      <c r="BF5" s="3561">
        <f t="shared" si="1"/>
        <v>0</v>
      </c>
      <c r="BG5" s="3559">
        <v>113606.25</v>
      </c>
      <c r="BH5" s="3562">
        <f>90000+23606.25</f>
        <v>113606.25</v>
      </c>
      <c r="BI5" s="3561">
        <f>BH5-BG5</f>
        <v>0</v>
      </c>
      <c r="BJ5" s="3563" t="s">
        <v>3809</v>
      </c>
      <c r="BK5" s="3547"/>
      <c r="BL5" s="3559"/>
      <c r="BM5" s="3560"/>
      <c r="BN5" s="3561">
        <f t="shared" si="2"/>
        <v>0</v>
      </c>
      <c r="BO5" s="3559"/>
      <c r="BP5" s="3562"/>
      <c r="BQ5" s="3561">
        <f>BP5-BO5</f>
        <v>0</v>
      </c>
      <c r="BR5" s="3563" t="s">
        <v>3809</v>
      </c>
      <c r="BS5" s="3547"/>
      <c r="BT5" s="3559"/>
      <c r="BU5" s="3560"/>
      <c r="BV5" s="3561">
        <f t="shared" si="3"/>
        <v>0</v>
      </c>
      <c r="BW5" s="3559"/>
      <c r="BX5" s="3562"/>
      <c r="BY5" s="3561">
        <f>BX5-BW5</f>
        <v>0</v>
      </c>
      <c r="BZ5" s="3563" t="s">
        <v>3809</v>
      </c>
      <c r="CA5" s="3547" t="s">
        <v>3810</v>
      </c>
      <c r="CB5" s="3559">
        <v>570768.75</v>
      </c>
      <c r="CC5" s="3560"/>
      <c r="CD5" s="3561">
        <f t="shared" si="4"/>
        <v>-570768.75</v>
      </c>
      <c r="CE5" s="3559">
        <v>113606.25</v>
      </c>
      <c r="CF5" s="3562"/>
      <c r="CG5" s="3561">
        <f>CF5-CE5</f>
        <v>-113606.25</v>
      </c>
      <c r="CH5" s="3563" t="s">
        <v>3809</v>
      </c>
      <c r="CI5" s="3547"/>
      <c r="CJ5" s="3559"/>
      <c r="CK5" s="3560">
        <f>570768.75</f>
        <v>570768.75</v>
      </c>
      <c r="CL5" s="3561">
        <f t="shared" si="5"/>
        <v>570768.75</v>
      </c>
      <c r="CM5" s="3559"/>
      <c r="CN5" s="3583">
        <v>113606.25</v>
      </c>
      <c r="CO5" s="3561">
        <f>CN5-CM5</f>
        <v>113606.25</v>
      </c>
      <c r="CP5" s="3563" t="s">
        <v>3811</v>
      </c>
      <c r="CQ5" s="3547"/>
      <c r="CR5" s="3559"/>
      <c r="CS5" s="3560"/>
      <c r="CT5" s="3561">
        <f t="shared" si="6"/>
        <v>0</v>
      </c>
      <c r="CU5" s="3559"/>
      <c r="CV5" s="3562"/>
      <c r="CW5" s="3561">
        <f>CV5-CU5</f>
        <v>0</v>
      </c>
      <c r="CX5" s="3563" t="s">
        <v>3811</v>
      </c>
      <c r="CY5" s="3547" t="s">
        <v>3812</v>
      </c>
      <c r="CZ5" s="3559">
        <v>570768.75</v>
      </c>
      <c r="DA5" s="3560"/>
      <c r="DB5" s="3561">
        <f t="shared" si="7"/>
        <v>-570768.75</v>
      </c>
      <c r="DC5" s="3559">
        <v>113606.25</v>
      </c>
      <c r="DD5" s="3562"/>
      <c r="DE5" s="3561">
        <f>DD5-DC5</f>
        <v>-113606.25</v>
      </c>
      <c r="DF5" s="3563" t="s">
        <v>3811</v>
      </c>
      <c r="DG5" s="3547"/>
      <c r="DH5" s="3559"/>
      <c r="DI5" s="3560"/>
      <c r="DJ5" s="3561">
        <f t="shared" si="8"/>
        <v>0</v>
      </c>
      <c r="DK5" s="3559"/>
      <c r="DL5" s="3562"/>
      <c r="DM5" s="3561">
        <f>DL5-DK5</f>
        <v>0</v>
      </c>
      <c r="DN5" s="3563"/>
      <c r="DO5" s="3547"/>
      <c r="DP5" s="3559"/>
      <c r="DQ5" s="3560"/>
      <c r="DR5" s="3561">
        <f t="shared" si="9"/>
        <v>0</v>
      </c>
      <c r="DS5" s="3559"/>
      <c r="DT5" s="3562"/>
      <c r="DU5" s="3561">
        <f>DT5-DS5</f>
        <v>0</v>
      </c>
      <c r="DV5" s="3563"/>
      <c r="DW5" s="3547"/>
      <c r="DX5" s="3559"/>
      <c r="DY5" s="3560"/>
      <c r="DZ5" s="3561">
        <f t="shared" si="10"/>
        <v>0</v>
      </c>
      <c r="EA5" s="3559"/>
      <c r="EB5" s="3562"/>
      <c r="EC5" s="3561">
        <f>EB5-EA5</f>
        <v>0</v>
      </c>
      <c r="ED5" s="3563"/>
      <c r="EE5" s="3564"/>
      <c r="EF5" s="3565">
        <f>SUM(ET5,FB5,FJ5,FR5,FZ5,GH5,GP5,GX5,HF5,HN5,HV5,ID5)</f>
        <v>3149216.6666666684</v>
      </c>
      <c r="EG5" s="3565">
        <f t="shared" ref="EG5:EI36" si="24">SUM(ET5,FB5,FJ5,FR5,FZ5,GH5,GP5,GX5,HF5)</f>
        <v>2465633.333333334</v>
      </c>
      <c r="EH5" s="3565">
        <f t="shared" si="24"/>
        <v>1541410.7142857143</v>
      </c>
      <c r="EI5" s="3565">
        <f t="shared" si="24"/>
        <v>1541410.7142857143</v>
      </c>
      <c r="EJ5" s="3565">
        <f>EI5-EG5</f>
        <v>-924222.61904761964</v>
      </c>
      <c r="EK5" s="3566">
        <f>EI5-EH5</f>
        <v>0</v>
      </c>
      <c r="EL5" s="3556"/>
      <c r="EM5" s="3567">
        <f>SUM(EX5,FF5,FN5,FV5,GD5,GL5,GT5,HB5,HJ5,HR5,HZ5,IH5)</f>
        <v>428702.83018867928</v>
      </c>
      <c r="EN5" s="3557">
        <f t="shared" ref="EN5:EP36" si="25">SUM(EX5,FF5,FN5,FV5,GD5,GL5,GT5,HB5,HJ5)</f>
        <v>321527.1226415094</v>
      </c>
      <c r="EO5" s="3557">
        <f t="shared" si="25"/>
        <v>321527.12264150946</v>
      </c>
      <c r="EP5" s="3557">
        <f t="shared" si="25"/>
        <v>321527.12264150946</v>
      </c>
      <c r="EQ5" s="3557">
        <f>EP5-EN5</f>
        <v>0</v>
      </c>
      <c r="ER5" s="3557">
        <f>EP5-EO5</f>
        <v>0</v>
      </c>
      <c r="ES5" s="3557"/>
      <c r="ET5" s="3568">
        <v>272157.14285714203</v>
      </c>
      <c r="EU5" s="3569">
        <f>190256.25/1.05-190256.25/1.05*12/365*15</f>
        <v>91839.285714285696</v>
      </c>
      <c r="EV5" s="3562">
        <f>570768.75/3/1.05-570768.75/3/1.05*12/365*15</f>
        <v>91839.285714285696</v>
      </c>
      <c r="EW5" s="3547">
        <f t="shared" ref="EW5:EW34" si="26">EV5-ET5</f>
        <v>-180317.85714285634</v>
      </c>
      <c r="EX5" s="3568">
        <v>35725.235849056597</v>
      </c>
      <c r="EY5" s="3569">
        <f>37868.75/1.06*12/365*15+37868.75/1.06-37868.75/1.06*12/365*15</f>
        <v>35725.235849056604</v>
      </c>
      <c r="EZ5" s="3562">
        <f>18675/1.06+113606.25/1.06/3-113606.25/3/1.06*12/365*14</f>
        <v>36899.764150943396</v>
      </c>
      <c r="FA5" s="3547">
        <f t="shared" ref="FA5:FA34" si="27">EZ5-EX5</f>
        <v>1174.5283018867995</v>
      </c>
      <c r="FB5" s="3568">
        <v>274184.52380952402</v>
      </c>
      <c r="FC5" s="3569">
        <f>190256.25/1.05</f>
        <v>181196.42857142855</v>
      </c>
      <c r="FD5" s="3562">
        <f>570768.75/3/1.05</f>
        <v>181196.42857142855</v>
      </c>
      <c r="FE5" s="3547">
        <f>FD5-FB5</f>
        <v>-92988.09523809547</v>
      </c>
      <c r="FF5" s="3568">
        <v>35725.235849056597</v>
      </c>
      <c r="FG5" s="3569">
        <f>37868.75/1.06</f>
        <v>35725.235849056604</v>
      </c>
      <c r="FH5" s="3562">
        <f>113606.25/3/1.06</f>
        <v>35725.235849056604</v>
      </c>
      <c r="FI5" s="3547">
        <f>FH5-FF5</f>
        <v>0</v>
      </c>
      <c r="FJ5" s="3568">
        <v>274184.52380952402</v>
      </c>
      <c r="FK5" s="3569">
        <f>190256.25/1.05</f>
        <v>181196.42857142855</v>
      </c>
      <c r="FL5" s="3562">
        <f>570768.75/3/1.05</f>
        <v>181196.42857142855</v>
      </c>
      <c r="FM5" s="3547">
        <f>FL5-FJ5</f>
        <v>-92988.09523809547</v>
      </c>
      <c r="FN5" s="3568">
        <v>35725.235849056597</v>
      </c>
      <c r="FO5" s="3569">
        <f>37868.75/1.06</f>
        <v>35725.235849056604</v>
      </c>
      <c r="FP5" s="3562">
        <f>113606.25/3/1.06-113606.25/3/1.06*12/365*1</f>
        <v>34550.707547169812</v>
      </c>
      <c r="FQ5" s="3547">
        <f>FP5-FN5</f>
        <v>-1174.5283018867849</v>
      </c>
      <c r="FR5" s="3568">
        <v>274184.52380952402</v>
      </c>
      <c r="FS5" s="3569">
        <f>190256.25/1.05</f>
        <v>181196.42857142855</v>
      </c>
      <c r="FT5" s="3562">
        <f>570768.75/3/1.05*12/365*15+570768.75/3/1.05-570768.75/3/1.05*12/365*15</f>
        <v>181196.42857142858</v>
      </c>
      <c r="FU5" s="3547">
        <f>FT5-FR5</f>
        <v>-92988.09523809544</v>
      </c>
      <c r="FV5" s="3568">
        <v>35725.235849056597</v>
      </c>
      <c r="FW5" s="3569">
        <f>37868.75/1.06</f>
        <v>35725.235849056604</v>
      </c>
      <c r="FX5" s="3560">
        <f>113606.25/3/1.06*12/365*14+113606.25/3/1.06-113606.25/3/1.06*12/365*14</f>
        <v>35725.235849056604</v>
      </c>
      <c r="FY5" s="3547">
        <f>FX5-FV5</f>
        <v>0</v>
      </c>
      <c r="FZ5" s="3568">
        <v>274184.52380952402</v>
      </c>
      <c r="GA5" s="3569">
        <f>190256.25/1.05</f>
        <v>181196.42857142855</v>
      </c>
      <c r="GB5" s="3562">
        <f>570768.75/3/1.05</f>
        <v>181196.42857142855</v>
      </c>
      <c r="GC5" s="3547">
        <f>GB5-FZ5</f>
        <v>-92988.09523809547</v>
      </c>
      <c r="GD5" s="3568">
        <v>35725.235849056597</v>
      </c>
      <c r="GE5" s="3569">
        <f>37868.75/1.06</f>
        <v>35725.235849056604</v>
      </c>
      <c r="GF5" s="3560">
        <f>113606.25/3/1.06</f>
        <v>35725.235849056604</v>
      </c>
      <c r="GG5" s="3547">
        <f>GF5-GD5</f>
        <v>0</v>
      </c>
      <c r="GH5" s="3568">
        <v>274184.52380952402</v>
      </c>
      <c r="GI5" s="3569">
        <f>190256.25/1.05</f>
        <v>181196.42857142855</v>
      </c>
      <c r="GJ5" s="3562">
        <f>570768.75/3/1.05</f>
        <v>181196.42857142855</v>
      </c>
      <c r="GK5" s="3547">
        <f>GJ5-GH5</f>
        <v>-92988.09523809547</v>
      </c>
      <c r="GL5" s="3568">
        <v>35725.235849056597</v>
      </c>
      <c r="GM5" s="3569">
        <f>37868.75/1.06</f>
        <v>35725.235849056604</v>
      </c>
      <c r="GN5" s="3560">
        <f>113606.25/3/1.06</f>
        <v>35725.235849056604</v>
      </c>
      <c r="GO5" s="3547">
        <f>GN5-GL5</f>
        <v>0</v>
      </c>
      <c r="GP5" s="3568">
        <v>274184.52380952402</v>
      </c>
      <c r="GQ5" s="3569">
        <f>190256.25/1.05</f>
        <v>181196.42857142855</v>
      </c>
      <c r="GR5" s="3562">
        <f>570768.75/3/1.05*12/365*15+570768.75/3/1.05-570768.75/3/1.05*12/365*15</f>
        <v>181196.42857142858</v>
      </c>
      <c r="GS5" s="3547">
        <f>GR5-GP5</f>
        <v>-92988.09523809544</v>
      </c>
      <c r="GT5" s="3568">
        <v>35725.235849056597</v>
      </c>
      <c r="GU5" s="3569">
        <f>37868.75/1.06</f>
        <v>35725.235849056604</v>
      </c>
      <c r="GV5" s="3562">
        <f>113606.25/3/1.06*12/365*15+113606.25/3/1.06-113606.25/3/1.06*12/365*15</f>
        <v>35725.235849056604</v>
      </c>
      <c r="GW5" s="3547">
        <f>GV5-GT5</f>
        <v>0</v>
      </c>
      <c r="GX5" s="3568">
        <v>274184.52380952402</v>
      </c>
      <c r="GY5" s="3569">
        <f>190256.25/1.05</f>
        <v>181196.42857142855</v>
      </c>
      <c r="GZ5" s="3562">
        <f>570768.75/3/1.05</f>
        <v>181196.42857142855</v>
      </c>
      <c r="HA5" s="3547">
        <f>GZ5-GX5</f>
        <v>-92988.09523809547</v>
      </c>
      <c r="HB5" s="3568">
        <v>35725.235849056597</v>
      </c>
      <c r="HC5" s="3569">
        <f>37868.75/1.06</f>
        <v>35725.235849056604</v>
      </c>
      <c r="HD5" s="3562">
        <f>113606.25/3/1.06</f>
        <v>35725.235849056604</v>
      </c>
      <c r="HE5" s="3547">
        <f>HD5-HB5</f>
        <v>0</v>
      </c>
      <c r="HF5" s="3568">
        <v>274184.52380952402</v>
      </c>
      <c r="HG5" s="3569">
        <f>190256.25/1.05</f>
        <v>181196.42857142855</v>
      </c>
      <c r="HH5" s="3562">
        <f>570768.75/3/1.05</f>
        <v>181196.42857142855</v>
      </c>
      <c r="HI5" s="3547">
        <f>HH5-HF5</f>
        <v>-92988.09523809547</v>
      </c>
      <c r="HJ5" s="3568">
        <v>35725.235849056597</v>
      </c>
      <c r="HK5" s="3569">
        <f>37868.75/1.06</f>
        <v>35725.235849056604</v>
      </c>
      <c r="HL5" s="3562">
        <f>113606.25/3/1.06</f>
        <v>35725.235849056604</v>
      </c>
      <c r="HM5" s="3547">
        <f>HL5-HJ5</f>
        <v>0</v>
      </c>
      <c r="HN5" s="3568">
        <v>274184.52380952402</v>
      </c>
      <c r="HO5" s="3569">
        <f>190256.25/1.05</f>
        <v>181196.42857142855</v>
      </c>
      <c r="HP5" s="3562">
        <f>570768.75/3/1.05*12/365*15</f>
        <v>89357.142857142855</v>
      </c>
      <c r="HQ5" s="3547">
        <f>HP5-HN5</f>
        <v>-184827.38095238118</v>
      </c>
      <c r="HR5" s="3568">
        <v>35725.235849056597</v>
      </c>
      <c r="HS5" s="3569">
        <f>37868.75/1.06</f>
        <v>35725.235849056604</v>
      </c>
      <c r="HT5" s="3562">
        <f>113606.25/3/1.06*12/365*15</f>
        <v>17617.92452830189</v>
      </c>
      <c r="HU5" s="3547">
        <f>HT5-HR5</f>
        <v>-18107.311320754707</v>
      </c>
      <c r="HV5" s="3568">
        <v>274184.52380952402</v>
      </c>
      <c r="HW5" s="3569">
        <f>190256.25/1.05</f>
        <v>181196.42857142855</v>
      </c>
      <c r="HX5" s="3562"/>
      <c r="HY5" s="3547">
        <f>HX5-HV5</f>
        <v>-274184.52380952402</v>
      </c>
      <c r="HZ5" s="3568">
        <v>35725.235849056597</v>
      </c>
      <c r="IA5" s="3569">
        <f>37868.75/1.06</f>
        <v>35725.235849056604</v>
      </c>
      <c r="IB5" s="3562"/>
      <c r="IC5" s="3547">
        <f>IB5-HZ5</f>
        <v>-35725.235849056597</v>
      </c>
      <c r="ID5" s="3568">
        <v>135214.285714286</v>
      </c>
      <c r="IE5" s="3569">
        <f>190256.25/1.05</f>
        <v>181196.42857142855</v>
      </c>
      <c r="IF5" s="3562"/>
      <c r="IG5" s="3547">
        <f>IF5-ID5</f>
        <v>-135214.285714286</v>
      </c>
      <c r="IH5" s="3568">
        <v>35725.235849056597</v>
      </c>
      <c r="II5" s="3569">
        <f>37868.75/1.06</f>
        <v>35725.235849056604</v>
      </c>
      <c r="IJ5" s="3562"/>
      <c r="IK5" s="3547">
        <f>IJ5-IH5</f>
        <v>-35725.235849056597</v>
      </c>
      <c r="IL5" s="3547" t="s">
        <v>3813</v>
      </c>
      <c r="IM5" s="3569">
        <f>190256.25/1.05*12/365*15</f>
        <v>89357.142857142855</v>
      </c>
      <c r="IN5" s="3569">
        <f>37868.75/1.06*12/365*15</f>
        <v>17617.92452830189</v>
      </c>
      <c r="IO5" s="3571"/>
      <c r="IP5" s="3560">
        <f>SUM(IQ5:JB5)</f>
        <v>0</v>
      </c>
      <c r="IQ5" s="3568"/>
      <c r="IR5" s="3568"/>
      <c r="IS5" s="3568"/>
      <c r="IT5" s="3568"/>
      <c r="IU5" s="3568"/>
      <c r="IV5" s="3568"/>
      <c r="IW5" s="3568"/>
      <c r="IX5" s="3568"/>
      <c r="IY5" s="3568"/>
      <c r="IZ5" s="3560"/>
      <c r="JA5" s="3560"/>
      <c r="JB5" s="3560"/>
      <c r="JC5" s="3560">
        <f t="shared" si="11"/>
        <v>0</v>
      </c>
      <c r="JD5" s="3571"/>
      <c r="JE5" s="3568"/>
      <c r="JF5" s="3568"/>
      <c r="JG5" s="3568"/>
      <c r="JH5" s="3568"/>
      <c r="JI5" s="3568"/>
      <c r="JJ5" s="3568"/>
      <c r="JK5" s="3568"/>
      <c r="JL5" s="3568"/>
      <c r="JM5" s="3568"/>
      <c r="JN5" s="3560"/>
      <c r="JO5" s="3560"/>
      <c r="JP5" s="3584" t="s">
        <v>3814</v>
      </c>
      <c r="JQ5" s="3585">
        <f>(287893.75*12/365*16+287893.75*2)/1.05-(287893.75*12/365*16+287893.75*2)/1.05</f>
        <v>0</v>
      </c>
      <c r="JR5" s="3585">
        <f>37868.75/1.06*12/365*15-37868.75/1.06*12/365*15</f>
        <v>0</v>
      </c>
      <c r="JS5" s="3573">
        <f t="shared" ref="JS5:JS68" si="28">JQ5+(AN5+AV5+BD5+BL5+BT5+CB5+CJ5+CR5+CZ5+DH5+DP5+DX5)/1.05-(EU5+FC5+FK5+FS5+GA5+GI5+GQ5+GY5+HG5+HO5+HW5+IE5)-IM5</f>
        <v>-3.637978807091713E-10</v>
      </c>
      <c r="JT5" s="3586">
        <f>JR5+(AQ5+AY5+BG5+BO5+BW5+CE5+CM5+CU5+DC5+DK5+DS5+EA5)/1.06-(EY5+FG5+FO5+FW5+GE5+GM5+GU5+HC5+HK5+HS5+IA5+II5)-IN5+37868.75/1.06*12/365*15</f>
        <v>-1.1641532182693481E-10</v>
      </c>
      <c r="JU5" s="3574">
        <f t="shared" ref="JU5:JU68" si="29">JQ5+AE5/1.05-EI5-JX5</f>
        <v>-1.3096723705530167E-10</v>
      </c>
      <c r="JV5" s="3574">
        <f t="shared" ref="JV5:JV68" si="30">JR5+AJ5/1.06-EP5-JY5</f>
        <v>0</v>
      </c>
      <c r="JW5" s="3575"/>
      <c r="JX5" s="3576">
        <f t="shared" ref="JX5:JX68" si="31">HP5+HX5+IF5+IP5</f>
        <v>89357.142857142855</v>
      </c>
      <c r="JY5" s="3576">
        <f t="shared" ref="JY5:JY68" si="32">HT5+IB5+IJ5+JC5</f>
        <v>17617.92452830189</v>
      </c>
      <c r="JZ5" s="3577"/>
      <c r="KA5" s="3573">
        <f t="shared" si="12"/>
        <v>-92988.09523809547</v>
      </c>
      <c r="KB5" s="3573"/>
      <c r="KC5" s="3573"/>
      <c r="KD5" s="3573">
        <f t="shared" ref="KD5:KD68" si="33">SUM(KA5:KC5)</f>
        <v>-92988.09523809547</v>
      </c>
      <c r="KE5" s="3587" t="s">
        <v>3815</v>
      </c>
      <c r="KF5" s="3579"/>
      <c r="KG5" s="3579"/>
      <c r="KH5" s="3579"/>
      <c r="KI5" s="3579"/>
      <c r="KJ5" s="3579"/>
      <c r="KK5" s="3579"/>
      <c r="KL5" s="3579"/>
      <c r="KM5" s="3579">
        <f>-90960.71/10000-92988.1/10000*7-94162.62/10000</f>
        <v>-83.604003000000006</v>
      </c>
      <c r="KN5" s="3579">
        <f>-89357.14/10000</f>
        <v>-8.9357140000000008</v>
      </c>
      <c r="KO5" s="3579"/>
      <c r="KP5" s="3579">
        <f>1174.53/10000</f>
        <v>0.117453</v>
      </c>
      <c r="KQ5" s="3579">
        <f t="shared" ref="KQ5:KQ68" si="34">SUM(KF5:KP5)</f>
        <v>-92.422264000000013</v>
      </c>
      <c r="KR5" s="3579">
        <f>(EJ5+EQ5)/10000-KQ5</f>
        <v>2.0952380452854413E-6</v>
      </c>
      <c r="KS5" s="3577"/>
      <c r="KT5" s="3577"/>
      <c r="KU5" s="3577"/>
      <c r="KV5" s="3577"/>
      <c r="KW5" s="3577"/>
      <c r="KX5" s="3577"/>
      <c r="KY5" s="3577"/>
      <c r="KZ5" s="3577"/>
      <c r="LA5" s="3577"/>
      <c r="LB5" s="3577"/>
      <c r="LC5" s="3577"/>
      <c r="LD5" s="3577"/>
      <c r="LE5" s="3577"/>
      <c r="LF5" s="3577"/>
      <c r="LG5" s="3577"/>
      <c r="LH5" s="3577"/>
      <c r="LJ5" s="3575"/>
      <c r="LK5" s="3571"/>
      <c r="LL5" s="3576"/>
    </row>
    <row r="6" spans="1:324" s="3580" customFormat="1" ht="18" customHeight="1">
      <c r="A6" s="3545">
        <v>3</v>
      </c>
      <c r="B6" s="3546" t="s">
        <v>3787</v>
      </c>
      <c r="C6" s="3546" t="s">
        <v>3816</v>
      </c>
      <c r="D6" s="3547">
        <v>52.7</v>
      </c>
      <c r="E6" s="3548" t="s">
        <v>3799</v>
      </c>
      <c r="F6" s="3546" t="s">
        <v>3790</v>
      </c>
      <c r="G6" s="3546" t="s">
        <v>3817</v>
      </c>
      <c r="H6" s="3546" t="s">
        <v>3818</v>
      </c>
      <c r="I6" s="3550" t="s">
        <v>3819</v>
      </c>
      <c r="J6" s="3550" t="s">
        <v>3820</v>
      </c>
      <c r="K6" s="3545"/>
      <c r="L6" s="3545"/>
      <c r="M6" s="3551">
        <v>19408.62</v>
      </c>
      <c r="N6" s="3551">
        <v>19408.62</v>
      </c>
      <c r="O6" s="3551">
        <f t="shared" si="13"/>
        <v>0</v>
      </c>
      <c r="P6" s="3547">
        <v>3991.38</v>
      </c>
      <c r="Q6" s="3547">
        <v>3991.38</v>
      </c>
      <c r="R6" s="3547">
        <f>Q6-P6</f>
        <v>0</v>
      </c>
      <c r="S6" s="3547">
        <f t="shared" si="14"/>
        <v>3.6996667619765535</v>
      </c>
      <c r="T6" s="3552">
        <v>6469.54</v>
      </c>
      <c r="U6" s="3553">
        <f>T6*11</f>
        <v>71164.94</v>
      </c>
      <c r="V6" s="3547">
        <f>6684.34*12</f>
        <v>80212.08</v>
      </c>
      <c r="W6" s="3547">
        <f t="shared" si="16"/>
        <v>0.83000285929661299</v>
      </c>
      <c r="X6" s="3581">
        <v>1330.46</v>
      </c>
      <c r="Y6" s="3547">
        <f t="shared" si="17"/>
        <v>15965.52</v>
      </c>
      <c r="Z6" s="3554"/>
      <c r="AA6" s="3555"/>
      <c r="AB6" s="3588" t="s">
        <v>3821</v>
      </c>
      <c r="AC6" s="3556">
        <f t="shared" si="18"/>
        <v>66438.595616438353</v>
      </c>
      <c r="AD6" s="3556">
        <f t="shared" si="19"/>
        <v>53499.515616438359</v>
      </c>
      <c r="AE6" s="3556">
        <f t="shared" si="19"/>
        <v>53499.520000000004</v>
      </c>
      <c r="AF6" s="3556">
        <f t="shared" si="20"/>
        <v>4.3835616452270187E-3</v>
      </c>
      <c r="AG6" s="3556"/>
      <c r="AH6" s="3557">
        <f t="shared" si="21"/>
        <v>14853.765753424657</v>
      </c>
      <c r="AI6" s="3558">
        <f t="shared" si="22"/>
        <v>12192.845753424657</v>
      </c>
      <c r="AJ6" s="3558">
        <f t="shared" si="22"/>
        <v>12192.85</v>
      </c>
      <c r="AK6" s="3557">
        <f>AJ6-AI6</f>
        <v>4.2465753431315534E-3</v>
      </c>
      <c r="AL6" s="3557"/>
      <c r="AM6" s="3547" t="s">
        <v>3822</v>
      </c>
      <c r="AN6" s="3559">
        <v>6684.34</v>
      </c>
      <c r="AO6" s="3562">
        <v>6684.34</v>
      </c>
      <c r="AP6" s="3561">
        <f>AO6-AN6</f>
        <v>0</v>
      </c>
      <c r="AQ6" s="3559">
        <v>1330.46</v>
      </c>
      <c r="AR6" s="3562">
        <f>1330.46</f>
        <v>1330.46</v>
      </c>
      <c r="AS6" s="3561">
        <f>AR6-AQ6</f>
        <v>0</v>
      </c>
      <c r="AT6" s="3563" t="s">
        <v>3823</v>
      </c>
      <c r="AU6" s="3547" t="s">
        <v>3824</v>
      </c>
      <c r="AV6" s="3559">
        <v>6684.34</v>
      </c>
      <c r="AW6" s="3562">
        <v>6684.34</v>
      </c>
      <c r="AX6" s="3561">
        <f t="shared" si="0"/>
        <v>0</v>
      </c>
      <c r="AY6" s="3559">
        <v>1330.46</v>
      </c>
      <c r="AZ6" s="3562">
        <v>1330.46</v>
      </c>
      <c r="BA6" s="3561">
        <f t="shared" si="23"/>
        <v>0</v>
      </c>
      <c r="BB6" s="3563" t="s">
        <v>3825</v>
      </c>
      <c r="BC6" s="3547" t="s">
        <v>3826</v>
      </c>
      <c r="BD6" s="3559">
        <v>6684.34</v>
      </c>
      <c r="BE6" s="3562">
        <v>7783.14</v>
      </c>
      <c r="BF6" s="3561">
        <f t="shared" si="1"/>
        <v>1098.8000000000002</v>
      </c>
      <c r="BG6" s="3559">
        <v>1330.46</v>
      </c>
      <c r="BH6" s="3562">
        <v>1549.17</v>
      </c>
      <c r="BI6" s="3561">
        <f>BH6-BG6</f>
        <v>218.71000000000004</v>
      </c>
      <c r="BJ6" s="3589" t="s">
        <v>3827</v>
      </c>
      <c r="BK6" s="3584" t="s">
        <v>3828</v>
      </c>
      <c r="BL6" s="3590">
        <f>6684.34*12/365*5</f>
        <v>1098.7956164383561</v>
      </c>
      <c r="BM6" s="3562"/>
      <c r="BN6" s="3561">
        <f t="shared" si="2"/>
        <v>-1098.7956164383561</v>
      </c>
      <c r="BO6" s="3559">
        <f>1330.46*12/365*5</f>
        <v>218.70575342465753</v>
      </c>
      <c r="BP6" s="3562"/>
      <c r="BQ6" s="3561">
        <f>BP6-BO6</f>
        <v>-218.70575342465753</v>
      </c>
      <c r="BR6" s="3589" t="s">
        <v>3827</v>
      </c>
      <c r="BS6" s="3547"/>
      <c r="BT6" s="3559"/>
      <c r="BU6" s="3562"/>
      <c r="BV6" s="3561">
        <f t="shared" si="3"/>
        <v>0</v>
      </c>
      <c r="BW6" s="3559"/>
      <c r="BX6" s="3562"/>
      <c r="BY6" s="3561">
        <f>BX6-BW6</f>
        <v>0</v>
      </c>
      <c r="BZ6" s="3589" t="s">
        <v>3827</v>
      </c>
      <c r="CA6" s="3584" t="s">
        <v>3829</v>
      </c>
      <c r="CB6" s="3591">
        <v>6469.54</v>
      </c>
      <c r="CC6" s="3562">
        <v>6469.54</v>
      </c>
      <c r="CD6" s="3561">
        <f t="shared" si="4"/>
        <v>0</v>
      </c>
      <c r="CE6" s="3559">
        <f>1330.46*2</f>
        <v>2660.92</v>
      </c>
      <c r="CF6" s="3562">
        <v>2660.92</v>
      </c>
      <c r="CG6" s="3561">
        <f>CF6-CE6</f>
        <v>0</v>
      </c>
      <c r="CH6" s="3563" t="s">
        <v>3830</v>
      </c>
      <c r="CI6" s="3547" t="s">
        <v>3831</v>
      </c>
      <c r="CJ6" s="3559">
        <f>6469.54*2</f>
        <v>12939.08</v>
      </c>
      <c r="CK6" s="3562">
        <v>12939.08</v>
      </c>
      <c r="CL6" s="3561">
        <f t="shared" si="5"/>
        <v>0</v>
      </c>
      <c r="CM6" s="3559">
        <f>1330.46*2</f>
        <v>2660.92</v>
      </c>
      <c r="CN6" s="3562">
        <v>2660.92</v>
      </c>
      <c r="CO6" s="3561">
        <f>CN6-CM6</f>
        <v>0</v>
      </c>
      <c r="CP6" s="3563" t="s">
        <v>3832</v>
      </c>
      <c r="CQ6" s="3547"/>
      <c r="CR6" s="3559"/>
      <c r="CS6" s="3562"/>
      <c r="CT6" s="3561">
        <f t="shared" si="6"/>
        <v>0</v>
      </c>
      <c r="CU6" s="3559"/>
      <c r="CV6" s="3562"/>
      <c r="CW6" s="3561">
        <f>CV6-CU6</f>
        <v>0</v>
      </c>
      <c r="CX6" s="3563" t="s">
        <v>3832</v>
      </c>
      <c r="CY6" s="3547" t="s">
        <v>3833</v>
      </c>
      <c r="CZ6" s="3559">
        <f>6469.54*2</f>
        <v>12939.08</v>
      </c>
      <c r="DA6" s="3562">
        <v>12939.08</v>
      </c>
      <c r="DB6" s="3561">
        <f t="shared" si="7"/>
        <v>0</v>
      </c>
      <c r="DC6" s="3559">
        <f>1330.46*2</f>
        <v>2660.92</v>
      </c>
      <c r="DD6" s="3562">
        <v>2660.92</v>
      </c>
      <c r="DE6" s="3561">
        <f>DD6-DC6</f>
        <v>0</v>
      </c>
      <c r="DF6" s="3563" t="s">
        <v>3834</v>
      </c>
      <c r="DG6" s="3547"/>
      <c r="DH6" s="3559"/>
      <c r="DI6" s="3562"/>
      <c r="DJ6" s="3561">
        <f t="shared" si="8"/>
        <v>0</v>
      </c>
      <c r="DK6" s="3559"/>
      <c r="DL6" s="3562"/>
      <c r="DM6" s="3561">
        <f>DL6-DK6</f>
        <v>0</v>
      </c>
      <c r="DN6" s="3563"/>
      <c r="DO6" s="3547" t="s">
        <v>3835</v>
      </c>
      <c r="DP6" s="3559">
        <f>6469.54*2</f>
        <v>12939.08</v>
      </c>
      <c r="DQ6" s="3562"/>
      <c r="DR6" s="3561">
        <f t="shared" si="9"/>
        <v>-12939.08</v>
      </c>
      <c r="DS6" s="3559">
        <f>1330.46*2</f>
        <v>2660.92</v>
      </c>
      <c r="DT6" s="3562"/>
      <c r="DU6" s="3561">
        <f>DT6-DS6</f>
        <v>-2660.92</v>
      </c>
      <c r="DV6" s="3563"/>
      <c r="DW6" s="3547"/>
      <c r="DX6" s="3559"/>
      <c r="DY6" s="3562"/>
      <c r="DZ6" s="3561">
        <f t="shared" si="10"/>
        <v>0</v>
      </c>
      <c r="EA6" s="3559"/>
      <c r="EB6" s="3562"/>
      <c r="EC6" s="3561">
        <f>EB6-EA6</f>
        <v>0</v>
      </c>
      <c r="ED6" s="3563"/>
      <c r="EE6" s="3564"/>
      <c r="EF6" s="3565">
        <f>SUM(ET6,FB6,FJ6,FR6,FZ6,GH6,GP6,GX6,HF6,HN6,HV6,ID6)</f>
        <v>51974.762491846013</v>
      </c>
      <c r="EG6" s="3565">
        <f t="shared" si="24"/>
        <v>32876.65892041746</v>
      </c>
      <c r="EH6" s="3565">
        <f t="shared" si="24"/>
        <v>43982.18473581213</v>
      </c>
      <c r="EI6" s="3565">
        <f t="shared" si="24"/>
        <v>43982.18473581213</v>
      </c>
      <c r="EJ6" s="3565">
        <f>EI6-EG6</f>
        <v>11105.525815394671</v>
      </c>
      <c r="EK6" s="3565">
        <f>EI6-EH6</f>
        <v>0</v>
      </c>
      <c r="EL6" s="3556"/>
      <c r="EM6" s="3557">
        <f>SUM(EX6,FF6,FN6,FV6,GD6,GL6,GT6,HB6,HJ6,HR6,HZ6,IH6)</f>
        <v>10247.516434048452</v>
      </c>
      <c r="EN6" s="3557">
        <f t="shared" si="25"/>
        <v>6482.0765755578723</v>
      </c>
      <c r="EO6" s="3557">
        <f t="shared" si="25"/>
        <v>10041.207547169812</v>
      </c>
      <c r="EP6" s="3557">
        <f t="shared" si="25"/>
        <v>10041.211553372967</v>
      </c>
      <c r="EQ6" s="3557">
        <f>EP6-EN6</f>
        <v>3559.1349778150943</v>
      </c>
      <c r="ER6" s="3557">
        <f>EP6-EO6</f>
        <v>4.0062031548586674E-3</v>
      </c>
      <c r="ES6" s="3557"/>
      <c r="ET6" s="3568">
        <v>6366.0380952380901</v>
      </c>
      <c r="EU6" s="3569">
        <f>6684.34/1.05</f>
        <v>6366.0380952380947</v>
      </c>
      <c r="EV6" s="3562">
        <f>6684.34/1.05</f>
        <v>6366.0380952380947</v>
      </c>
      <c r="EW6" s="3547">
        <f t="shared" si="26"/>
        <v>0</v>
      </c>
      <c r="EX6" s="3568">
        <v>1255.1509433962301</v>
      </c>
      <c r="EY6" s="3569">
        <f>1330.46/1.06</f>
        <v>1255.1509433962265</v>
      </c>
      <c r="EZ6" s="3562">
        <f>1330.46/1.06</f>
        <v>1255.1509433962265</v>
      </c>
      <c r="FA6" s="3547">
        <f t="shared" si="27"/>
        <v>-3.637978807091713E-12</v>
      </c>
      <c r="FB6" s="3568">
        <v>6366.0380952380901</v>
      </c>
      <c r="FC6" s="3569">
        <f>6684.34/1.05</f>
        <v>6366.0380952380947</v>
      </c>
      <c r="FD6" s="3562">
        <f>6684.34/1.05</f>
        <v>6366.0380952380947</v>
      </c>
      <c r="FE6" s="3547">
        <f>FD6-FB6</f>
        <v>0</v>
      </c>
      <c r="FF6" s="3568">
        <v>1255.1509433962301</v>
      </c>
      <c r="FG6" s="3569">
        <f>1330.46/1.06</f>
        <v>1255.1509433962265</v>
      </c>
      <c r="FH6" s="3562">
        <f>1330.46/1.06</f>
        <v>1255.1509433962265</v>
      </c>
      <c r="FI6" s="3547">
        <f>FH6-FF6</f>
        <v>-3.637978807091713E-12</v>
      </c>
      <c r="FJ6" s="3568">
        <v>6366.0380952380901</v>
      </c>
      <c r="FK6" s="3569">
        <f>6684.34/1.05</f>
        <v>6366.0380952380947</v>
      </c>
      <c r="FL6" s="3562">
        <f>6684.34/1.05</f>
        <v>6366.0380952380947</v>
      </c>
      <c r="FM6" s="3547">
        <f>FL6-FJ6</f>
        <v>0</v>
      </c>
      <c r="FN6" s="3568">
        <v>1255.1509433962301</v>
      </c>
      <c r="FO6" s="3569">
        <f>1330.46/1.06</f>
        <v>1255.1509433962265</v>
      </c>
      <c r="FP6" s="3562">
        <f>1330.46/1.06</f>
        <v>1255.1509433962265</v>
      </c>
      <c r="FQ6" s="3547">
        <f>FP6-FN6</f>
        <v>-3.637978807091713E-12</v>
      </c>
      <c r="FR6" s="3568">
        <v>6366.0380952380901</v>
      </c>
      <c r="FS6" s="3569">
        <f>6684.34/1.05</f>
        <v>6366.0380952380947</v>
      </c>
      <c r="FT6" s="3562">
        <f>6684.34/1.05</f>
        <v>6366.0380952380947</v>
      </c>
      <c r="FU6" s="3547">
        <f>FT6-FR6</f>
        <v>0</v>
      </c>
      <c r="FV6" s="3568">
        <v>1255.1509433962301</v>
      </c>
      <c r="FW6" s="3569">
        <f>1330.46/1.06</f>
        <v>1255.1509433962265</v>
      </c>
      <c r="FX6" s="3560">
        <f>1330.46/1.06</f>
        <v>1255.1509433962265</v>
      </c>
      <c r="FY6" s="3547">
        <f>FX6-FV6</f>
        <v>-3.637978807091713E-12</v>
      </c>
      <c r="FZ6" s="3568">
        <v>1046.47201565558</v>
      </c>
      <c r="GA6" s="3592">
        <f>(7783.14-6684.34)/1.05</f>
        <v>1046.4761904761906</v>
      </c>
      <c r="GB6" s="3562">
        <f>(7783.14-6684.34)/1.05</f>
        <v>1046.4761904761906</v>
      </c>
      <c r="GC6" s="3547">
        <f>GB6-FZ6</f>
        <v>4.1748206106149155E-3</v>
      </c>
      <c r="GD6" s="3568">
        <v>206.32618247609199</v>
      </c>
      <c r="GE6" s="3592">
        <f>1330.46/1.06*12/365*5</f>
        <v>206.32618247609201</v>
      </c>
      <c r="GF6" s="3560">
        <f>(1549.17-1330.46)/1.06</f>
        <v>206.33018867924531</v>
      </c>
      <c r="GG6" s="3547">
        <f>GF6-GD6</f>
        <v>4.0062031533238951E-3</v>
      </c>
      <c r="GH6" s="3568"/>
      <c r="GI6" s="3559">
        <f>6469.54/1.05-6469.54/1.05*12/365*5</f>
        <v>5148.6228310502283</v>
      </c>
      <c r="GJ6" s="3562">
        <f>6469.54/1.05-6469.54/1.05*12/365*5</f>
        <v>5148.6228310502283</v>
      </c>
      <c r="GK6" s="3547">
        <f>GJ6-GH6</f>
        <v>5148.6228310502283</v>
      </c>
      <c r="GL6" s="3568"/>
      <c r="GM6" s="3559">
        <f>1330.46/1.06-1330.46/1.06*12/365*5</f>
        <v>1048.8247609201344</v>
      </c>
      <c r="GN6" s="3560">
        <f>2660.92/2/1.06-2660.92/2/1.06*12/365*5</f>
        <v>1048.8247609201344</v>
      </c>
      <c r="GO6" s="3547">
        <f>GN6-GL6</f>
        <v>1048.8247609201344</v>
      </c>
      <c r="GP6" s="3568"/>
      <c r="GQ6" s="3559">
        <f>6469.54/1.05*12/365*5</f>
        <v>1012.8438356164382</v>
      </c>
      <c r="GR6" s="3562">
        <f>6469.54/1.05*12/365*5</f>
        <v>1012.8438356164382</v>
      </c>
      <c r="GS6" s="3547">
        <f>GR6-GP6</f>
        <v>1012.8438356164382</v>
      </c>
      <c r="GT6" s="3568"/>
      <c r="GU6" s="3559">
        <f>1330.46/1.06</f>
        <v>1255.1509433962265</v>
      </c>
      <c r="GV6" s="3560">
        <f>2660.92/2/1.06</f>
        <v>1255.1509433962265</v>
      </c>
      <c r="GW6" s="3547">
        <f>GV6-GT6</f>
        <v>1255.1509433962265</v>
      </c>
      <c r="GX6" s="3568"/>
      <c r="GY6" s="3559">
        <f>6469.54/1.05-6469.54/1.05*12/365*5</f>
        <v>5148.6228310502283</v>
      </c>
      <c r="GZ6" s="3562">
        <f>12939.08/2/1.05-12939.08/2/1.05*12/365*5</f>
        <v>5148.6228310502283</v>
      </c>
      <c r="HA6" s="3547">
        <f>GZ6-GX6</f>
        <v>5148.6228310502283</v>
      </c>
      <c r="HB6" s="3568"/>
      <c r="HC6" s="3559">
        <f>1330.46/1.06</f>
        <v>1255.1509433962265</v>
      </c>
      <c r="HD6" s="3562">
        <f>2660.92/2/1.06*12/365*5+2660.92/2/1.06-2660.92/2/1.06*12/365*5</f>
        <v>1255.1509433962265</v>
      </c>
      <c r="HE6" s="3547">
        <f>HD6-HB6</f>
        <v>1255.1509433962265</v>
      </c>
      <c r="HF6" s="3568">
        <v>6366.0345238095197</v>
      </c>
      <c r="HG6" s="3569">
        <f>6469.54/1.05</f>
        <v>6161.4666666666662</v>
      </c>
      <c r="HH6" s="3562">
        <f>12939.08/2/1.05</f>
        <v>6161.4666666666662</v>
      </c>
      <c r="HI6" s="3547">
        <f>HH6-HF6</f>
        <v>-204.56785714285343</v>
      </c>
      <c r="HJ6" s="3568">
        <v>1255.14661949686</v>
      </c>
      <c r="HK6" s="3559">
        <f>1330.46/1.06</f>
        <v>1255.1509433962265</v>
      </c>
      <c r="HL6" s="3562">
        <f>2660.92/2/1.06</f>
        <v>1255.1509433962265</v>
      </c>
      <c r="HM6" s="3547">
        <f>HL6-HJ6</f>
        <v>4.3238993664544978E-3</v>
      </c>
      <c r="HN6" s="3568">
        <v>6366.0345238095197</v>
      </c>
      <c r="HO6" s="3569">
        <f>6469.54/1.05</f>
        <v>6161.4666666666662</v>
      </c>
      <c r="HP6" s="3562">
        <f>12939.08/2/1.05*12/365*5+12939.08/2/1.05-12939.08/2/1.05*12/365*5</f>
        <v>6161.4666666666662</v>
      </c>
      <c r="HQ6" s="3547">
        <f>HP6-HN6</f>
        <v>-204.56785714285343</v>
      </c>
      <c r="HR6" s="3568">
        <v>1255.14661949686</v>
      </c>
      <c r="HS6" s="3559">
        <f>1330.46/1.06</f>
        <v>1255.1509433962265</v>
      </c>
      <c r="HT6" s="3562">
        <f>2660.92/2/1.06*12/365*5+2660.92/2/1.06-2660.92/2/1.06*12/365*5</f>
        <v>1255.1509433962265</v>
      </c>
      <c r="HU6" s="3547">
        <f>HT6-HR6</f>
        <v>4.3238993664544978E-3</v>
      </c>
      <c r="HV6" s="3568">
        <v>6366.0345238095197</v>
      </c>
      <c r="HW6" s="3569">
        <f>6469.54/1.05</f>
        <v>6161.4666666666662</v>
      </c>
      <c r="HX6" s="3562">
        <f>12939.08/2/1.05</f>
        <v>6161.4666666666662</v>
      </c>
      <c r="HY6" s="3547">
        <f>HX6-HV6</f>
        <v>-204.56785714285343</v>
      </c>
      <c r="HZ6" s="3568">
        <v>1255.14661949686</v>
      </c>
      <c r="IA6" s="3559">
        <f>1330.46/1.06</f>
        <v>1255.1509433962265</v>
      </c>
      <c r="IB6" s="3562">
        <f>2660.92/2/1.06</f>
        <v>1255.1509433962265</v>
      </c>
      <c r="IC6" s="3547">
        <f>IB6-HZ6</f>
        <v>4.3238993664544978E-3</v>
      </c>
      <c r="ID6" s="3568">
        <v>6366.0345238095197</v>
      </c>
      <c r="IE6" s="3569">
        <f>6469.54/1.05</f>
        <v>6161.4666666666662</v>
      </c>
      <c r="IF6" s="3562">
        <f>12939.08/2/1.05*12/365*5</f>
        <v>1012.8438356164382</v>
      </c>
      <c r="IG6" s="3547">
        <f>IF6-ID6</f>
        <v>-5353.1906881930818</v>
      </c>
      <c r="IH6" s="3568">
        <v>1255.14661949686</v>
      </c>
      <c r="II6" s="3559">
        <f>1330.46/1.06</f>
        <v>1255.1509433962265</v>
      </c>
      <c r="IJ6" s="3562">
        <f>2660.92/2/1.06*12/365*5</f>
        <v>206.32618247609201</v>
      </c>
      <c r="IK6" s="3547">
        <f>IJ6-IH6</f>
        <v>-1048.8204370207679</v>
      </c>
      <c r="IL6" s="3547" t="s">
        <v>3836</v>
      </c>
      <c r="IM6" s="3559">
        <f>6469.54/1.05+6469.54/1.05*12/365*5</f>
        <v>7174.3105022831041</v>
      </c>
      <c r="IN6" s="3559">
        <f>1330.46/1.06+1330.46/1.06*12/365*5</f>
        <v>1461.4771258723185</v>
      </c>
      <c r="IO6" s="3547"/>
      <c r="IP6" s="3560">
        <f>SUM(IQ6:JB6)</f>
        <v>0</v>
      </c>
      <c r="IQ6" s="3568"/>
      <c r="IR6" s="3568"/>
      <c r="IS6" s="3568"/>
      <c r="IT6" s="3568"/>
      <c r="IU6" s="3568"/>
      <c r="IV6" s="3568"/>
      <c r="IW6" s="3568"/>
      <c r="IX6" s="3568"/>
      <c r="IY6" s="3568"/>
      <c r="IZ6" s="3560"/>
      <c r="JA6" s="3560"/>
      <c r="JB6" s="3560"/>
      <c r="JC6" s="3560">
        <f t="shared" si="11"/>
        <v>0</v>
      </c>
      <c r="JD6" s="3547"/>
      <c r="JE6" s="3568"/>
      <c r="JF6" s="3568"/>
      <c r="JG6" s="3568"/>
      <c r="JH6" s="3568"/>
      <c r="JI6" s="3568"/>
      <c r="JJ6" s="3568"/>
      <c r="JK6" s="3568"/>
      <c r="JL6" s="3568"/>
      <c r="JM6" s="3568"/>
      <c r="JN6" s="3560"/>
      <c r="JO6" s="3560"/>
      <c r="JP6" s="3547" t="s">
        <v>3837</v>
      </c>
      <c r="JQ6" s="3583">
        <f>6684.34/1.05</f>
        <v>6366.0380952380947</v>
      </c>
      <c r="JR6" s="3583">
        <f>1330.46/1.06</f>
        <v>1255.1509433962265</v>
      </c>
      <c r="JS6" s="3573">
        <f t="shared" si="28"/>
        <v>-4.1748206240299623E-3</v>
      </c>
      <c r="JT6" s="3573">
        <f t="shared" ref="JT6:JT69" si="35">JR6+(AQ6+AY6+BG6+BO6+BW6+CE6+CM6+CU6+DC6+DK6+DS6+EA6)/1.06-(EY6+FG6+FO6+FW6+GE6+GM6+GU6+HC6+HK6+HS6+IA6+II6)-IN6</f>
        <v>-2.7284841053187847E-12</v>
      </c>
      <c r="JU6" s="3574">
        <f t="shared" si="29"/>
        <v>0</v>
      </c>
      <c r="JV6" s="3574">
        <f t="shared" si="30"/>
        <v>0</v>
      </c>
      <c r="JW6" s="3575"/>
      <c r="JX6" s="3576">
        <f t="shared" si="31"/>
        <v>13335.777168949771</v>
      </c>
      <c r="JY6" s="3576">
        <f t="shared" si="32"/>
        <v>2716.628069268545</v>
      </c>
      <c r="JZ6" s="3577"/>
      <c r="KA6" s="3573">
        <f t="shared" si="12"/>
        <v>-204.56353324348697</v>
      </c>
      <c r="KB6" s="3573"/>
      <c r="KC6" s="3573"/>
      <c r="KD6" s="3573">
        <f t="shared" si="33"/>
        <v>-204.56353324348697</v>
      </c>
      <c r="KE6" s="3587" t="s">
        <v>3815</v>
      </c>
      <c r="KF6" s="3579">
        <f>6197.45/10000+2267.99/10000+6403.77/10000</f>
        <v>1.4869210000000002</v>
      </c>
      <c r="KG6" s="3579"/>
      <c r="KH6" s="3579"/>
      <c r="KI6" s="3579"/>
      <c r="KJ6" s="3579"/>
      <c r="KK6" s="3579"/>
      <c r="KL6" s="3579"/>
      <c r="KM6" s="3579">
        <f>-204.56/10000</f>
        <v>-2.0456000000000002E-2</v>
      </c>
      <c r="KN6" s="3579"/>
      <c r="KO6" s="3579"/>
      <c r="KP6" s="3579"/>
      <c r="KQ6" s="3579">
        <f t="shared" si="34"/>
        <v>1.4664650000000001</v>
      </c>
      <c r="KR6" s="3579">
        <f>(EJ6+EQ6)/10000-KQ6</f>
        <v>1.0793209763715339E-6</v>
      </c>
      <c r="KS6" s="3577"/>
      <c r="KT6" s="3577"/>
      <c r="KU6" s="3577"/>
      <c r="KV6" s="3577"/>
      <c r="KW6" s="3577"/>
      <c r="KX6" s="3577"/>
      <c r="KY6" s="3577"/>
      <c r="KZ6" s="3577"/>
      <c r="LA6" s="3577"/>
      <c r="LB6" s="3577"/>
      <c r="LC6" s="3577"/>
      <c r="LD6" s="3577"/>
      <c r="LE6" s="3577"/>
      <c r="LF6" s="3577"/>
      <c r="LG6" s="3577"/>
      <c r="LH6" s="3577"/>
      <c r="LJ6" s="3575"/>
      <c r="LK6" s="3571"/>
      <c r="LL6" s="3576"/>
    </row>
    <row r="7" spans="1:324" s="3580" customFormat="1" ht="18" customHeight="1">
      <c r="A7" s="3545">
        <v>4</v>
      </c>
      <c r="B7" s="3546" t="s">
        <v>3787</v>
      </c>
      <c r="C7" s="3546" t="s">
        <v>3838</v>
      </c>
      <c r="D7" s="3547">
        <v>455</v>
      </c>
      <c r="E7" s="3548" t="s">
        <v>3789</v>
      </c>
      <c r="F7" s="3546" t="s">
        <v>3790</v>
      </c>
      <c r="G7" s="3546" t="s">
        <v>3839</v>
      </c>
      <c r="H7" s="3546" t="s">
        <v>3840</v>
      </c>
      <c r="I7" s="3550"/>
      <c r="J7" s="3550"/>
      <c r="K7" s="3545"/>
      <c r="L7" s="3545"/>
      <c r="M7" s="3551"/>
      <c r="N7" s="3551"/>
      <c r="O7" s="3551">
        <f t="shared" si="13"/>
        <v>0</v>
      </c>
      <c r="P7" s="3547"/>
      <c r="Q7" s="3547"/>
      <c r="R7" s="3547"/>
      <c r="S7" s="3547">
        <f t="shared" si="14"/>
        <v>0</v>
      </c>
      <c r="T7" s="3552"/>
      <c r="U7" s="3553">
        <f t="shared" si="15"/>
        <v>0</v>
      </c>
      <c r="V7" s="3547"/>
      <c r="W7" s="3547">
        <f t="shared" si="16"/>
        <v>0</v>
      </c>
      <c r="X7" s="3552"/>
      <c r="Y7" s="3547">
        <f t="shared" si="17"/>
        <v>0</v>
      </c>
      <c r="Z7" s="3554"/>
      <c r="AA7" s="3555"/>
      <c r="AB7" s="3593"/>
      <c r="AC7" s="3556">
        <f t="shared" si="18"/>
        <v>0</v>
      </c>
      <c r="AD7" s="3556">
        <f t="shared" si="19"/>
        <v>0</v>
      </c>
      <c r="AE7" s="3556">
        <f t="shared" si="19"/>
        <v>0</v>
      </c>
      <c r="AF7" s="3556">
        <f t="shared" si="20"/>
        <v>0</v>
      </c>
      <c r="AG7" s="3556"/>
      <c r="AH7" s="3557">
        <f t="shared" si="21"/>
        <v>0</v>
      </c>
      <c r="AI7" s="3558">
        <f t="shared" si="22"/>
        <v>0</v>
      </c>
      <c r="AJ7" s="3558">
        <f t="shared" si="22"/>
        <v>0</v>
      </c>
      <c r="AK7" s="3557">
        <f>AJ7-AI7</f>
        <v>0</v>
      </c>
      <c r="AL7" s="3557"/>
      <c r="AM7" s="3547"/>
      <c r="AN7" s="3559"/>
      <c r="AO7" s="3562"/>
      <c r="AP7" s="3561"/>
      <c r="AQ7" s="3559"/>
      <c r="AR7" s="3562"/>
      <c r="AS7" s="3561"/>
      <c r="AT7" s="3563"/>
      <c r="AU7" s="3547"/>
      <c r="AV7" s="3559"/>
      <c r="AW7" s="3562"/>
      <c r="AX7" s="3561"/>
      <c r="AY7" s="3559"/>
      <c r="AZ7" s="3562"/>
      <c r="BA7" s="3561">
        <f t="shared" si="23"/>
        <v>0</v>
      </c>
      <c r="BB7" s="3563"/>
      <c r="BC7" s="3547"/>
      <c r="BD7" s="3559"/>
      <c r="BE7" s="3562"/>
      <c r="BF7" s="3561"/>
      <c r="BG7" s="3559"/>
      <c r="BH7" s="3562"/>
      <c r="BI7" s="3561">
        <f>BH7-BG7</f>
        <v>0</v>
      </c>
      <c r="BJ7" s="3563"/>
      <c r="BK7" s="3547"/>
      <c r="BL7" s="3559"/>
      <c r="BM7" s="3562"/>
      <c r="BN7" s="3561"/>
      <c r="BO7" s="3559"/>
      <c r="BP7" s="3562"/>
      <c r="BQ7" s="3561">
        <f>BP7-BO7</f>
        <v>0</v>
      </c>
      <c r="BR7" s="3563"/>
      <c r="BS7" s="3547"/>
      <c r="BT7" s="3559"/>
      <c r="BU7" s="3562"/>
      <c r="BV7" s="3561"/>
      <c r="BW7" s="3559"/>
      <c r="BX7" s="3562"/>
      <c r="BY7" s="3561">
        <f>BX7-BW7</f>
        <v>0</v>
      </c>
      <c r="BZ7" s="3563"/>
      <c r="CA7" s="3547"/>
      <c r="CB7" s="3559"/>
      <c r="CC7" s="3562"/>
      <c r="CD7" s="3561"/>
      <c r="CE7" s="3559"/>
      <c r="CF7" s="3562"/>
      <c r="CG7" s="3561">
        <f>CF7-CE7</f>
        <v>0</v>
      </c>
      <c r="CH7" s="3563"/>
      <c r="CI7" s="3547"/>
      <c r="CJ7" s="3559"/>
      <c r="CK7" s="3562"/>
      <c r="CL7" s="3561">
        <f t="shared" si="5"/>
        <v>0</v>
      </c>
      <c r="CM7" s="3559"/>
      <c r="CN7" s="3562"/>
      <c r="CO7" s="3561">
        <f>CN7-CM7</f>
        <v>0</v>
      </c>
      <c r="CP7" s="3563"/>
      <c r="CQ7" s="3547"/>
      <c r="CR7" s="3559"/>
      <c r="CS7" s="3562"/>
      <c r="CT7" s="3561"/>
      <c r="CU7" s="3559"/>
      <c r="CV7" s="3562"/>
      <c r="CW7" s="3561">
        <f>CV7-CU7</f>
        <v>0</v>
      </c>
      <c r="CX7" s="3563"/>
      <c r="CY7" s="3547"/>
      <c r="CZ7" s="3559"/>
      <c r="DA7" s="3562"/>
      <c r="DB7" s="3561"/>
      <c r="DC7" s="3559"/>
      <c r="DD7" s="3562"/>
      <c r="DE7" s="3561">
        <f>DD7-DC7</f>
        <v>0</v>
      </c>
      <c r="DF7" s="3563"/>
      <c r="DG7" s="3547"/>
      <c r="DH7" s="3559"/>
      <c r="DI7" s="3562"/>
      <c r="DJ7" s="3561"/>
      <c r="DK7" s="3559"/>
      <c r="DL7" s="3562"/>
      <c r="DM7" s="3561">
        <f>DL7-DK7</f>
        <v>0</v>
      </c>
      <c r="DN7" s="3563"/>
      <c r="DO7" s="3547"/>
      <c r="DP7" s="3559"/>
      <c r="DQ7" s="3562"/>
      <c r="DR7" s="3561"/>
      <c r="DS7" s="3559"/>
      <c r="DT7" s="3562"/>
      <c r="DU7" s="3561">
        <f>DT7-DS7</f>
        <v>0</v>
      </c>
      <c r="DV7" s="3563"/>
      <c r="DW7" s="3547"/>
      <c r="DX7" s="3559"/>
      <c r="DY7" s="3562"/>
      <c r="DZ7" s="3561"/>
      <c r="EA7" s="3559"/>
      <c r="EB7" s="3562"/>
      <c r="EC7" s="3561">
        <f>EB7-EA7</f>
        <v>0</v>
      </c>
      <c r="ED7" s="3563"/>
      <c r="EE7" s="3564"/>
      <c r="EF7" s="3565">
        <f>SUM(ET7,FB7,FJ7,FR7,FZ7,GH7,GP7,GX7,HF7,HN7,HV7,ID7)</f>
        <v>549629.16666666698</v>
      </c>
      <c r="EG7" s="3565">
        <f t="shared" si="24"/>
        <v>384740.41666666686</v>
      </c>
      <c r="EH7" s="3565">
        <f t="shared" si="24"/>
        <v>0</v>
      </c>
      <c r="EI7" s="3565">
        <f t="shared" si="24"/>
        <v>0</v>
      </c>
      <c r="EJ7" s="3565">
        <f>EI7-EG7</f>
        <v>-384740.41666666686</v>
      </c>
      <c r="EK7" s="3566">
        <f>EI7-EH7</f>
        <v>0</v>
      </c>
      <c r="EL7" s="3556"/>
      <c r="EM7" s="3567">
        <f>SUM(EX7,FF7,FN7,FV7,GD7,GL7,GT7,HB7,HJ7,HR7,HZ7,IH7)</f>
        <v>130039.85849056557</v>
      </c>
      <c r="EN7" s="3557">
        <f t="shared" si="25"/>
        <v>97529.893867924184</v>
      </c>
      <c r="EO7" s="3557">
        <f t="shared" si="25"/>
        <v>0</v>
      </c>
      <c r="EP7" s="3557">
        <f t="shared" si="25"/>
        <v>0</v>
      </c>
      <c r="EQ7" s="3557">
        <f>EP7-EN7</f>
        <v>-97529.893867924184</v>
      </c>
      <c r="ER7" s="3557">
        <f>EP7-EO7</f>
        <v>0</v>
      </c>
      <c r="ES7" s="3557"/>
      <c r="ET7" s="3568"/>
      <c r="EU7" s="3569"/>
      <c r="EV7" s="3562"/>
      <c r="EW7" s="3547">
        <f t="shared" si="26"/>
        <v>0</v>
      </c>
      <c r="EX7" s="3568">
        <v>10836.6548742138</v>
      </c>
      <c r="EY7" s="3569"/>
      <c r="EZ7" s="3562"/>
      <c r="FA7" s="3547">
        <f t="shared" si="27"/>
        <v>-10836.6548742138</v>
      </c>
      <c r="FB7" s="3568"/>
      <c r="FC7" s="3569"/>
      <c r="FD7" s="3562"/>
      <c r="FE7" s="3547">
        <f>FD7-FB7</f>
        <v>0</v>
      </c>
      <c r="FF7" s="3568">
        <v>10836.6548742138</v>
      </c>
      <c r="FG7" s="3569"/>
      <c r="FH7" s="3562"/>
      <c r="FI7" s="3547">
        <f>FH7-FF7</f>
        <v>-10836.6548742138</v>
      </c>
      <c r="FJ7" s="3568">
        <v>54962.916666666701</v>
      </c>
      <c r="FK7" s="3569"/>
      <c r="FL7" s="3562"/>
      <c r="FM7" s="3547">
        <f>FL7-FJ7</f>
        <v>-54962.916666666701</v>
      </c>
      <c r="FN7" s="3568">
        <v>10836.6548742138</v>
      </c>
      <c r="FO7" s="3569"/>
      <c r="FP7" s="3562"/>
      <c r="FQ7" s="3547">
        <f>FP7-FN7</f>
        <v>-10836.6548742138</v>
      </c>
      <c r="FR7" s="3568">
        <v>54962.916666666701</v>
      </c>
      <c r="FS7" s="3569"/>
      <c r="FT7" s="3562"/>
      <c r="FU7" s="3547">
        <f>FT7-FR7</f>
        <v>-54962.916666666701</v>
      </c>
      <c r="FV7" s="3568">
        <v>10836.6548742138</v>
      </c>
      <c r="FW7" s="3569"/>
      <c r="FX7" s="3560"/>
      <c r="FY7" s="3547">
        <f>FX7-FV7</f>
        <v>-10836.6548742138</v>
      </c>
      <c r="FZ7" s="3568">
        <v>54962.916666666701</v>
      </c>
      <c r="GA7" s="3569"/>
      <c r="GB7" s="3562"/>
      <c r="GC7" s="3547">
        <f>GB7-FZ7</f>
        <v>-54962.916666666701</v>
      </c>
      <c r="GD7" s="3568">
        <v>10836.6548742138</v>
      </c>
      <c r="GE7" s="3569"/>
      <c r="GF7" s="3560"/>
      <c r="GG7" s="3547">
        <f>GF7-GD7</f>
        <v>-10836.6548742138</v>
      </c>
      <c r="GH7" s="3568">
        <v>54962.916666666701</v>
      </c>
      <c r="GI7" s="3569"/>
      <c r="GJ7" s="3562"/>
      <c r="GK7" s="3547">
        <f>GJ7-GH7</f>
        <v>-54962.916666666701</v>
      </c>
      <c r="GL7" s="3568">
        <v>10836.6548742138</v>
      </c>
      <c r="GM7" s="3569"/>
      <c r="GN7" s="3560"/>
      <c r="GO7" s="3547">
        <f>GN7-GL7</f>
        <v>-10836.6548742138</v>
      </c>
      <c r="GP7" s="3568">
        <v>54962.916666666701</v>
      </c>
      <c r="GQ7" s="3569"/>
      <c r="GR7" s="3562"/>
      <c r="GS7" s="3547">
        <f>GR7-GP7</f>
        <v>-54962.916666666701</v>
      </c>
      <c r="GT7" s="3568">
        <v>10836.6548742138</v>
      </c>
      <c r="GU7" s="3569"/>
      <c r="GV7" s="3560"/>
      <c r="GW7" s="3547">
        <f>GV7-GT7</f>
        <v>-10836.6548742138</v>
      </c>
      <c r="GX7" s="3568">
        <v>54962.916666666701</v>
      </c>
      <c r="GY7" s="3569"/>
      <c r="GZ7" s="3562"/>
      <c r="HA7" s="3547">
        <f>GZ7-GX7</f>
        <v>-54962.916666666701</v>
      </c>
      <c r="HB7" s="3568">
        <v>10836.6548742138</v>
      </c>
      <c r="HC7" s="3569"/>
      <c r="HD7" s="3562"/>
      <c r="HE7" s="3547">
        <f>HD7-HB7</f>
        <v>-10836.6548742138</v>
      </c>
      <c r="HF7" s="3568">
        <v>54962.916666666701</v>
      </c>
      <c r="HG7" s="3569"/>
      <c r="HH7" s="3562"/>
      <c r="HI7" s="3547">
        <f>HH7-HF7</f>
        <v>-54962.916666666701</v>
      </c>
      <c r="HJ7" s="3568">
        <v>10836.6548742138</v>
      </c>
      <c r="HK7" s="3569"/>
      <c r="HL7" s="3562"/>
      <c r="HM7" s="3547">
        <f>HL7-HJ7</f>
        <v>-10836.6548742138</v>
      </c>
      <c r="HN7" s="3568">
        <v>54962.916666666701</v>
      </c>
      <c r="HO7" s="3569"/>
      <c r="HP7" s="3562"/>
      <c r="HQ7" s="3547">
        <f>HP7-HN7</f>
        <v>-54962.916666666701</v>
      </c>
      <c r="HR7" s="3568">
        <v>10836.6548742138</v>
      </c>
      <c r="HS7" s="3569"/>
      <c r="HT7" s="3562"/>
      <c r="HU7" s="3547">
        <f>HT7-HR7</f>
        <v>-10836.6548742138</v>
      </c>
      <c r="HV7" s="3568">
        <v>54962.916666666701</v>
      </c>
      <c r="HW7" s="3569"/>
      <c r="HX7" s="3562"/>
      <c r="HY7" s="3547">
        <f>HX7-HV7</f>
        <v>-54962.916666666701</v>
      </c>
      <c r="HZ7" s="3568">
        <v>10836.6548742138</v>
      </c>
      <c r="IA7" s="3569"/>
      <c r="IB7" s="3562"/>
      <c r="IC7" s="3547">
        <f>IB7-HZ7</f>
        <v>-10836.6548742138</v>
      </c>
      <c r="ID7" s="3568">
        <v>54962.916666666701</v>
      </c>
      <c r="IE7" s="3569"/>
      <c r="IF7" s="3562"/>
      <c r="IG7" s="3547">
        <f>IF7-ID7</f>
        <v>-54962.916666666701</v>
      </c>
      <c r="IH7" s="3568">
        <v>10836.6548742138</v>
      </c>
      <c r="II7" s="3569"/>
      <c r="IJ7" s="3562"/>
      <c r="IK7" s="3547">
        <f>IJ7-IH7</f>
        <v>-10836.6548742138</v>
      </c>
      <c r="IL7" s="3570"/>
      <c r="IM7" s="3569"/>
      <c r="IN7" s="3569"/>
      <c r="IO7" s="3571"/>
      <c r="IP7" s="3560">
        <f>SUM(IQ7:JB7)</f>
        <v>0</v>
      </c>
      <c r="IQ7" s="3568"/>
      <c r="IR7" s="3568"/>
      <c r="IS7" s="3568"/>
      <c r="IT7" s="3568"/>
      <c r="IU7" s="3568"/>
      <c r="IV7" s="3568"/>
      <c r="IW7" s="3568"/>
      <c r="IX7" s="3568"/>
      <c r="IY7" s="3568"/>
      <c r="IZ7" s="3560"/>
      <c r="JA7" s="3560"/>
      <c r="JB7" s="3560"/>
      <c r="JC7" s="3560">
        <f t="shared" si="11"/>
        <v>0</v>
      </c>
      <c r="JD7" s="3571"/>
      <c r="JE7" s="3568"/>
      <c r="JF7" s="3568"/>
      <c r="JG7" s="3568"/>
      <c r="JH7" s="3568"/>
      <c r="JI7" s="3568"/>
      <c r="JJ7" s="3568"/>
      <c r="JK7" s="3568"/>
      <c r="JL7" s="3568"/>
      <c r="JM7" s="3568"/>
      <c r="JN7" s="3560"/>
      <c r="JO7" s="3560"/>
      <c r="JP7" s="3570"/>
      <c r="JQ7" s="3583"/>
      <c r="JR7" s="3583"/>
      <c r="JS7" s="3573">
        <f t="shared" si="28"/>
        <v>0</v>
      </c>
      <c r="JT7" s="3573">
        <f t="shared" si="35"/>
        <v>0</v>
      </c>
      <c r="JU7" s="3574">
        <f t="shared" si="29"/>
        <v>0</v>
      </c>
      <c r="JV7" s="3574">
        <f t="shared" si="30"/>
        <v>0</v>
      </c>
      <c r="JW7" s="3575"/>
      <c r="JX7" s="3576">
        <f t="shared" si="31"/>
        <v>0</v>
      </c>
      <c r="JY7" s="3576">
        <f t="shared" si="32"/>
        <v>0</v>
      </c>
      <c r="JZ7" s="3577"/>
      <c r="KA7" s="3573">
        <f t="shared" si="12"/>
        <v>-65799.571540880497</v>
      </c>
      <c r="KB7" s="3573"/>
      <c r="KC7" s="3573"/>
      <c r="KD7" s="3573">
        <f t="shared" si="33"/>
        <v>-65799.571540880497</v>
      </c>
      <c r="KE7" s="3578" t="s">
        <v>3765</v>
      </c>
      <c r="KF7" s="3579"/>
      <c r="KG7" s="3579"/>
      <c r="KH7" s="3579"/>
      <c r="KI7" s="3579"/>
      <c r="KJ7" s="3579"/>
      <c r="KK7" s="3579"/>
      <c r="KL7" s="3579">
        <f>-10836.65/10000*2-65799.57/10000*7</f>
        <v>-48.227029000000002</v>
      </c>
      <c r="KM7" s="3579"/>
      <c r="KN7" s="3579"/>
      <c r="KO7" s="3579"/>
      <c r="KP7" s="3579"/>
      <c r="KQ7" s="3579">
        <f t="shared" si="34"/>
        <v>-48.227029000000002</v>
      </c>
      <c r="KR7" s="3579">
        <f>(EJ7+EQ7)/10000-KQ7</f>
        <v>-2.0534590987608681E-6</v>
      </c>
      <c r="KS7" s="3577"/>
      <c r="KT7" s="3577"/>
      <c r="KU7" s="3577"/>
      <c r="KV7" s="3577"/>
      <c r="KW7" s="3577"/>
      <c r="KX7" s="3577"/>
      <c r="KY7" s="3577"/>
      <c r="KZ7" s="3577"/>
      <c r="LA7" s="3577"/>
      <c r="LB7" s="3577"/>
      <c r="LC7" s="3577"/>
      <c r="LD7" s="3577"/>
      <c r="LE7" s="3577"/>
      <c r="LF7" s="3577"/>
      <c r="LG7" s="3577"/>
      <c r="LH7" s="3577"/>
      <c r="LJ7" s="3575"/>
      <c r="LK7" s="3571"/>
      <c r="LL7" s="3576"/>
    </row>
    <row r="8" spans="1:324" s="3580" customFormat="1" ht="18" customHeight="1">
      <c r="A8" s="3545">
        <v>5</v>
      </c>
      <c r="B8" s="3546" t="s">
        <v>3787</v>
      </c>
      <c r="C8" s="3546" t="s">
        <v>3841</v>
      </c>
      <c r="D8" s="3547">
        <v>586</v>
      </c>
      <c r="E8" s="3548" t="s">
        <v>3842</v>
      </c>
      <c r="F8" s="3546" t="s">
        <v>3790</v>
      </c>
      <c r="G8" s="3546"/>
      <c r="H8" s="3546"/>
      <c r="I8" s="3594"/>
      <c r="J8" s="3594"/>
      <c r="K8" s="3545"/>
      <c r="L8" s="3545"/>
      <c r="M8" s="3551"/>
      <c r="N8" s="3551"/>
      <c r="O8" s="3551">
        <f t="shared" si="13"/>
        <v>0</v>
      </c>
      <c r="P8" s="3547"/>
      <c r="Q8" s="3547"/>
      <c r="R8" s="3547"/>
      <c r="S8" s="3547">
        <f t="shared" si="14"/>
        <v>0</v>
      </c>
      <c r="T8" s="3552"/>
      <c r="U8" s="3553">
        <f t="shared" si="15"/>
        <v>0</v>
      </c>
      <c r="V8" s="3547"/>
      <c r="W8" s="3547">
        <f t="shared" si="16"/>
        <v>0</v>
      </c>
      <c r="X8" s="3552"/>
      <c r="Y8" s="3547">
        <f t="shared" si="17"/>
        <v>0</v>
      </c>
      <c r="Z8" s="3554"/>
      <c r="AA8" s="3555"/>
      <c r="AB8" s="3593"/>
      <c r="AC8" s="3556">
        <f t="shared" si="18"/>
        <v>0</v>
      </c>
      <c r="AD8" s="3556">
        <f t="shared" si="19"/>
        <v>0</v>
      </c>
      <c r="AE8" s="3556">
        <f t="shared" si="19"/>
        <v>0</v>
      </c>
      <c r="AF8" s="3556">
        <f t="shared" si="20"/>
        <v>0</v>
      </c>
      <c r="AG8" s="3556"/>
      <c r="AH8" s="3557">
        <f t="shared" si="21"/>
        <v>0</v>
      </c>
      <c r="AI8" s="3558">
        <f t="shared" si="22"/>
        <v>0</v>
      </c>
      <c r="AJ8" s="3558">
        <f t="shared" si="22"/>
        <v>0</v>
      </c>
      <c r="AK8" s="3557">
        <f>AJ8-AI8</f>
        <v>0</v>
      </c>
      <c r="AL8" s="3557"/>
      <c r="AM8" s="3547"/>
      <c r="AN8" s="3559"/>
      <c r="AO8" s="3562"/>
      <c r="AP8" s="3561">
        <f>AO8-AN8</f>
        <v>0</v>
      </c>
      <c r="AQ8" s="3559"/>
      <c r="AR8" s="3562"/>
      <c r="AS8" s="3561">
        <f t="shared" ref="AS8:AS34" si="36">AR8-AQ8</f>
        <v>0</v>
      </c>
      <c r="AT8" s="3563" t="s">
        <v>3843</v>
      </c>
      <c r="AU8" s="3547"/>
      <c r="AV8" s="3559"/>
      <c r="AW8" s="3562"/>
      <c r="AX8" s="3561">
        <f>AW8-AV8</f>
        <v>0</v>
      </c>
      <c r="AY8" s="3559"/>
      <c r="AZ8" s="3562"/>
      <c r="BA8" s="3561">
        <f t="shared" si="23"/>
        <v>0</v>
      </c>
      <c r="BB8" s="3563" t="s">
        <v>3843</v>
      </c>
      <c r="BC8" s="3547"/>
      <c r="BD8" s="3559"/>
      <c r="BE8" s="3562"/>
      <c r="BF8" s="3561">
        <f>BE8-BD8</f>
        <v>0</v>
      </c>
      <c r="BG8" s="3559"/>
      <c r="BH8" s="3562"/>
      <c r="BI8" s="3561">
        <f>BH8-BG8</f>
        <v>0</v>
      </c>
      <c r="BJ8" s="3563" t="s">
        <v>3843</v>
      </c>
      <c r="BK8" s="3547"/>
      <c r="BL8" s="3559"/>
      <c r="BM8" s="3562"/>
      <c r="BN8" s="3561">
        <f>BM8-BL8</f>
        <v>0</v>
      </c>
      <c r="BO8" s="3559"/>
      <c r="BP8" s="3562"/>
      <c r="BQ8" s="3561">
        <f>BP8-BO8</f>
        <v>0</v>
      </c>
      <c r="BR8" s="3563" t="s">
        <v>3843</v>
      </c>
      <c r="BS8" s="3547"/>
      <c r="BT8" s="3559"/>
      <c r="BU8" s="3562"/>
      <c r="BV8" s="3561">
        <f>BU8-BT8</f>
        <v>0</v>
      </c>
      <c r="BW8" s="3559"/>
      <c r="BX8" s="3562"/>
      <c r="BY8" s="3561">
        <f>BX8-BW8</f>
        <v>0</v>
      </c>
      <c r="BZ8" s="3563" t="s">
        <v>3843</v>
      </c>
      <c r="CA8" s="3547"/>
      <c r="CB8" s="3559"/>
      <c r="CC8" s="3562"/>
      <c r="CD8" s="3561">
        <f>CC8-CB8</f>
        <v>0</v>
      </c>
      <c r="CE8" s="3559"/>
      <c r="CF8" s="3562"/>
      <c r="CG8" s="3561">
        <f>CF8-CE8</f>
        <v>0</v>
      </c>
      <c r="CH8" s="3563" t="s">
        <v>3843</v>
      </c>
      <c r="CI8" s="3547"/>
      <c r="CJ8" s="3559"/>
      <c r="CK8" s="3562"/>
      <c r="CL8" s="3561">
        <f t="shared" si="5"/>
        <v>0</v>
      </c>
      <c r="CM8" s="3559"/>
      <c r="CN8" s="3562"/>
      <c r="CO8" s="3561">
        <f>CN8-CM8</f>
        <v>0</v>
      </c>
      <c r="CP8" s="3563" t="s">
        <v>3843</v>
      </c>
      <c r="CQ8" s="3547"/>
      <c r="CR8" s="3559"/>
      <c r="CS8" s="3562"/>
      <c r="CT8" s="3561">
        <f>CS8-CR8</f>
        <v>0</v>
      </c>
      <c r="CU8" s="3559"/>
      <c r="CV8" s="3562"/>
      <c r="CW8" s="3561">
        <f>CV8-CU8</f>
        <v>0</v>
      </c>
      <c r="CX8" s="3563" t="s">
        <v>3843</v>
      </c>
      <c r="CY8" s="3547"/>
      <c r="CZ8" s="3559"/>
      <c r="DA8" s="3562"/>
      <c r="DB8" s="3561">
        <f>DA8-CZ8</f>
        <v>0</v>
      </c>
      <c r="DC8" s="3559"/>
      <c r="DD8" s="3562"/>
      <c r="DE8" s="3561">
        <f>DD8-DC8</f>
        <v>0</v>
      </c>
      <c r="DF8" s="3563" t="s">
        <v>3843</v>
      </c>
      <c r="DG8" s="3547"/>
      <c r="DH8" s="3559"/>
      <c r="DI8" s="3562"/>
      <c r="DJ8" s="3561">
        <f>DI8-DH8</f>
        <v>0</v>
      </c>
      <c r="DK8" s="3559"/>
      <c r="DL8" s="3562"/>
      <c r="DM8" s="3561">
        <f>DL8-DK8</f>
        <v>0</v>
      </c>
      <c r="DN8" s="3563"/>
      <c r="DO8" s="3547"/>
      <c r="DP8" s="3559"/>
      <c r="DQ8" s="3562"/>
      <c r="DR8" s="3561">
        <f>DQ8-DP8</f>
        <v>0</v>
      </c>
      <c r="DS8" s="3559"/>
      <c r="DT8" s="3562"/>
      <c r="DU8" s="3561">
        <f>DT8-DS8</f>
        <v>0</v>
      </c>
      <c r="DV8" s="3563"/>
      <c r="DW8" s="3547"/>
      <c r="DX8" s="3559"/>
      <c r="DY8" s="3562"/>
      <c r="DZ8" s="3561">
        <f>DY8-DX8</f>
        <v>0</v>
      </c>
      <c r="EA8" s="3559"/>
      <c r="EB8" s="3562"/>
      <c r="EC8" s="3561">
        <f>EB8-EA8</f>
        <v>0</v>
      </c>
      <c r="ED8" s="3563"/>
      <c r="EF8" s="3565">
        <f t="shared" ref="EF8:EF71" si="37">SUM(ET8,FB8,FJ8,FR8,FZ8,GH8,GP8,GX8,HF8,HN8,HV8,ID8)</f>
        <v>498397.6507936503</v>
      </c>
      <c r="EG8" s="3565">
        <f t="shared" si="24"/>
        <v>311498.53174603148</v>
      </c>
      <c r="EH8" s="3565">
        <f t="shared" si="24"/>
        <v>0</v>
      </c>
      <c r="EI8" s="3565">
        <f t="shared" si="24"/>
        <v>0</v>
      </c>
      <c r="EJ8" s="3565">
        <f t="shared" ref="EJ8:EJ71" si="38">EI8-EG8</f>
        <v>-311498.53174603148</v>
      </c>
      <c r="EK8" s="3566">
        <f t="shared" ref="EK8:EK71" si="39">EI8-EH8</f>
        <v>0</v>
      </c>
      <c r="EL8" s="3556"/>
      <c r="EM8" s="3567">
        <f t="shared" ref="EM8:EM71" si="40">SUM(EX8,FF8,FN8,FV8,GD8,GL8,GT8,HB8,HJ8,HR8,HZ8,IH8)</f>
        <v>125609.9292452826</v>
      </c>
      <c r="EN8" s="3557">
        <f t="shared" si="25"/>
        <v>83739.952830188398</v>
      </c>
      <c r="EO8" s="3557">
        <f t="shared" si="25"/>
        <v>0</v>
      </c>
      <c r="EP8" s="3557">
        <f t="shared" si="25"/>
        <v>0</v>
      </c>
      <c r="EQ8" s="3557">
        <f t="shared" ref="EQ8:EQ71" si="41">EP8-EN8</f>
        <v>-83739.952830188398</v>
      </c>
      <c r="ER8" s="3557">
        <f t="shared" ref="ER8:ER71" si="42">EP8-EO8</f>
        <v>0</v>
      </c>
      <c r="ES8" s="3557"/>
      <c r="ET8" s="3568"/>
      <c r="EU8" s="3569"/>
      <c r="EV8" s="3562"/>
      <c r="EW8" s="3547">
        <f t="shared" si="26"/>
        <v>0</v>
      </c>
      <c r="EX8" s="3568"/>
      <c r="EY8" s="3569"/>
      <c r="EZ8" s="3562"/>
      <c r="FA8" s="3547">
        <f t="shared" si="27"/>
        <v>0</v>
      </c>
      <c r="FB8" s="3568"/>
      <c r="FC8" s="3569"/>
      <c r="FD8" s="3562"/>
      <c r="FE8" s="3547">
        <f>FD8-FB8</f>
        <v>0</v>
      </c>
      <c r="FF8" s="3568"/>
      <c r="FG8" s="3569"/>
      <c r="FH8" s="3562"/>
      <c r="FI8" s="3547">
        <f>FH8-FF8</f>
        <v>0</v>
      </c>
      <c r="FJ8" s="3568"/>
      <c r="FK8" s="3569"/>
      <c r="FL8" s="3562"/>
      <c r="FM8" s="3547">
        <f>FL8-FJ8</f>
        <v>0</v>
      </c>
      <c r="FN8" s="3568"/>
      <c r="FO8" s="3569"/>
      <c r="FP8" s="3562"/>
      <c r="FQ8" s="3547">
        <f>FP8-FN8</f>
        <v>0</v>
      </c>
      <c r="FR8" s="3568"/>
      <c r="FS8" s="3569"/>
      <c r="FT8" s="3562"/>
      <c r="FU8" s="3547">
        <f>FT8-FR8</f>
        <v>0</v>
      </c>
      <c r="FV8" s="3568">
        <v>13956.6588050314</v>
      </c>
      <c r="FW8" s="3569"/>
      <c r="FX8" s="3560"/>
      <c r="FY8" s="3547">
        <f>FX8-FV8</f>
        <v>-13956.6588050314</v>
      </c>
      <c r="FZ8" s="3568">
        <v>62299.706349206303</v>
      </c>
      <c r="GA8" s="3569"/>
      <c r="GB8" s="3562"/>
      <c r="GC8" s="3547">
        <f>GB8-FZ8</f>
        <v>-62299.706349206303</v>
      </c>
      <c r="GD8" s="3568">
        <v>13956.6588050314</v>
      </c>
      <c r="GE8" s="3569"/>
      <c r="GF8" s="3560"/>
      <c r="GG8" s="3547">
        <f>GF8-GD8</f>
        <v>-13956.6588050314</v>
      </c>
      <c r="GH8" s="3568">
        <v>62299.706349206303</v>
      </c>
      <c r="GI8" s="3569"/>
      <c r="GJ8" s="3562"/>
      <c r="GK8" s="3547">
        <f>GJ8-GH8</f>
        <v>-62299.706349206303</v>
      </c>
      <c r="GL8" s="3568">
        <v>13956.6588050314</v>
      </c>
      <c r="GM8" s="3569"/>
      <c r="GN8" s="3560"/>
      <c r="GO8" s="3547">
        <f>GN8-GL8</f>
        <v>-13956.6588050314</v>
      </c>
      <c r="GP8" s="3568">
        <v>62299.706349206303</v>
      </c>
      <c r="GQ8" s="3569"/>
      <c r="GR8" s="3562"/>
      <c r="GS8" s="3547">
        <f>GR8-GP8</f>
        <v>-62299.706349206303</v>
      </c>
      <c r="GT8" s="3568">
        <v>13956.6588050314</v>
      </c>
      <c r="GU8" s="3569"/>
      <c r="GV8" s="3560"/>
      <c r="GW8" s="3547">
        <f>GV8-GT8</f>
        <v>-13956.6588050314</v>
      </c>
      <c r="GX8" s="3568">
        <v>62299.706349206303</v>
      </c>
      <c r="GY8" s="3569"/>
      <c r="GZ8" s="3562"/>
      <c r="HA8" s="3547">
        <f>GZ8-GX8</f>
        <v>-62299.706349206303</v>
      </c>
      <c r="HB8" s="3568">
        <v>13956.6588050314</v>
      </c>
      <c r="HC8" s="3569"/>
      <c r="HD8" s="3562"/>
      <c r="HE8" s="3547">
        <f>HD8-HB8</f>
        <v>-13956.6588050314</v>
      </c>
      <c r="HF8" s="3568">
        <v>62299.706349206303</v>
      </c>
      <c r="HG8" s="3569"/>
      <c r="HH8" s="3562"/>
      <c r="HI8" s="3547">
        <f>HH8-HF8</f>
        <v>-62299.706349206303</v>
      </c>
      <c r="HJ8" s="3568">
        <v>13956.6588050314</v>
      </c>
      <c r="HK8" s="3569"/>
      <c r="HL8" s="3562"/>
      <c r="HM8" s="3547">
        <f>HL8-HJ8</f>
        <v>-13956.6588050314</v>
      </c>
      <c r="HN8" s="3568">
        <v>62299.706349206303</v>
      </c>
      <c r="HO8" s="3569"/>
      <c r="HP8" s="3562"/>
      <c r="HQ8" s="3547">
        <f>HP8-HN8</f>
        <v>-62299.706349206303</v>
      </c>
      <c r="HR8" s="3568">
        <v>13956.6588050314</v>
      </c>
      <c r="HS8" s="3569"/>
      <c r="HT8" s="3562"/>
      <c r="HU8" s="3547">
        <f>HT8-HR8</f>
        <v>-13956.6588050314</v>
      </c>
      <c r="HV8" s="3568">
        <v>62299.706349206303</v>
      </c>
      <c r="HW8" s="3569"/>
      <c r="HX8" s="3562"/>
      <c r="HY8" s="3547">
        <f>HX8-HV8</f>
        <v>-62299.706349206303</v>
      </c>
      <c r="HZ8" s="3568">
        <v>13956.6588050314</v>
      </c>
      <c r="IA8" s="3569"/>
      <c r="IB8" s="3562"/>
      <c r="IC8" s="3547">
        <f>IB8-HZ8</f>
        <v>-13956.6588050314</v>
      </c>
      <c r="ID8" s="3568">
        <v>62299.706349206303</v>
      </c>
      <c r="IE8" s="3569"/>
      <c r="IF8" s="3562"/>
      <c r="IG8" s="3547">
        <f>IF8-ID8</f>
        <v>-62299.706349206303</v>
      </c>
      <c r="IH8" s="3568">
        <v>13956.6588050314</v>
      </c>
      <c r="II8" s="3569"/>
      <c r="IJ8" s="3562"/>
      <c r="IK8" s="3547">
        <f>IJ8-IH8</f>
        <v>-13956.6588050314</v>
      </c>
      <c r="IL8" s="3570"/>
      <c r="IM8" s="3569"/>
      <c r="IN8" s="3569"/>
      <c r="IO8" s="3571"/>
      <c r="IP8" s="3560">
        <f>SUM(IQ8:JB8)</f>
        <v>0</v>
      </c>
      <c r="IQ8" s="3568"/>
      <c r="IR8" s="3568"/>
      <c r="IS8" s="3568"/>
      <c r="IT8" s="3568"/>
      <c r="IU8" s="3568"/>
      <c r="IV8" s="3568"/>
      <c r="IW8" s="3568"/>
      <c r="IX8" s="3568"/>
      <c r="IY8" s="3568"/>
      <c r="IZ8" s="3560"/>
      <c r="JA8" s="3560"/>
      <c r="JB8" s="3560"/>
      <c r="JC8" s="3560">
        <f t="shared" si="11"/>
        <v>0</v>
      </c>
      <c r="JD8" s="3571"/>
      <c r="JE8" s="3568"/>
      <c r="JF8" s="3568"/>
      <c r="JG8" s="3568"/>
      <c r="JH8" s="3568"/>
      <c r="JI8" s="3568"/>
      <c r="JJ8" s="3568"/>
      <c r="JK8" s="3568"/>
      <c r="JL8" s="3568"/>
      <c r="JM8" s="3568"/>
      <c r="JN8" s="3560"/>
      <c r="JO8" s="3560"/>
      <c r="JP8" s="3570"/>
      <c r="JQ8" s="3583"/>
      <c r="JR8" s="3583"/>
      <c r="JS8" s="3573">
        <f t="shared" si="28"/>
        <v>0</v>
      </c>
      <c r="JT8" s="3573">
        <f t="shared" si="35"/>
        <v>0</v>
      </c>
      <c r="JU8" s="3574">
        <f t="shared" si="29"/>
        <v>0</v>
      </c>
      <c r="JV8" s="3574">
        <f t="shared" si="30"/>
        <v>0</v>
      </c>
      <c r="JW8" s="3575"/>
      <c r="JX8" s="3576">
        <f t="shared" si="31"/>
        <v>0</v>
      </c>
      <c r="JY8" s="3576">
        <f t="shared" si="32"/>
        <v>0</v>
      </c>
      <c r="JZ8" s="3577"/>
      <c r="KA8" s="3573">
        <f t="shared" si="12"/>
        <v>-76256.365154237705</v>
      </c>
      <c r="KB8" s="3573"/>
      <c r="KC8" s="3573"/>
      <c r="KD8" s="3573">
        <f t="shared" si="33"/>
        <v>-76256.365154237705</v>
      </c>
      <c r="KE8" s="3578" t="s">
        <v>3765</v>
      </c>
      <c r="KF8" s="3579"/>
      <c r="KG8" s="3579"/>
      <c r="KH8" s="3579"/>
      <c r="KI8" s="3579"/>
      <c r="KJ8" s="3579"/>
      <c r="KK8" s="3579"/>
      <c r="KL8" s="3579">
        <f>-13956.66/10000-76256.37/10000*5</f>
        <v>-39.523850999999993</v>
      </c>
      <c r="KM8" s="3579"/>
      <c r="KN8" s="3579"/>
      <c r="KO8" s="3579"/>
      <c r="KP8" s="3579"/>
      <c r="KQ8" s="3579">
        <f t="shared" si="34"/>
        <v>-39.523850999999993</v>
      </c>
      <c r="KR8" s="3579">
        <f>(EJ8+EQ8)/10000-KQ8</f>
        <v>2.5423780058986267E-6</v>
      </c>
      <c r="KS8" s="3577"/>
      <c r="KT8" s="3577"/>
      <c r="KU8" s="3577"/>
      <c r="KV8" s="3577"/>
      <c r="KW8" s="3577"/>
      <c r="KX8" s="3577"/>
      <c r="KY8" s="3577"/>
      <c r="KZ8" s="3577"/>
      <c r="LA8" s="3577"/>
      <c r="LB8" s="3577"/>
      <c r="LC8" s="3577"/>
      <c r="LD8" s="3577"/>
      <c r="LE8" s="3577"/>
      <c r="LF8" s="3577"/>
      <c r="LG8" s="3577"/>
      <c r="LH8" s="3577"/>
      <c r="LJ8" s="3575"/>
      <c r="LK8" s="3571"/>
      <c r="LL8" s="3576"/>
    </row>
    <row r="9" spans="1:324" s="3580" customFormat="1" ht="18" customHeight="1">
      <c r="A9" s="3545">
        <v>6</v>
      </c>
      <c r="B9" s="3546" t="s">
        <v>3787</v>
      </c>
      <c r="C9" s="3595" t="s">
        <v>3844</v>
      </c>
      <c r="D9" s="3562">
        <v>260</v>
      </c>
      <c r="E9" s="3596" t="s">
        <v>3845</v>
      </c>
      <c r="F9" s="3546" t="s">
        <v>3790</v>
      </c>
      <c r="G9" s="3595" t="s">
        <v>3846</v>
      </c>
      <c r="H9" s="3546"/>
      <c r="I9" s="3594"/>
      <c r="J9" s="3594"/>
      <c r="K9" s="3545"/>
      <c r="L9" s="3545"/>
      <c r="M9" s="3551"/>
      <c r="N9" s="3551"/>
      <c r="O9" s="3551">
        <f t="shared" si="13"/>
        <v>0</v>
      </c>
      <c r="P9" s="3547"/>
      <c r="Q9" s="3547"/>
      <c r="R9" s="3547"/>
      <c r="S9" s="3547">
        <f t="shared" si="14"/>
        <v>0</v>
      </c>
      <c r="T9" s="3552"/>
      <c r="U9" s="3553">
        <f t="shared" si="15"/>
        <v>0</v>
      </c>
      <c r="V9" s="3547"/>
      <c r="W9" s="3547">
        <f t="shared" si="16"/>
        <v>0</v>
      </c>
      <c r="X9" s="3552"/>
      <c r="Y9" s="3547">
        <f t="shared" si="17"/>
        <v>0</v>
      </c>
      <c r="Z9" s="3554"/>
      <c r="AA9" s="3555"/>
      <c r="AB9" s="3593"/>
      <c r="AC9" s="3556">
        <f t="shared" si="18"/>
        <v>0</v>
      </c>
      <c r="AD9" s="3556">
        <f t="shared" si="19"/>
        <v>0</v>
      </c>
      <c r="AE9" s="3556">
        <f t="shared" si="19"/>
        <v>0</v>
      </c>
      <c r="AF9" s="3556">
        <f t="shared" si="20"/>
        <v>0</v>
      </c>
      <c r="AG9" s="3556"/>
      <c r="AH9" s="3557">
        <f t="shared" si="21"/>
        <v>0</v>
      </c>
      <c r="AI9" s="3558">
        <f t="shared" si="22"/>
        <v>0</v>
      </c>
      <c r="AJ9" s="3558">
        <f t="shared" si="22"/>
        <v>0</v>
      </c>
      <c r="AK9" s="3557">
        <f t="shared" ref="AK9:AK72" si="43">AJ9-AI9</f>
        <v>0</v>
      </c>
      <c r="AL9" s="3557"/>
      <c r="AM9" s="3547"/>
      <c r="AN9" s="3559"/>
      <c r="AO9" s="3562"/>
      <c r="AP9" s="3561">
        <f t="shared" ref="AP9:AP34" si="44">AO9-AN9</f>
        <v>0</v>
      </c>
      <c r="AQ9" s="3559"/>
      <c r="AR9" s="3562"/>
      <c r="AS9" s="3561">
        <f t="shared" si="36"/>
        <v>0</v>
      </c>
      <c r="AT9" s="3563" t="s">
        <v>3843</v>
      </c>
      <c r="AU9" s="3547"/>
      <c r="AV9" s="3559"/>
      <c r="AW9" s="3562"/>
      <c r="AX9" s="3561">
        <f t="shared" ref="AX9:AX34" si="45">AW9-AV9</f>
        <v>0</v>
      </c>
      <c r="AY9" s="3559"/>
      <c r="AZ9" s="3562"/>
      <c r="BA9" s="3561">
        <f t="shared" si="23"/>
        <v>0</v>
      </c>
      <c r="BB9" s="3563" t="s">
        <v>3843</v>
      </c>
      <c r="BC9" s="3547"/>
      <c r="BD9" s="3559"/>
      <c r="BE9" s="3562"/>
      <c r="BF9" s="3561">
        <f t="shared" ref="BF9:BF34" si="46">BE9-BD9</f>
        <v>0</v>
      </c>
      <c r="BG9" s="3559"/>
      <c r="BH9" s="3562"/>
      <c r="BI9" s="3561">
        <f t="shared" ref="BI9:BI34" si="47">BH9-BG9</f>
        <v>0</v>
      </c>
      <c r="BJ9" s="3563" t="s">
        <v>3843</v>
      </c>
      <c r="BK9" s="3547"/>
      <c r="BL9" s="3559"/>
      <c r="BM9" s="3562"/>
      <c r="BN9" s="3561">
        <f t="shared" ref="BN9:BN72" si="48">BM9-BL9</f>
        <v>0</v>
      </c>
      <c r="BO9" s="3559"/>
      <c r="BP9" s="3562"/>
      <c r="BQ9" s="3561">
        <f t="shared" ref="BQ9:BQ72" si="49">BP9-BO9</f>
        <v>0</v>
      </c>
      <c r="BR9" s="3563" t="s">
        <v>3843</v>
      </c>
      <c r="BS9" s="3547"/>
      <c r="BT9" s="3559"/>
      <c r="BU9" s="3562"/>
      <c r="BV9" s="3561">
        <f t="shared" ref="BV9:BV72" si="50">BU9-BT9</f>
        <v>0</v>
      </c>
      <c r="BW9" s="3559"/>
      <c r="BX9" s="3562"/>
      <c r="BY9" s="3561">
        <f t="shared" ref="BY9:BY72" si="51">BX9-BW9</f>
        <v>0</v>
      </c>
      <c r="BZ9" s="3563" t="s">
        <v>3843</v>
      </c>
      <c r="CA9" s="3547"/>
      <c r="CB9" s="3559"/>
      <c r="CC9" s="3562"/>
      <c r="CD9" s="3561">
        <f t="shared" ref="CD9:CD72" si="52">CC9-CB9</f>
        <v>0</v>
      </c>
      <c r="CE9" s="3559"/>
      <c r="CF9" s="3562"/>
      <c r="CG9" s="3561">
        <f t="shared" ref="CG9:CG72" si="53">CF9-CE9</f>
        <v>0</v>
      </c>
      <c r="CH9" s="3563" t="s">
        <v>3843</v>
      </c>
      <c r="CI9" s="3547"/>
      <c r="CJ9" s="3559"/>
      <c r="CK9" s="3562"/>
      <c r="CL9" s="3561">
        <f t="shared" si="5"/>
        <v>0</v>
      </c>
      <c r="CM9" s="3559"/>
      <c r="CN9" s="3562"/>
      <c r="CO9" s="3561">
        <f t="shared" ref="CO9:CO72" si="54">CN9-CM9</f>
        <v>0</v>
      </c>
      <c r="CP9" s="3563" t="s">
        <v>3843</v>
      </c>
      <c r="CQ9" s="3547"/>
      <c r="CR9" s="3559"/>
      <c r="CS9" s="3562"/>
      <c r="CT9" s="3561">
        <f t="shared" ref="CT9:CT72" si="55">CS9-CR9</f>
        <v>0</v>
      </c>
      <c r="CU9" s="3559"/>
      <c r="CV9" s="3562"/>
      <c r="CW9" s="3561">
        <f t="shared" ref="CW9:CW72" si="56">CV9-CU9</f>
        <v>0</v>
      </c>
      <c r="CX9" s="3563" t="s">
        <v>3843</v>
      </c>
      <c r="CY9" s="3547"/>
      <c r="CZ9" s="3559"/>
      <c r="DA9" s="3562"/>
      <c r="DB9" s="3561">
        <f t="shared" ref="DB9:DB72" si="57">DA9-CZ9</f>
        <v>0</v>
      </c>
      <c r="DC9" s="3559"/>
      <c r="DD9" s="3562"/>
      <c r="DE9" s="3561">
        <f t="shared" ref="DE9:DE72" si="58">DD9-DC9</f>
        <v>0</v>
      </c>
      <c r="DF9" s="3563" t="s">
        <v>3843</v>
      </c>
      <c r="DG9" s="3547"/>
      <c r="DH9" s="3559"/>
      <c r="DI9" s="3562"/>
      <c r="DJ9" s="3561">
        <f t="shared" ref="DJ9:DJ72" si="59">DI9-DH9</f>
        <v>0</v>
      </c>
      <c r="DK9" s="3559"/>
      <c r="DL9" s="3562"/>
      <c r="DM9" s="3561">
        <f t="shared" ref="DM9:DM72" si="60">DL9-DK9</f>
        <v>0</v>
      </c>
      <c r="DN9" s="3563"/>
      <c r="DO9" s="3547"/>
      <c r="DP9" s="3559"/>
      <c r="DQ9" s="3562"/>
      <c r="DR9" s="3561">
        <f t="shared" ref="DR9:DR72" si="61">DQ9-DP9</f>
        <v>0</v>
      </c>
      <c r="DS9" s="3559"/>
      <c r="DT9" s="3562"/>
      <c r="DU9" s="3561">
        <f t="shared" ref="DU9:DU72" si="62">DT9-DS9</f>
        <v>0</v>
      </c>
      <c r="DV9" s="3563"/>
      <c r="DW9" s="3547"/>
      <c r="DX9" s="3559"/>
      <c r="DY9" s="3562"/>
      <c r="DZ9" s="3561">
        <f t="shared" ref="DZ9:DZ72" si="63">DY9-DX9</f>
        <v>0</v>
      </c>
      <c r="EA9" s="3559"/>
      <c r="EB9" s="3562"/>
      <c r="EC9" s="3561">
        <f t="shared" ref="EC9:EC72" si="64">EB9-EA9</f>
        <v>0</v>
      </c>
      <c r="ED9" s="3563"/>
      <c r="EF9" s="3565">
        <f t="shared" si="37"/>
        <v>0</v>
      </c>
      <c r="EG9" s="3565">
        <f t="shared" si="24"/>
        <v>0</v>
      </c>
      <c r="EH9" s="3565">
        <f t="shared" si="24"/>
        <v>0</v>
      </c>
      <c r="EI9" s="3565">
        <f t="shared" si="24"/>
        <v>0</v>
      </c>
      <c r="EJ9" s="3565">
        <f t="shared" si="38"/>
        <v>0</v>
      </c>
      <c r="EK9" s="3566">
        <f t="shared" si="39"/>
        <v>0</v>
      </c>
      <c r="EL9" s="3556"/>
      <c r="EM9" s="3567">
        <f t="shared" si="40"/>
        <v>0</v>
      </c>
      <c r="EN9" s="3557">
        <f t="shared" si="25"/>
        <v>0</v>
      </c>
      <c r="EO9" s="3557">
        <f t="shared" si="25"/>
        <v>0</v>
      </c>
      <c r="EP9" s="3557">
        <f t="shared" si="25"/>
        <v>0</v>
      </c>
      <c r="EQ9" s="3557">
        <f t="shared" si="41"/>
        <v>0</v>
      </c>
      <c r="ER9" s="3557">
        <f t="shared" si="42"/>
        <v>0</v>
      </c>
      <c r="ES9" s="3557"/>
      <c r="ET9" s="3568"/>
      <c r="EU9" s="3569"/>
      <c r="EV9" s="3562"/>
      <c r="EW9" s="3547">
        <f t="shared" si="26"/>
        <v>0</v>
      </c>
      <c r="EX9" s="3568"/>
      <c r="EY9" s="3569"/>
      <c r="EZ9" s="3562"/>
      <c r="FA9" s="3547">
        <f t="shared" si="27"/>
        <v>0</v>
      </c>
      <c r="FB9" s="3568"/>
      <c r="FC9" s="3569"/>
      <c r="FD9" s="3562"/>
      <c r="FE9" s="3547">
        <f t="shared" ref="FE9:FE34" si="65">FD9-FB9</f>
        <v>0</v>
      </c>
      <c r="FF9" s="3568"/>
      <c r="FG9" s="3569"/>
      <c r="FH9" s="3562"/>
      <c r="FI9" s="3547">
        <f t="shared" ref="FI9:FI34" si="66">FH9-FF9</f>
        <v>0</v>
      </c>
      <c r="FJ9" s="3568"/>
      <c r="FK9" s="3569"/>
      <c r="FL9" s="3562"/>
      <c r="FM9" s="3547">
        <f t="shared" ref="FM9:FM34" si="67">FL9-FJ9</f>
        <v>0</v>
      </c>
      <c r="FN9" s="3568"/>
      <c r="FO9" s="3569"/>
      <c r="FP9" s="3562"/>
      <c r="FQ9" s="3547">
        <f t="shared" ref="FQ9:FQ34" si="68">FP9-FN9</f>
        <v>0</v>
      </c>
      <c r="FR9" s="3568"/>
      <c r="FS9" s="3569"/>
      <c r="FT9" s="3562"/>
      <c r="FU9" s="3547">
        <f t="shared" ref="FU9:FU72" si="69">FT9-FR9</f>
        <v>0</v>
      </c>
      <c r="FV9" s="3568"/>
      <c r="FW9" s="3569"/>
      <c r="FX9" s="3560"/>
      <c r="FY9" s="3547">
        <f t="shared" ref="FY9:FY72" si="70">FX9-FV9</f>
        <v>0</v>
      </c>
      <c r="FZ9" s="3568"/>
      <c r="GA9" s="3569"/>
      <c r="GB9" s="3562"/>
      <c r="GC9" s="3547">
        <f t="shared" ref="GC9:GC72" si="71">GB9-FZ9</f>
        <v>0</v>
      </c>
      <c r="GD9" s="3568"/>
      <c r="GE9" s="3569"/>
      <c r="GF9" s="3560"/>
      <c r="GG9" s="3547">
        <f t="shared" ref="GG9:GG72" si="72">GF9-GD9</f>
        <v>0</v>
      </c>
      <c r="GH9" s="3568"/>
      <c r="GI9" s="3569"/>
      <c r="GJ9" s="3562"/>
      <c r="GK9" s="3547">
        <f t="shared" ref="GK9:GK72" si="73">GJ9-GH9</f>
        <v>0</v>
      </c>
      <c r="GL9" s="3568"/>
      <c r="GM9" s="3569"/>
      <c r="GN9" s="3560"/>
      <c r="GO9" s="3547">
        <f t="shared" ref="GO9:GO72" si="74">GN9-GL9</f>
        <v>0</v>
      </c>
      <c r="GP9" s="3568"/>
      <c r="GQ9" s="3569"/>
      <c r="GR9" s="3562"/>
      <c r="GS9" s="3547">
        <f t="shared" ref="GS9:GS72" si="75">GR9-GP9</f>
        <v>0</v>
      </c>
      <c r="GT9" s="3568"/>
      <c r="GU9" s="3569"/>
      <c r="GV9" s="3560"/>
      <c r="GW9" s="3547">
        <f t="shared" ref="GW9:GW72" si="76">GV9-GT9</f>
        <v>0</v>
      </c>
      <c r="GX9" s="3568"/>
      <c r="GY9" s="3569"/>
      <c r="GZ9" s="3562"/>
      <c r="HA9" s="3547">
        <f t="shared" ref="HA9:HA72" si="77">GZ9-GX9</f>
        <v>0</v>
      </c>
      <c r="HB9" s="3568"/>
      <c r="HC9" s="3569"/>
      <c r="HD9" s="3562"/>
      <c r="HE9" s="3547">
        <f t="shared" ref="HE9:HE72" si="78">HD9-HB9</f>
        <v>0</v>
      </c>
      <c r="HF9" s="3568"/>
      <c r="HG9" s="3569"/>
      <c r="HH9" s="3562"/>
      <c r="HI9" s="3547">
        <f t="shared" ref="HI9:HI72" si="79">HH9-HF9</f>
        <v>0</v>
      </c>
      <c r="HJ9" s="3568"/>
      <c r="HK9" s="3569"/>
      <c r="HL9" s="3562"/>
      <c r="HM9" s="3547">
        <f t="shared" ref="HM9:HM72" si="80">HL9-HJ9</f>
        <v>0</v>
      </c>
      <c r="HN9" s="3568"/>
      <c r="HO9" s="3569"/>
      <c r="HP9" s="3562"/>
      <c r="HQ9" s="3547">
        <f t="shared" ref="HQ9:HQ72" si="81">HP9-HN9</f>
        <v>0</v>
      </c>
      <c r="HR9" s="3568"/>
      <c r="HS9" s="3569"/>
      <c r="HT9" s="3562"/>
      <c r="HU9" s="3547">
        <f t="shared" ref="HU9:HU72" si="82">HT9-HR9</f>
        <v>0</v>
      </c>
      <c r="HV9" s="3568"/>
      <c r="HW9" s="3569"/>
      <c r="HX9" s="3562"/>
      <c r="HY9" s="3547">
        <f t="shared" ref="HY9:HY72" si="83">HX9-HV9</f>
        <v>0</v>
      </c>
      <c r="HZ9" s="3568"/>
      <c r="IA9" s="3569"/>
      <c r="IB9" s="3562"/>
      <c r="IC9" s="3547">
        <f t="shared" ref="IC9:IC72" si="84">IB9-HZ9</f>
        <v>0</v>
      </c>
      <c r="ID9" s="3568"/>
      <c r="IE9" s="3569"/>
      <c r="IF9" s="3562"/>
      <c r="IG9" s="3547">
        <f t="shared" ref="IG9:IG72" si="85">IF9-ID9</f>
        <v>0</v>
      </c>
      <c r="IH9" s="3568"/>
      <c r="II9" s="3569"/>
      <c r="IJ9" s="3562"/>
      <c r="IK9" s="3547">
        <f t="shared" ref="IK9:IK72" si="86">IJ9-IH9</f>
        <v>0</v>
      </c>
      <c r="IL9" s="3570"/>
      <c r="IM9" s="3569"/>
      <c r="IN9" s="3569"/>
      <c r="IO9" s="3571"/>
      <c r="IP9" s="3560">
        <f t="shared" ref="IP9:IP72" si="87">SUM(IQ9:JB9)</f>
        <v>0</v>
      </c>
      <c r="IQ9" s="3568"/>
      <c r="IR9" s="3568"/>
      <c r="IS9" s="3568"/>
      <c r="IT9" s="3568"/>
      <c r="IU9" s="3568"/>
      <c r="IV9" s="3568"/>
      <c r="IW9" s="3568"/>
      <c r="IX9" s="3568"/>
      <c r="IY9" s="3568"/>
      <c r="IZ9" s="3560"/>
      <c r="JA9" s="3560"/>
      <c r="JB9" s="3560"/>
      <c r="JC9" s="3560">
        <f t="shared" si="11"/>
        <v>0</v>
      </c>
      <c r="JD9" s="3571"/>
      <c r="JE9" s="3568"/>
      <c r="JF9" s="3568"/>
      <c r="JG9" s="3568"/>
      <c r="JH9" s="3568"/>
      <c r="JI9" s="3568"/>
      <c r="JJ9" s="3568"/>
      <c r="JK9" s="3568"/>
      <c r="JL9" s="3568"/>
      <c r="JM9" s="3568"/>
      <c r="JN9" s="3560"/>
      <c r="JO9" s="3560"/>
      <c r="JP9" s="3570"/>
      <c r="JQ9" s="3583"/>
      <c r="JR9" s="3583"/>
      <c r="JS9" s="3573">
        <f t="shared" si="28"/>
        <v>0</v>
      </c>
      <c r="JT9" s="3573">
        <f t="shared" si="35"/>
        <v>0</v>
      </c>
      <c r="JU9" s="3574">
        <f t="shared" si="29"/>
        <v>0</v>
      </c>
      <c r="JV9" s="3574">
        <f t="shared" si="30"/>
        <v>0</v>
      </c>
      <c r="JW9" s="3575"/>
      <c r="JX9" s="3576">
        <f t="shared" si="31"/>
        <v>0</v>
      </c>
      <c r="JY9" s="3576">
        <f t="shared" si="32"/>
        <v>0</v>
      </c>
      <c r="JZ9" s="3577"/>
      <c r="KA9" s="3573">
        <f t="shared" si="12"/>
        <v>0</v>
      </c>
      <c r="KB9" s="3573"/>
      <c r="KC9" s="3573"/>
      <c r="KD9" s="3573">
        <f t="shared" si="33"/>
        <v>0</v>
      </c>
      <c r="KE9" s="3571"/>
      <c r="KF9" s="3579"/>
      <c r="KG9" s="3579"/>
      <c r="KH9" s="3579"/>
      <c r="KI9" s="3579"/>
      <c r="KJ9" s="3579"/>
      <c r="KK9" s="3579"/>
      <c r="KL9" s="3579"/>
      <c r="KM9" s="3579"/>
      <c r="KN9" s="3579"/>
      <c r="KO9" s="3579"/>
      <c r="KP9" s="3579"/>
      <c r="KQ9" s="3579">
        <f t="shared" si="34"/>
        <v>0</v>
      </c>
      <c r="KR9" s="3579">
        <f t="shared" ref="KR9:KR72" si="88">(EJ9+EQ9)/10000-KQ9</f>
        <v>0</v>
      </c>
      <c r="KS9" s="3577"/>
      <c r="KT9" s="3577"/>
      <c r="KU9" s="3577"/>
      <c r="KV9" s="3577"/>
      <c r="KW9" s="3577"/>
      <c r="KX9" s="3577"/>
      <c r="KY9" s="3577"/>
      <c r="KZ9" s="3577"/>
      <c r="LA9" s="3577"/>
      <c r="LB9" s="3577"/>
      <c r="LC9" s="3577"/>
      <c r="LD9" s="3577"/>
      <c r="LE9" s="3577"/>
      <c r="LF9" s="3577"/>
      <c r="LG9" s="3577"/>
      <c r="LH9" s="3577"/>
      <c r="LJ9" s="3575"/>
      <c r="LK9" s="3571"/>
      <c r="LL9" s="3576"/>
    </row>
    <row r="10" spans="1:324" s="3580" customFormat="1" ht="18" customHeight="1">
      <c r="A10" s="3545">
        <v>7</v>
      </c>
      <c r="B10" s="3546" t="s">
        <v>3787</v>
      </c>
      <c r="C10" s="3546" t="s">
        <v>3847</v>
      </c>
      <c r="D10" s="3547">
        <v>192.1</v>
      </c>
      <c r="E10" s="3548" t="s">
        <v>3789</v>
      </c>
      <c r="F10" s="3546" t="s">
        <v>3790</v>
      </c>
      <c r="G10" s="3546"/>
      <c r="H10" s="3546"/>
      <c r="I10" s="3594"/>
      <c r="J10" s="3594"/>
      <c r="K10" s="3545"/>
      <c r="L10" s="3545"/>
      <c r="M10" s="3551"/>
      <c r="N10" s="3551"/>
      <c r="O10" s="3551">
        <f t="shared" si="13"/>
        <v>0</v>
      </c>
      <c r="P10" s="3547"/>
      <c r="Q10" s="3547"/>
      <c r="R10" s="3547"/>
      <c r="S10" s="3547">
        <f t="shared" si="14"/>
        <v>0</v>
      </c>
      <c r="T10" s="3552"/>
      <c r="U10" s="3553">
        <f t="shared" si="15"/>
        <v>0</v>
      </c>
      <c r="V10" s="3547"/>
      <c r="W10" s="3547">
        <f t="shared" si="16"/>
        <v>0</v>
      </c>
      <c r="X10" s="3552"/>
      <c r="Y10" s="3547">
        <f t="shared" si="17"/>
        <v>0</v>
      </c>
      <c r="Z10" s="3554"/>
      <c r="AA10" s="3555"/>
      <c r="AB10" s="3593"/>
      <c r="AC10" s="3556">
        <f t="shared" si="18"/>
        <v>0</v>
      </c>
      <c r="AD10" s="3556">
        <f t="shared" si="19"/>
        <v>0</v>
      </c>
      <c r="AE10" s="3556">
        <f t="shared" si="19"/>
        <v>0</v>
      </c>
      <c r="AF10" s="3556">
        <f t="shared" si="20"/>
        <v>0</v>
      </c>
      <c r="AG10" s="3556"/>
      <c r="AH10" s="3557">
        <f t="shared" si="21"/>
        <v>0</v>
      </c>
      <c r="AI10" s="3558">
        <f t="shared" si="22"/>
        <v>0</v>
      </c>
      <c r="AJ10" s="3558">
        <f t="shared" si="22"/>
        <v>0</v>
      </c>
      <c r="AK10" s="3557">
        <f t="shared" si="43"/>
        <v>0</v>
      </c>
      <c r="AL10" s="3557"/>
      <c r="AM10" s="3547"/>
      <c r="AN10" s="3559"/>
      <c r="AO10" s="3562"/>
      <c r="AP10" s="3561">
        <f t="shared" si="44"/>
        <v>0</v>
      </c>
      <c r="AQ10" s="3559"/>
      <c r="AR10" s="3562"/>
      <c r="AS10" s="3561">
        <f t="shared" si="36"/>
        <v>0</v>
      </c>
      <c r="AT10" s="3563" t="s">
        <v>3843</v>
      </c>
      <c r="AU10" s="3547"/>
      <c r="AV10" s="3559"/>
      <c r="AW10" s="3562"/>
      <c r="AX10" s="3561">
        <f t="shared" si="45"/>
        <v>0</v>
      </c>
      <c r="AY10" s="3559"/>
      <c r="AZ10" s="3562"/>
      <c r="BA10" s="3561">
        <f t="shared" si="23"/>
        <v>0</v>
      </c>
      <c r="BB10" s="3563" t="s">
        <v>3843</v>
      </c>
      <c r="BC10" s="3547"/>
      <c r="BD10" s="3559"/>
      <c r="BE10" s="3562"/>
      <c r="BF10" s="3561">
        <f t="shared" si="46"/>
        <v>0</v>
      </c>
      <c r="BG10" s="3559"/>
      <c r="BH10" s="3562"/>
      <c r="BI10" s="3561">
        <f t="shared" si="47"/>
        <v>0</v>
      </c>
      <c r="BJ10" s="3563" t="s">
        <v>3843</v>
      </c>
      <c r="BK10" s="3547"/>
      <c r="BL10" s="3559"/>
      <c r="BM10" s="3562"/>
      <c r="BN10" s="3561">
        <f t="shared" si="48"/>
        <v>0</v>
      </c>
      <c r="BO10" s="3559"/>
      <c r="BP10" s="3562"/>
      <c r="BQ10" s="3561">
        <f t="shared" si="49"/>
        <v>0</v>
      </c>
      <c r="BR10" s="3563" t="s">
        <v>3843</v>
      </c>
      <c r="BS10" s="3547"/>
      <c r="BT10" s="3559"/>
      <c r="BU10" s="3562"/>
      <c r="BV10" s="3561">
        <f t="shared" si="50"/>
        <v>0</v>
      </c>
      <c r="BW10" s="3559"/>
      <c r="BX10" s="3562"/>
      <c r="BY10" s="3561">
        <f t="shared" si="51"/>
        <v>0</v>
      </c>
      <c r="BZ10" s="3563" t="s">
        <v>3843</v>
      </c>
      <c r="CA10" s="3547"/>
      <c r="CB10" s="3559"/>
      <c r="CC10" s="3562"/>
      <c r="CD10" s="3561">
        <f t="shared" si="52"/>
        <v>0</v>
      </c>
      <c r="CE10" s="3559"/>
      <c r="CF10" s="3562"/>
      <c r="CG10" s="3561">
        <f t="shared" si="53"/>
        <v>0</v>
      </c>
      <c r="CH10" s="3563" t="s">
        <v>3843</v>
      </c>
      <c r="CI10" s="3547"/>
      <c r="CJ10" s="3559"/>
      <c r="CK10" s="3562"/>
      <c r="CL10" s="3561">
        <f t="shared" si="5"/>
        <v>0</v>
      </c>
      <c r="CM10" s="3559"/>
      <c r="CN10" s="3562"/>
      <c r="CO10" s="3561">
        <f t="shared" si="54"/>
        <v>0</v>
      </c>
      <c r="CP10" s="3563" t="s">
        <v>3843</v>
      </c>
      <c r="CQ10" s="3547"/>
      <c r="CR10" s="3559"/>
      <c r="CS10" s="3562"/>
      <c r="CT10" s="3561">
        <f t="shared" si="55"/>
        <v>0</v>
      </c>
      <c r="CU10" s="3559"/>
      <c r="CV10" s="3562"/>
      <c r="CW10" s="3561">
        <f t="shared" si="56"/>
        <v>0</v>
      </c>
      <c r="CX10" s="3563" t="s">
        <v>3843</v>
      </c>
      <c r="CY10" s="3597"/>
      <c r="CZ10" s="3559"/>
      <c r="DA10" s="3562"/>
      <c r="DB10" s="3561">
        <f t="shared" si="57"/>
        <v>0</v>
      </c>
      <c r="DC10" s="3559"/>
      <c r="DD10" s="3562"/>
      <c r="DE10" s="3561">
        <f t="shared" si="58"/>
        <v>0</v>
      </c>
      <c r="DF10" s="3563" t="s">
        <v>3843</v>
      </c>
      <c r="DG10" s="3547"/>
      <c r="DH10" s="3559"/>
      <c r="DI10" s="3562"/>
      <c r="DJ10" s="3561">
        <f t="shared" si="59"/>
        <v>0</v>
      </c>
      <c r="DK10" s="3559"/>
      <c r="DL10" s="3562"/>
      <c r="DM10" s="3561">
        <f t="shared" si="60"/>
        <v>0</v>
      </c>
      <c r="DN10" s="3563"/>
      <c r="DO10" s="3547"/>
      <c r="DP10" s="3559"/>
      <c r="DQ10" s="3562"/>
      <c r="DR10" s="3561">
        <f t="shared" si="61"/>
        <v>0</v>
      </c>
      <c r="DS10" s="3559"/>
      <c r="DT10" s="3562"/>
      <c r="DU10" s="3561">
        <f t="shared" si="62"/>
        <v>0</v>
      </c>
      <c r="DV10" s="3563"/>
      <c r="DW10" s="3547"/>
      <c r="DX10" s="3559"/>
      <c r="DY10" s="3562"/>
      <c r="DZ10" s="3561">
        <f t="shared" si="63"/>
        <v>0</v>
      </c>
      <c r="EA10" s="3559"/>
      <c r="EB10" s="3562"/>
      <c r="EC10" s="3561">
        <f t="shared" si="64"/>
        <v>0</v>
      </c>
      <c r="ED10" s="3563"/>
      <c r="EF10" s="3565">
        <f t="shared" si="37"/>
        <v>163382.57460317438</v>
      </c>
      <c r="EG10" s="3565">
        <f t="shared" si="24"/>
        <v>102114.109126984</v>
      </c>
      <c r="EH10" s="3565">
        <f t="shared" si="24"/>
        <v>0</v>
      </c>
      <c r="EI10" s="3565">
        <f t="shared" si="24"/>
        <v>0</v>
      </c>
      <c r="EJ10" s="3565">
        <f t="shared" si="38"/>
        <v>-102114.109126984</v>
      </c>
      <c r="EK10" s="3566">
        <f t="shared" si="39"/>
        <v>0</v>
      </c>
      <c r="EL10" s="3556"/>
      <c r="EM10" s="3567">
        <f t="shared" si="40"/>
        <v>36601.694968553442</v>
      </c>
      <c r="EN10" s="3557">
        <f t="shared" si="25"/>
        <v>22876.0593553459</v>
      </c>
      <c r="EO10" s="3557">
        <f t="shared" si="25"/>
        <v>0</v>
      </c>
      <c r="EP10" s="3557">
        <f t="shared" si="25"/>
        <v>0</v>
      </c>
      <c r="EQ10" s="3557">
        <f t="shared" si="41"/>
        <v>-22876.0593553459</v>
      </c>
      <c r="ER10" s="3557">
        <f t="shared" si="42"/>
        <v>0</v>
      </c>
      <c r="ES10" s="3557"/>
      <c r="ET10" s="3568"/>
      <c r="EU10" s="3569"/>
      <c r="EV10" s="3562"/>
      <c r="EW10" s="3547">
        <f t="shared" si="26"/>
        <v>0</v>
      </c>
      <c r="EX10" s="3568"/>
      <c r="EY10" s="3569"/>
      <c r="EZ10" s="3562"/>
      <c r="FA10" s="3547">
        <f t="shared" si="27"/>
        <v>0</v>
      </c>
      <c r="FB10" s="3568"/>
      <c r="FC10" s="3569"/>
      <c r="FD10" s="3562"/>
      <c r="FE10" s="3547">
        <f t="shared" si="65"/>
        <v>0</v>
      </c>
      <c r="FF10" s="3568"/>
      <c r="FG10" s="3569"/>
      <c r="FH10" s="3562"/>
      <c r="FI10" s="3547">
        <f t="shared" si="66"/>
        <v>0</v>
      </c>
      <c r="FJ10" s="3568"/>
      <c r="FK10" s="3569"/>
      <c r="FL10" s="3562"/>
      <c r="FM10" s="3547">
        <f t="shared" si="67"/>
        <v>0</v>
      </c>
      <c r="FN10" s="3568"/>
      <c r="FO10" s="3569"/>
      <c r="FP10" s="3562"/>
      <c r="FQ10" s="3547">
        <f t="shared" si="68"/>
        <v>0</v>
      </c>
      <c r="FR10" s="3568"/>
      <c r="FS10" s="3569"/>
      <c r="FT10" s="3562"/>
      <c r="FU10" s="3547">
        <f t="shared" si="69"/>
        <v>0</v>
      </c>
      <c r="FV10" s="3568"/>
      <c r="FW10" s="3569"/>
      <c r="FX10" s="3560"/>
      <c r="FY10" s="3547">
        <f t="shared" si="70"/>
        <v>0</v>
      </c>
      <c r="FZ10" s="3568">
        <v>20422.821825396801</v>
      </c>
      <c r="GA10" s="3569"/>
      <c r="GB10" s="3562"/>
      <c r="GC10" s="3547">
        <f t="shared" si="71"/>
        <v>-20422.821825396801</v>
      </c>
      <c r="GD10" s="3568">
        <v>4575.2118710691802</v>
      </c>
      <c r="GE10" s="3569"/>
      <c r="GF10" s="3560"/>
      <c r="GG10" s="3547">
        <f t="shared" si="72"/>
        <v>-4575.2118710691802</v>
      </c>
      <c r="GH10" s="3568">
        <v>20422.821825396801</v>
      </c>
      <c r="GI10" s="3569"/>
      <c r="GJ10" s="3562"/>
      <c r="GK10" s="3547">
        <f t="shared" si="73"/>
        <v>-20422.821825396801</v>
      </c>
      <c r="GL10" s="3568">
        <v>4575.2118710691802</v>
      </c>
      <c r="GM10" s="3569"/>
      <c r="GN10" s="3560"/>
      <c r="GO10" s="3547">
        <f t="shared" si="74"/>
        <v>-4575.2118710691802</v>
      </c>
      <c r="GP10" s="3568">
        <v>20422.821825396801</v>
      </c>
      <c r="GQ10" s="3569"/>
      <c r="GR10" s="3562"/>
      <c r="GS10" s="3547">
        <f t="shared" si="75"/>
        <v>-20422.821825396801</v>
      </c>
      <c r="GT10" s="3568">
        <v>4575.2118710691802</v>
      </c>
      <c r="GU10" s="3569"/>
      <c r="GV10" s="3560"/>
      <c r="GW10" s="3547">
        <f t="shared" si="76"/>
        <v>-4575.2118710691802</v>
      </c>
      <c r="GX10" s="3568">
        <v>20422.821825396801</v>
      </c>
      <c r="GY10" s="3569"/>
      <c r="GZ10" s="3562"/>
      <c r="HA10" s="3547">
        <f t="shared" si="77"/>
        <v>-20422.821825396801</v>
      </c>
      <c r="HB10" s="3568">
        <v>4575.2118710691802</v>
      </c>
      <c r="HC10" s="3569"/>
      <c r="HD10" s="3562"/>
      <c r="HE10" s="3547">
        <f t="shared" si="78"/>
        <v>-4575.2118710691802</v>
      </c>
      <c r="HF10" s="3568">
        <v>20422.821825396801</v>
      </c>
      <c r="HG10" s="3569"/>
      <c r="HH10" s="3562"/>
      <c r="HI10" s="3547">
        <f t="shared" si="79"/>
        <v>-20422.821825396801</v>
      </c>
      <c r="HJ10" s="3568">
        <v>4575.2118710691802</v>
      </c>
      <c r="HK10" s="3569"/>
      <c r="HL10" s="3562"/>
      <c r="HM10" s="3547">
        <f t="shared" si="80"/>
        <v>-4575.2118710691802</v>
      </c>
      <c r="HN10" s="3568">
        <v>20422.821825396801</v>
      </c>
      <c r="HO10" s="3569"/>
      <c r="HP10" s="3562"/>
      <c r="HQ10" s="3547">
        <f t="shared" si="81"/>
        <v>-20422.821825396801</v>
      </c>
      <c r="HR10" s="3568">
        <v>4575.2118710691802</v>
      </c>
      <c r="HS10" s="3569"/>
      <c r="HT10" s="3562"/>
      <c r="HU10" s="3547">
        <f t="shared" si="82"/>
        <v>-4575.2118710691802</v>
      </c>
      <c r="HV10" s="3568">
        <v>20422.821825396801</v>
      </c>
      <c r="HW10" s="3569"/>
      <c r="HX10" s="3562"/>
      <c r="HY10" s="3547">
        <f t="shared" si="83"/>
        <v>-20422.821825396801</v>
      </c>
      <c r="HZ10" s="3568">
        <v>4575.2118710691802</v>
      </c>
      <c r="IA10" s="3569"/>
      <c r="IB10" s="3562"/>
      <c r="IC10" s="3547">
        <f t="shared" si="84"/>
        <v>-4575.2118710691802</v>
      </c>
      <c r="ID10" s="3568">
        <v>20422.821825396801</v>
      </c>
      <c r="IE10" s="3569"/>
      <c r="IF10" s="3562"/>
      <c r="IG10" s="3547">
        <f t="shared" si="85"/>
        <v>-20422.821825396801</v>
      </c>
      <c r="IH10" s="3568">
        <v>4575.2118710691802</v>
      </c>
      <c r="II10" s="3569"/>
      <c r="IJ10" s="3562"/>
      <c r="IK10" s="3547">
        <f t="shared" si="86"/>
        <v>-4575.2118710691802</v>
      </c>
      <c r="IL10" s="3570"/>
      <c r="IM10" s="3569"/>
      <c r="IN10" s="3569"/>
      <c r="IO10" s="3571"/>
      <c r="IP10" s="3560">
        <f t="shared" si="87"/>
        <v>0</v>
      </c>
      <c r="IQ10" s="3568"/>
      <c r="IR10" s="3568"/>
      <c r="IS10" s="3568"/>
      <c r="IT10" s="3568"/>
      <c r="IU10" s="3568"/>
      <c r="IV10" s="3568"/>
      <c r="IW10" s="3568"/>
      <c r="IX10" s="3568"/>
      <c r="IY10" s="3568"/>
      <c r="IZ10" s="3560"/>
      <c r="JA10" s="3560"/>
      <c r="JB10" s="3560"/>
      <c r="JC10" s="3560">
        <f t="shared" si="11"/>
        <v>0</v>
      </c>
      <c r="JD10" s="3571"/>
      <c r="JE10" s="3568"/>
      <c r="JF10" s="3568"/>
      <c r="JG10" s="3568"/>
      <c r="JH10" s="3568"/>
      <c r="JI10" s="3568"/>
      <c r="JJ10" s="3568"/>
      <c r="JK10" s="3568"/>
      <c r="JL10" s="3568"/>
      <c r="JM10" s="3568"/>
      <c r="JN10" s="3560"/>
      <c r="JO10" s="3560"/>
      <c r="JP10" s="3570"/>
      <c r="JQ10" s="3583"/>
      <c r="JR10" s="3583"/>
      <c r="JS10" s="3573">
        <f t="shared" si="28"/>
        <v>0</v>
      </c>
      <c r="JT10" s="3573">
        <f t="shared" si="35"/>
        <v>0</v>
      </c>
      <c r="JU10" s="3574">
        <f t="shared" si="29"/>
        <v>0</v>
      </c>
      <c r="JV10" s="3574">
        <f t="shared" si="30"/>
        <v>0</v>
      </c>
      <c r="JW10" s="3575"/>
      <c r="JX10" s="3576">
        <f t="shared" si="31"/>
        <v>0</v>
      </c>
      <c r="JY10" s="3576">
        <f t="shared" si="32"/>
        <v>0</v>
      </c>
      <c r="JZ10" s="3577"/>
      <c r="KA10" s="3573">
        <f t="shared" si="12"/>
        <v>-24998.03369646598</v>
      </c>
      <c r="KB10" s="3573"/>
      <c r="KC10" s="3573"/>
      <c r="KD10" s="3573">
        <f t="shared" si="33"/>
        <v>-24998.03369646598</v>
      </c>
      <c r="KE10" s="3578" t="s">
        <v>3765</v>
      </c>
      <c r="KF10" s="3579"/>
      <c r="KG10" s="3579"/>
      <c r="KH10" s="3579"/>
      <c r="KI10" s="3579"/>
      <c r="KJ10" s="3579"/>
      <c r="KK10" s="3579"/>
      <c r="KL10" s="3579">
        <f>-24998.03/10000*5</f>
        <v>-12.499015</v>
      </c>
      <c r="KM10" s="3579"/>
      <c r="KN10" s="3579"/>
      <c r="KO10" s="3579"/>
      <c r="KP10" s="3579"/>
      <c r="KQ10" s="3579">
        <f t="shared" si="34"/>
        <v>-12.499015</v>
      </c>
      <c r="KR10" s="3579">
        <f t="shared" si="88"/>
        <v>-1.8482329906532868E-6</v>
      </c>
      <c r="KS10" s="3577"/>
      <c r="KT10" s="3577"/>
      <c r="KU10" s="3577"/>
      <c r="KV10" s="3577"/>
      <c r="KW10" s="3577"/>
      <c r="KX10" s="3577"/>
      <c r="KY10" s="3577"/>
      <c r="KZ10" s="3577"/>
      <c r="LA10" s="3577"/>
      <c r="LB10" s="3577"/>
      <c r="LC10" s="3577"/>
      <c r="LD10" s="3577"/>
      <c r="LE10" s="3577"/>
      <c r="LF10" s="3577"/>
      <c r="LG10" s="3577"/>
      <c r="LH10" s="3577"/>
      <c r="LJ10" s="3575"/>
      <c r="LK10" s="3571"/>
      <c r="LL10" s="3576"/>
    </row>
    <row r="11" spans="1:324" s="3580" customFormat="1" ht="18" customHeight="1">
      <c r="A11" s="3545">
        <v>8</v>
      </c>
      <c r="B11" s="3546" t="s">
        <v>3848</v>
      </c>
      <c r="C11" s="3546" t="s">
        <v>3849</v>
      </c>
      <c r="D11" s="3547">
        <v>58.82</v>
      </c>
      <c r="E11" s="3548" t="s">
        <v>3799</v>
      </c>
      <c r="F11" s="3546" t="s">
        <v>3790</v>
      </c>
      <c r="G11" s="3549" t="s">
        <v>3850</v>
      </c>
      <c r="H11" s="3546" t="s">
        <v>3851</v>
      </c>
      <c r="I11" s="3594" t="s">
        <v>3852</v>
      </c>
      <c r="J11" s="3594" t="s">
        <v>3853</v>
      </c>
      <c r="K11" s="3545"/>
      <c r="L11" s="3555"/>
      <c r="M11" s="3551">
        <v>19698.09</v>
      </c>
      <c r="N11" s="3551">
        <v>19698.09</v>
      </c>
      <c r="O11" s="3551">
        <f t="shared" si="13"/>
        <v>0</v>
      </c>
      <c r="P11" s="3547">
        <v>4454.88</v>
      </c>
      <c r="Q11" s="3547">
        <v>4454.88</v>
      </c>
      <c r="R11" s="3547"/>
      <c r="S11" s="3547">
        <f t="shared" si="14"/>
        <v>3.6700013507659777</v>
      </c>
      <c r="T11" s="3598">
        <v>6566.03</v>
      </c>
      <c r="U11" s="3553">
        <f t="shared" si="15"/>
        <v>78792.36</v>
      </c>
      <c r="V11" s="3547">
        <f>6566.03*22+6977.52*12</f>
        <v>228182.90000000002</v>
      </c>
      <c r="W11" s="3547">
        <f t="shared" si="16"/>
        <v>0.8300000465781372</v>
      </c>
      <c r="X11" s="3552">
        <v>1484.96</v>
      </c>
      <c r="Y11" s="3547">
        <f t="shared" si="17"/>
        <v>17819.52</v>
      </c>
      <c r="Z11" s="3554"/>
      <c r="AA11" s="3555"/>
      <c r="AB11" s="3552" t="s">
        <v>3804</v>
      </c>
      <c r="AC11" s="3556">
        <f t="shared" si="18"/>
        <v>65660.3</v>
      </c>
      <c r="AD11" s="3556">
        <f t="shared" si="19"/>
        <v>45962.21</v>
      </c>
      <c r="AE11" s="3556">
        <f t="shared" si="19"/>
        <v>45962.21</v>
      </c>
      <c r="AF11" s="3556">
        <f t="shared" si="20"/>
        <v>0</v>
      </c>
      <c r="AG11" s="3556"/>
      <c r="AH11" s="3557">
        <f t="shared" si="21"/>
        <v>17819.52</v>
      </c>
      <c r="AI11" s="3558">
        <f t="shared" si="22"/>
        <v>13364.64</v>
      </c>
      <c r="AJ11" s="3558">
        <f t="shared" si="22"/>
        <v>13364.64</v>
      </c>
      <c r="AK11" s="3557">
        <f t="shared" si="43"/>
        <v>0</v>
      </c>
      <c r="AL11" s="3557"/>
      <c r="AM11" s="3547"/>
      <c r="AN11" s="3599"/>
      <c r="AO11" s="3562"/>
      <c r="AP11" s="3561">
        <f t="shared" si="44"/>
        <v>0</v>
      </c>
      <c r="AQ11" s="3559"/>
      <c r="AR11" s="3562"/>
      <c r="AS11" s="3561">
        <f t="shared" si="36"/>
        <v>0</v>
      </c>
      <c r="AT11" s="3600" t="s">
        <v>3854</v>
      </c>
      <c r="AU11" s="3584" t="s">
        <v>3855</v>
      </c>
      <c r="AV11" s="3601">
        <v>6566.03</v>
      </c>
      <c r="AW11" s="3562">
        <v>6566.03</v>
      </c>
      <c r="AX11" s="3561">
        <f t="shared" si="45"/>
        <v>0</v>
      </c>
      <c r="AY11" s="3559">
        <v>4454.88</v>
      </c>
      <c r="AZ11" s="3562">
        <v>4454.88</v>
      </c>
      <c r="BA11" s="3561">
        <f t="shared" si="23"/>
        <v>0</v>
      </c>
      <c r="BB11" s="3600" t="s">
        <v>3856</v>
      </c>
      <c r="BC11" s="3547"/>
      <c r="BD11" s="3599"/>
      <c r="BE11" s="3562"/>
      <c r="BF11" s="3561">
        <f t="shared" si="46"/>
        <v>0</v>
      </c>
      <c r="BG11" s="3559"/>
      <c r="BH11" s="3562"/>
      <c r="BI11" s="3561">
        <f t="shared" si="47"/>
        <v>0</v>
      </c>
      <c r="BJ11" s="3600" t="s">
        <v>3856</v>
      </c>
      <c r="BK11" s="3547" t="s">
        <v>3857</v>
      </c>
      <c r="BL11" s="3599">
        <f>6566.03*3</f>
        <v>19698.09</v>
      </c>
      <c r="BM11" s="3562">
        <v>19698.09</v>
      </c>
      <c r="BN11" s="3602">
        <f t="shared" si="48"/>
        <v>0</v>
      </c>
      <c r="BO11" s="3559">
        <f>1484.96*3</f>
        <v>4454.88</v>
      </c>
      <c r="BP11" s="3562">
        <v>4454.88</v>
      </c>
      <c r="BQ11" s="3602">
        <f t="shared" si="49"/>
        <v>0</v>
      </c>
      <c r="BR11" s="3600" t="s">
        <v>3858</v>
      </c>
      <c r="BS11" s="3547" t="s">
        <v>3857</v>
      </c>
      <c r="BT11" s="3599">
        <f>-19698.09+19698.09</f>
        <v>0</v>
      </c>
      <c r="BU11" s="3562"/>
      <c r="BV11" s="3561">
        <f t="shared" si="50"/>
        <v>0</v>
      </c>
      <c r="BW11" s="3559">
        <f>-4454.88+4454.88</f>
        <v>0</v>
      </c>
      <c r="BX11" s="3562"/>
      <c r="BY11" s="3561">
        <f t="shared" si="51"/>
        <v>0</v>
      </c>
      <c r="BZ11" s="3600" t="s">
        <v>3858</v>
      </c>
      <c r="CA11" s="3547"/>
      <c r="CB11" s="3599"/>
      <c r="CC11" s="3562"/>
      <c r="CD11" s="3561">
        <f t="shared" si="52"/>
        <v>0</v>
      </c>
      <c r="CE11" s="3559"/>
      <c r="CF11" s="3562"/>
      <c r="CG11" s="3561">
        <f t="shared" si="53"/>
        <v>0</v>
      </c>
      <c r="CH11" s="3600" t="s">
        <v>3858</v>
      </c>
      <c r="CI11" s="3547" t="s">
        <v>3859</v>
      </c>
      <c r="CJ11" s="3599">
        <f>6566.03*3</f>
        <v>19698.09</v>
      </c>
      <c r="CK11" s="3603">
        <v>19698.09</v>
      </c>
      <c r="CL11" s="3561">
        <f t="shared" si="5"/>
        <v>0</v>
      </c>
      <c r="CM11" s="3604">
        <f>1484.96*3</f>
        <v>4454.88</v>
      </c>
      <c r="CN11" s="3603">
        <v>4454.88</v>
      </c>
      <c r="CO11" s="3561">
        <f t="shared" si="54"/>
        <v>0</v>
      </c>
      <c r="CP11" s="3600" t="s">
        <v>3860</v>
      </c>
      <c r="CQ11" s="3547"/>
      <c r="CR11" s="3599"/>
      <c r="CS11" s="3562"/>
      <c r="CT11" s="3561">
        <f t="shared" si="55"/>
        <v>0</v>
      </c>
      <c r="CU11" s="3559"/>
      <c r="CV11" s="3562"/>
      <c r="CW11" s="3561">
        <f t="shared" si="56"/>
        <v>0</v>
      </c>
      <c r="CX11" s="3600" t="s">
        <v>3860</v>
      </c>
      <c r="CY11" s="3597"/>
      <c r="CZ11" s="3599"/>
      <c r="DA11" s="3562"/>
      <c r="DB11" s="3561">
        <f t="shared" si="57"/>
        <v>0</v>
      </c>
      <c r="DC11" s="3559"/>
      <c r="DD11" s="3562"/>
      <c r="DE11" s="3561">
        <f t="shared" si="58"/>
        <v>0</v>
      </c>
      <c r="DF11" s="3600" t="s">
        <v>3860</v>
      </c>
      <c r="DG11" s="3547" t="s">
        <v>3861</v>
      </c>
      <c r="DH11" s="3599">
        <f>6566.03*3</f>
        <v>19698.09</v>
      </c>
      <c r="DI11" s="3562"/>
      <c r="DJ11" s="3561">
        <f t="shared" si="59"/>
        <v>-19698.09</v>
      </c>
      <c r="DK11" s="3559">
        <f>1484.96*3</f>
        <v>4454.88</v>
      </c>
      <c r="DL11" s="3562"/>
      <c r="DM11" s="3561">
        <f t="shared" si="60"/>
        <v>-4454.88</v>
      </c>
      <c r="DN11" s="3563"/>
      <c r="DO11" s="3547"/>
      <c r="DP11" s="3599"/>
      <c r="DQ11" s="3562"/>
      <c r="DR11" s="3561">
        <f t="shared" si="61"/>
        <v>0</v>
      </c>
      <c r="DS11" s="3559"/>
      <c r="DT11" s="3562"/>
      <c r="DU11" s="3561">
        <f t="shared" si="62"/>
        <v>0</v>
      </c>
      <c r="DV11" s="3563"/>
      <c r="DW11" s="3547"/>
      <c r="DX11" s="3599"/>
      <c r="DY11" s="3562"/>
      <c r="DZ11" s="3561">
        <f t="shared" si="63"/>
        <v>0</v>
      </c>
      <c r="EA11" s="3559"/>
      <c r="EB11" s="3562"/>
      <c r="EC11" s="3561">
        <f t="shared" si="64"/>
        <v>0</v>
      </c>
      <c r="ED11" s="3563"/>
      <c r="EF11" s="3565">
        <f t="shared" si="37"/>
        <v>0</v>
      </c>
      <c r="EG11" s="3565">
        <f t="shared" si="24"/>
        <v>0</v>
      </c>
      <c r="EH11" s="3565">
        <f t="shared" si="24"/>
        <v>34025.141761252438</v>
      </c>
      <c r="EI11" s="3565">
        <f t="shared" si="24"/>
        <v>34025.141761252438</v>
      </c>
      <c r="EJ11" s="3565">
        <f t="shared" si="38"/>
        <v>34025.141761252438</v>
      </c>
      <c r="EK11" s="3565">
        <f t="shared" si="39"/>
        <v>0</v>
      </c>
      <c r="EL11" s="3556"/>
      <c r="EM11" s="3557">
        <f t="shared" si="40"/>
        <v>0</v>
      </c>
      <c r="EN11" s="3557">
        <f t="shared" si="25"/>
        <v>0</v>
      </c>
      <c r="EO11" s="3557">
        <f t="shared" si="25"/>
        <v>10424.273352287413</v>
      </c>
      <c r="EP11" s="3557">
        <f t="shared" si="25"/>
        <v>10424.273352287413</v>
      </c>
      <c r="EQ11" s="3557">
        <f t="shared" si="41"/>
        <v>10424.273352287413</v>
      </c>
      <c r="ER11" s="3557">
        <f t="shared" si="42"/>
        <v>0</v>
      </c>
      <c r="ES11" s="3557"/>
      <c r="ET11" s="3568"/>
      <c r="EU11" s="3569"/>
      <c r="EV11" s="3562"/>
      <c r="EW11" s="3547">
        <f t="shared" si="26"/>
        <v>0</v>
      </c>
      <c r="EX11" s="3568"/>
      <c r="EY11" s="3569"/>
      <c r="EZ11" s="3562"/>
      <c r="FA11" s="3547">
        <f t="shared" si="27"/>
        <v>0</v>
      </c>
      <c r="FB11" s="3568"/>
      <c r="FC11" s="3592"/>
      <c r="FD11" s="3605"/>
      <c r="FE11" s="3547">
        <f t="shared" si="65"/>
        <v>0</v>
      </c>
      <c r="FF11" s="3568"/>
      <c r="FG11" s="3569">
        <f>1484.96/1.06-1484.96/1.06*12/365*17</f>
        <v>617.93372964590344</v>
      </c>
      <c r="FH11" s="3562">
        <f>4454.88/1.06/3-4454.88/1.06/3*12/365*17</f>
        <v>617.93372964590333</v>
      </c>
      <c r="FI11" s="3547">
        <f t="shared" si="66"/>
        <v>617.93372964590333</v>
      </c>
      <c r="FJ11" s="3568"/>
      <c r="FK11" s="3592"/>
      <c r="FL11" s="3605"/>
      <c r="FM11" s="3547">
        <f t="shared" si="67"/>
        <v>0</v>
      </c>
      <c r="FN11" s="3568"/>
      <c r="FO11" s="3569">
        <f>1484.96/1.06</f>
        <v>1400.9056603773583</v>
      </c>
      <c r="FP11" s="3562">
        <f>4454.88/3/1.06</f>
        <v>1400.9056603773583</v>
      </c>
      <c r="FQ11" s="3547">
        <f t="shared" si="68"/>
        <v>1400.9056603773583</v>
      </c>
      <c r="FR11" s="3568"/>
      <c r="FS11" s="3592">
        <f>6566.03/1.05-6566.03/1.05*12/365*17</f>
        <v>2758.3322374429222</v>
      </c>
      <c r="FT11" s="3605">
        <f>6566.03/1.05-6566.03/1.05*12/365*17</f>
        <v>2758.3322374429222</v>
      </c>
      <c r="FU11" s="3547">
        <f t="shared" si="69"/>
        <v>2758.3322374429222</v>
      </c>
      <c r="FV11" s="3568"/>
      <c r="FW11" s="3569">
        <f>1484.96/1.06</f>
        <v>1400.9056603773583</v>
      </c>
      <c r="FX11" s="3562">
        <f>4454.88/3/1.06</f>
        <v>1400.9056603773583</v>
      </c>
      <c r="FY11" s="3547">
        <f t="shared" si="70"/>
        <v>1400.9056603773583</v>
      </c>
      <c r="FZ11" s="3568"/>
      <c r="GA11" s="3569">
        <f>6566.03/1.05</f>
        <v>6253.361904761904</v>
      </c>
      <c r="GB11" s="3606">
        <f>6566.03/1.05*12/365*17+19698.09/3/1.05-19698.09/3/1.05*12/365*17</f>
        <v>6253.3619047619031</v>
      </c>
      <c r="GC11" s="3547">
        <f t="shared" si="71"/>
        <v>6253.3619047619031</v>
      </c>
      <c r="GD11" s="3568"/>
      <c r="GE11" s="3569">
        <f>1484.96/1.06</f>
        <v>1400.9056603773583</v>
      </c>
      <c r="GF11" s="3606">
        <f>4454.88/3/1.06*12/365*17+4454.88/3/1.06-4454.88/3/1.06*12/365*17</f>
        <v>1400.9056603773583</v>
      </c>
      <c r="GG11" s="3547">
        <f t="shared" si="72"/>
        <v>1400.9056603773583</v>
      </c>
      <c r="GH11" s="3568"/>
      <c r="GI11" s="3569">
        <f>6566.03/1.05</f>
        <v>6253.361904761904</v>
      </c>
      <c r="GJ11" s="3562">
        <f>19698.09/3/1.05</f>
        <v>6253.361904761904</v>
      </c>
      <c r="GK11" s="3547">
        <f t="shared" si="73"/>
        <v>6253.361904761904</v>
      </c>
      <c r="GL11" s="3568"/>
      <c r="GM11" s="3569">
        <f>1484.96/1.06</f>
        <v>1400.9056603773583</v>
      </c>
      <c r="GN11" s="3560">
        <f>4454.88/3/1.06</f>
        <v>1400.9056603773583</v>
      </c>
      <c r="GO11" s="3547">
        <f t="shared" si="74"/>
        <v>1400.9056603773583</v>
      </c>
      <c r="GP11" s="3568"/>
      <c r="GQ11" s="3569">
        <f>6566.03/1.05</f>
        <v>6253.361904761904</v>
      </c>
      <c r="GR11" s="3562">
        <f>19698.09/3/1.05</f>
        <v>6253.361904761904</v>
      </c>
      <c r="GS11" s="3547">
        <f t="shared" si="75"/>
        <v>6253.361904761904</v>
      </c>
      <c r="GT11" s="3568"/>
      <c r="GU11" s="3569">
        <f>1484.96/1.06</f>
        <v>1400.9056603773583</v>
      </c>
      <c r="GV11" s="3560">
        <f>4454.88/3/1.06</f>
        <v>1400.9056603773583</v>
      </c>
      <c r="GW11" s="3547">
        <f t="shared" si="76"/>
        <v>1400.9056603773583</v>
      </c>
      <c r="GX11" s="3568"/>
      <c r="GY11" s="3569">
        <f>6566.03/1.05</f>
        <v>6253.361904761904</v>
      </c>
      <c r="GZ11" s="3562">
        <f>19698.09/3/1.05*12/365*17+19698.09/3/1.05-19698.09/3/1.05*12/365*17</f>
        <v>6253.3619047619031</v>
      </c>
      <c r="HA11" s="3547">
        <f t="shared" si="77"/>
        <v>6253.3619047619031</v>
      </c>
      <c r="HB11" s="3568"/>
      <c r="HC11" s="3569">
        <f>1484.96/1.06</f>
        <v>1400.9056603773583</v>
      </c>
      <c r="HD11" s="3560">
        <f>4454.88/3/1.06*12/365*17+4454.88/3/1.06-4454.88/3/1.06*12/365*17</f>
        <v>1400.9056603773583</v>
      </c>
      <c r="HE11" s="3547">
        <f t="shared" si="78"/>
        <v>1400.9056603773583</v>
      </c>
      <c r="HF11" s="3568"/>
      <c r="HG11" s="3569">
        <f>6566.03/1.05</f>
        <v>6253.361904761904</v>
      </c>
      <c r="HH11" s="3562">
        <f>19698.09/3/1.05</f>
        <v>6253.361904761904</v>
      </c>
      <c r="HI11" s="3547">
        <f t="shared" si="79"/>
        <v>6253.361904761904</v>
      </c>
      <c r="HJ11" s="3568"/>
      <c r="HK11" s="3569">
        <f>1484.96/1.06</f>
        <v>1400.9056603773583</v>
      </c>
      <c r="HL11" s="3562">
        <f>4454.88/3/1.06</f>
        <v>1400.9056603773583</v>
      </c>
      <c r="HM11" s="3547">
        <f t="shared" si="80"/>
        <v>1400.9056603773583</v>
      </c>
      <c r="HN11" s="3568"/>
      <c r="HO11" s="3569">
        <f>6566.03/1.05</f>
        <v>6253.361904761904</v>
      </c>
      <c r="HP11" s="3562">
        <f>19698.09/3/1.05</f>
        <v>6253.361904761904</v>
      </c>
      <c r="HQ11" s="3547">
        <f t="shared" si="81"/>
        <v>6253.361904761904</v>
      </c>
      <c r="HR11" s="3568"/>
      <c r="HS11" s="3569">
        <f>1484.96/1.06</f>
        <v>1400.9056603773583</v>
      </c>
      <c r="HT11" s="3562">
        <f>4454.88/3/1.06</f>
        <v>1400.9056603773583</v>
      </c>
      <c r="HU11" s="3547">
        <f t="shared" si="82"/>
        <v>1400.9056603773583</v>
      </c>
      <c r="HV11" s="3568"/>
      <c r="HW11" s="3569">
        <f>6566.03/1.05</f>
        <v>6253.361904761904</v>
      </c>
      <c r="HX11" s="3562">
        <f>19698.09/3/1.05*12/365*17</f>
        <v>3495.0296673189819</v>
      </c>
      <c r="HY11" s="3547">
        <f t="shared" si="83"/>
        <v>3495.0296673189819</v>
      </c>
      <c r="HZ11" s="3568"/>
      <c r="IA11" s="3569">
        <f>1484.96/1.06</f>
        <v>1400.9056603773583</v>
      </c>
      <c r="IB11" s="3560">
        <f>4454.88/3/1.06*12/365*17</f>
        <v>782.9719307314549</v>
      </c>
      <c r="IC11" s="3547">
        <f t="shared" si="84"/>
        <v>782.9719307314549</v>
      </c>
      <c r="ID11" s="3568"/>
      <c r="IE11" s="3569">
        <f>6566.03/1.05</f>
        <v>6253.361904761904</v>
      </c>
      <c r="IF11" s="3562"/>
      <c r="IG11" s="3547">
        <f t="shared" si="85"/>
        <v>0</v>
      </c>
      <c r="IH11" s="3568"/>
      <c r="II11" s="3569">
        <f>1484.96/1.06</f>
        <v>1400.9056603773583</v>
      </c>
      <c r="IJ11" s="3562"/>
      <c r="IK11" s="3547">
        <f t="shared" si="86"/>
        <v>0</v>
      </c>
      <c r="IL11" s="3607" t="s">
        <v>3862</v>
      </c>
      <c r="IM11" s="3599">
        <f>6566.03/1.05+6566.03*12/365*17/1.05</f>
        <v>9748.3915720808873</v>
      </c>
      <c r="IN11" s="3559">
        <f>1484.96/1.06+1484.96*12/365*17/1.06</f>
        <v>2183.8775911088132</v>
      </c>
      <c r="IO11" s="3571"/>
      <c r="IP11" s="3560">
        <f t="shared" si="87"/>
        <v>0</v>
      </c>
      <c r="IQ11" s="3568"/>
      <c r="IR11" s="3568"/>
      <c r="IS11" s="3568"/>
      <c r="IT11" s="3568"/>
      <c r="IU11" s="3568"/>
      <c r="IV11" s="3568"/>
      <c r="IW11" s="3568"/>
      <c r="IX11" s="3568"/>
      <c r="IY11" s="3568"/>
      <c r="IZ11" s="3560"/>
      <c r="JA11" s="3560"/>
      <c r="JB11" s="3560"/>
      <c r="JC11" s="3560">
        <f t="shared" si="11"/>
        <v>0</v>
      </c>
      <c r="JD11" s="3571"/>
      <c r="JE11" s="3568"/>
      <c r="JF11" s="3568"/>
      <c r="JG11" s="3568"/>
      <c r="JH11" s="3568"/>
      <c r="JI11" s="3568"/>
      <c r="JJ11" s="3568"/>
      <c r="JK11" s="3568"/>
      <c r="JL11" s="3568"/>
      <c r="JM11" s="3568"/>
      <c r="JN11" s="3560"/>
      <c r="JO11" s="3560"/>
      <c r="JP11" s="3570"/>
      <c r="JQ11" s="3583"/>
      <c r="JR11" s="3583"/>
      <c r="JS11" s="3573">
        <f t="shared" si="28"/>
        <v>0</v>
      </c>
      <c r="JT11" s="3573">
        <f t="shared" si="35"/>
        <v>0</v>
      </c>
      <c r="JU11" s="3574">
        <f t="shared" si="29"/>
        <v>0</v>
      </c>
      <c r="JV11" s="3574">
        <f t="shared" si="30"/>
        <v>0</v>
      </c>
      <c r="JW11" s="3575"/>
      <c r="JX11" s="3576">
        <f t="shared" si="31"/>
        <v>9748.3915720808855</v>
      </c>
      <c r="JY11" s="3576">
        <f t="shared" si="32"/>
        <v>2183.8775911088132</v>
      </c>
      <c r="JZ11" s="3577"/>
      <c r="KA11" s="3573">
        <f t="shared" si="12"/>
        <v>7654.2675651392619</v>
      </c>
      <c r="KB11" s="3573"/>
      <c r="KC11" s="3573"/>
      <c r="KD11" s="3573">
        <f t="shared" si="33"/>
        <v>7654.2675651392619</v>
      </c>
      <c r="KE11" s="3578" t="s">
        <v>3863</v>
      </c>
      <c r="KF11" s="3579">
        <f>617.93/10000+1400.91/10000+4159.24/10000+7654.27/10000*5</f>
        <v>4.4449430000000003</v>
      </c>
      <c r="KG11" s="3579"/>
      <c r="KH11" s="3579"/>
      <c r="KI11" s="3579"/>
      <c r="KJ11" s="3579"/>
      <c r="KK11" s="3579"/>
      <c r="KL11" s="3579"/>
      <c r="KM11" s="3579"/>
      <c r="KN11" s="3579"/>
      <c r="KO11" s="3579"/>
      <c r="KP11" s="3579"/>
      <c r="KQ11" s="3579">
        <f t="shared" si="34"/>
        <v>4.4449430000000003</v>
      </c>
      <c r="KR11" s="3579">
        <f t="shared" si="88"/>
        <v>-1.4886460153462622E-6</v>
      </c>
      <c r="KS11" s="3577"/>
      <c r="KT11" s="3577"/>
      <c r="KU11" s="3577"/>
      <c r="KV11" s="3577"/>
      <c r="KW11" s="3577"/>
      <c r="KX11" s="3577"/>
      <c r="KY11" s="3577"/>
      <c r="KZ11" s="3577"/>
      <c r="LA11" s="3577"/>
      <c r="LB11" s="3577"/>
      <c r="LC11" s="3577"/>
      <c r="LD11" s="3577"/>
      <c r="LE11" s="3577"/>
      <c r="LF11" s="3577"/>
      <c r="LG11" s="3577"/>
      <c r="LH11" s="3577"/>
      <c r="LJ11" s="3575"/>
      <c r="LK11" s="3571"/>
      <c r="LL11" s="3576"/>
    </row>
    <row r="12" spans="1:324" s="3580" customFormat="1" ht="18" customHeight="1">
      <c r="A12" s="3545">
        <v>9</v>
      </c>
      <c r="B12" s="3546" t="s">
        <v>3848</v>
      </c>
      <c r="C12" s="3546" t="s">
        <v>3864</v>
      </c>
      <c r="D12" s="3547">
        <v>240.74</v>
      </c>
      <c r="E12" s="3608" t="s">
        <v>3865</v>
      </c>
      <c r="F12" s="3546" t="s">
        <v>3790</v>
      </c>
      <c r="G12" s="3549" t="s">
        <v>3866</v>
      </c>
      <c r="H12" s="3546" t="s">
        <v>3867</v>
      </c>
      <c r="I12" s="3594" t="s">
        <v>3868</v>
      </c>
      <c r="J12" s="3594" t="s">
        <v>3869</v>
      </c>
      <c r="K12" s="3545" t="s">
        <v>3870</v>
      </c>
      <c r="L12" s="3555"/>
      <c r="M12" s="3551"/>
      <c r="N12" s="3551"/>
      <c r="O12" s="3551">
        <f t="shared" si="13"/>
        <v>0</v>
      </c>
      <c r="P12" s="3551"/>
      <c r="Q12" s="3551"/>
      <c r="R12" s="3547">
        <f t="shared" ref="R12:R34" si="89">Q12-P12</f>
        <v>0</v>
      </c>
      <c r="S12" s="3547">
        <f t="shared" si="14"/>
        <v>0</v>
      </c>
      <c r="T12" s="3552"/>
      <c r="U12" s="3553">
        <f t="shared" si="15"/>
        <v>0</v>
      </c>
      <c r="V12" s="3547"/>
      <c r="W12" s="3547">
        <f t="shared" si="16"/>
        <v>0</v>
      </c>
      <c r="X12" s="3552"/>
      <c r="Y12" s="3547">
        <f t="shared" si="17"/>
        <v>0</v>
      </c>
      <c r="Z12" s="3554"/>
      <c r="AA12" s="3555"/>
      <c r="AB12" s="3552"/>
      <c r="AC12" s="3556">
        <f t="shared" si="18"/>
        <v>208618.26999999996</v>
      </c>
      <c r="AD12" s="3556">
        <f t="shared" si="19"/>
        <v>208618.26999999996</v>
      </c>
      <c r="AE12" s="3556">
        <f t="shared" si="19"/>
        <v>208618.26999999996</v>
      </c>
      <c r="AF12" s="3556">
        <f t="shared" si="20"/>
        <v>0</v>
      </c>
      <c r="AG12" s="3556"/>
      <c r="AH12" s="3557">
        <f t="shared" si="21"/>
        <v>42543.76</v>
      </c>
      <c r="AI12" s="3558">
        <f t="shared" si="22"/>
        <v>42543.76</v>
      </c>
      <c r="AJ12" s="3558">
        <f t="shared" si="22"/>
        <v>42543.76</v>
      </c>
      <c r="AK12" s="3557">
        <f t="shared" si="43"/>
        <v>0</v>
      </c>
      <c r="AL12" s="3557"/>
      <c r="AM12" s="3547" t="s">
        <v>3822</v>
      </c>
      <c r="AN12" s="3609">
        <v>29802.61</v>
      </c>
      <c r="AO12" s="3562">
        <v>29802.61</v>
      </c>
      <c r="AP12" s="3561">
        <f t="shared" si="44"/>
        <v>0</v>
      </c>
      <c r="AQ12" s="3559">
        <v>6077.68</v>
      </c>
      <c r="AR12" s="3562">
        <v>6077.68</v>
      </c>
      <c r="AS12" s="3561">
        <f t="shared" si="36"/>
        <v>0</v>
      </c>
      <c r="AT12" s="3563" t="s">
        <v>3871</v>
      </c>
      <c r="AU12" s="3547" t="s">
        <v>3824</v>
      </c>
      <c r="AV12" s="3609">
        <v>29802.61</v>
      </c>
      <c r="AW12" s="3562">
        <v>29802.61</v>
      </c>
      <c r="AX12" s="3561">
        <f t="shared" si="45"/>
        <v>0</v>
      </c>
      <c r="AY12" s="3559">
        <v>6077.68</v>
      </c>
      <c r="AZ12" s="3562">
        <v>6077.68</v>
      </c>
      <c r="BA12" s="3561">
        <f t="shared" si="23"/>
        <v>0</v>
      </c>
      <c r="BB12" s="3563" t="s">
        <v>3825</v>
      </c>
      <c r="BC12" s="3547" t="s">
        <v>3826</v>
      </c>
      <c r="BD12" s="3609">
        <v>29802.61</v>
      </c>
      <c r="BE12" s="3562">
        <v>29802.61</v>
      </c>
      <c r="BF12" s="3561">
        <f t="shared" si="46"/>
        <v>0</v>
      </c>
      <c r="BG12" s="3559">
        <v>6077.68</v>
      </c>
      <c r="BH12" s="3562">
        <v>6077.68</v>
      </c>
      <c r="BI12" s="3561">
        <f t="shared" si="47"/>
        <v>0</v>
      </c>
      <c r="BJ12" s="3563" t="s">
        <v>3872</v>
      </c>
      <c r="BK12" s="3547" t="s">
        <v>3873</v>
      </c>
      <c r="BL12" s="3609">
        <v>29802.61</v>
      </c>
      <c r="BM12" s="3562">
        <v>29802.61</v>
      </c>
      <c r="BN12" s="3602">
        <f t="shared" si="48"/>
        <v>0</v>
      </c>
      <c r="BO12" s="3559">
        <v>6077.68</v>
      </c>
      <c r="BP12" s="3562">
        <v>6077.68</v>
      </c>
      <c r="BQ12" s="3602">
        <f t="shared" si="49"/>
        <v>0</v>
      </c>
      <c r="BR12" s="3563" t="s">
        <v>3874</v>
      </c>
      <c r="BS12" s="3547" t="s">
        <v>3875</v>
      </c>
      <c r="BT12" s="3609">
        <v>29802.61</v>
      </c>
      <c r="BU12" s="3603">
        <v>29802.61</v>
      </c>
      <c r="BV12" s="3602">
        <f t="shared" si="50"/>
        <v>0</v>
      </c>
      <c r="BW12" s="3604">
        <v>6077.68</v>
      </c>
      <c r="BX12" s="3603">
        <v>6077.68</v>
      </c>
      <c r="BY12" s="3561">
        <f t="shared" si="51"/>
        <v>0</v>
      </c>
      <c r="BZ12" s="3563" t="s">
        <v>3876</v>
      </c>
      <c r="CA12" s="3547" t="s">
        <v>3877</v>
      </c>
      <c r="CB12" s="3609">
        <v>29802.61</v>
      </c>
      <c r="CC12" s="3562">
        <v>29802.61</v>
      </c>
      <c r="CD12" s="3561">
        <f t="shared" si="52"/>
        <v>0</v>
      </c>
      <c r="CE12" s="3559">
        <v>6077.68</v>
      </c>
      <c r="CF12" s="3562">
        <v>6077.68</v>
      </c>
      <c r="CG12" s="3561">
        <f t="shared" si="53"/>
        <v>0</v>
      </c>
      <c r="CH12" s="3563" t="s">
        <v>3878</v>
      </c>
      <c r="CI12" s="3547" t="s">
        <v>3879</v>
      </c>
      <c r="CJ12" s="3609">
        <v>29802.61</v>
      </c>
      <c r="CK12" s="3603">
        <v>29802.61</v>
      </c>
      <c r="CL12" s="3602">
        <f t="shared" si="5"/>
        <v>0</v>
      </c>
      <c r="CM12" s="3604">
        <v>6077.68</v>
      </c>
      <c r="CN12" s="3603">
        <v>6077.68</v>
      </c>
      <c r="CO12" s="3561">
        <f t="shared" si="54"/>
        <v>0</v>
      </c>
      <c r="CP12" s="3563" t="s">
        <v>3880</v>
      </c>
      <c r="CQ12" s="3547"/>
      <c r="CR12" s="3609"/>
      <c r="CS12" s="3562"/>
      <c r="CT12" s="3561">
        <f t="shared" si="55"/>
        <v>0</v>
      </c>
      <c r="CU12" s="3559"/>
      <c r="CV12" s="3562"/>
      <c r="CW12" s="3561">
        <f t="shared" si="56"/>
        <v>0</v>
      </c>
      <c r="CX12" s="3563" t="s">
        <v>3880</v>
      </c>
      <c r="CY12" s="3597"/>
      <c r="CZ12" s="3609"/>
      <c r="DA12" s="3562"/>
      <c r="DB12" s="3561">
        <f t="shared" si="57"/>
        <v>0</v>
      </c>
      <c r="DC12" s="3559"/>
      <c r="DD12" s="3562"/>
      <c r="DE12" s="3561">
        <f t="shared" si="58"/>
        <v>0</v>
      </c>
      <c r="DF12" s="3563" t="s">
        <v>3880</v>
      </c>
      <c r="DG12" s="3547"/>
      <c r="DH12" s="3609"/>
      <c r="DI12" s="3562"/>
      <c r="DJ12" s="3561">
        <f t="shared" si="59"/>
        <v>0</v>
      </c>
      <c r="DK12" s="3559"/>
      <c r="DL12" s="3562"/>
      <c r="DM12" s="3561">
        <f t="shared" si="60"/>
        <v>0</v>
      </c>
      <c r="DN12" s="3563"/>
      <c r="DO12" s="3547"/>
      <c r="DP12" s="3609"/>
      <c r="DQ12" s="3562"/>
      <c r="DR12" s="3561">
        <f t="shared" si="61"/>
        <v>0</v>
      </c>
      <c r="DS12" s="3559"/>
      <c r="DT12" s="3562"/>
      <c r="DU12" s="3561">
        <f t="shared" si="62"/>
        <v>0</v>
      </c>
      <c r="DV12" s="3563"/>
      <c r="DW12" s="3547"/>
      <c r="DX12" s="3609"/>
      <c r="DY12" s="3562"/>
      <c r="DZ12" s="3561">
        <f t="shared" si="63"/>
        <v>0</v>
      </c>
      <c r="EA12" s="3559"/>
      <c r="EB12" s="3562"/>
      <c r="EC12" s="3561">
        <f t="shared" si="64"/>
        <v>0</v>
      </c>
      <c r="ED12" s="3563"/>
      <c r="EF12" s="3565">
        <f t="shared" si="37"/>
        <v>340601.25301587314</v>
      </c>
      <c r="EG12" s="3565">
        <f t="shared" si="24"/>
        <v>255450.94182539688</v>
      </c>
      <c r="EH12" s="3565">
        <f t="shared" si="24"/>
        <v>227067.50476190474</v>
      </c>
      <c r="EI12" s="3565">
        <f t="shared" si="24"/>
        <v>227067.50476190474</v>
      </c>
      <c r="EJ12" s="3565">
        <f t="shared" si="38"/>
        <v>-28383.437063492136</v>
      </c>
      <c r="EK12" s="3565">
        <f t="shared" si="39"/>
        <v>0</v>
      </c>
      <c r="EL12" s="3610"/>
      <c r="EM12" s="3557">
        <f t="shared" si="40"/>
        <v>68858.538050314455</v>
      </c>
      <c r="EN12" s="3557">
        <f t="shared" si="25"/>
        <v>51657.551493710693</v>
      </c>
      <c r="EO12" s="3557">
        <f t="shared" si="25"/>
        <v>45869.283018867922</v>
      </c>
      <c r="EP12" s="3557">
        <f t="shared" si="25"/>
        <v>45869.283018867922</v>
      </c>
      <c r="EQ12" s="3557">
        <f t="shared" si="41"/>
        <v>-5788.268474842771</v>
      </c>
      <c r="ER12" s="3557">
        <f t="shared" si="42"/>
        <v>0</v>
      </c>
      <c r="ES12" s="3557"/>
      <c r="ET12" s="3568">
        <v>28383.4380952381</v>
      </c>
      <c r="EU12" s="3569">
        <f>29802.61/1.05</f>
        <v>28383.438095238096</v>
      </c>
      <c r="EV12" s="3562">
        <f>29802.61/1.05</f>
        <v>28383.438095238096</v>
      </c>
      <c r="EW12" s="3547">
        <f t="shared" si="26"/>
        <v>0</v>
      </c>
      <c r="EX12" s="3568">
        <v>5788.2666666666701</v>
      </c>
      <c r="EY12" s="3569">
        <f>6077.68/1.06</f>
        <v>5733.6603773584902</v>
      </c>
      <c r="EZ12" s="3562">
        <f>6077.68/1.06</f>
        <v>5733.6603773584902</v>
      </c>
      <c r="FA12" s="3547">
        <f t="shared" si="27"/>
        <v>-54.606289308179839</v>
      </c>
      <c r="FB12" s="3568">
        <v>28383.4380952381</v>
      </c>
      <c r="FC12" s="3569">
        <f>29802.61/1.05</f>
        <v>28383.438095238096</v>
      </c>
      <c r="FD12" s="3562">
        <f>29802.61/1.05</f>
        <v>28383.438095238096</v>
      </c>
      <c r="FE12" s="3547">
        <f t="shared" si="65"/>
        <v>0</v>
      </c>
      <c r="FF12" s="3568">
        <v>5733.6603773584902</v>
      </c>
      <c r="FG12" s="3569">
        <f>6077.68/1.06</f>
        <v>5733.6603773584902</v>
      </c>
      <c r="FH12" s="3562">
        <f>6077.68/1.06</f>
        <v>5733.6603773584902</v>
      </c>
      <c r="FI12" s="3547">
        <f t="shared" si="66"/>
        <v>0</v>
      </c>
      <c r="FJ12" s="3568">
        <v>28383.4380952381</v>
      </c>
      <c r="FK12" s="3569">
        <f>29802.61/1.05</f>
        <v>28383.438095238096</v>
      </c>
      <c r="FL12" s="3562">
        <f>29802.61/1.05</f>
        <v>28383.438095238096</v>
      </c>
      <c r="FM12" s="3547">
        <f t="shared" si="67"/>
        <v>0</v>
      </c>
      <c r="FN12" s="3568">
        <v>5733.6603773584902</v>
      </c>
      <c r="FO12" s="3569">
        <f>6077.68/1.06</f>
        <v>5733.6603773584902</v>
      </c>
      <c r="FP12" s="3562">
        <f>6077.68/1.06</f>
        <v>5733.6603773584902</v>
      </c>
      <c r="FQ12" s="3547">
        <f t="shared" si="68"/>
        <v>0</v>
      </c>
      <c r="FR12" s="3568">
        <v>28383.4380952381</v>
      </c>
      <c r="FS12" s="3569">
        <f>29802.61/1.05</f>
        <v>28383.438095238096</v>
      </c>
      <c r="FT12" s="3560">
        <f>29802.61/1.05</f>
        <v>28383.438095238096</v>
      </c>
      <c r="FU12" s="3547">
        <f t="shared" si="69"/>
        <v>0</v>
      </c>
      <c r="FV12" s="3568">
        <v>5733.6603773584902</v>
      </c>
      <c r="FW12" s="3569">
        <f>6077.68/1.06</f>
        <v>5733.6603773584902</v>
      </c>
      <c r="FX12" s="3560">
        <f>6077.68/1.06</f>
        <v>5733.6603773584902</v>
      </c>
      <c r="FY12" s="3547">
        <f t="shared" si="70"/>
        <v>0</v>
      </c>
      <c r="FZ12" s="3568">
        <v>28383.4380952381</v>
      </c>
      <c r="GA12" s="3569">
        <f>29802.61/1.05</f>
        <v>28383.438095238096</v>
      </c>
      <c r="GB12" s="3562">
        <f>29802.61/1.05</f>
        <v>28383.438095238096</v>
      </c>
      <c r="GC12" s="3547">
        <f t="shared" si="71"/>
        <v>0</v>
      </c>
      <c r="GD12" s="3568">
        <v>5733.6603773584902</v>
      </c>
      <c r="GE12" s="3569">
        <f>6077.68/1.06</f>
        <v>5733.6603773584902</v>
      </c>
      <c r="GF12" s="3562">
        <f>6077.68/1.06</f>
        <v>5733.6603773584902</v>
      </c>
      <c r="GG12" s="3547">
        <f t="shared" si="72"/>
        <v>0</v>
      </c>
      <c r="GH12" s="3568">
        <v>28383.4380952381</v>
      </c>
      <c r="GI12" s="3569">
        <f>29802.61/1.05</f>
        <v>28383.438095238096</v>
      </c>
      <c r="GJ12" s="3562">
        <f>29802.61/1.05</f>
        <v>28383.438095238096</v>
      </c>
      <c r="GK12" s="3547">
        <f t="shared" si="73"/>
        <v>0</v>
      </c>
      <c r="GL12" s="3568">
        <v>5733.6603773584902</v>
      </c>
      <c r="GM12" s="3569">
        <f>6077.68/1.06</f>
        <v>5733.6603773584902</v>
      </c>
      <c r="GN12" s="3562">
        <f>6077.68/1.06</f>
        <v>5733.6603773584902</v>
      </c>
      <c r="GO12" s="3547">
        <f t="shared" si="74"/>
        <v>0</v>
      </c>
      <c r="GP12" s="3568">
        <v>28383.4380952381</v>
      </c>
      <c r="GQ12" s="3569">
        <f>29802.61/1.05</f>
        <v>28383.438095238096</v>
      </c>
      <c r="GR12" s="3562">
        <f>29802.61/1.05</f>
        <v>28383.438095238096</v>
      </c>
      <c r="GS12" s="3547">
        <f t="shared" si="75"/>
        <v>0</v>
      </c>
      <c r="GT12" s="3568">
        <v>5733.6603773584902</v>
      </c>
      <c r="GU12" s="3569">
        <f>6077.68/1.06</f>
        <v>5733.6603773584902</v>
      </c>
      <c r="GV12" s="3562">
        <f>6077.68/1.06</f>
        <v>5733.6603773584902</v>
      </c>
      <c r="GW12" s="3547">
        <f t="shared" si="76"/>
        <v>0</v>
      </c>
      <c r="GX12" s="3568">
        <v>28383.4380952381</v>
      </c>
      <c r="GY12" s="3569">
        <f>29802.61/1.05</f>
        <v>28383.438095238096</v>
      </c>
      <c r="GZ12" s="3562">
        <f>29802.61/1.05</f>
        <v>28383.438095238096</v>
      </c>
      <c r="HA12" s="3547">
        <f t="shared" si="77"/>
        <v>0</v>
      </c>
      <c r="HB12" s="3568">
        <v>5733.6603773584902</v>
      </c>
      <c r="HC12" s="3569">
        <f>6077.68/1.06</f>
        <v>5733.6603773584902</v>
      </c>
      <c r="HD12" s="3562">
        <f>6077.68/1.06</f>
        <v>5733.6603773584902</v>
      </c>
      <c r="HE12" s="3547">
        <f t="shared" si="78"/>
        <v>0</v>
      </c>
      <c r="HF12" s="3568">
        <v>28383.4370634921</v>
      </c>
      <c r="HG12" s="3569"/>
      <c r="HH12" s="3562"/>
      <c r="HI12" s="3547">
        <f t="shared" si="79"/>
        <v>-28383.4370634921</v>
      </c>
      <c r="HJ12" s="3568">
        <v>5733.6621855345902</v>
      </c>
      <c r="HK12" s="3569"/>
      <c r="HL12" s="3562"/>
      <c r="HM12" s="3547">
        <f t="shared" si="80"/>
        <v>-5733.6621855345902</v>
      </c>
      <c r="HN12" s="3568">
        <v>28383.4370634921</v>
      </c>
      <c r="HO12" s="3569"/>
      <c r="HP12" s="3562"/>
      <c r="HQ12" s="3547">
        <f t="shared" si="81"/>
        <v>-28383.4370634921</v>
      </c>
      <c r="HR12" s="3568">
        <v>5733.6621855345902</v>
      </c>
      <c r="HS12" s="3569"/>
      <c r="HT12" s="3562"/>
      <c r="HU12" s="3547">
        <f t="shared" si="82"/>
        <v>-5733.6621855345902</v>
      </c>
      <c r="HV12" s="3568">
        <v>28383.4370634921</v>
      </c>
      <c r="HW12" s="3569"/>
      <c r="HX12" s="3562"/>
      <c r="HY12" s="3547">
        <f t="shared" si="83"/>
        <v>-28383.4370634921</v>
      </c>
      <c r="HZ12" s="3568">
        <v>5733.6621855345902</v>
      </c>
      <c r="IA12" s="3569"/>
      <c r="IB12" s="3562"/>
      <c r="IC12" s="3547">
        <f t="shared" si="84"/>
        <v>-5733.6621855345902</v>
      </c>
      <c r="ID12" s="3568">
        <v>28383.4370634921</v>
      </c>
      <c r="IE12" s="3569"/>
      <c r="IF12" s="3562"/>
      <c r="IG12" s="3547">
        <f t="shared" si="85"/>
        <v>-28383.4370634921</v>
      </c>
      <c r="IH12" s="3568">
        <v>5733.6621855345902</v>
      </c>
      <c r="II12" s="3569"/>
      <c r="IJ12" s="3562"/>
      <c r="IK12" s="3547">
        <f t="shared" si="86"/>
        <v>-5733.6621855345902</v>
      </c>
      <c r="IL12" s="3547"/>
      <c r="IM12" s="3569"/>
      <c r="IN12" s="3569"/>
      <c r="IO12" s="3547"/>
      <c r="IP12" s="3560">
        <f t="shared" si="87"/>
        <v>0</v>
      </c>
      <c r="IQ12" s="3568"/>
      <c r="IR12" s="3568"/>
      <c r="IS12" s="3568"/>
      <c r="IT12" s="3568"/>
      <c r="IU12" s="3568"/>
      <c r="IV12" s="3568"/>
      <c r="IW12" s="3568"/>
      <c r="IX12" s="3568"/>
      <c r="IY12" s="3568"/>
      <c r="IZ12" s="3562"/>
      <c r="JA12" s="3562"/>
      <c r="JB12" s="3562"/>
      <c r="JC12" s="3560">
        <f t="shared" si="11"/>
        <v>0</v>
      </c>
      <c r="JD12" s="3547"/>
      <c r="JE12" s="3568"/>
      <c r="JF12" s="3568"/>
      <c r="JG12" s="3568"/>
      <c r="JH12" s="3568"/>
      <c r="JI12" s="3568"/>
      <c r="JJ12" s="3568"/>
      <c r="JK12" s="3568"/>
      <c r="JL12" s="3568"/>
      <c r="JM12" s="3568"/>
      <c r="JN12" s="3562"/>
      <c r="JO12" s="3562"/>
      <c r="JP12" s="3607" t="s">
        <v>3837</v>
      </c>
      <c r="JQ12" s="3583">
        <f>29802.61/1.05</f>
        <v>28383.438095238096</v>
      </c>
      <c r="JR12" s="3583">
        <f>6077.68/1.06</f>
        <v>5733.6603773584902</v>
      </c>
      <c r="JS12" s="3573">
        <f t="shared" si="28"/>
        <v>-2.9103830456733704E-11</v>
      </c>
      <c r="JT12" s="3573">
        <f t="shared" si="35"/>
        <v>0</v>
      </c>
      <c r="JU12" s="3574">
        <f t="shared" si="29"/>
        <v>-2.9103830456733704E-11</v>
      </c>
      <c r="JV12" s="3574">
        <f t="shared" si="30"/>
        <v>0</v>
      </c>
      <c r="JW12" s="3575"/>
      <c r="JX12" s="3576">
        <f t="shared" si="31"/>
        <v>0</v>
      </c>
      <c r="JY12" s="3576">
        <f t="shared" si="32"/>
        <v>0</v>
      </c>
      <c r="JZ12" s="3577"/>
      <c r="KA12" s="3573">
        <f t="shared" si="12"/>
        <v>-34117.099249026687</v>
      </c>
      <c r="KB12" s="3573"/>
      <c r="KC12" s="3573"/>
      <c r="KD12" s="3573">
        <f t="shared" si="33"/>
        <v>-34117.099249026687</v>
      </c>
      <c r="KE12" s="3578" t="s">
        <v>3765</v>
      </c>
      <c r="KF12" s="3579"/>
      <c r="KG12" s="3579"/>
      <c r="KH12" s="3579"/>
      <c r="KI12" s="3579"/>
      <c r="KJ12" s="3579"/>
      <c r="KK12" s="3579"/>
      <c r="KL12" s="3579">
        <f>-34117.1/10000</f>
        <v>-3.4117099999999998</v>
      </c>
      <c r="KM12" s="3579"/>
      <c r="KN12" s="3579"/>
      <c r="KO12" s="3579"/>
      <c r="KP12" s="3579">
        <f>-54.61/10000</f>
        <v>-5.4609999999999997E-3</v>
      </c>
      <c r="KQ12" s="3579">
        <f t="shared" si="34"/>
        <v>-3.4171709999999997</v>
      </c>
      <c r="KR12" s="3579">
        <f t="shared" si="88"/>
        <v>4.4616650907158828E-7</v>
      </c>
      <c r="KS12" s="3577"/>
      <c r="KT12" s="3577"/>
      <c r="KU12" s="3577"/>
      <c r="KV12" s="3577"/>
      <c r="KW12" s="3577"/>
      <c r="KX12" s="3577"/>
      <c r="KY12" s="3577"/>
      <c r="KZ12" s="3577"/>
      <c r="LA12" s="3577"/>
      <c r="LB12" s="3577"/>
      <c r="LC12" s="3577"/>
      <c r="LD12" s="3577"/>
      <c r="LE12" s="3577"/>
      <c r="LF12" s="3577"/>
      <c r="LG12" s="3577"/>
      <c r="LH12" s="3577"/>
      <c r="LJ12" s="3575"/>
      <c r="LK12" s="3571"/>
      <c r="LL12" s="3576"/>
    </row>
    <row r="13" spans="1:324" s="3580" customFormat="1" ht="18" customHeight="1">
      <c r="A13" s="3545">
        <v>10</v>
      </c>
      <c r="B13" s="3546" t="s">
        <v>3848</v>
      </c>
      <c r="C13" s="3546">
        <v>808</v>
      </c>
      <c r="D13" s="3547">
        <v>149.38999999999999</v>
      </c>
      <c r="E13" s="3548" t="s">
        <v>3799</v>
      </c>
      <c r="F13" s="3546" t="s">
        <v>3790</v>
      </c>
      <c r="G13" s="3546" t="s">
        <v>3881</v>
      </c>
      <c r="H13" s="3546" t="s">
        <v>3882</v>
      </c>
      <c r="I13" s="3594" t="s">
        <v>3883</v>
      </c>
      <c r="J13" s="3594" t="s">
        <v>3884</v>
      </c>
      <c r="K13" s="3545" t="s">
        <v>3885</v>
      </c>
      <c r="L13" s="3555"/>
      <c r="M13" s="3551">
        <v>120759.45</v>
      </c>
      <c r="N13" s="3551">
        <v>120759.45</v>
      </c>
      <c r="O13" s="3551">
        <f t="shared" si="13"/>
        <v>0</v>
      </c>
      <c r="P13" s="3547">
        <v>24036.06</v>
      </c>
      <c r="Q13" s="3547">
        <v>24036.06</v>
      </c>
      <c r="R13" s="3547">
        <f t="shared" si="89"/>
        <v>0</v>
      </c>
      <c r="S13" s="3547">
        <f t="shared" si="14"/>
        <v>4.1699990921986858</v>
      </c>
      <c r="T13" s="3552">
        <v>18948.25</v>
      </c>
      <c r="U13" s="3553">
        <f t="shared" si="15"/>
        <v>227379</v>
      </c>
      <c r="V13" s="3547">
        <f>T13*12+T13*6</f>
        <v>341068.5</v>
      </c>
      <c r="W13" s="3547">
        <f t="shared" si="16"/>
        <v>0.83000109119551935</v>
      </c>
      <c r="X13" s="3552">
        <v>3771.48</v>
      </c>
      <c r="Y13" s="3547">
        <f t="shared" si="17"/>
        <v>45257.760000000002</v>
      </c>
      <c r="Z13" s="3554"/>
      <c r="AA13" s="3555"/>
      <c r="AB13" s="3593" t="s">
        <v>3886</v>
      </c>
      <c r="AC13" s="3556">
        <f t="shared" si="18"/>
        <v>151586</v>
      </c>
      <c r="AD13" s="3556">
        <f t="shared" si="19"/>
        <v>75793</v>
      </c>
      <c r="AE13" s="3556">
        <f t="shared" si="19"/>
        <v>75793</v>
      </c>
      <c r="AF13" s="3556">
        <f t="shared" si="20"/>
        <v>0</v>
      </c>
      <c r="AG13" s="3556"/>
      <c r="AH13" s="3557">
        <f t="shared" si="21"/>
        <v>30171.84</v>
      </c>
      <c r="AI13" s="3558">
        <f t="shared" si="22"/>
        <v>15085.92</v>
      </c>
      <c r="AJ13" s="3558">
        <f t="shared" si="22"/>
        <v>15085.92</v>
      </c>
      <c r="AK13" s="3557">
        <f t="shared" si="43"/>
        <v>0</v>
      </c>
      <c r="AL13" s="3557"/>
      <c r="AM13" s="3547"/>
      <c r="AN13" s="3609"/>
      <c r="AO13" s="3562"/>
      <c r="AP13" s="3561">
        <f t="shared" si="44"/>
        <v>0</v>
      </c>
      <c r="AQ13" s="3559"/>
      <c r="AR13" s="3562"/>
      <c r="AS13" s="3561">
        <f t="shared" si="36"/>
        <v>0</v>
      </c>
      <c r="AT13" s="3563" t="s">
        <v>3887</v>
      </c>
      <c r="AU13" s="3547"/>
      <c r="AV13" s="3609"/>
      <c r="AW13" s="3562"/>
      <c r="AX13" s="3561">
        <f t="shared" si="45"/>
        <v>0</v>
      </c>
      <c r="AY13" s="3559"/>
      <c r="AZ13" s="3562"/>
      <c r="BA13" s="3561">
        <f t="shared" si="23"/>
        <v>0</v>
      </c>
      <c r="BB13" s="3563" t="s">
        <v>3887</v>
      </c>
      <c r="BC13" s="3547"/>
      <c r="BD13" s="3609"/>
      <c r="BE13" s="3562"/>
      <c r="BF13" s="3561">
        <f t="shared" si="46"/>
        <v>0</v>
      </c>
      <c r="BG13" s="3559"/>
      <c r="BH13" s="3562"/>
      <c r="BI13" s="3561">
        <f t="shared" si="47"/>
        <v>0</v>
      </c>
      <c r="BJ13" s="3563" t="s">
        <v>3887</v>
      </c>
      <c r="BK13" s="3547"/>
      <c r="BL13" s="3609"/>
      <c r="BM13" s="3562"/>
      <c r="BN13" s="3561">
        <f t="shared" si="48"/>
        <v>0</v>
      </c>
      <c r="BO13" s="3559"/>
      <c r="BP13" s="3562"/>
      <c r="BQ13" s="3561">
        <f t="shared" si="49"/>
        <v>0</v>
      </c>
      <c r="BR13" s="3563" t="s">
        <v>3887</v>
      </c>
      <c r="BS13" s="3547"/>
      <c r="BT13" s="3609"/>
      <c r="BU13" s="3562"/>
      <c r="BV13" s="3561">
        <f t="shared" si="50"/>
        <v>0</v>
      </c>
      <c r="BW13" s="3559"/>
      <c r="BX13" s="3562"/>
      <c r="BY13" s="3561">
        <f t="shared" si="51"/>
        <v>0</v>
      </c>
      <c r="BZ13" s="3563" t="s">
        <v>3887</v>
      </c>
      <c r="CA13" s="3547"/>
      <c r="CB13" s="3609"/>
      <c r="CC13" s="3562"/>
      <c r="CD13" s="3561">
        <f t="shared" si="52"/>
        <v>0</v>
      </c>
      <c r="CE13" s="3559"/>
      <c r="CF13" s="3562"/>
      <c r="CG13" s="3561">
        <f t="shared" si="53"/>
        <v>0</v>
      </c>
      <c r="CH13" s="3563" t="s">
        <v>3887</v>
      </c>
      <c r="CI13" s="3547" t="s">
        <v>3888</v>
      </c>
      <c r="CJ13" s="3609">
        <f>18948.25*2</f>
        <v>37896.5</v>
      </c>
      <c r="CK13" s="3603">
        <f>37896.5</f>
        <v>37896.5</v>
      </c>
      <c r="CL13" s="3602">
        <f t="shared" si="5"/>
        <v>0</v>
      </c>
      <c r="CM13" s="3611">
        <f>3771.48*2</f>
        <v>7542.96</v>
      </c>
      <c r="CN13" s="3603">
        <f>7542.96</f>
        <v>7542.96</v>
      </c>
      <c r="CO13" s="3561">
        <f t="shared" si="54"/>
        <v>0</v>
      </c>
      <c r="CP13" s="3563" t="s">
        <v>3889</v>
      </c>
      <c r="CQ13" s="3547" t="s">
        <v>3890</v>
      </c>
      <c r="CR13" s="3609">
        <f>18948.25*2</f>
        <v>37896.5</v>
      </c>
      <c r="CS13" s="3603">
        <v>37896.5</v>
      </c>
      <c r="CT13" s="3561">
        <f t="shared" si="55"/>
        <v>0</v>
      </c>
      <c r="CU13" s="3611">
        <f>3771.48*2</f>
        <v>7542.96</v>
      </c>
      <c r="CV13" s="3562">
        <v>7542.96</v>
      </c>
      <c r="CW13" s="3561">
        <f t="shared" si="56"/>
        <v>0</v>
      </c>
      <c r="CX13" s="3563" t="s">
        <v>3891</v>
      </c>
      <c r="CY13" s="3597"/>
      <c r="CZ13" s="3609"/>
      <c r="DA13" s="3562"/>
      <c r="DB13" s="3561">
        <f t="shared" si="57"/>
        <v>0</v>
      </c>
      <c r="DC13" s="3559"/>
      <c r="DD13" s="3562"/>
      <c r="DE13" s="3561">
        <f t="shared" si="58"/>
        <v>0</v>
      </c>
      <c r="DF13" s="3563" t="s">
        <v>3891</v>
      </c>
      <c r="DG13" s="3547" t="s">
        <v>3892</v>
      </c>
      <c r="DH13" s="3609">
        <f>18948.25*2</f>
        <v>37896.5</v>
      </c>
      <c r="DI13" s="3562"/>
      <c r="DJ13" s="3561">
        <f t="shared" si="59"/>
        <v>-37896.5</v>
      </c>
      <c r="DK13" s="3611">
        <f>3771.48*2</f>
        <v>7542.96</v>
      </c>
      <c r="DL13" s="3562"/>
      <c r="DM13" s="3561">
        <f t="shared" si="60"/>
        <v>-7542.96</v>
      </c>
      <c r="DN13" s="3563"/>
      <c r="DO13" s="3547"/>
      <c r="DP13" s="3609"/>
      <c r="DQ13" s="3562"/>
      <c r="DR13" s="3561">
        <f t="shared" si="61"/>
        <v>0</v>
      </c>
      <c r="DS13" s="3559"/>
      <c r="DT13" s="3562"/>
      <c r="DU13" s="3561">
        <f t="shared" si="62"/>
        <v>0</v>
      </c>
      <c r="DV13" s="3563"/>
      <c r="DW13" s="3547" t="s">
        <v>3893</v>
      </c>
      <c r="DX13" s="3609">
        <f>18948.25*2</f>
        <v>37896.5</v>
      </c>
      <c r="DY13" s="3562"/>
      <c r="DZ13" s="3561">
        <f t="shared" si="63"/>
        <v>-37896.5</v>
      </c>
      <c r="EA13" s="3611">
        <f>3771.48*2</f>
        <v>7542.96</v>
      </c>
      <c r="EB13" s="3562"/>
      <c r="EC13" s="3561">
        <f t="shared" si="64"/>
        <v>-7542.96</v>
      </c>
      <c r="ED13" s="3563"/>
      <c r="EF13" s="3565">
        <f t="shared" si="37"/>
        <v>0</v>
      </c>
      <c r="EG13" s="3565">
        <f t="shared" si="24"/>
        <v>0</v>
      </c>
      <c r="EH13" s="3565">
        <f t="shared" si="24"/>
        <v>45831.774951076324</v>
      </c>
      <c r="EI13" s="3565">
        <f t="shared" si="24"/>
        <v>45831.774951076324</v>
      </c>
      <c r="EJ13" s="3565">
        <f t="shared" si="38"/>
        <v>45831.774951076324</v>
      </c>
      <c r="EK13" s="3566">
        <f t="shared" si="39"/>
        <v>0</v>
      </c>
      <c r="EL13" s="3610"/>
      <c r="EM13" s="3567">
        <f t="shared" si="40"/>
        <v>0</v>
      </c>
      <c r="EN13" s="3557">
        <f t="shared" si="25"/>
        <v>0</v>
      </c>
      <c r="EO13" s="3557">
        <f t="shared" si="25"/>
        <v>9036.3452054794525</v>
      </c>
      <c r="EP13" s="3557">
        <f t="shared" si="25"/>
        <v>9036.3452054794525</v>
      </c>
      <c r="EQ13" s="3557">
        <f t="shared" si="41"/>
        <v>9036.3452054794525</v>
      </c>
      <c r="ER13" s="3557">
        <f t="shared" si="42"/>
        <v>0</v>
      </c>
      <c r="ES13" s="3557"/>
      <c r="ET13" s="3612"/>
      <c r="EU13" s="3569"/>
      <c r="EV13" s="3562"/>
      <c r="EW13" s="3547">
        <f t="shared" si="26"/>
        <v>0</v>
      </c>
      <c r="EX13" s="3568"/>
      <c r="EY13" s="3569"/>
      <c r="EZ13" s="3562"/>
      <c r="FA13" s="3547">
        <f t="shared" si="27"/>
        <v>0</v>
      </c>
      <c r="FB13" s="3612"/>
      <c r="FC13" s="3569"/>
      <c r="FD13" s="3562"/>
      <c r="FE13" s="3547">
        <f t="shared" si="65"/>
        <v>0</v>
      </c>
      <c r="FF13" s="3568"/>
      <c r="FG13" s="3569"/>
      <c r="FH13" s="3562"/>
      <c r="FI13" s="3547">
        <f t="shared" si="66"/>
        <v>0</v>
      </c>
      <c r="FJ13" s="3612"/>
      <c r="FK13" s="3569"/>
      <c r="FL13" s="3562"/>
      <c r="FM13" s="3547">
        <f t="shared" si="67"/>
        <v>0</v>
      </c>
      <c r="FN13" s="3568"/>
      <c r="FO13" s="3569"/>
      <c r="FP13" s="3562"/>
      <c r="FQ13" s="3547">
        <f t="shared" si="68"/>
        <v>0</v>
      </c>
      <c r="FR13" s="3612"/>
      <c r="FS13" s="3569"/>
      <c r="FT13" s="3560"/>
      <c r="FU13" s="3547">
        <f t="shared" si="69"/>
        <v>0</v>
      </c>
      <c r="FV13" s="3568"/>
      <c r="FW13" s="3569"/>
      <c r="FX13" s="3560"/>
      <c r="FY13" s="3547">
        <f t="shared" si="70"/>
        <v>0</v>
      </c>
      <c r="FZ13" s="3612"/>
      <c r="GA13" s="3569"/>
      <c r="GB13" s="3562"/>
      <c r="GC13" s="3547">
        <f t="shared" si="71"/>
        <v>0</v>
      </c>
      <c r="GD13" s="3568"/>
      <c r="GE13" s="3569"/>
      <c r="GF13" s="3560"/>
      <c r="GG13" s="3547">
        <f t="shared" si="72"/>
        <v>0</v>
      </c>
      <c r="GH13" s="3612"/>
      <c r="GI13" s="3569"/>
      <c r="GJ13" s="3562"/>
      <c r="GK13" s="3547">
        <f t="shared" si="73"/>
        <v>0</v>
      </c>
      <c r="GL13" s="3568"/>
      <c r="GM13" s="3569"/>
      <c r="GN13" s="3560"/>
      <c r="GO13" s="3547">
        <f t="shared" si="74"/>
        <v>0</v>
      </c>
      <c r="GP13" s="3612"/>
      <c r="GQ13" s="3569">
        <f>18948.25/1.05-18948.25/1.05*12/365*14</f>
        <v>9739.8701891715591</v>
      </c>
      <c r="GR13" s="3562">
        <f>37896.5/2/1.05-37896.5/2/1.05*12/365*14</f>
        <v>9739.8701891715591</v>
      </c>
      <c r="GS13" s="3547">
        <f t="shared" si="75"/>
        <v>9739.8701891715591</v>
      </c>
      <c r="GT13" s="3568"/>
      <c r="GU13" s="3569">
        <f>3771.48/1.06-3771.48/1.06*12/365*14</f>
        <v>1920.345205479452</v>
      </c>
      <c r="GV13" s="3560">
        <f>7542.96/2/1.06-7542.96/2/1.06*12/365*14</f>
        <v>1920.345205479452</v>
      </c>
      <c r="GW13" s="3547">
        <f t="shared" si="76"/>
        <v>1920.345205479452</v>
      </c>
      <c r="GX13" s="3612"/>
      <c r="GY13" s="3569">
        <f>18948.25/1.05</f>
        <v>18045.952380952382</v>
      </c>
      <c r="GZ13" s="3562">
        <f>37896.5/2/1.05</f>
        <v>18045.952380952382</v>
      </c>
      <c r="HA13" s="3547">
        <f t="shared" si="77"/>
        <v>18045.952380952382</v>
      </c>
      <c r="HB13" s="3568"/>
      <c r="HC13" s="3569">
        <f>3771.48/1.06</f>
        <v>3558</v>
      </c>
      <c r="HD13" s="3562">
        <f>7542.96/2/1.06</f>
        <v>3558</v>
      </c>
      <c r="HE13" s="3547">
        <f t="shared" si="78"/>
        <v>3558</v>
      </c>
      <c r="HF13" s="3612"/>
      <c r="HG13" s="3569">
        <f>18948.25/1.05</f>
        <v>18045.952380952382</v>
      </c>
      <c r="HH13" s="3562">
        <f>37896.5/2/1.05*12/365*14+37896.5/2/1.05-37896.5/2/1.05*12/365*14</f>
        <v>18045.952380952382</v>
      </c>
      <c r="HI13" s="3547">
        <f t="shared" si="79"/>
        <v>18045.952380952382</v>
      </c>
      <c r="HJ13" s="3568"/>
      <c r="HK13" s="3569">
        <f>3771.48/1.06</f>
        <v>3558</v>
      </c>
      <c r="HL13" s="3562">
        <f>7542.96/2/1.06*12/365*14+7542.96/2/1.06-7542.96/2/1.06*12/365*14</f>
        <v>3557.9999999999995</v>
      </c>
      <c r="HM13" s="3547">
        <f t="shared" si="80"/>
        <v>3557.9999999999995</v>
      </c>
      <c r="HN13" s="3612"/>
      <c r="HO13" s="3569">
        <f>18948.25/1.05</f>
        <v>18045.952380952382</v>
      </c>
      <c r="HP13" s="3562">
        <f>37896.5/1.05/2</f>
        <v>18045.952380952382</v>
      </c>
      <c r="HQ13" s="3547">
        <f t="shared" si="81"/>
        <v>18045.952380952382</v>
      </c>
      <c r="HR13" s="3568"/>
      <c r="HS13" s="3569">
        <f>3771.48/1.06</f>
        <v>3558</v>
      </c>
      <c r="HT13" s="3562">
        <f>7542.96/1.06/2</f>
        <v>3558</v>
      </c>
      <c r="HU13" s="3547">
        <f t="shared" si="82"/>
        <v>3558</v>
      </c>
      <c r="HV13" s="3612"/>
      <c r="HW13" s="3569">
        <f>18948.25/1.05</f>
        <v>18045.952380952382</v>
      </c>
      <c r="HX13" s="3562">
        <f>37896.5/2/1.05*12/365*14</f>
        <v>8306.0821917808225</v>
      </c>
      <c r="HY13" s="3547">
        <f t="shared" si="83"/>
        <v>8306.0821917808225</v>
      </c>
      <c r="HZ13" s="3568"/>
      <c r="IA13" s="3569">
        <f>3771.48/1.06</f>
        <v>3558</v>
      </c>
      <c r="IB13" s="3562">
        <f>7542.96/2/1.06*12/365*14</f>
        <v>1637.654794520548</v>
      </c>
      <c r="IC13" s="3547">
        <f t="shared" si="84"/>
        <v>1637.654794520548</v>
      </c>
      <c r="ID13" s="3612"/>
      <c r="IE13" s="3569">
        <f>18948.25/1.05</f>
        <v>18045.952380952382</v>
      </c>
      <c r="IF13" s="3562"/>
      <c r="IG13" s="3547">
        <f t="shared" si="85"/>
        <v>0</v>
      </c>
      <c r="IH13" s="3568"/>
      <c r="II13" s="3569">
        <f>3771.48/1.06</f>
        <v>3558</v>
      </c>
      <c r="IJ13" s="3562"/>
      <c r="IK13" s="3547">
        <f t="shared" si="86"/>
        <v>0</v>
      </c>
      <c r="IL13" s="3547" t="s">
        <v>3894</v>
      </c>
      <c r="IM13" s="3569">
        <f>18948.25*2/1.05+18948.25/1.05*12/365*14</f>
        <v>44397.986953685584</v>
      </c>
      <c r="IN13" s="3569">
        <f>3771.48*2/1.06+3771.48/1.06*12/365*14</f>
        <v>8753.6547945205475</v>
      </c>
      <c r="IO13" s="3571"/>
      <c r="IP13" s="3560">
        <f t="shared" si="87"/>
        <v>0</v>
      </c>
      <c r="IQ13" s="3568"/>
      <c r="IR13" s="3568"/>
      <c r="IS13" s="3568"/>
      <c r="IT13" s="3568"/>
      <c r="IU13" s="3568"/>
      <c r="IV13" s="3568"/>
      <c r="IW13" s="3568"/>
      <c r="IX13" s="3568"/>
      <c r="IY13" s="3568"/>
      <c r="IZ13" s="3560"/>
      <c r="JA13" s="3560"/>
      <c r="JB13" s="3560"/>
      <c r="JC13" s="3560">
        <f t="shared" si="11"/>
        <v>0</v>
      </c>
      <c r="JD13" s="3571"/>
      <c r="JE13" s="3568"/>
      <c r="JF13" s="3568"/>
      <c r="JG13" s="3568"/>
      <c r="JH13" s="3568"/>
      <c r="JI13" s="3568"/>
      <c r="JJ13" s="3568"/>
      <c r="JK13" s="3568"/>
      <c r="JL13" s="3568"/>
      <c r="JM13" s="3568"/>
      <c r="JN13" s="3560"/>
      <c r="JO13" s="3560"/>
      <c r="JP13" s="3570"/>
      <c r="JQ13" s="3583"/>
      <c r="JR13" s="3583"/>
      <c r="JS13" s="3573">
        <f t="shared" si="28"/>
        <v>0</v>
      </c>
      <c r="JT13" s="3573">
        <f t="shared" si="35"/>
        <v>0</v>
      </c>
      <c r="JU13" s="3574">
        <f t="shared" si="29"/>
        <v>0</v>
      </c>
      <c r="JV13" s="3574">
        <f t="shared" si="30"/>
        <v>0</v>
      </c>
      <c r="JW13" s="3575"/>
      <c r="JX13" s="3576">
        <f t="shared" si="31"/>
        <v>26352.034572733202</v>
      </c>
      <c r="JY13" s="3576">
        <f t="shared" si="32"/>
        <v>5195.6547945205475</v>
      </c>
      <c r="JZ13" s="3577"/>
      <c r="KA13" s="3573">
        <f t="shared" si="12"/>
        <v>21603.952380952382</v>
      </c>
      <c r="KB13" s="3573"/>
      <c r="KC13" s="3573"/>
      <c r="KD13" s="3573">
        <f t="shared" si="33"/>
        <v>21603.952380952382</v>
      </c>
      <c r="KE13" s="3578" t="s">
        <v>3863</v>
      </c>
      <c r="KF13" s="3579">
        <f>11660.22/10000+21603.95/10000*2</f>
        <v>5.4868120000000005</v>
      </c>
      <c r="KG13" s="3579"/>
      <c r="KH13" s="3579"/>
      <c r="KI13" s="3579"/>
      <c r="KJ13" s="3579"/>
      <c r="KK13" s="3579"/>
      <c r="KL13" s="3579"/>
      <c r="KM13" s="3579"/>
      <c r="KN13" s="3579"/>
      <c r="KO13" s="3579"/>
      <c r="KP13" s="3579"/>
      <c r="KQ13" s="3579">
        <f t="shared" si="34"/>
        <v>5.4868120000000005</v>
      </c>
      <c r="KR13" s="3579">
        <f t="shared" si="88"/>
        <v>1.5655577279005684E-8</v>
      </c>
      <c r="KS13" s="3577"/>
      <c r="KT13" s="3577"/>
      <c r="KU13" s="3577"/>
      <c r="KV13" s="3577"/>
      <c r="KW13" s="3577"/>
      <c r="KX13" s="3577"/>
      <c r="KY13" s="3577"/>
      <c r="KZ13" s="3577"/>
      <c r="LA13" s="3577"/>
      <c r="LB13" s="3577"/>
      <c r="LC13" s="3577"/>
      <c r="LD13" s="3577"/>
      <c r="LE13" s="3577"/>
      <c r="LF13" s="3577"/>
      <c r="LG13" s="3577"/>
      <c r="LH13" s="3577"/>
      <c r="LJ13" s="3575"/>
      <c r="LK13" s="3571"/>
      <c r="LL13" s="3576"/>
    </row>
    <row r="14" spans="1:324" s="3580" customFormat="1" ht="18" customHeight="1">
      <c r="A14" s="3545">
        <v>11</v>
      </c>
      <c r="B14" s="3546" t="s">
        <v>3848</v>
      </c>
      <c r="C14" s="3546">
        <v>811</v>
      </c>
      <c r="D14" s="3547">
        <v>124</v>
      </c>
      <c r="E14" s="3548" t="s">
        <v>3799</v>
      </c>
      <c r="F14" s="3546" t="s">
        <v>3790</v>
      </c>
      <c r="G14" s="3613" t="s">
        <v>3895</v>
      </c>
      <c r="H14" s="3546" t="s">
        <v>3896</v>
      </c>
      <c r="I14" s="3594" t="s">
        <v>3897</v>
      </c>
      <c r="J14" s="3594" t="s">
        <v>3898</v>
      </c>
      <c r="K14" s="3545"/>
      <c r="L14" s="3555"/>
      <c r="M14" s="3551">
        <v>69380.52</v>
      </c>
      <c r="N14" s="3551">
        <v>69380.52</v>
      </c>
      <c r="O14" s="3551">
        <f t="shared" si="13"/>
        <v>0</v>
      </c>
      <c r="P14" s="3547">
        <v>14505.24</v>
      </c>
      <c r="Q14" s="3547">
        <v>14505.24</v>
      </c>
      <c r="R14" s="3547">
        <f t="shared" si="89"/>
        <v>0</v>
      </c>
      <c r="S14" s="3547">
        <f t="shared" si="14"/>
        <v>6.1317295625276191</v>
      </c>
      <c r="T14" s="3552">
        <v>23126.84</v>
      </c>
      <c r="U14" s="3553">
        <f t="shared" si="15"/>
        <v>277522.08</v>
      </c>
      <c r="V14" s="3547">
        <f>T14*11</f>
        <v>254395.24</v>
      </c>
      <c r="W14" s="3547">
        <f t="shared" si="16"/>
        <v>1.2819478568272207</v>
      </c>
      <c r="X14" s="3552">
        <v>4835.08</v>
      </c>
      <c r="Y14" s="3547">
        <f t="shared" si="17"/>
        <v>58020.959999999999</v>
      </c>
      <c r="Z14" s="3554"/>
      <c r="AA14" s="3555"/>
      <c r="AB14" s="3552" t="s">
        <v>3899</v>
      </c>
      <c r="AC14" s="3556">
        <f t="shared" si="18"/>
        <v>208141.56</v>
      </c>
      <c r="AD14" s="3556">
        <f t="shared" si="19"/>
        <v>208141.56</v>
      </c>
      <c r="AE14" s="3556">
        <f t="shared" si="19"/>
        <v>208141.56</v>
      </c>
      <c r="AF14" s="3556">
        <f t="shared" si="20"/>
        <v>0</v>
      </c>
      <c r="AG14" s="3556"/>
      <c r="AH14" s="3557">
        <f t="shared" si="21"/>
        <v>43515.720000000008</v>
      </c>
      <c r="AI14" s="3558">
        <f t="shared" si="22"/>
        <v>43515.720000000008</v>
      </c>
      <c r="AJ14" s="3558">
        <f t="shared" si="22"/>
        <v>43515.720000000008</v>
      </c>
      <c r="AK14" s="3557">
        <f t="shared" si="43"/>
        <v>0</v>
      </c>
      <c r="AL14" s="3557"/>
      <c r="AM14" s="3547" t="s">
        <v>3900</v>
      </c>
      <c r="AN14" s="3609">
        <v>23126.84</v>
      </c>
      <c r="AO14" s="3562">
        <v>23126.84</v>
      </c>
      <c r="AP14" s="3561">
        <f t="shared" si="44"/>
        <v>0</v>
      </c>
      <c r="AQ14" s="3559">
        <v>4835.08</v>
      </c>
      <c r="AR14" s="3562">
        <v>4835.08</v>
      </c>
      <c r="AS14" s="3561">
        <f t="shared" si="36"/>
        <v>0</v>
      </c>
      <c r="AT14" s="3563" t="s">
        <v>3901</v>
      </c>
      <c r="AU14" s="3547" t="s">
        <v>3902</v>
      </c>
      <c r="AV14" s="3609">
        <v>23126.84</v>
      </c>
      <c r="AW14" s="3562">
        <v>23126.84</v>
      </c>
      <c r="AX14" s="3561">
        <f t="shared" si="45"/>
        <v>0</v>
      </c>
      <c r="AY14" s="3559">
        <v>4835.08</v>
      </c>
      <c r="AZ14" s="3562">
        <v>4835.08</v>
      </c>
      <c r="BA14" s="3561">
        <f t="shared" si="23"/>
        <v>0</v>
      </c>
      <c r="BB14" s="3563" t="s">
        <v>3903</v>
      </c>
      <c r="BC14" s="3547" t="s">
        <v>3904</v>
      </c>
      <c r="BD14" s="3609">
        <v>23126.84</v>
      </c>
      <c r="BE14" s="3562">
        <v>23126.84</v>
      </c>
      <c r="BF14" s="3561">
        <f t="shared" si="46"/>
        <v>0</v>
      </c>
      <c r="BG14" s="3559">
        <v>4835.08</v>
      </c>
      <c r="BH14" s="3562">
        <f>4835.08</f>
        <v>4835.08</v>
      </c>
      <c r="BI14" s="3561">
        <f t="shared" si="47"/>
        <v>0</v>
      </c>
      <c r="BJ14" s="3563" t="s">
        <v>3905</v>
      </c>
      <c r="BK14" s="3547" t="s">
        <v>3906</v>
      </c>
      <c r="BL14" s="3609">
        <v>23126.84</v>
      </c>
      <c r="BM14" s="3562">
        <v>23126.84</v>
      </c>
      <c r="BN14" s="3602">
        <f t="shared" si="48"/>
        <v>0</v>
      </c>
      <c r="BO14" s="3559">
        <v>4835.08</v>
      </c>
      <c r="BP14" s="3562">
        <v>4835.08</v>
      </c>
      <c r="BQ14" s="3602">
        <f t="shared" si="49"/>
        <v>0</v>
      </c>
      <c r="BR14" s="3563" t="s">
        <v>3907</v>
      </c>
      <c r="BS14" s="3547" t="s">
        <v>3908</v>
      </c>
      <c r="BT14" s="3609">
        <v>23126.84</v>
      </c>
      <c r="BU14" s="3603">
        <v>23126.84</v>
      </c>
      <c r="BV14" s="3602">
        <f t="shared" si="50"/>
        <v>0</v>
      </c>
      <c r="BW14" s="3604">
        <v>4835.08</v>
      </c>
      <c r="BX14" s="3603">
        <v>4835.08</v>
      </c>
      <c r="BY14" s="3561">
        <f t="shared" si="51"/>
        <v>0</v>
      </c>
      <c r="BZ14" s="3563" t="s">
        <v>3909</v>
      </c>
      <c r="CA14" s="3547" t="s">
        <v>3910</v>
      </c>
      <c r="CB14" s="3609">
        <v>23126.84</v>
      </c>
      <c r="CC14" s="3562">
        <v>23126.84</v>
      </c>
      <c r="CD14" s="3561">
        <f t="shared" si="52"/>
        <v>0</v>
      </c>
      <c r="CE14" s="3559">
        <v>4835.08</v>
      </c>
      <c r="CF14" s="3562">
        <v>4835.08</v>
      </c>
      <c r="CG14" s="3561">
        <f t="shared" si="53"/>
        <v>0</v>
      </c>
      <c r="CH14" s="3563" t="s">
        <v>3911</v>
      </c>
      <c r="CI14" s="3547" t="s">
        <v>3912</v>
      </c>
      <c r="CJ14" s="3609">
        <v>23126.84</v>
      </c>
      <c r="CK14" s="3603">
        <v>23126.84</v>
      </c>
      <c r="CL14" s="3602">
        <f t="shared" si="5"/>
        <v>0</v>
      </c>
      <c r="CM14" s="3604">
        <v>4835.08</v>
      </c>
      <c r="CN14" s="3603">
        <f>4835.08</f>
        <v>4835.08</v>
      </c>
      <c r="CO14" s="3561">
        <f t="shared" si="54"/>
        <v>0</v>
      </c>
      <c r="CP14" s="3563" t="s">
        <v>3913</v>
      </c>
      <c r="CQ14" s="3547" t="s">
        <v>3914</v>
      </c>
      <c r="CR14" s="3609">
        <v>23126.84</v>
      </c>
      <c r="CS14" s="3562">
        <v>23126.84</v>
      </c>
      <c r="CT14" s="3561">
        <f t="shared" si="55"/>
        <v>0</v>
      </c>
      <c r="CU14" s="3559">
        <v>4835.08</v>
      </c>
      <c r="CV14" s="3603">
        <v>4835.08</v>
      </c>
      <c r="CW14" s="3561">
        <f t="shared" si="56"/>
        <v>0</v>
      </c>
      <c r="CX14" s="3563" t="s">
        <v>3915</v>
      </c>
      <c r="CY14" s="3597" t="s">
        <v>3916</v>
      </c>
      <c r="CZ14" s="3614">
        <v>23126.84</v>
      </c>
      <c r="DA14" s="3562">
        <v>23126.84</v>
      </c>
      <c r="DB14" s="3561">
        <f t="shared" si="57"/>
        <v>0</v>
      </c>
      <c r="DC14" s="3559">
        <v>4835.08</v>
      </c>
      <c r="DD14" s="3562">
        <v>4835.08</v>
      </c>
      <c r="DE14" s="3561">
        <f t="shared" si="58"/>
        <v>0</v>
      </c>
      <c r="DF14" s="3563" t="s">
        <v>3917</v>
      </c>
      <c r="DG14" s="3547"/>
      <c r="DH14" s="3609"/>
      <c r="DI14" s="3562"/>
      <c r="DJ14" s="3561">
        <f t="shared" si="59"/>
        <v>0</v>
      </c>
      <c r="DK14" s="3609"/>
      <c r="DL14" s="3562"/>
      <c r="DM14" s="3561">
        <f t="shared" si="60"/>
        <v>0</v>
      </c>
      <c r="DN14" s="3563"/>
      <c r="DO14" s="3547"/>
      <c r="DP14" s="3609"/>
      <c r="DQ14" s="3562"/>
      <c r="DR14" s="3561">
        <f t="shared" si="61"/>
        <v>0</v>
      </c>
      <c r="DS14" s="3559"/>
      <c r="DT14" s="3562"/>
      <c r="DU14" s="3561">
        <f t="shared" si="62"/>
        <v>0</v>
      </c>
      <c r="DV14" s="3563"/>
      <c r="DW14" s="3547"/>
      <c r="DX14" s="3609"/>
      <c r="DY14" s="3562"/>
      <c r="DZ14" s="3561">
        <f t="shared" si="63"/>
        <v>0</v>
      </c>
      <c r="EA14" s="3559"/>
      <c r="EB14" s="3562"/>
      <c r="EC14" s="3561">
        <f t="shared" si="64"/>
        <v>0</v>
      </c>
      <c r="ED14" s="3563"/>
      <c r="EF14" s="3565">
        <f t="shared" si="37"/>
        <v>230393.39199999999</v>
      </c>
      <c r="EG14" s="3565">
        <f t="shared" si="24"/>
        <v>198230.04</v>
      </c>
      <c r="EH14" s="3565">
        <f t="shared" si="24"/>
        <v>198230.05714285717</v>
      </c>
      <c r="EI14" s="3565">
        <f t="shared" si="24"/>
        <v>198230.05714285717</v>
      </c>
      <c r="EJ14" s="3565">
        <f t="shared" si="38"/>
        <v>1.7142857162980363E-2</v>
      </c>
      <c r="EK14" s="3565">
        <f t="shared" si="39"/>
        <v>0</v>
      </c>
      <c r="EL14" s="3610"/>
      <c r="EM14" s="3557">
        <f t="shared" si="40"/>
        <v>47713.473962264179</v>
      </c>
      <c r="EN14" s="3557">
        <f t="shared" si="25"/>
        <v>41052.583018867947</v>
      </c>
      <c r="EO14" s="3557">
        <f t="shared" si="25"/>
        <v>41052.566037735844</v>
      </c>
      <c r="EP14" s="3557">
        <f t="shared" si="25"/>
        <v>41052.566037735844</v>
      </c>
      <c r="EQ14" s="3557">
        <f t="shared" si="41"/>
        <v>-1.6981132102955598E-2</v>
      </c>
      <c r="ER14" s="3557">
        <f t="shared" si="42"/>
        <v>0</v>
      </c>
      <c r="ES14" s="3557"/>
      <c r="ET14" s="3612">
        <v>22025.56</v>
      </c>
      <c r="EU14" s="3569">
        <f>23126.84/1.05</f>
        <v>22025.561904761904</v>
      </c>
      <c r="EV14" s="3562">
        <f>23126.84/1.05*12/365*14+23126.84/1.05-23126.84/1.05*12/365*14</f>
        <v>22025.561904761904</v>
      </c>
      <c r="EW14" s="3547">
        <f t="shared" si="26"/>
        <v>1.9047619025513995E-3</v>
      </c>
      <c r="EX14" s="3568">
        <v>4561.3981132075496</v>
      </c>
      <c r="EY14" s="3569">
        <f>4835.08/1.06</f>
        <v>4561.3962264150941</v>
      </c>
      <c r="EZ14" s="3562">
        <f>9670.16/2/1.06*12/365*14+4835.08/1.06-4835.08/1.06*12/365*14</f>
        <v>4561.3962264150941</v>
      </c>
      <c r="FA14" s="3547">
        <f t="shared" si="27"/>
        <v>-1.8867924554797355E-3</v>
      </c>
      <c r="FB14" s="3612">
        <v>22025.56</v>
      </c>
      <c r="FC14" s="3569">
        <f>23126.84/1.05</f>
        <v>22025.561904761904</v>
      </c>
      <c r="FD14" s="3562">
        <f>23126.84/1.05*12/365*14+23126.84/1.05-23126.84/1.05*12/365*14</f>
        <v>22025.561904761904</v>
      </c>
      <c r="FE14" s="3547">
        <f t="shared" si="65"/>
        <v>1.9047619025513995E-3</v>
      </c>
      <c r="FF14" s="3568">
        <v>4561.3981132075496</v>
      </c>
      <c r="FG14" s="3569">
        <f>4835.08/1.06</f>
        <v>4561.3962264150941</v>
      </c>
      <c r="FH14" s="3562">
        <f>9670.16/2/1.06*12/365*14+4835.08/1.06-4835.08/1.06*12/365*14</f>
        <v>4561.3962264150941</v>
      </c>
      <c r="FI14" s="3547">
        <f t="shared" si="66"/>
        <v>-1.8867924554797355E-3</v>
      </c>
      <c r="FJ14" s="3612">
        <v>22025.56</v>
      </c>
      <c r="FK14" s="3569">
        <f>23126.84/1.05</f>
        <v>22025.561904761904</v>
      </c>
      <c r="FL14" s="3562">
        <f>23126.84/1.05*12/365*14+23126.84/1.05-23126.84/1.05*12/365*14</f>
        <v>22025.561904761904</v>
      </c>
      <c r="FM14" s="3547">
        <f t="shared" si="67"/>
        <v>1.9047619025513995E-3</v>
      </c>
      <c r="FN14" s="3568">
        <v>4561.3981132075496</v>
      </c>
      <c r="FO14" s="3569">
        <f>4835.08/1.06</f>
        <v>4561.3962264150941</v>
      </c>
      <c r="FP14" s="3562">
        <f>4835.08/1.06*12/365*14+4835.08/1.06-4835.08/1.06*12/365*14</f>
        <v>4561.3962264150941</v>
      </c>
      <c r="FQ14" s="3547">
        <f t="shared" si="68"/>
        <v>-1.8867924554797355E-3</v>
      </c>
      <c r="FR14" s="3612">
        <v>22025.56</v>
      </c>
      <c r="FS14" s="3569">
        <f>23126.84/1.05</f>
        <v>22025.561904761904</v>
      </c>
      <c r="FT14" s="3560">
        <f>23126.84/1.05*12/365*14+23126.84/1.05-23126.84/1.05*12/365*14</f>
        <v>22025.561904761904</v>
      </c>
      <c r="FU14" s="3547">
        <f t="shared" si="69"/>
        <v>1.9047619025513995E-3</v>
      </c>
      <c r="FV14" s="3568">
        <v>4561.3981132075496</v>
      </c>
      <c r="FW14" s="3569">
        <f>4835.08/1.06</f>
        <v>4561.3962264150941</v>
      </c>
      <c r="FX14" s="3560">
        <f>4835.08/1.06*12/365*14+4835.08/1.06-4835.08/1.06*12/365*14</f>
        <v>4561.3962264150941</v>
      </c>
      <c r="FY14" s="3547">
        <f t="shared" si="70"/>
        <v>-1.8867924554797355E-3</v>
      </c>
      <c r="FZ14" s="3612">
        <v>22025.56</v>
      </c>
      <c r="GA14" s="3569">
        <f>23126.84/1.05</f>
        <v>22025.561904761904</v>
      </c>
      <c r="GB14" s="3560">
        <f>23126.84/1.05*12/365*14+23126.84/1.05-23126.84/1.05*12/365*14</f>
        <v>22025.561904761904</v>
      </c>
      <c r="GC14" s="3547">
        <f t="shared" si="71"/>
        <v>1.9047619025513995E-3</v>
      </c>
      <c r="GD14" s="3568">
        <v>4561.3981132075496</v>
      </c>
      <c r="GE14" s="3569">
        <f>4835.08/1.06</f>
        <v>4561.3962264150941</v>
      </c>
      <c r="GF14" s="3560">
        <f>4835.08/1.06*12/365*14+4835.08/1.06-4835.08/1.06*12/365*14</f>
        <v>4561.3962264150941</v>
      </c>
      <c r="GG14" s="3547">
        <f t="shared" si="72"/>
        <v>-1.8867924554797355E-3</v>
      </c>
      <c r="GH14" s="3612">
        <v>22025.56</v>
      </c>
      <c r="GI14" s="3569">
        <f>23126.84/1.05</f>
        <v>22025.561904761904</v>
      </c>
      <c r="GJ14" s="3562">
        <f>23126.84/1.05*12/365*14+23126.84/1.05-23126.84/1.05*12/365*14</f>
        <v>22025.561904761904</v>
      </c>
      <c r="GK14" s="3547">
        <f t="shared" si="73"/>
        <v>1.9047619025513995E-3</v>
      </c>
      <c r="GL14" s="3568">
        <v>4561.3981132075496</v>
      </c>
      <c r="GM14" s="3569">
        <f>4835.08/1.06</f>
        <v>4561.3962264150941</v>
      </c>
      <c r="GN14" s="3560">
        <f>4835.08/1.06*12/365*14+4835.08/1.06-4835.08/1.06*12/365*14</f>
        <v>4561.3962264150941</v>
      </c>
      <c r="GO14" s="3547">
        <f t="shared" si="74"/>
        <v>-1.8867924554797355E-3</v>
      </c>
      <c r="GP14" s="3612">
        <v>22025.56</v>
      </c>
      <c r="GQ14" s="3569">
        <f>23126.84/1.05</f>
        <v>22025.561904761904</v>
      </c>
      <c r="GR14" s="3562">
        <f>23126.84/1.05*12/365*14+23126.84/1.05-23126.84/1.05*12/365*14</f>
        <v>22025.561904761904</v>
      </c>
      <c r="GS14" s="3547">
        <f t="shared" si="75"/>
        <v>1.9047619025513995E-3</v>
      </c>
      <c r="GT14" s="3568">
        <v>4561.3981132075496</v>
      </c>
      <c r="GU14" s="3569">
        <f>4835.08/1.06</f>
        <v>4561.3962264150941</v>
      </c>
      <c r="GV14" s="3560">
        <f>4835.08/1.06*12/365*14+4835.08/1.06-4835.08/1.06*12/365*14</f>
        <v>4561.3962264150941</v>
      </c>
      <c r="GW14" s="3547">
        <f t="shared" si="76"/>
        <v>-1.8867924554797355E-3</v>
      </c>
      <c r="GX14" s="3612">
        <v>22025.56</v>
      </c>
      <c r="GY14" s="3569">
        <f>23126.84/1.05</f>
        <v>22025.561904761904</v>
      </c>
      <c r="GZ14" s="3562">
        <f>23126.84/1.05*12/365*14+23126.84/1.05-23126.84/1.05*12/365*14</f>
        <v>22025.561904761904</v>
      </c>
      <c r="HA14" s="3547">
        <f t="shared" si="77"/>
        <v>1.9047619025513995E-3</v>
      </c>
      <c r="HB14" s="3568">
        <v>4561.3981132075496</v>
      </c>
      <c r="HC14" s="3569">
        <f>4835.08/1.06</f>
        <v>4561.3962264150941</v>
      </c>
      <c r="HD14" s="3562">
        <f>4835.08/1.06*12/365*14+4835.08/1.06-4835.08/1.06*12/365*14</f>
        <v>4561.3962264150941</v>
      </c>
      <c r="HE14" s="3547">
        <f t="shared" si="78"/>
        <v>-1.8867924554797355E-3</v>
      </c>
      <c r="HF14" s="3612">
        <v>22025.56</v>
      </c>
      <c r="HG14" s="3569">
        <f>23126.84/1.05</f>
        <v>22025.561904761904</v>
      </c>
      <c r="HH14" s="3562">
        <f>23126.84/1.05*12/365*14+23126.84/1.05-23126.84/1.05*12/365*14</f>
        <v>22025.561904761904</v>
      </c>
      <c r="HI14" s="3547">
        <f t="shared" si="79"/>
        <v>1.9047619025513995E-3</v>
      </c>
      <c r="HJ14" s="3568">
        <v>4561.3981132075496</v>
      </c>
      <c r="HK14" s="3569">
        <f>4835.08/1.06</f>
        <v>4561.3962264150941</v>
      </c>
      <c r="HL14" s="3562">
        <f>4835.08/1.06*12/365*14+4835.08/1.06-4835.08/1.06*12/365*14</f>
        <v>4561.3962264150941</v>
      </c>
      <c r="HM14" s="3547">
        <f t="shared" si="80"/>
        <v>-1.8867924554797355E-3</v>
      </c>
      <c r="HN14" s="3612">
        <v>22025.56</v>
      </c>
      <c r="HO14" s="3569">
        <f>23126.84/1.05</f>
        <v>22025.561904761904</v>
      </c>
      <c r="HP14" s="3562">
        <f>23126.84/1.05*12/365*14+23126.84/1.05-23126.84/1.05*12/365*14</f>
        <v>22025.561904761904</v>
      </c>
      <c r="HQ14" s="3547">
        <f t="shared" si="81"/>
        <v>1.9047619025513995E-3</v>
      </c>
      <c r="HR14" s="3568">
        <v>4561.3981132075496</v>
      </c>
      <c r="HS14" s="3569">
        <f>4835.08/1.06</f>
        <v>4561.3962264150941</v>
      </c>
      <c r="HT14" s="3562">
        <f>4835.08/1.06*12/365*14+4835.08/1.06-4835.08/1.06*12/365*14</f>
        <v>4561.3962264150941</v>
      </c>
      <c r="HU14" s="3547">
        <f t="shared" si="82"/>
        <v>-1.8867924554797355E-3</v>
      </c>
      <c r="HV14" s="3612">
        <v>10137.791999999999</v>
      </c>
      <c r="HW14" s="3569">
        <f>23126.84/1.05*12/365*14</f>
        <v>10137.792876712329</v>
      </c>
      <c r="HX14" s="3562">
        <f>23126.84/1.05*12/365*14</f>
        <v>10137.792876712329</v>
      </c>
      <c r="HY14" s="3547">
        <f t="shared" si="83"/>
        <v>8.7671232904540375E-4</v>
      </c>
      <c r="HZ14" s="3568">
        <v>2099.4928301886798</v>
      </c>
      <c r="IA14" s="3569">
        <f>4835.08/1.06*12/365*14</f>
        <v>2099.4919617472215</v>
      </c>
      <c r="IB14" s="3562">
        <f>4835.08/1.06*12/365*14</f>
        <v>2099.4919617472215</v>
      </c>
      <c r="IC14" s="3547">
        <f t="shared" si="84"/>
        <v>-8.6844145835129893E-4</v>
      </c>
      <c r="ID14" s="3612"/>
      <c r="IE14" s="3569"/>
      <c r="IF14" s="3562"/>
      <c r="IG14" s="3547">
        <f t="shared" si="85"/>
        <v>0</v>
      </c>
      <c r="IH14" s="3568"/>
      <c r="II14" s="3569"/>
      <c r="IJ14" s="3562"/>
      <c r="IK14" s="3547">
        <f t="shared" si="86"/>
        <v>0</v>
      </c>
      <c r="IL14" s="3547"/>
      <c r="IM14" s="3569"/>
      <c r="IN14" s="3569"/>
      <c r="IO14" s="3547"/>
      <c r="IP14" s="3560">
        <f t="shared" si="87"/>
        <v>0</v>
      </c>
      <c r="IQ14" s="3568"/>
      <c r="IR14" s="3568"/>
      <c r="IS14" s="3568"/>
      <c r="IT14" s="3568"/>
      <c r="IU14" s="3568"/>
      <c r="IV14" s="3568"/>
      <c r="IW14" s="3568"/>
      <c r="IX14" s="3568"/>
      <c r="IY14" s="3568"/>
      <c r="IZ14" s="3560"/>
      <c r="JA14" s="3560"/>
      <c r="JB14" s="3560"/>
      <c r="JC14" s="3560">
        <f t="shared" si="11"/>
        <v>0</v>
      </c>
      <c r="JD14" s="3547"/>
      <c r="JE14" s="3568"/>
      <c r="JF14" s="3568"/>
      <c r="JG14" s="3568"/>
      <c r="JH14" s="3568"/>
      <c r="JI14" s="3568"/>
      <c r="JJ14" s="3568"/>
      <c r="JK14" s="3568"/>
      <c r="JL14" s="3568"/>
      <c r="JM14" s="3568"/>
      <c r="JN14" s="3560"/>
      <c r="JO14" s="3560"/>
      <c r="JP14" s="3547" t="s">
        <v>3918</v>
      </c>
      <c r="JQ14" s="3583">
        <f>23126.84/1.05+23126.84/1.05*12/365*14</f>
        <v>32163.354781474234</v>
      </c>
      <c r="JR14" s="3583">
        <f>4835.08/1.06+4835.08/1.06*12/365*14</f>
        <v>6660.8881881623156</v>
      </c>
      <c r="JS14" s="3573">
        <f t="shared" si="28"/>
        <v>-2.9103830456733704E-11</v>
      </c>
      <c r="JT14" s="3573">
        <f t="shared" si="35"/>
        <v>2.1827872842550278E-11</v>
      </c>
      <c r="JU14" s="3574">
        <f t="shared" si="29"/>
        <v>0</v>
      </c>
      <c r="JV14" s="3574">
        <f t="shared" si="30"/>
        <v>1.546140993013978E-11</v>
      </c>
      <c r="JW14" s="3575"/>
      <c r="JX14" s="3576">
        <f t="shared" si="31"/>
        <v>32163.354781474234</v>
      </c>
      <c r="JY14" s="3576">
        <f t="shared" si="32"/>
        <v>6660.8881881623156</v>
      </c>
      <c r="JZ14" s="3577"/>
      <c r="KA14" s="3573">
        <f t="shared" si="12"/>
        <v>1.7969447071664035E-5</v>
      </c>
      <c r="KB14" s="3573"/>
      <c r="KC14" s="3573"/>
      <c r="KD14" s="3573">
        <f t="shared" si="33"/>
        <v>1.7969447071664035E-5</v>
      </c>
      <c r="KE14" s="3571"/>
      <c r="KF14" s="3579"/>
      <c r="KG14" s="3579"/>
      <c r="KH14" s="3579"/>
      <c r="KI14" s="3579"/>
      <c r="KJ14" s="3579"/>
      <c r="KK14" s="3579"/>
      <c r="KL14" s="3579"/>
      <c r="KM14" s="3579"/>
      <c r="KN14" s="3579"/>
      <c r="KO14" s="3579"/>
      <c r="KP14" s="3579"/>
      <c r="KQ14" s="3579">
        <f t="shared" si="34"/>
        <v>0</v>
      </c>
      <c r="KR14" s="3579">
        <f t="shared" si="88"/>
        <v>1.617250600247644E-8</v>
      </c>
      <c r="KS14" s="3577"/>
      <c r="KT14" s="3577"/>
      <c r="KU14" s="3577"/>
      <c r="KV14" s="3577"/>
      <c r="KW14" s="3577"/>
      <c r="KX14" s="3577"/>
      <c r="KY14" s="3577"/>
      <c r="KZ14" s="3577"/>
      <c r="LA14" s="3577"/>
      <c r="LB14" s="3577"/>
      <c r="LC14" s="3577"/>
      <c r="LD14" s="3577"/>
      <c r="LE14" s="3577"/>
      <c r="LF14" s="3577"/>
      <c r="LG14" s="3577"/>
      <c r="LH14" s="3577"/>
      <c r="LJ14" s="3575"/>
      <c r="LK14" s="3571"/>
      <c r="LL14" s="3576"/>
    </row>
    <row r="15" spans="1:324" s="3580" customFormat="1" ht="18" customHeight="1">
      <c r="A15" s="3545">
        <v>12</v>
      </c>
      <c r="B15" s="3546" t="s">
        <v>3848</v>
      </c>
      <c r="C15" s="3615" t="s">
        <v>3919</v>
      </c>
      <c r="D15" s="3547">
        <v>67.52</v>
      </c>
      <c r="E15" s="3548" t="s">
        <v>3799</v>
      </c>
      <c r="F15" s="3546" t="s">
        <v>3790</v>
      </c>
      <c r="G15" s="3613" t="s">
        <v>3895</v>
      </c>
      <c r="H15" s="3546" t="s">
        <v>3896</v>
      </c>
      <c r="I15" s="3594" t="s">
        <v>3897</v>
      </c>
      <c r="J15" s="3594" t="s">
        <v>3898</v>
      </c>
      <c r="K15" s="3545" t="s">
        <v>3885</v>
      </c>
      <c r="L15" s="3555"/>
      <c r="M15" s="3551"/>
      <c r="N15" s="3616"/>
      <c r="O15" s="3551">
        <f t="shared" si="13"/>
        <v>0</v>
      </c>
      <c r="P15" s="3547"/>
      <c r="Q15" s="3547"/>
      <c r="R15" s="3547">
        <f t="shared" si="89"/>
        <v>0</v>
      </c>
      <c r="S15" s="3547">
        <f t="shared" si="14"/>
        <v>0</v>
      </c>
      <c r="T15" s="3552"/>
      <c r="U15" s="3553">
        <f t="shared" si="15"/>
        <v>0</v>
      </c>
      <c r="V15" s="3547"/>
      <c r="W15" s="3547">
        <f t="shared" si="16"/>
        <v>0</v>
      </c>
      <c r="X15" s="3552"/>
      <c r="Y15" s="3547">
        <f t="shared" si="17"/>
        <v>0</v>
      </c>
      <c r="Z15" s="3554"/>
      <c r="AA15" s="3555"/>
      <c r="AB15" s="3552"/>
      <c r="AC15" s="3556">
        <f t="shared" si="18"/>
        <v>0</v>
      </c>
      <c r="AD15" s="3556">
        <f t="shared" si="19"/>
        <v>0</v>
      </c>
      <c r="AE15" s="3556">
        <f t="shared" si="19"/>
        <v>0</v>
      </c>
      <c r="AF15" s="3556">
        <f t="shared" si="20"/>
        <v>0</v>
      </c>
      <c r="AG15" s="3556"/>
      <c r="AH15" s="3557">
        <f t="shared" si="21"/>
        <v>0</v>
      </c>
      <c r="AI15" s="3558">
        <f t="shared" si="22"/>
        <v>0</v>
      </c>
      <c r="AJ15" s="3558">
        <f t="shared" si="22"/>
        <v>0</v>
      </c>
      <c r="AK15" s="3557">
        <f t="shared" si="43"/>
        <v>0</v>
      </c>
      <c r="AL15" s="3557"/>
      <c r="AM15" s="3547"/>
      <c r="AN15" s="3609"/>
      <c r="AO15" s="3562"/>
      <c r="AP15" s="3561">
        <f t="shared" si="44"/>
        <v>0</v>
      </c>
      <c r="AQ15" s="3559"/>
      <c r="AR15" s="3562"/>
      <c r="AS15" s="3561">
        <f t="shared" si="36"/>
        <v>0</v>
      </c>
      <c r="AT15" s="3563"/>
      <c r="AU15" s="3547"/>
      <c r="AV15" s="3609"/>
      <c r="AW15" s="3562"/>
      <c r="AX15" s="3561">
        <f t="shared" si="45"/>
        <v>0</v>
      </c>
      <c r="AY15" s="3559"/>
      <c r="AZ15" s="3562"/>
      <c r="BA15" s="3561">
        <f t="shared" si="23"/>
        <v>0</v>
      </c>
      <c r="BB15" s="3563"/>
      <c r="BC15" s="3547"/>
      <c r="BD15" s="3609"/>
      <c r="BE15" s="3562"/>
      <c r="BF15" s="3561">
        <f t="shared" si="46"/>
        <v>0</v>
      </c>
      <c r="BG15" s="3559"/>
      <c r="BH15" s="3562"/>
      <c r="BI15" s="3561">
        <f t="shared" si="47"/>
        <v>0</v>
      </c>
      <c r="BJ15" s="3563"/>
      <c r="BK15" s="3547"/>
      <c r="BL15" s="3609"/>
      <c r="BM15" s="3562"/>
      <c r="BN15" s="3561">
        <f t="shared" si="48"/>
        <v>0</v>
      </c>
      <c r="BO15" s="3559"/>
      <c r="BP15" s="3562"/>
      <c r="BQ15" s="3561">
        <f t="shared" si="49"/>
        <v>0</v>
      </c>
      <c r="BR15" s="3563"/>
      <c r="BS15" s="3547"/>
      <c r="BT15" s="3609"/>
      <c r="BU15" s="3562"/>
      <c r="BV15" s="3561">
        <f t="shared" si="50"/>
        <v>0</v>
      </c>
      <c r="BW15" s="3559"/>
      <c r="BX15" s="3562"/>
      <c r="BY15" s="3561">
        <f t="shared" si="51"/>
        <v>0</v>
      </c>
      <c r="BZ15" s="3563"/>
      <c r="CA15" s="3547"/>
      <c r="CB15" s="3609"/>
      <c r="CC15" s="3562"/>
      <c r="CD15" s="3561">
        <f t="shared" si="52"/>
        <v>0</v>
      </c>
      <c r="CE15" s="3559"/>
      <c r="CF15" s="3562"/>
      <c r="CG15" s="3561">
        <f t="shared" si="53"/>
        <v>0</v>
      </c>
      <c r="CH15" s="3563"/>
      <c r="CI15" s="3547"/>
      <c r="CJ15" s="3609"/>
      <c r="CK15" s="3562"/>
      <c r="CL15" s="3561">
        <f t="shared" si="5"/>
        <v>0</v>
      </c>
      <c r="CM15" s="3559"/>
      <c r="CN15" s="3562"/>
      <c r="CO15" s="3561">
        <f t="shared" si="54"/>
        <v>0</v>
      </c>
      <c r="CP15" s="3563"/>
      <c r="CQ15" s="3547"/>
      <c r="CR15" s="3609"/>
      <c r="CS15" s="3562"/>
      <c r="CT15" s="3561">
        <f t="shared" si="55"/>
        <v>0</v>
      </c>
      <c r="CU15" s="3559"/>
      <c r="CV15" s="3562"/>
      <c r="CW15" s="3561">
        <f t="shared" si="56"/>
        <v>0</v>
      </c>
      <c r="CX15" s="3563"/>
      <c r="CY15" s="3597"/>
      <c r="CZ15" s="3609"/>
      <c r="DA15" s="3562"/>
      <c r="DB15" s="3561">
        <f t="shared" si="57"/>
        <v>0</v>
      </c>
      <c r="DC15" s="3559"/>
      <c r="DD15" s="3562"/>
      <c r="DE15" s="3561">
        <f t="shared" si="58"/>
        <v>0</v>
      </c>
      <c r="DF15" s="3563"/>
      <c r="DG15" s="3547"/>
      <c r="DH15" s="3609"/>
      <c r="DI15" s="3562"/>
      <c r="DJ15" s="3561">
        <f t="shared" si="59"/>
        <v>0</v>
      </c>
      <c r="DK15" s="3559"/>
      <c r="DL15" s="3562"/>
      <c r="DM15" s="3561">
        <f t="shared" si="60"/>
        <v>0</v>
      </c>
      <c r="DN15" s="3563"/>
      <c r="DO15" s="3547"/>
      <c r="DP15" s="3609"/>
      <c r="DQ15" s="3562"/>
      <c r="DR15" s="3561">
        <f t="shared" si="61"/>
        <v>0</v>
      </c>
      <c r="DS15" s="3559"/>
      <c r="DT15" s="3562"/>
      <c r="DU15" s="3561">
        <f t="shared" si="62"/>
        <v>0</v>
      </c>
      <c r="DV15" s="3563"/>
      <c r="DW15" s="3547"/>
      <c r="DX15" s="3609"/>
      <c r="DY15" s="3562"/>
      <c r="DZ15" s="3561">
        <f t="shared" si="63"/>
        <v>0</v>
      </c>
      <c r="EA15" s="3559"/>
      <c r="EB15" s="3562"/>
      <c r="EC15" s="3561">
        <f t="shared" si="64"/>
        <v>0</v>
      </c>
      <c r="ED15" s="3563"/>
      <c r="EF15" s="3565">
        <f t="shared" si="37"/>
        <v>0</v>
      </c>
      <c r="EG15" s="3565">
        <f t="shared" si="24"/>
        <v>0</v>
      </c>
      <c r="EH15" s="3565">
        <f t="shared" si="24"/>
        <v>0</v>
      </c>
      <c r="EI15" s="3565">
        <f t="shared" si="24"/>
        <v>0</v>
      </c>
      <c r="EJ15" s="3565">
        <f t="shared" si="38"/>
        <v>0</v>
      </c>
      <c r="EK15" s="3566">
        <f t="shared" si="39"/>
        <v>0</v>
      </c>
      <c r="EL15" s="3610"/>
      <c r="EM15" s="3567">
        <f t="shared" si="40"/>
        <v>0</v>
      </c>
      <c r="EN15" s="3557">
        <f t="shared" si="25"/>
        <v>0</v>
      </c>
      <c r="EO15" s="3557">
        <f t="shared" si="25"/>
        <v>0</v>
      </c>
      <c r="EP15" s="3557">
        <f t="shared" si="25"/>
        <v>0</v>
      </c>
      <c r="EQ15" s="3557">
        <f t="shared" si="41"/>
        <v>0</v>
      </c>
      <c r="ER15" s="3557">
        <f t="shared" si="42"/>
        <v>0</v>
      </c>
      <c r="ES15" s="3557"/>
      <c r="ET15" s="3612"/>
      <c r="EU15" s="3569"/>
      <c r="EV15" s="3562"/>
      <c r="EW15" s="3547">
        <f t="shared" si="26"/>
        <v>0</v>
      </c>
      <c r="EX15" s="3568"/>
      <c r="EY15" s="3569"/>
      <c r="EZ15" s="3562"/>
      <c r="FA15" s="3547">
        <f t="shared" si="27"/>
        <v>0</v>
      </c>
      <c r="FB15" s="3612"/>
      <c r="FC15" s="3569"/>
      <c r="FD15" s="3562"/>
      <c r="FE15" s="3547">
        <f t="shared" si="65"/>
        <v>0</v>
      </c>
      <c r="FF15" s="3568"/>
      <c r="FG15" s="3569"/>
      <c r="FH15" s="3562"/>
      <c r="FI15" s="3547">
        <f t="shared" si="66"/>
        <v>0</v>
      </c>
      <c r="FJ15" s="3612"/>
      <c r="FK15" s="3569"/>
      <c r="FL15" s="3562"/>
      <c r="FM15" s="3547">
        <f t="shared" si="67"/>
        <v>0</v>
      </c>
      <c r="FN15" s="3568"/>
      <c r="FO15" s="3569"/>
      <c r="FP15" s="3562"/>
      <c r="FQ15" s="3547">
        <f t="shared" si="68"/>
        <v>0</v>
      </c>
      <c r="FR15" s="3612"/>
      <c r="FS15" s="3569"/>
      <c r="FT15" s="3560"/>
      <c r="FU15" s="3547">
        <f t="shared" si="69"/>
        <v>0</v>
      </c>
      <c r="FV15" s="3568"/>
      <c r="FW15" s="3569"/>
      <c r="FX15" s="3560"/>
      <c r="FY15" s="3547">
        <f t="shared" si="70"/>
        <v>0</v>
      </c>
      <c r="FZ15" s="3612"/>
      <c r="GA15" s="3569"/>
      <c r="GB15" s="3560"/>
      <c r="GC15" s="3547">
        <f t="shared" si="71"/>
        <v>0</v>
      </c>
      <c r="GD15" s="3568"/>
      <c r="GE15" s="3569"/>
      <c r="GF15" s="3560"/>
      <c r="GG15" s="3547">
        <f t="shared" si="72"/>
        <v>0</v>
      </c>
      <c r="GH15" s="3612"/>
      <c r="GI15" s="3569"/>
      <c r="GJ15" s="3562"/>
      <c r="GK15" s="3547">
        <f t="shared" si="73"/>
        <v>0</v>
      </c>
      <c r="GL15" s="3568"/>
      <c r="GM15" s="3569"/>
      <c r="GN15" s="3560"/>
      <c r="GO15" s="3547">
        <f t="shared" si="74"/>
        <v>0</v>
      </c>
      <c r="GP15" s="3612"/>
      <c r="GQ15" s="3569"/>
      <c r="GR15" s="3562"/>
      <c r="GS15" s="3547">
        <f t="shared" si="75"/>
        <v>0</v>
      </c>
      <c r="GT15" s="3568"/>
      <c r="GU15" s="3569"/>
      <c r="GV15" s="3560"/>
      <c r="GW15" s="3547">
        <f t="shared" si="76"/>
        <v>0</v>
      </c>
      <c r="GX15" s="3612"/>
      <c r="GY15" s="3569"/>
      <c r="GZ15" s="3562"/>
      <c r="HA15" s="3547">
        <f t="shared" si="77"/>
        <v>0</v>
      </c>
      <c r="HB15" s="3568"/>
      <c r="HC15" s="3569"/>
      <c r="HD15" s="3562"/>
      <c r="HE15" s="3547">
        <f t="shared" si="78"/>
        <v>0</v>
      </c>
      <c r="HF15" s="3612"/>
      <c r="HG15" s="3569"/>
      <c r="HH15" s="3562"/>
      <c r="HI15" s="3547">
        <f t="shared" si="79"/>
        <v>0</v>
      </c>
      <c r="HJ15" s="3568"/>
      <c r="HK15" s="3569"/>
      <c r="HL15" s="3562"/>
      <c r="HM15" s="3547">
        <f t="shared" si="80"/>
        <v>0</v>
      </c>
      <c r="HN15" s="3612"/>
      <c r="HO15" s="3569"/>
      <c r="HP15" s="3562"/>
      <c r="HQ15" s="3547">
        <f t="shared" si="81"/>
        <v>0</v>
      </c>
      <c r="HR15" s="3568"/>
      <c r="HS15" s="3569"/>
      <c r="HT15" s="3562"/>
      <c r="HU15" s="3547">
        <f t="shared" si="82"/>
        <v>0</v>
      </c>
      <c r="HV15" s="3612"/>
      <c r="HW15" s="3569"/>
      <c r="HX15" s="3562"/>
      <c r="HY15" s="3547">
        <f t="shared" si="83"/>
        <v>0</v>
      </c>
      <c r="HZ15" s="3568"/>
      <c r="IA15" s="3569"/>
      <c r="IB15" s="3562"/>
      <c r="IC15" s="3547">
        <f t="shared" si="84"/>
        <v>0</v>
      </c>
      <c r="ID15" s="3612"/>
      <c r="IE15" s="3569"/>
      <c r="IF15" s="3562"/>
      <c r="IG15" s="3547">
        <f t="shared" si="85"/>
        <v>0</v>
      </c>
      <c r="IH15" s="3568"/>
      <c r="II15" s="3569"/>
      <c r="IJ15" s="3562"/>
      <c r="IK15" s="3547">
        <f t="shared" si="86"/>
        <v>0</v>
      </c>
      <c r="IL15" s="3570"/>
      <c r="IM15" s="3569"/>
      <c r="IN15" s="3569"/>
      <c r="IO15" s="3571"/>
      <c r="IP15" s="3560">
        <f t="shared" si="87"/>
        <v>0</v>
      </c>
      <c r="IQ15" s="3568"/>
      <c r="IR15" s="3568"/>
      <c r="IS15" s="3568"/>
      <c r="IT15" s="3568"/>
      <c r="IU15" s="3568"/>
      <c r="IV15" s="3568"/>
      <c r="IW15" s="3568"/>
      <c r="IX15" s="3568"/>
      <c r="IY15" s="3568"/>
      <c r="IZ15" s="3560"/>
      <c r="JA15" s="3560"/>
      <c r="JB15" s="3560"/>
      <c r="JC15" s="3560">
        <f t="shared" si="11"/>
        <v>0</v>
      </c>
      <c r="JD15" s="3571"/>
      <c r="JE15" s="3568"/>
      <c r="JF15" s="3568"/>
      <c r="JG15" s="3568"/>
      <c r="JH15" s="3568"/>
      <c r="JI15" s="3568"/>
      <c r="JJ15" s="3568"/>
      <c r="JK15" s="3568"/>
      <c r="JL15" s="3568"/>
      <c r="JM15" s="3568"/>
      <c r="JN15" s="3560"/>
      <c r="JO15" s="3560"/>
      <c r="JP15" s="3570"/>
      <c r="JQ15" s="3583"/>
      <c r="JR15" s="3583"/>
      <c r="JS15" s="3573">
        <f t="shared" si="28"/>
        <v>0</v>
      </c>
      <c r="JT15" s="3573">
        <f t="shared" si="35"/>
        <v>0</v>
      </c>
      <c r="JU15" s="3574">
        <f t="shared" si="29"/>
        <v>0</v>
      </c>
      <c r="JV15" s="3574">
        <f t="shared" si="30"/>
        <v>0</v>
      </c>
      <c r="JW15" s="3575"/>
      <c r="JX15" s="3576">
        <f t="shared" si="31"/>
        <v>0</v>
      </c>
      <c r="JY15" s="3576">
        <f t="shared" si="32"/>
        <v>0</v>
      </c>
      <c r="JZ15" s="3577"/>
      <c r="KA15" s="3573">
        <f t="shared" si="12"/>
        <v>0</v>
      </c>
      <c r="KB15" s="3573"/>
      <c r="KC15" s="3573"/>
      <c r="KD15" s="3573">
        <f t="shared" si="33"/>
        <v>0</v>
      </c>
      <c r="KE15" s="3571"/>
      <c r="KF15" s="3579"/>
      <c r="KG15" s="3579"/>
      <c r="KH15" s="3579"/>
      <c r="KI15" s="3579"/>
      <c r="KJ15" s="3579"/>
      <c r="KK15" s="3579"/>
      <c r="KL15" s="3579"/>
      <c r="KM15" s="3579"/>
      <c r="KN15" s="3579"/>
      <c r="KO15" s="3579"/>
      <c r="KP15" s="3579"/>
      <c r="KQ15" s="3579">
        <f t="shared" si="34"/>
        <v>0</v>
      </c>
      <c r="KR15" s="3579">
        <f t="shared" si="88"/>
        <v>0</v>
      </c>
      <c r="KS15" s="3577"/>
      <c r="KT15" s="3577"/>
      <c r="KU15" s="3577"/>
      <c r="KV15" s="3577"/>
      <c r="KW15" s="3577"/>
      <c r="KX15" s="3577"/>
      <c r="KY15" s="3577"/>
      <c r="KZ15" s="3577"/>
      <c r="LA15" s="3577"/>
      <c r="LB15" s="3577"/>
      <c r="LC15" s="3577"/>
      <c r="LD15" s="3577"/>
      <c r="LE15" s="3577"/>
      <c r="LF15" s="3577"/>
      <c r="LG15" s="3577"/>
      <c r="LH15" s="3577"/>
      <c r="LJ15" s="3575"/>
      <c r="LK15" s="3571"/>
      <c r="LL15" s="3576"/>
    </row>
    <row r="16" spans="1:324" s="3580" customFormat="1" ht="18" customHeight="1">
      <c r="A16" s="3545">
        <v>13</v>
      </c>
      <c r="B16" s="3546" t="s">
        <v>3848</v>
      </c>
      <c r="C16" s="3615" t="s">
        <v>3920</v>
      </c>
      <c r="D16" s="3547">
        <v>221.83</v>
      </c>
      <c r="E16" s="3548" t="s">
        <v>3789</v>
      </c>
      <c r="F16" s="3546" t="s">
        <v>3790</v>
      </c>
      <c r="G16" s="3546" t="s">
        <v>3921</v>
      </c>
      <c r="H16" s="3546" t="s">
        <v>3922</v>
      </c>
      <c r="I16" s="3594" t="s">
        <v>3923</v>
      </c>
      <c r="J16" s="3594" t="s">
        <v>3924</v>
      </c>
      <c r="K16" s="3545" t="s">
        <v>3925</v>
      </c>
      <c r="L16" s="3555"/>
      <c r="M16" s="3551"/>
      <c r="N16" s="3551"/>
      <c r="O16" s="3551">
        <f t="shared" si="13"/>
        <v>0</v>
      </c>
      <c r="P16" s="3551"/>
      <c r="Q16" s="3551"/>
      <c r="R16" s="3547">
        <f t="shared" si="89"/>
        <v>0</v>
      </c>
      <c r="S16" s="3547">
        <f t="shared" si="14"/>
        <v>0</v>
      </c>
      <c r="T16" s="3552"/>
      <c r="U16" s="3553">
        <f t="shared" si="15"/>
        <v>0</v>
      </c>
      <c r="V16" s="3547"/>
      <c r="W16" s="3547">
        <f t="shared" si="16"/>
        <v>0</v>
      </c>
      <c r="X16" s="3552"/>
      <c r="Y16" s="3547">
        <f t="shared" si="17"/>
        <v>0</v>
      </c>
      <c r="Z16" s="3554"/>
      <c r="AA16" s="3555"/>
      <c r="AB16" s="3593"/>
      <c r="AC16" s="3556">
        <f t="shared" si="18"/>
        <v>0</v>
      </c>
      <c r="AD16" s="3556">
        <f t="shared" si="19"/>
        <v>0</v>
      </c>
      <c r="AE16" s="3556">
        <f t="shared" si="19"/>
        <v>0</v>
      </c>
      <c r="AF16" s="3556">
        <f t="shared" si="20"/>
        <v>0</v>
      </c>
      <c r="AG16" s="3556"/>
      <c r="AH16" s="3557">
        <f t="shared" si="21"/>
        <v>0</v>
      </c>
      <c r="AI16" s="3558">
        <f t="shared" si="22"/>
        <v>0</v>
      </c>
      <c r="AJ16" s="3558">
        <f t="shared" si="22"/>
        <v>0</v>
      </c>
      <c r="AK16" s="3557">
        <f t="shared" si="43"/>
        <v>0</v>
      </c>
      <c r="AL16" s="3557"/>
      <c r="AM16" s="3547"/>
      <c r="AN16" s="3609"/>
      <c r="AO16" s="3562"/>
      <c r="AP16" s="3561">
        <f t="shared" si="44"/>
        <v>0</v>
      </c>
      <c r="AQ16" s="3559"/>
      <c r="AR16" s="3562"/>
      <c r="AS16" s="3561">
        <f t="shared" si="36"/>
        <v>0</v>
      </c>
      <c r="AT16" s="3563" t="s">
        <v>3926</v>
      </c>
      <c r="AU16" s="3547"/>
      <c r="AV16" s="3609"/>
      <c r="AW16" s="3562"/>
      <c r="AX16" s="3561">
        <f t="shared" si="45"/>
        <v>0</v>
      </c>
      <c r="AY16" s="3559"/>
      <c r="AZ16" s="3562"/>
      <c r="BA16" s="3561">
        <f t="shared" si="23"/>
        <v>0</v>
      </c>
      <c r="BB16" s="3563" t="s">
        <v>3926</v>
      </c>
      <c r="BC16" s="3547"/>
      <c r="BD16" s="3609"/>
      <c r="BE16" s="3562"/>
      <c r="BF16" s="3561">
        <f t="shared" si="46"/>
        <v>0</v>
      </c>
      <c r="BG16" s="3559"/>
      <c r="BH16" s="3562"/>
      <c r="BI16" s="3561">
        <f t="shared" si="47"/>
        <v>0</v>
      </c>
      <c r="BJ16" s="3563" t="s">
        <v>3926</v>
      </c>
      <c r="BK16" s="3547"/>
      <c r="BL16" s="3609"/>
      <c r="BM16" s="3562"/>
      <c r="BN16" s="3561">
        <f t="shared" si="48"/>
        <v>0</v>
      </c>
      <c r="BO16" s="3559"/>
      <c r="BP16" s="3562"/>
      <c r="BQ16" s="3561">
        <f t="shared" si="49"/>
        <v>0</v>
      </c>
      <c r="BR16" s="3563" t="s">
        <v>3926</v>
      </c>
      <c r="BS16" s="3547"/>
      <c r="BT16" s="3609"/>
      <c r="BU16" s="3562"/>
      <c r="BV16" s="3561">
        <f t="shared" si="50"/>
        <v>0</v>
      </c>
      <c r="BW16" s="3559"/>
      <c r="BX16" s="3562"/>
      <c r="BY16" s="3561">
        <f t="shared" si="51"/>
        <v>0</v>
      </c>
      <c r="BZ16" s="3563" t="s">
        <v>3926</v>
      </c>
      <c r="CA16" s="3547"/>
      <c r="CB16" s="3609"/>
      <c r="CC16" s="3562"/>
      <c r="CD16" s="3561">
        <f t="shared" si="52"/>
        <v>0</v>
      </c>
      <c r="CE16" s="3559"/>
      <c r="CF16" s="3562"/>
      <c r="CG16" s="3561">
        <f t="shared" si="53"/>
        <v>0</v>
      </c>
      <c r="CH16" s="3563" t="s">
        <v>3926</v>
      </c>
      <c r="CI16" s="3547"/>
      <c r="CJ16" s="3609"/>
      <c r="CK16" s="3562"/>
      <c r="CL16" s="3561">
        <f t="shared" si="5"/>
        <v>0</v>
      </c>
      <c r="CM16" s="3559"/>
      <c r="CN16" s="3562"/>
      <c r="CO16" s="3561">
        <f t="shared" si="54"/>
        <v>0</v>
      </c>
      <c r="CP16" s="3563" t="s">
        <v>3926</v>
      </c>
      <c r="CQ16" s="3547"/>
      <c r="CR16" s="3609"/>
      <c r="CS16" s="3562"/>
      <c r="CT16" s="3561">
        <f t="shared" si="55"/>
        <v>0</v>
      </c>
      <c r="CU16" s="3559"/>
      <c r="CV16" s="3562"/>
      <c r="CW16" s="3561">
        <f t="shared" si="56"/>
        <v>0</v>
      </c>
      <c r="CX16" s="3563" t="s">
        <v>3926</v>
      </c>
      <c r="CY16" s="3597"/>
      <c r="CZ16" s="3609"/>
      <c r="DA16" s="3562"/>
      <c r="DB16" s="3561">
        <f t="shared" si="57"/>
        <v>0</v>
      </c>
      <c r="DC16" s="3559"/>
      <c r="DD16" s="3562"/>
      <c r="DE16" s="3561">
        <f t="shared" si="58"/>
        <v>0</v>
      </c>
      <c r="DF16" s="3563" t="s">
        <v>3926</v>
      </c>
      <c r="DG16" s="3547"/>
      <c r="DH16" s="3609"/>
      <c r="DI16" s="3562"/>
      <c r="DJ16" s="3561">
        <f t="shared" si="59"/>
        <v>0</v>
      </c>
      <c r="DK16" s="3559"/>
      <c r="DL16" s="3562"/>
      <c r="DM16" s="3561">
        <f t="shared" si="60"/>
        <v>0</v>
      </c>
      <c r="DN16" s="3563"/>
      <c r="DO16" s="3547"/>
      <c r="DP16" s="3609"/>
      <c r="DQ16" s="3562"/>
      <c r="DR16" s="3561">
        <f t="shared" si="61"/>
        <v>0</v>
      </c>
      <c r="DS16" s="3559"/>
      <c r="DT16" s="3562"/>
      <c r="DU16" s="3561">
        <f t="shared" si="62"/>
        <v>0</v>
      </c>
      <c r="DV16" s="3563"/>
      <c r="DW16" s="3547"/>
      <c r="DX16" s="3609"/>
      <c r="DY16" s="3562"/>
      <c r="DZ16" s="3561">
        <f t="shared" si="63"/>
        <v>0</v>
      </c>
      <c r="EA16" s="3559"/>
      <c r="EB16" s="3562"/>
      <c r="EC16" s="3561">
        <f t="shared" si="64"/>
        <v>0</v>
      </c>
      <c r="ED16" s="3563"/>
      <c r="EE16" s="3564"/>
      <c r="EF16" s="3565">
        <f t="shared" si="37"/>
        <v>101852.54027777801</v>
      </c>
      <c r="EG16" s="3565">
        <f t="shared" si="24"/>
        <v>40741.016111111203</v>
      </c>
      <c r="EH16" s="3565">
        <f t="shared" si="24"/>
        <v>0</v>
      </c>
      <c r="EI16" s="3565">
        <f t="shared" si="24"/>
        <v>0</v>
      </c>
      <c r="EJ16" s="3565">
        <f t="shared" si="38"/>
        <v>-40741.016111111203</v>
      </c>
      <c r="EK16" s="3566">
        <f t="shared" si="39"/>
        <v>0</v>
      </c>
      <c r="EL16" s="3610"/>
      <c r="EM16" s="3567">
        <f t="shared" si="40"/>
        <v>42266.288364779837</v>
      </c>
      <c r="EN16" s="3557">
        <f t="shared" si="25"/>
        <v>26416.430227987399</v>
      </c>
      <c r="EO16" s="3557">
        <f t="shared" si="25"/>
        <v>0</v>
      </c>
      <c r="EP16" s="3557">
        <f t="shared" si="25"/>
        <v>0</v>
      </c>
      <c r="EQ16" s="3557">
        <f t="shared" si="41"/>
        <v>-26416.430227987399</v>
      </c>
      <c r="ER16" s="3557">
        <f t="shared" si="42"/>
        <v>0</v>
      </c>
      <c r="ES16" s="3557"/>
      <c r="ET16" s="3612"/>
      <c r="EU16" s="3569"/>
      <c r="EV16" s="3562"/>
      <c r="EW16" s="3547">
        <f t="shared" si="26"/>
        <v>0</v>
      </c>
      <c r="EX16" s="3568"/>
      <c r="EY16" s="3569"/>
      <c r="EZ16" s="3562"/>
      <c r="FA16" s="3547">
        <f t="shared" si="27"/>
        <v>0</v>
      </c>
      <c r="FB16" s="3612"/>
      <c r="FC16" s="3569"/>
      <c r="FD16" s="3562"/>
      <c r="FE16" s="3547">
        <f t="shared" si="65"/>
        <v>0</v>
      </c>
      <c r="FF16" s="3568"/>
      <c r="FG16" s="3569"/>
      <c r="FH16" s="3562"/>
      <c r="FI16" s="3547">
        <f t="shared" si="66"/>
        <v>0</v>
      </c>
      <c r="FJ16" s="3612"/>
      <c r="FK16" s="3569"/>
      <c r="FL16" s="3562"/>
      <c r="FM16" s="3547">
        <f t="shared" si="67"/>
        <v>0</v>
      </c>
      <c r="FN16" s="3568"/>
      <c r="FO16" s="3569"/>
      <c r="FP16" s="3562"/>
      <c r="FQ16" s="3547">
        <f t="shared" si="68"/>
        <v>0</v>
      </c>
      <c r="FR16" s="3612"/>
      <c r="FS16" s="3569"/>
      <c r="FT16" s="3560"/>
      <c r="FU16" s="3547">
        <f t="shared" si="69"/>
        <v>0</v>
      </c>
      <c r="FV16" s="3568"/>
      <c r="FW16" s="3569"/>
      <c r="FX16" s="3560"/>
      <c r="FY16" s="3547">
        <f t="shared" si="70"/>
        <v>0</v>
      </c>
      <c r="FZ16" s="3612"/>
      <c r="GA16" s="3569"/>
      <c r="GB16" s="3560"/>
      <c r="GC16" s="3547">
        <f t="shared" si="71"/>
        <v>0</v>
      </c>
      <c r="GD16" s="3568">
        <v>5283.2860455974796</v>
      </c>
      <c r="GE16" s="3569"/>
      <c r="GF16" s="3562"/>
      <c r="GG16" s="3547">
        <f t="shared" si="72"/>
        <v>-5283.2860455974796</v>
      </c>
      <c r="GH16" s="3612"/>
      <c r="GI16" s="3569"/>
      <c r="GJ16" s="3562"/>
      <c r="GK16" s="3547">
        <f t="shared" si="73"/>
        <v>0</v>
      </c>
      <c r="GL16" s="3568">
        <v>5283.2860455974796</v>
      </c>
      <c r="GM16" s="3569"/>
      <c r="GN16" s="3562"/>
      <c r="GO16" s="3547">
        <f t="shared" si="74"/>
        <v>-5283.2860455974796</v>
      </c>
      <c r="GP16" s="3612"/>
      <c r="GQ16" s="3569"/>
      <c r="GR16" s="3562"/>
      <c r="GS16" s="3547">
        <f t="shared" si="75"/>
        <v>0</v>
      </c>
      <c r="GT16" s="3568">
        <v>5283.2860455974796</v>
      </c>
      <c r="GU16" s="3569"/>
      <c r="GV16" s="3562"/>
      <c r="GW16" s="3547">
        <f t="shared" si="76"/>
        <v>-5283.2860455974796</v>
      </c>
      <c r="GX16" s="3612">
        <v>20370.508055555601</v>
      </c>
      <c r="GY16" s="3569"/>
      <c r="GZ16" s="3562"/>
      <c r="HA16" s="3547">
        <f t="shared" si="77"/>
        <v>-20370.508055555601</v>
      </c>
      <c r="HB16" s="3568">
        <v>5283.2860455974796</v>
      </c>
      <c r="HC16" s="3569"/>
      <c r="HD16" s="3562"/>
      <c r="HE16" s="3547">
        <f t="shared" si="78"/>
        <v>-5283.2860455974796</v>
      </c>
      <c r="HF16" s="3612">
        <v>20370.508055555601</v>
      </c>
      <c r="HG16" s="3569"/>
      <c r="HH16" s="3562"/>
      <c r="HI16" s="3547">
        <f t="shared" si="79"/>
        <v>-20370.508055555601</v>
      </c>
      <c r="HJ16" s="3568">
        <v>5283.2860455974796</v>
      </c>
      <c r="HK16" s="3569"/>
      <c r="HL16" s="3562"/>
      <c r="HM16" s="3547">
        <f t="shared" si="80"/>
        <v>-5283.2860455974796</v>
      </c>
      <c r="HN16" s="3612">
        <v>20370.508055555601</v>
      </c>
      <c r="HO16" s="3569"/>
      <c r="HP16" s="3562"/>
      <c r="HQ16" s="3547">
        <f t="shared" si="81"/>
        <v>-20370.508055555601</v>
      </c>
      <c r="HR16" s="3568">
        <v>5283.2860455974796</v>
      </c>
      <c r="HS16" s="3569"/>
      <c r="HT16" s="3562"/>
      <c r="HU16" s="3547">
        <f t="shared" si="82"/>
        <v>-5283.2860455974796</v>
      </c>
      <c r="HV16" s="3612">
        <v>20370.508055555601</v>
      </c>
      <c r="HW16" s="3569"/>
      <c r="HX16" s="3562"/>
      <c r="HY16" s="3547">
        <f t="shared" si="83"/>
        <v>-20370.508055555601</v>
      </c>
      <c r="HZ16" s="3568">
        <v>5283.2860455974796</v>
      </c>
      <c r="IA16" s="3569"/>
      <c r="IB16" s="3562"/>
      <c r="IC16" s="3547">
        <f t="shared" si="84"/>
        <v>-5283.2860455974796</v>
      </c>
      <c r="ID16" s="3612">
        <v>20370.508055555601</v>
      </c>
      <c r="IE16" s="3569"/>
      <c r="IF16" s="3562"/>
      <c r="IG16" s="3547">
        <f t="shared" si="85"/>
        <v>-20370.508055555601</v>
      </c>
      <c r="IH16" s="3568">
        <v>5283.2860455974796</v>
      </c>
      <c r="II16" s="3569"/>
      <c r="IJ16" s="3562"/>
      <c r="IK16" s="3547">
        <f t="shared" si="86"/>
        <v>-5283.2860455974796</v>
      </c>
      <c r="IL16" s="3547"/>
      <c r="IM16" s="3569"/>
      <c r="IN16" s="3569"/>
      <c r="IO16" s="3570"/>
      <c r="IP16" s="3560">
        <f t="shared" si="87"/>
        <v>0</v>
      </c>
      <c r="IQ16" s="3568"/>
      <c r="IR16" s="3568"/>
      <c r="IS16" s="3568"/>
      <c r="IT16" s="3568"/>
      <c r="IU16" s="3568"/>
      <c r="IV16" s="3568"/>
      <c r="IW16" s="3568"/>
      <c r="IX16" s="3568"/>
      <c r="IY16" s="3568"/>
      <c r="IZ16" s="3560"/>
      <c r="JA16" s="3560"/>
      <c r="JB16" s="3560"/>
      <c r="JC16" s="3560">
        <f t="shared" si="11"/>
        <v>0</v>
      </c>
      <c r="JD16" s="3570"/>
      <c r="JE16" s="3568"/>
      <c r="JF16" s="3568"/>
      <c r="JG16" s="3568"/>
      <c r="JH16" s="3568"/>
      <c r="JI16" s="3568"/>
      <c r="JJ16" s="3568"/>
      <c r="JK16" s="3568"/>
      <c r="JL16" s="3568"/>
      <c r="JM16" s="3568"/>
      <c r="JN16" s="3560"/>
      <c r="JO16" s="3560"/>
      <c r="JP16" s="3547"/>
      <c r="JQ16" s="3583"/>
      <c r="JR16" s="3583"/>
      <c r="JS16" s="3573">
        <f t="shared" si="28"/>
        <v>0</v>
      </c>
      <c r="JT16" s="3573">
        <f t="shared" si="35"/>
        <v>0</v>
      </c>
      <c r="JU16" s="3574">
        <f t="shared" si="29"/>
        <v>0</v>
      </c>
      <c r="JV16" s="3574">
        <f t="shared" si="30"/>
        <v>0</v>
      </c>
      <c r="JW16" s="3575"/>
      <c r="JX16" s="3576">
        <f t="shared" si="31"/>
        <v>0</v>
      </c>
      <c r="JY16" s="3576">
        <f t="shared" si="32"/>
        <v>0</v>
      </c>
      <c r="JZ16" s="3577"/>
      <c r="KA16" s="3573">
        <f t="shared" si="12"/>
        <v>-25653.794101153082</v>
      </c>
      <c r="KB16" s="3573"/>
      <c r="KC16" s="3573"/>
      <c r="KD16" s="3573">
        <f t="shared" si="33"/>
        <v>-25653.794101153082</v>
      </c>
      <c r="KE16" s="3578" t="s">
        <v>3765</v>
      </c>
      <c r="KF16" s="3579"/>
      <c r="KG16" s="3579"/>
      <c r="KH16" s="3579"/>
      <c r="KI16" s="3579"/>
      <c r="KJ16" s="3579"/>
      <c r="KK16" s="3579"/>
      <c r="KL16" s="3579">
        <f>-5283.29/10000*3-25653.79/10000*2</f>
        <v>-6.7157450000000001</v>
      </c>
      <c r="KM16" s="3579"/>
      <c r="KN16" s="3579"/>
      <c r="KO16" s="3579"/>
      <c r="KP16" s="3579"/>
      <c r="KQ16" s="3579">
        <f t="shared" si="34"/>
        <v>-6.7157450000000001</v>
      </c>
      <c r="KR16" s="3579">
        <f t="shared" si="88"/>
        <v>3.6609013953636804E-7</v>
      </c>
      <c r="KS16" s="3577"/>
      <c r="KT16" s="3577"/>
      <c r="KU16" s="3577"/>
      <c r="KV16" s="3577"/>
      <c r="KW16" s="3577"/>
      <c r="KX16" s="3577"/>
      <c r="KY16" s="3577"/>
      <c r="KZ16" s="3577"/>
      <c r="LA16" s="3577"/>
      <c r="LB16" s="3577"/>
      <c r="LC16" s="3577"/>
      <c r="LD16" s="3577"/>
      <c r="LE16" s="3577"/>
      <c r="LF16" s="3577"/>
      <c r="LG16" s="3577"/>
      <c r="LH16" s="3577"/>
      <c r="LJ16" s="3575"/>
      <c r="LK16" s="3571"/>
      <c r="LL16" s="3576"/>
    </row>
    <row r="17" spans="1:325" s="3580" customFormat="1" ht="18" customHeight="1">
      <c r="A17" s="3545">
        <v>14</v>
      </c>
      <c r="B17" s="3546" t="s">
        <v>3848</v>
      </c>
      <c r="C17" s="3615" t="s">
        <v>3927</v>
      </c>
      <c r="D17" s="3547">
        <v>221.83</v>
      </c>
      <c r="E17" s="3548" t="s">
        <v>3789</v>
      </c>
      <c r="F17" s="3546" t="s">
        <v>3790</v>
      </c>
      <c r="G17" s="3546" t="s">
        <v>3921</v>
      </c>
      <c r="H17" s="3546" t="s">
        <v>3922</v>
      </c>
      <c r="I17" s="3594" t="s">
        <v>3923</v>
      </c>
      <c r="J17" s="3594" t="s">
        <v>3924</v>
      </c>
      <c r="K17" s="3545" t="s">
        <v>3925</v>
      </c>
      <c r="L17" s="3555"/>
      <c r="M17" s="3616"/>
      <c r="N17" s="3616"/>
      <c r="O17" s="3551">
        <f t="shared" si="13"/>
        <v>0</v>
      </c>
      <c r="P17" s="3551"/>
      <c r="Q17" s="3551"/>
      <c r="R17" s="3547">
        <f t="shared" si="89"/>
        <v>0</v>
      </c>
      <c r="S17" s="3547">
        <f t="shared" si="14"/>
        <v>0</v>
      </c>
      <c r="T17" s="3552"/>
      <c r="U17" s="3553">
        <f t="shared" si="15"/>
        <v>0</v>
      </c>
      <c r="V17" s="3547"/>
      <c r="W17" s="3547">
        <f t="shared" si="16"/>
        <v>0</v>
      </c>
      <c r="X17" s="3552"/>
      <c r="Y17" s="3547">
        <f t="shared" si="17"/>
        <v>0</v>
      </c>
      <c r="Z17" s="3554"/>
      <c r="AA17" s="3555"/>
      <c r="AB17" s="3593"/>
      <c r="AC17" s="3556">
        <f t="shared" si="18"/>
        <v>0</v>
      </c>
      <c r="AD17" s="3556">
        <f t="shared" si="19"/>
        <v>0</v>
      </c>
      <c r="AE17" s="3556">
        <f t="shared" si="19"/>
        <v>0</v>
      </c>
      <c r="AF17" s="3556">
        <f t="shared" si="20"/>
        <v>0</v>
      </c>
      <c r="AG17" s="3556"/>
      <c r="AH17" s="3557">
        <f t="shared" si="21"/>
        <v>0</v>
      </c>
      <c r="AI17" s="3558">
        <f t="shared" si="22"/>
        <v>0</v>
      </c>
      <c r="AJ17" s="3558">
        <f t="shared" si="22"/>
        <v>0</v>
      </c>
      <c r="AK17" s="3557">
        <f t="shared" si="43"/>
        <v>0</v>
      </c>
      <c r="AL17" s="3557"/>
      <c r="AM17" s="3547"/>
      <c r="AN17" s="3609"/>
      <c r="AO17" s="3562"/>
      <c r="AP17" s="3561">
        <f t="shared" si="44"/>
        <v>0</v>
      </c>
      <c r="AQ17" s="3559"/>
      <c r="AR17" s="3562"/>
      <c r="AS17" s="3561">
        <f t="shared" si="36"/>
        <v>0</v>
      </c>
      <c r="AT17" s="3563"/>
      <c r="AU17" s="3547"/>
      <c r="AV17" s="3609"/>
      <c r="AW17" s="3562"/>
      <c r="AX17" s="3561">
        <f t="shared" si="45"/>
        <v>0</v>
      </c>
      <c r="AY17" s="3559"/>
      <c r="AZ17" s="3562"/>
      <c r="BA17" s="3561">
        <f t="shared" si="23"/>
        <v>0</v>
      </c>
      <c r="BB17" s="3563"/>
      <c r="BC17" s="3547"/>
      <c r="BD17" s="3609"/>
      <c r="BE17" s="3562"/>
      <c r="BF17" s="3561">
        <f t="shared" si="46"/>
        <v>0</v>
      </c>
      <c r="BG17" s="3559"/>
      <c r="BH17" s="3562"/>
      <c r="BI17" s="3561">
        <f t="shared" si="47"/>
        <v>0</v>
      </c>
      <c r="BJ17" s="3563"/>
      <c r="BK17" s="3547"/>
      <c r="BL17" s="3609"/>
      <c r="BM17" s="3562"/>
      <c r="BN17" s="3561">
        <f t="shared" si="48"/>
        <v>0</v>
      </c>
      <c r="BO17" s="3559"/>
      <c r="BP17" s="3562"/>
      <c r="BQ17" s="3561">
        <f t="shared" si="49"/>
        <v>0</v>
      </c>
      <c r="BR17" s="3563"/>
      <c r="BS17" s="3547"/>
      <c r="BT17" s="3609"/>
      <c r="BU17" s="3562"/>
      <c r="BV17" s="3561">
        <f t="shared" si="50"/>
        <v>0</v>
      </c>
      <c r="BW17" s="3559"/>
      <c r="BX17" s="3562"/>
      <c r="BY17" s="3561">
        <f t="shared" si="51"/>
        <v>0</v>
      </c>
      <c r="BZ17" s="3563"/>
      <c r="CA17" s="3547"/>
      <c r="CB17" s="3609"/>
      <c r="CC17" s="3562"/>
      <c r="CD17" s="3561">
        <f t="shared" si="52"/>
        <v>0</v>
      </c>
      <c r="CE17" s="3559"/>
      <c r="CF17" s="3562"/>
      <c r="CG17" s="3561">
        <f t="shared" si="53"/>
        <v>0</v>
      </c>
      <c r="CH17" s="3563"/>
      <c r="CI17" s="3547"/>
      <c r="CJ17" s="3609"/>
      <c r="CK17" s="3562"/>
      <c r="CL17" s="3561">
        <f t="shared" si="5"/>
        <v>0</v>
      </c>
      <c r="CM17" s="3559"/>
      <c r="CN17" s="3562"/>
      <c r="CO17" s="3561">
        <f t="shared" si="54"/>
        <v>0</v>
      </c>
      <c r="CP17" s="3563"/>
      <c r="CQ17" s="3547"/>
      <c r="CR17" s="3609"/>
      <c r="CS17" s="3562"/>
      <c r="CT17" s="3561">
        <f t="shared" si="55"/>
        <v>0</v>
      </c>
      <c r="CU17" s="3559"/>
      <c r="CV17" s="3562"/>
      <c r="CW17" s="3561">
        <f t="shared" si="56"/>
        <v>0</v>
      </c>
      <c r="CX17" s="3563"/>
      <c r="CY17" s="3597"/>
      <c r="CZ17" s="3609"/>
      <c r="DA17" s="3562"/>
      <c r="DB17" s="3561">
        <f t="shared" si="57"/>
        <v>0</v>
      </c>
      <c r="DC17" s="3559"/>
      <c r="DD17" s="3562"/>
      <c r="DE17" s="3561">
        <f t="shared" si="58"/>
        <v>0</v>
      </c>
      <c r="DF17" s="3563"/>
      <c r="DG17" s="3547"/>
      <c r="DH17" s="3609"/>
      <c r="DI17" s="3562"/>
      <c r="DJ17" s="3561">
        <f t="shared" si="59"/>
        <v>0</v>
      </c>
      <c r="DK17" s="3559"/>
      <c r="DL17" s="3562"/>
      <c r="DM17" s="3561">
        <f t="shared" si="60"/>
        <v>0</v>
      </c>
      <c r="DN17" s="3563"/>
      <c r="DO17" s="3547"/>
      <c r="DP17" s="3609"/>
      <c r="DQ17" s="3562"/>
      <c r="DR17" s="3561">
        <f t="shared" si="61"/>
        <v>0</v>
      </c>
      <c r="DS17" s="3559"/>
      <c r="DT17" s="3562"/>
      <c r="DU17" s="3561">
        <f t="shared" si="62"/>
        <v>0</v>
      </c>
      <c r="DV17" s="3563"/>
      <c r="DW17" s="3547"/>
      <c r="DX17" s="3609"/>
      <c r="DY17" s="3562"/>
      <c r="DZ17" s="3561">
        <f t="shared" si="63"/>
        <v>0</v>
      </c>
      <c r="EA17" s="3559"/>
      <c r="EB17" s="3562"/>
      <c r="EC17" s="3561">
        <f t="shared" si="64"/>
        <v>0</v>
      </c>
      <c r="ED17" s="3563"/>
      <c r="EE17" s="3564"/>
      <c r="EF17" s="3565">
        <f t="shared" si="37"/>
        <v>101852.54027777801</v>
      </c>
      <c r="EG17" s="3565">
        <f t="shared" si="24"/>
        <v>40741.016111111203</v>
      </c>
      <c r="EH17" s="3565">
        <f t="shared" si="24"/>
        <v>0</v>
      </c>
      <c r="EI17" s="3565">
        <f t="shared" si="24"/>
        <v>0</v>
      </c>
      <c r="EJ17" s="3565">
        <f t="shared" si="38"/>
        <v>-40741.016111111203</v>
      </c>
      <c r="EK17" s="3566">
        <f t="shared" si="39"/>
        <v>0</v>
      </c>
      <c r="EL17" s="3610"/>
      <c r="EM17" s="3567">
        <f t="shared" si="40"/>
        <v>42266.288364779837</v>
      </c>
      <c r="EN17" s="3557">
        <f t="shared" si="25"/>
        <v>26416.430227987399</v>
      </c>
      <c r="EO17" s="3557">
        <f t="shared" si="25"/>
        <v>0</v>
      </c>
      <c r="EP17" s="3557">
        <f t="shared" si="25"/>
        <v>0</v>
      </c>
      <c r="EQ17" s="3557">
        <f t="shared" si="41"/>
        <v>-26416.430227987399</v>
      </c>
      <c r="ER17" s="3557">
        <f t="shared" si="42"/>
        <v>0</v>
      </c>
      <c r="ES17" s="3557"/>
      <c r="ET17" s="3612"/>
      <c r="EU17" s="3569"/>
      <c r="EV17" s="3562"/>
      <c r="EW17" s="3547">
        <f t="shared" si="26"/>
        <v>0</v>
      </c>
      <c r="EX17" s="3568"/>
      <c r="EY17" s="3569"/>
      <c r="EZ17" s="3562"/>
      <c r="FA17" s="3547">
        <f t="shared" si="27"/>
        <v>0</v>
      </c>
      <c r="FB17" s="3612"/>
      <c r="FC17" s="3569"/>
      <c r="FD17" s="3562"/>
      <c r="FE17" s="3547">
        <f t="shared" si="65"/>
        <v>0</v>
      </c>
      <c r="FF17" s="3568"/>
      <c r="FG17" s="3569"/>
      <c r="FH17" s="3562"/>
      <c r="FI17" s="3547">
        <f t="shared" si="66"/>
        <v>0</v>
      </c>
      <c r="FJ17" s="3612"/>
      <c r="FK17" s="3569"/>
      <c r="FL17" s="3562"/>
      <c r="FM17" s="3547">
        <f t="shared" si="67"/>
        <v>0</v>
      </c>
      <c r="FN17" s="3568"/>
      <c r="FO17" s="3569"/>
      <c r="FP17" s="3562"/>
      <c r="FQ17" s="3547">
        <f t="shared" si="68"/>
        <v>0</v>
      </c>
      <c r="FR17" s="3612"/>
      <c r="FS17" s="3569"/>
      <c r="FT17" s="3560"/>
      <c r="FU17" s="3547">
        <f t="shared" si="69"/>
        <v>0</v>
      </c>
      <c r="FV17" s="3568"/>
      <c r="FW17" s="3569"/>
      <c r="FX17" s="3560"/>
      <c r="FY17" s="3547">
        <f t="shared" si="70"/>
        <v>0</v>
      </c>
      <c r="FZ17" s="3612"/>
      <c r="GA17" s="3569"/>
      <c r="GB17" s="3560"/>
      <c r="GC17" s="3547">
        <f t="shared" si="71"/>
        <v>0</v>
      </c>
      <c r="GD17" s="3568">
        <v>5283.2860455974796</v>
      </c>
      <c r="GE17" s="3569"/>
      <c r="GF17" s="3562"/>
      <c r="GG17" s="3547">
        <f t="shared" si="72"/>
        <v>-5283.2860455974796</v>
      </c>
      <c r="GH17" s="3612"/>
      <c r="GI17" s="3569"/>
      <c r="GJ17" s="3562"/>
      <c r="GK17" s="3547">
        <f t="shared" si="73"/>
        <v>0</v>
      </c>
      <c r="GL17" s="3568">
        <v>5283.2860455974796</v>
      </c>
      <c r="GM17" s="3569"/>
      <c r="GN17" s="3562"/>
      <c r="GO17" s="3547">
        <f t="shared" si="74"/>
        <v>-5283.2860455974796</v>
      </c>
      <c r="GP17" s="3612"/>
      <c r="GQ17" s="3569"/>
      <c r="GR17" s="3562"/>
      <c r="GS17" s="3547">
        <f t="shared" si="75"/>
        <v>0</v>
      </c>
      <c r="GT17" s="3568">
        <v>5283.2860455974796</v>
      </c>
      <c r="GU17" s="3569"/>
      <c r="GV17" s="3562"/>
      <c r="GW17" s="3547">
        <f t="shared" si="76"/>
        <v>-5283.2860455974796</v>
      </c>
      <c r="GX17" s="3612">
        <v>20370.508055555601</v>
      </c>
      <c r="GY17" s="3569"/>
      <c r="GZ17" s="3562"/>
      <c r="HA17" s="3547">
        <f t="shared" si="77"/>
        <v>-20370.508055555601</v>
      </c>
      <c r="HB17" s="3568">
        <v>5283.2860455974796</v>
      </c>
      <c r="HC17" s="3569"/>
      <c r="HD17" s="3562"/>
      <c r="HE17" s="3547">
        <f t="shared" si="78"/>
        <v>-5283.2860455974796</v>
      </c>
      <c r="HF17" s="3612">
        <v>20370.508055555601</v>
      </c>
      <c r="HG17" s="3569"/>
      <c r="HH17" s="3562"/>
      <c r="HI17" s="3547">
        <f t="shared" si="79"/>
        <v>-20370.508055555601</v>
      </c>
      <c r="HJ17" s="3568">
        <v>5283.2860455974796</v>
      </c>
      <c r="HK17" s="3569"/>
      <c r="HL17" s="3562"/>
      <c r="HM17" s="3547">
        <f t="shared" si="80"/>
        <v>-5283.2860455974796</v>
      </c>
      <c r="HN17" s="3612">
        <v>20370.508055555601</v>
      </c>
      <c r="HO17" s="3569"/>
      <c r="HP17" s="3562"/>
      <c r="HQ17" s="3547">
        <f t="shared" si="81"/>
        <v>-20370.508055555601</v>
      </c>
      <c r="HR17" s="3568">
        <v>5283.2860455974796</v>
      </c>
      <c r="HS17" s="3569"/>
      <c r="HT17" s="3562"/>
      <c r="HU17" s="3547">
        <f t="shared" si="82"/>
        <v>-5283.2860455974796</v>
      </c>
      <c r="HV17" s="3612">
        <v>20370.508055555601</v>
      </c>
      <c r="HW17" s="3569"/>
      <c r="HX17" s="3562"/>
      <c r="HY17" s="3547">
        <f t="shared" si="83"/>
        <v>-20370.508055555601</v>
      </c>
      <c r="HZ17" s="3568">
        <v>5283.2860455974796</v>
      </c>
      <c r="IA17" s="3569"/>
      <c r="IB17" s="3562"/>
      <c r="IC17" s="3547">
        <f t="shared" si="84"/>
        <v>-5283.2860455974796</v>
      </c>
      <c r="ID17" s="3612">
        <v>20370.508055555601</v>
      </c>
      <c r="IE17" s="3569"/>
      <c r="IF17" s="3562"/>
      <c r="IG17" s="3547">
        <f t="shared" si="85"/>
        <v>-20370.508055555601</v>
      </c>
      <c r="IH17" s="3568">
        <v>5283.2860455974796</v>
      </c>
      <c r="II17" s="3569"/>
      <c r="IJ17" s="3562"/>
      <c r="IK17" s="3547">
        <f t="shared" si="86"/>
        <v>-5283.2860455974796</v>
      </c>
      <c r="IL17" s="3570"/>
      <c r="IM17" s="3569"/>
      <c r="IN17" s="3569"/>
      <c r="IO17" s="3571"/>
      <c r="IP17" s="3560">
        <f t="shared" si="87"/>
        <v>0</v>
      </c>
      <c r="IQ17" s="3568"/>
      <c r="IR17" s="3568"/>
      <c r="IS17" s="3568"/>
      <c r="IT17" s="3568"/>
      <c r="IU17" s="3568"/>
      <c r="IV17" s="3568"/>
      <c r="IW17" s="3568"/>
      <c r="IX17" s="3568"/>
      <c r="IY17" s="3568"/>
      <c r="IZ17" s="3560"/>
      <c r="JA17" s="3560"/>
      <c r="JB17" s="3560"/>
      <c r="JC17" s="3560">
        <f t="shared" si="11"/>
        <v>0</v>
      </c>
      <c r="JD17" s="3571"/>
      <c r="JE17" s="3568"/>
      <c r="JF17" s="3568"/>
      <c r="JG17" s="3568"/>
      <c r="JH17" s="3568"/>
      <c r="JI17" s="3568"/>
      <c r="JJ17" s="3568"/>
      <c r="JK17" s="3568"/>
      <c r="JL17" s="3568"/>
      <c r="JM17" s="3568"/>
      <c r="JN17" s="3560"/>
      <c r="JO17" s="3560"/>
      <c r="JP17" s="3570"/>
      <c r="JQ17" s="3583"/>
      <c r="JR17" s="3583"/>
      <c r="JS17" s="3573">
        <f t="shared" si="28"/>
        <v>0</v>
      </c>
      <c r="JT17" s="3573">
        <f t="shared" si="35"/>
        <v>0</v>
      </c>
      <c r="JU17" s="3574">
        <f t="shared" si="29"/>
        <v>0</v>
      </c>
      <c r="JV17" s="3574">
        <f t="shared" si="30"/>
        <v>0</v>
      </c>
      <c r="JW17" s="3575"/>
      <c r="JX17" s="3576">
        <f t="shared" si="31"/>
        <v>0</v>
      </c>
      <c r="JY17" s="3576">
        <f t="shared" si="32"/>
        <v>0</v>
      </c>
      <c r="JZ17" s="3577"/>
      <c r="KA17" s="3573">
        <f t="shared" si="12"/>
        <v>-25653.794101153082</v>
      </c>
      <c r="KB17" s="3573"/>
      <c r="KC17" s="3573"/>
      <c r="KD17" s="3573">
        <f t="shared" si="33"/>
        <v>-25653.794101153082</v>
      </c>
      <c r="KE17" s="3578" t="s">
        <v>3765</v>
      </c>
      <c r="KF17" s="3579"/>
      <c r="KG17" s="3579"/>
      <c r="KH17" s="3579"/>
      <c r="KI17" s="3579"/>
      <c r="KJ17" s="3579"/>
      <c r="KK17" s="3579"/>
      <c r="KL17" s="3579">
        <f>-5283.29/10000*3-25653.79/10000*2</f>
        <v>-6.7157450000000001</v>
      </c>
      <c r="KM17" s="3579"/>
      <c r="KN17" s="3579"/>
      <c r="KO17" s="3579"/>
      <c r="KP17" s="3579"/>
      <c r="KQ17" s="3579">
        <f t="shared" si="34"/>
        <v>-6.7157450000000001</v>
      </c>
      <c r="KR17" s="3579">
        <f t="shared" si="88"/>
        <v>3.6609013953636804E-7</v>
      </c>
      <c r="KS17" s="3577"/>
      <c r="KT17" s="3577"/>
      <c r="KU17" s="3577"/>
      <c r="KV17" s="3577"/>
      <c r="KW17" s="3577"/>
      <c r="KX17" s="3577"/>
      <c r="KY17" s="3577"/>
      <c r="KZ17" s="3577"/>
      <c r="LA17" s="3577"/>
      <c r="LB17" s="3577"/>
      <c r="LC17" s="3577"/>
      <c r="LD17" s="3577"/>
      <c r="LE17" s="3577"/>
      <c r="LF17" s="3577"/>
      <c r="LG17" s="3577"/>
      <c r="LH17" s="3577"/>
      <c r="LJ17" s="3575"/>
      <c r="LK17" s="3571"/>
      <c r="LL17" s="3576"/>
    </row>
    <row r="18" spans="1:325" s="3580" customFormat="1" ht="18" customHeight="1">
      <c r="A18" s="3545">
        <v>15</v>
      </c>
      <c r="B18" s="3546" t="s">
        <v>3848</v>
      </c>
      <c r="C18" s="3617" t="s">
        <v>3928</v>
      </c>
      <c r="D18" s="3618">
        <v>1428.75</v>
      </c>
      <c r="E18" s="3548" t="s">
        <v>3789</v>
      </c>
      <c r="F18" s="3546" t="s">
        <v>3790</v>
      </c>
      <c r="G18" s="3546" t="s">
        <v>3929</v>
      </c>
      <c r="H18" s="3546" t="s">
        <v>3930</v>
      </c>
      <c r="I18" s="3594" t="s">
        <v>3931</v>
      </c>
      <c r="J18" s="3594" t="s">
        <v>3932</v>
      </c>
      <c r="K18" s="3545" t="s">
        <v>3885</v>
      </c>
      <c r="L18" s="3555"/>
      <c r="M18" s="3551"/>
      <c r="N18" s="3551"/>
      <c r="O18" s="3551">
        <f t="shared" si="13"/>
        <v>0</v>
      </c>
      <c r="P18" s="3551"/>
      <c r="Q18" s="3551"/>
      <c r="R18" s="3547">
        <f t="shared" si="89"/>
        <v>0</v>
      </c>
      <c r="S18" s="3547">
        <f t="shared" si="14"/>
        <v>0</v>
      </c>
      <c r="T18" s="3552"/>
      <c r="U18" s="3553">
        <f t="shared" si="15"/>
        <v>0</v>
      </c>
      <c r="V18" s="3547"/>
      <c r="W18" s="3547">
        <f t="shared" si="16"/>
        <v>0</v>
      </c>
      <c r="X18" s="3552"/>
      <c r="Y18" s="3547">
        <f t="shared" si="17"/>
        <v>0</v>
      </c>
      <c r="Z18" s="3554"/>
      <c r="AA18" s="3555"/>
      <c r="AB18" s="3593"/>
      <c r="AC18" s="3556">
        <f t="shared" si="18"/>
        <v>0</v>
      </c>
      <c r="AD18" s="3556">
        <f t="shared" si="19"/>
        <v>0</v>
      </c>
      <c r="AE18" s="3556">
        <f t="shared" si="19"/>
        <v>0</v>
      </c>
      <c r="AF18" s="3556">
        <f t="shared" si="20"/>
        <v>0</v>
      </c>
      <c r="AG18" s="3556"/>
      <c r="AH18" s="3557">
        <f t="shared" si="21"/>
        <v>0</v>
      </c>
      <c r="AI18" s="3558">
        <f t="shared" si="22"/>
        <v>0</v>
      </c>
      <c r="AJ18" s="3558">
        <f t="shared" si="22"/>
        <v>0</v>
      </c>
      <c r="AK18" s="3557">
        <f t="shared" si="43"/>
        <v>0</v>
      </c>
      <c r="AL18" s="3557"/>
      <c r="AM18" s="3547"/>
      <c r="AN18" s="3609"/>
      <c r="AO18" s="3562"/>
      <c r="AP18" s="3561">
        <f t="shared" si="44"/>
        <v>0</v>
      </c>
      <c r="AQ18" s="3559"/>
      <c r="AR18" s="3562"/>
      <c r="AS18" s="3561">
        <f t="shared" si="36"/>
        <v>0</v>
      </c>
      <c r="AT18" s="3563" t="s">
        <v>3933</v>
      </c>
      <c r="AU18" s="3547"/>
      <c r="AV18" s="3609"/>
      <c r="AW18" s="3562"/>
      <c r="AX18" s="3561">
        <f t="shared" si="45"/>
        <v>0</v>
      </c>
      <c r="AY18" s="3559"/>
      <c r="AZ18" s="3562"/>
      <c r="BA18" s="3561">
        <f t="shared" si="23"/>
        <v>0</v>
      </c>
      <c r="BB18" s="3563" t="s">
        <v>3933</v>
      </c>
      <c r="BC18" s="3547"/>
      <c r="BD18" s="3609"/>
      <c r="BE18" s="3562"/>
      <c r="BF18" s="3561">
        <f t="shared" si="46"/>
        <v>0</v>
      </c>
      <c r="BG18" s="3559"/>
      <c r="BH18" s="3562"/>
      <c r="BI18" s="3561">
        <f t="shared" si="47"/>
        <v>0</v>
      </c>
      <c r="BJ18" s="3563" t="s">
        <v>3933</v>
      </c>
      <c r="BK18" s="3547"/>
      <c r="BL18" s="3609"/>
      <c r="BM18" s="3562"/>
      <c r="BN18" s="3561">
        <f t="shared" si="48"/>
        <v>0</v>
      </c>
      <c r="BO18" s="3559"/>
      <c r="BP18" s="3562"/>
      <c r="BQ18" s="3561">
        <f t="shared" si="49"/>
        <v>0</v>
      </c>
      <c r="BR18" s="3563" t="s">
        <v>3933</v>
      </c>
      <c r="BS18" s="3547"/>
      <c r="BT18" s="3609"/>
      <c r="BU18" s="3562"/>
      <c r="BV18" s="3561">
        <f t="shared" si="50"/>
        <v>0</v>
      </c>
      <c r="BW18" s="3559"/>
      <c r="BX18" s="3562"/>
      <c r="BY18" s="3561">
        <f t="shared" si="51"/>
        <v>0</v>
      </c>
      <c r="BZ18" s="3563" t="s">
        <v>3933</v>
      </c>
      <c r="CA18" s="3547"/>
      <c r="CB18" s="3609"/>
      <c r="CC18" s="3562"/>
      <c r="CD18" s="3561">
        <f t="shared" si="52"/>
        <v>0</v>
      </c>
      <c r="CE18" s="3559"/>
      <c r="CF18" s="3562"/>
      <c r="CG18" s="3561">
        <f t="shared" si="53"/>
        <v>0</v>
      </c>
      <c r="CH18" s="3563" t="s">
        <v>3933</v>
      </c>
      <c r="CI18" s="3547"/>
      <c r="CJ18" s="3609"/>
      <c r="CK18" s="3562"/>
      <c r="CL18" s="3561">
        <f t="shared" si="5"/>
        <v>0</v>
      </c>
      <c r="CM18" s="3559"/>
      <c r="CN18" s="3562"/>
      <c r="CO18" s="3561">
        <f t="shared" si="54"/>
        <v>0</v>
      </c>
      <c r="CP18" s="3563" t="s">
        <v>3933</v>
      </c>
      <c r="CQ18" s="3547"/>
      <c r="CR18" s="3609"/>
      <c r="CS18" s="3562"/>
      <c r="CT18" s="3561">
        <f t="shared" si="55"/>
        <v>0</v>
      </c>
      <c r="CU18" s="3559"/>
      <c r="CV18" s="3562"/>
      <c r="CW18" s="3561">
        <f t="shared" si="56"/>
        <v>0</v>
      </c>
      <c r="CX18" s="3563" t="s">
        <v>3933</v>
      </c>
      <c r="CY18" s="3597"/>
      <c r="CZ18" s="3609"/>
      <c r="DA18" s="3562"/>
      <c r="DB18" s="3561">
        <f t="shared" si="57"/>
        <v>0</v>
      </c>
      <c r="DC18" s="3559"/>
      <c r="DD18" s="3562"/>
      <c r="DE18" s="3561">
        <f t="shared" si="58"/>
        <v>0</v>
      </c>
      <c r="DF18" s="3563" t="s">
        <v>3933</v>
      </c>
      <c r="DG18" s="3547"/>
      <c r="DH18" s="3609"/>
      <c r="DI18" s="3562"/>
      <c r="DJ18" s="3561">
        <f t="shared" si="59"/>
        <v>0</v>
      </c>
      <c r="DK18" s="3559"/>
      <c r="DL18" s="3562"/>
      <c r="DM18" s="3561">
        <f t="shared" si="60"/>
        <v>0</v>
      </c>
      <c r="DN18" s="3563"/>
      <c r="DO18" s="3547"/>
      <c r="DP18" s="3609"/>
      <c r="DQ18" s="3562"/>
      <c r="DR18" s="3561">
        <f t="shared" si="61"/>
        <v>0</v>
      </c>
      <c r="DS18" s="3559"/>
      <c r="DT18" s="3562"/>
      <c r="DU18" s="3561">
        <f t="shared" si="62"/>
        <v>0</v>
      </c>
      <c r="DV18" s="3563"/>
      <c r="DW18" s="3547"/>
      <c r="DX18" s="3609"/>
      <c r="DY18" s="3562"/>
      <c r="DZ18" s="3561">
        <f t="shared" si="63"/>
        <v>0</v>
      </c>
      <c r="EA18" s="3559"/>
      <c r="EB18" s="3562"/>
      <c r="EC18" s="3561">
        <f t="shared" si="64"/>
        <v>0</v>
      </c>
      <c r="ED18" s="3563"/>
      <c r="EF18" s="3565">
        <f t="shared" si="37"/>
        <v>1059536.208928572</v>
      </c>
      <c r="EG18" s="3565">
        <f t="shared" si="24"/>
        <v>706357.47261904797</v>
      </c>
      <c r="EH18" s="3565">
        <f t="shared" si="24"/>
        <v>0</v>
      </c>
      <c r="EI18" s="3565">
        <f t="shared" si="24"/>
        <v>0</v>
      </c>
      <c r="EJ18" s="3565">
        <f t="shared" si="38"/>
        <v>-706357.47261904797</v>
      </c>
      <c r="EK18" s="3566">
        <f t="shared" si="39"/>
        <v>0</v>
      </c>
      <c r="EL18" s="3610"/>
      <c r="EM18" s="3567">
        <f t="shared" si="40"/>
        <v>237362.03950471649</v>
      </c>
      <c r="EN18" s="3557">
        <f t="shared" si="25"/>
        <v>158241.35966981101</v>
      </c>
      <c r="EO18" s="3557">
        <f t="shared" si="25"/>
        <v>0</v>
      </c>
      <c r="EP18" s="3557">
        <f t="shared" si="25"/>
        <v>0</v>
      </c>
      <c r="EQ18" s="3557">
        <f t="shared" si="41"/>
        <v>-158241.35966981101</v>
      </c>
      <c r="ER18" s="3557">
        <f t="shared" si="42"/>
        <v>0</v>
      </c>
      <c r="ES18" s="3557"/>
      <c r="ET18" s="3612"/>
      <c r="EU18" s="3569"/>
      <c r="EV18" s="3562"/>
      <c r="EW18" s="3547">
        <f t="shared" si="26"/>
        <v>0</v>
      </c>
      <c r="EX18" s="3568"/>
      <c r="EY18" s="3569"/>
      <c r="EZ18" s="3562"/>
      <c r="FA18" s="3547">
        <f t="shared" si="27"/>
        <v>0</v>
      </c>
      <c r="FB18" s="3612"/>
      <c r="FC18" s="3569"/>
      <c r="FD18" s="3562"/>
      <c r="FE18" s="3547">
        <f t="shared" si="65"/>
        <v>0</v>
      </c>
      <c r="FF18" s="3568"/>
      <c r="FG18" s="3569"/>
      <c r="FH18" s="3562"/>
      <c r="FI18" s="3547">
        <f t="shared" si="66"/>
        <v>0</v>
      </c>
      <c r="FJ18" s="3612"/>
      <c r="FK18" s="3569"/>
      <c r="FL18" s="3562"/>
      <c r="FM18" s="3547">
        <f t="shared" si="67"/>
        <v>0</v>
      </c>
      <c r="FN18" s="3568"/>
      <c r="FO18" s="3569"/>
      <c r="FP18" s="3562"/>
      <c r="FQ18" s="3547">
        <f t="shared" si="68"/>
        <v>0</v>
      </c>
      <c r="FR18" s="3612">
        <v>117726.245436508</v>
      </c>
      <c r="FS18" s="3569"/>
      <c r="FT18" s="3560"/>
      <c r="FU18" s="3547">
        <f t="shared" si="69"/>
        <v>-117726.245436508</v>
      </c>
      <c r="FV18" s="3568">
        <v>26373.5599449685</v>
      </c>
      <c r="FW18" s="3569"/>
      <c r="FX18" s="3560"/>
      <c r="FY18" s="3547">
        <f t="shared" si="70"/>
        <v>-26373.5599449685</v>
      </c>
      <c r="FZ18" s="3612">
        <v>117726.245436508</v>
      </c>
      <c r="GA18" s="3569"/>
      <c r="GB18" s="3560"/>
      <c r="GC18" s="3547">
        <f t="shared" si="71"/>
        <v>-117726.245436508</v>
      </c>
      <c r="GD18" s="3568">
        <v>26373.5599449685</v>
      </c>
      <c r="GE18" s="3569"/>
      <c r="GF18" s="3562"/>
      <c r="GG18" s="3547">
        <f t="shared" si="72"/>
        <v>-26373.5599449685</v>
      </c>
      <c r="GH18" s="3612">
        <v>117726.245436508</v>
      </c>
      <c r="GI18" s="3569"/>
      <c r="GJ18" s="3562"/>
      <c r="GK18" s="3547">
        <f t="shared" si="73"/>
        <v>-117726.245436508</v>
      </c>
      <c r="GL18" s="3568">
        <v>26373.5599449685</v>
      </c>
      <c r="GM18" s="3569"/>
      <c r="GN18" s="3562"/>
      <c r="GO18" s="3547">
        <f t="shared" si="74"/>
        <v>-26373.5599449685</v>
      </c>
      <c r="GP18" s="3612">
        <v>117726.245436508</v>
      </c>
      <c r="GQ18" s="3569"/>
      <c r="GR18" s="3562"/>
      <c r="GS18" s="3547">
        <f t="shared" si="75"/>
        <v>-117726.245436508</v>
      </c>
      <c r="GT18" s="3568">
        <v>26373.5599449685</v>
      </c>
      <c r="GU18" s="3569"/>
      <c r="GV18" s="3562"/>
      <c r="GW18" s="3547">
        <f t="shared" si="76"/>
        <v>-26373.5599449685</v>
      </c>
      <c r="GX18" s="3612">
        <v>117726.245436508</v>
      </c>
      <c r="GY18" s="3569"/>
      <c r="GZ18" s="3562"/>
      <c r="HA18" s="3547">
        <f t="shared" si="77"/>
        <v>-117726.245436508</v>
      </c>
      <c r="HB18" s="3568">
        <v>26373.5599449685</v>
      </c>
      <c r="HC18" s="3569"/>
      <c r="HD18" s="3562"/>
      <c r="HE18" s="3547">
        <f t="shared" si="78"/>
        <v>-26373.5599449685</v>
      </c>
      <c r="HF18" s="3612">
        <v>117726.245436508</v>
      </c>
      <c r="HG18" s="3569"/>
      <c r="HH18" s="3562"/>
      <c r="HI18" s="3547">
        <f t="shared" si="79"/>
        <v>-117726.245436508</v>
      </c>
      <c r="HJ18" s="3568">
        <v>26373.5599449685</v>
      </c>
      <c r="HK18" s="3569"/>
      <c r="HL18" s="3562"/>
      <c r="HM18" s="3547">
        <f t="shared" si="80"/>
        <v>-26373.5599449685</v>
      </c>
      <c r="HN18" s="3612">
        <v>117726.245436508</v>
      </c>
      <c r="HO18" s="3569"/>
      <c r="HP18" s="3562"/>
      <c r="HQ18" s="3547">
        <f t="shared" si="81"/>
        <v>-117726.245436508</v>
      </c>
      <c r="HR18" s="3568">
        <v>26373.5599449685</v>
      </c>
      <c r="HS18" s="3569"/>
      <c r="HT18" s="3562"/>
      <c r="HU18" s="3547">
        <f t="shared" si="82"/>
        <v>-26373.5599449685</v>
      </c>
      <c r="HV18" s="3612">
        <v>117726.245436508</v>
      </c>
      <c r="HW18" s="3569"/>
      <c r="HX18" s="3562"/>
      <c r="HY18" s="3547">
        <f t="shared" si="83"/>
        <v>-117726.245436508</v>
      </c>
      <c r="HZ18" s="3568">
        <v>26373.5599449685</v>
      </c>
      <c r="IA18" s="3569"/>
      <c r="IB18" s="3562"/>
      <c r="IC18" s="3547">
        <f t="shared" si="84"/>
        <v>-26373.5599449685</v>
      </c>
      <c r="ID18" s="3612">
        <v>117726.245436508</v>
      </c>
      <c r="IE18" s="3569"/>
      <c r="IF18" s="3562"/>
      <c r="IG18" s="3547">
        <f t="shared" si="85"/>
        <v>-117726.245436508</v>
      </c>
      <c r="IH18" s="3568">
        <v>26373.5599449685</v>
      </c>
      <c r="II18" s="3569"/>
      <c r="IJ18" s="3562"/>
      <c r="IK18" s="3547">
        <f t="shared" si="86"/>
        <v>-26373.5599449685</v>
      </c>
      <c r="IL18" s="3571"/>
      <c r="IM18" s="3569"/>
      <c r="IN18" s="3569"/>
      <c r="IO18" s="3619"/>
      <c r="IP18" s="3560">
        <f t="shared" si="87"/>
        <v>0</v>
      </c>
      <c r="IQ18" s="3568"/>
      <c r="IR18" s="3568"/>
      <c r="IS18" s="3568"/>
      <c r="IT18" s="3568"/>
      <c r="IU18" s="3568"/>
      <c r="IV18" s="3568"/>
      <c r="IW18" s="3568"/>
      <c r="IX18" s="3568"/>
      <c r="IY18" s="3568"/>
      <c r="IZ18" s="3562"/>
      <c r="JA18" s="3562"/>
      <c r="JB18" s="3562"/>
      <c r="JC18" s="3560">
        <f t="shared" si="11"/>
        <v>0</v>
      </c>
      <c r="JD18" s="3619"/>
      <c r="JE18" s="3568"/>
      <c r="JF18" s="3568"/>
      <c r="JG18" s="3568"/>
      <c r="JH18" s="3568"/>
      <c r="JI18" s="3568"/>
      <c r="JJ18" s="3568"/>
      <c r="JK18" s="3568"/>
      <c r="JL18" s="3568"/>
      <c r="JM18" s="3568"/>
      <c r="JN18" s="3562"/>
      <c r="JO18" s="3562"/>
      <c r="JP18" s="3571"/>
      <c r="JQ18" s="3583"/>
      <c r="JR18" s="3583"/>
      <c r="JS18" s="3573">
        <f t="shared" si="28"/>
        <v>0</v>
      </c>
      <c r="JT18" s="3573">
        <f t="shared" si="35"/>
        <v>0</v>
      </c>
      <c r="JU18" s="3574">
        <f t="shared" si="29"/>
        <v>0</v>
      </c>
      <c r="JV18" s="3574">
        <f t="shared" si="30"/>
        <v>0</v>
      </c>
      <c r="JW18" s="3575"/>
      <c r="JX18" s="3576">
        <f t="shared" si="31"/>
        <v>0</v>
      </c>
      <c r="JY18" s="3576">
        <f t="shared" si="32"/>
        <v>0</v>
      </c>
      <c r="JZ18" s="3577"/>
      <c r="KA18" s="3573">
        <f t="shared" si="12"/>
        <v>-144099.8053814765</v>
      </c>
      <c r="KB18" s="3573"/>
      <c r="KC18" s="3573"/>
      <c r="KD18" s="3573">
        <f t="shared" si="33"/>
        <v>-144099.8053814765</v>
      </c>
      <c r="KE18" s="3578" t="s">
        <v>3765</v>
      </c>
      <c r="KF18" s="3579"/>
      <c r="KG18" s="3579"/>
      <c r="KH18" s="3579"/>
      <c r="KI18" s="3579"/>
      <c r="KJ18" s="3579"/>
      <c r="KK18" s="3579"/>
      <c r="KL18" s="3579">
        <f>-144099.81/10000*6</f>
        <v>-86.459885999999997</v>
      </c>
      <c r="KM18" s="3579"/>
      <c r="KN18" s="3579"/>
      <c r="KO18" s="3579"/>
      <c r="KP18" s="3579"/>
      <c r="KQ18" s="3579">
        <f t="shared" si="34"/>
        <v>-86.459885999999997</v>
      </c>
      <c r="KR18" s="3579">
        <f t="shared" si="88"/>
        <v>2.7711140972996873E-6</v>
      </c>
      <c r="KS18" s="3577"/>
      <c r="KT18" s="3577"/>
      <c r="KU18" s="3577"/>
      <c r="KV18" s="3577"/>
      <c r="KW18" s="3577"/>
      <c r="KX18" s="3577"/>
      <c r="KY18" s="3577"/>
      <c r="KZ18" s="3577"/>
      <c r="LA18" s="3577"/>
      <c r="LB18" s="3577"/>
      <c r="LC18" s="3577"/>
      <c r="LD18" s="3577"/>
      <c r="LE18" s="3577"/>
      <c r="LF18" s="3577"/>
      <c r="LG18" s="3577"/>
      <c r="LH18" s="3577"/>
      <c r="LI18" s="3577"/>
      <c r="LJ18" s="3575"/>
      <c r="LK18" s="3571"/>
      <c r="LL18" s="3576"/>
    </row>
    <row r="19" spans="1:325" s="3580" customFormat="1" ht="18" customHeight="1">
      <c r="A19" s="3545">
        <v>16</v>
      </c>
      <c r="B19" s="3546" t="s">
        <v>3848</v>
      </c>
      <c r="C19" s="3546" t="s">
        <v>3934</v>
      </c>
      <c r="D19" s="3547">
        <f>221.79-221.79</f>
        <v>0</v>
      </c>
      <c r="E19" s="3548" t="s">
        <v>3789</v>
      </c>
      <c r="F19" s="3546" t="s">
        <v>3790</v>
      </c>
      <c r="G19" s="3546"/>
      <c r="H19" s="3546"/>
      <c r="I19" s="3594"/>
      <c r="J19" s="3594"/>
      <c r="K19" s="3545" t="s">
        <v>3885</v>
      </c>
      <c r="L19" s="3555"/>
      <c r="M19" s="3551"/>
      <c r="N19" s="3551"/>
      <c r="O19" s="3551">
        <f t="shared" si="13"/>
        <v>0</v>
      </c>
      <c r="P19" s="3547"/>
      <c r="Q19" s="3547"/>
      <c r="R19" s="3547">
        <f t="shared" si="89"/>
        <v>0</v>
      </c>
      <c r="S19" s="3547" t="e">
        <f t="shared" si="14"/>
        <v>#DIV/0!</v>
      </c>
      <c r="T19" s="3552"/>
      <c r="U19" s="3553">
        <f t="shared" si="15"/>
        <v>0</v>
      </c>
      <c r="V19" s="3547"/>
      <c r="W19" s="3547" t="e">
        <f t="shared" si="16"/>
        <v>#DIV/0!</v>
      </c>
      <c r="X19" s="3620"/>
      <c r="Y19" s="3547">
        <f t="shared" si="17"/>
        <v>0</v>
      </c>
      <c r="Z19" s="3554"/>
      <c r="AA19" s="3555"/>
      <c r="AB19" s="3593"/>
      <c r="AC19" s="3556">
        <f t="shared" si="18"/>
        <v>0</v>
      </c>
      <c r="AD19" s="3556">
        <f t="shared" si="19"/>
        <v>0</v>
      </c>
      <c r="AE19" s="3556">
        <f t="shared" si="19"/>
        <v>0</v>
      </c>
      <c r="AF19" s="3556">
        <f t="shared" si="20"/>
        <v>0</v>
      </c>
      <c r="AG19" s="3556"/>
      <c r="AH19" s="3557">
        <f t="shared" si="21"/>
        <v>0</v>
      </c>
      <c r="AI19" s="3558">
        <f t="shared" si="22"/>
        <v>0</v>
      </c>
      <c r="AJ19" s="3558">
        <f t="shared" si="22"/>
        <v>0</v>
      </c>
      <c r="AK19" s="3557">
        <f t="shared" si="43"/>
        <v>0</v>
      </c>
      <c r="AL19" s="3557"/>
      <c r="AM19" s="3547"/>
      <c r="AN19" s="3609"/>
      <c r="AO19" s="3562"/>
      <c r="AP19" s="3561">
        <f t="shared" si="44"/>
        <v>0</v>
      </c>
      <c r="AQ19" s="3559"/>
      <c r="AR19" s="3562"/>
      <c r="AS19" s="3561">
        <f t="shared" si="36"/>
        <v>0</v>
      </c>
      <c r="AT19" s="3563" t="s">
        <v>3887</v>
      </c>
      <c r="AU19" s="3547"/>
      <c r="AV19" s="3609"/>
      <c r="AW19" s="3562"/>
      <c r="AX19" s="3561">
        <f t="shared" si="45"/>
        <v>0</v>
      </c>
      <c r="AY19" s="3559"/>
      <c r="AZ19" s="3562"/>
      <c r="BA19" s="3561">
        <f t="shared" si="23"/>
        <v>0</v>
      </c>
      <c r="BB19" s="3563" t="s">
        <v>3887</v>
      </c>
      <c r="BC19" s="3547"/>
      <c r="BD19" s="3609"/>
      <c r="BE19" s="3562"/>
      <c r="BF19" s="3561">
        <f t="shared" si="46"/>
        <v>0</v>
      </c>
      <c r="BG19" s="3559"/>
      <c r="BH19" s="3562"/>
      <c r="BI19" s="3561">
        <f t="shared" si="47"/>
        <v>0</v>
      </c>
      <c r="BJ19" s="3563" t="s">
        <v>3887</v>
      </c>
      <c r="BK19" s="3547"/>
      <c r="BL19" s="3609"/>
      <c r="BM19" s="3562"/>
      <c r="BN19" s="3561">
        <f t="shared" si="48"/>
        <v>0</v>
      </c>
      <c r="BO19" s="3559"/>
      <c r="BP19" s="3562"/>
      <c r="BQ19" s="3561">
        <f t="shared" si="49"/>
        <v>0</v>
      </c>
      <c r="BR19" s="3563" t="s">
        <v>3887</v>
      </c>
      <c r="BS19" s="3547"/>
      <c r="BT19" s="3609"/>
      <c r="BU19" s="3562"/>
      <c r="BV19" s="3561">
        <f t="shared" si="50"/>
        <v>0</v>
      </c>
      <c r="BW19" s="3559"/>
      <c r="BX19" s="3562"/>
      <c r="BY19" s="3561">
        <f t="shared" si="51"/>
        <v>0</v>
      </c>
      <c r="BZ19" s="3563" t="s">
        <v>3887</v>
      </c>
      <c r="CA19" s="3547"/>
      <c r="CB19" s="3609"/>
      <c r="CC19" s="3562"/>
      <c r="CD19" s="3561">
        <f t="shared" si="52"/>
        <v>0</v>
      </c>
      <c r="CE19" s="3559"/>
      <c r="CF19" s="3562"/>
      <c r="CG19" s="3561">
        <f t="shared" si="53"/>
        <v>0</v>
      </c>
      <c r="CH19" s="3563" t="s">
        <v>3887</v>
      </c>
      <c r="CI19" s="3547"/>
      <c r="CJ19" s="3609"/>
      <c r="CK19" s="3562"/>
      <c r="CL19" s="3561">
        <f t="shared" si="5"/>
        <v>0</v>
      </c>
      <c r="CM19" s="3559"/>
      <c r="CN19" s="3562"/>
      <c r="CO19" s="3561">
        <f t="shared" si="54"/>
        <v>0</v>
      </c>
      <c r="CP19" s="3563" t="s">
        <v>3887</v>
      </c>
      <c r="CQ19" s="3547"/>
      <c r="CR19" s="3621"/>
      <c r="CS19" s="3603"/>
      <c r="CT19" s="3602">
        <f t="shared" si="55"/>
        <v>0</v>
      </c>
      <c r="CU19" s="3604"/>
      <c r="CV19" s="3603"/>
      <c r="CW19" s="3561">
        <f t="shared" si="56"/>
        <v>0</v>
      </c>
      <c r="CX19" s="3563" t="s">
        <v>3887</v>
      </c>
      <c r="CY19" s="3597"/>
      <c r="CZ19" s="3609"/>
      <c r="DA19" s="3562"/>
      <c r="DB19" s="3561">
        <f t="shared" si="57"/>
        <v>0</v>
      </c>
      <c r="DC19" s="3559"/>
      <c r="DD19" s="3562"/>
      <c r="DE19" s="3561">
        <f t="shared" si="58"/>
        <v>0</v>
      </c>
      <c r="DF19" s="3563" t="s">
        <v>3887</v>
      </c>
      <c r="DG19" s="3547"/>
      <c r="DH19" s="3609"/>
      <c r="DI19" s="3562"/>
      <c r="DJ19" s="3561">
        <f t="shared" si="59"/>
        <v>0</v>
      </c>
      <c r="DK19" s="3559"/>
      <c r="DL19" s="3562"/>
      <c r="DM19" s="3561">
        <f t="shared" si="60"/>
        <v>0</v>
      </c>
      <c r="DN19" s="3563"/>
      <c r="DO19" s="3547"/>
      <c r="DP19" s="3609"/>
      <c r="DQ19" s="3562"/>
      <c r="DR19" s="3561">
        <f t="shared" si="61"/>
        <v>0</v>
      </c>
      <c r="DS19" s="3559"/>
      <c r="DT19" s="3562"/>
      <c r="DU19" s="3561">
        <f t="shared" si="62"/>
        <v>0</v>
      </c>
      <c r="DV19" s="3563"/>
      <c r="DW19" s="3547"/>
      <c r="DX19" s="3609"/>
      <c r="DY19" s="3562"/>
      <c r="DZ19" s="3561">
        <f t="shared" si="63"/>
        <v>0</v>
      </c>
      <c r="EA19" s="3559"/>
      <c r="EB19" s="3562"/>
      <c r="EC19" s="3561">
        <f t="shared" si="64"/>
        <v>0</v>
      </c>
      <c r="ED19" s="3563"/>
      <c r="EF19" s="3565">
        <f t="shared" si="37"/>
        <v>0</v>
      </c>
      <c r="EG19" s="3565">
        <f t="shared" si="24"/>
        <v>0</v>
      </c>
      <c r="EH19" s="3565">
        <f t="shared" si="24"/>
        <v>0</v>
      </c>
      <c r="EI19" s="3565">
        <f t="shared" si="24"/>
        <v>0</v>
      </c>
      <c r="EJ19" s="3565">
        <f t="shared" si="38"/>
        <v>0</v>
      </c>
      <c r="EK19" s="3566">
        <f t="shared" si="39"/>
        <v>0</v>
      </c>
      <c r="EL19" s="3610"/>
      <c r="EM19" s="3567">
        <f t="shared" si="40"/>
        <v>0</v>
      </c>
      <c r="EN19" s="3557">
        <f t="shared" si="25"/>
        <v>0</v>
      </c>
      <c r="EO19" s="3557">
        <f t="shared" si="25"/>
        <v>0</v>
      </c>
      <c r="EP19" s="3557">
        <f t="shared" si="25"/>
        <v>0</v>
      </c>
      <c r="EQ19" s="3557">
        <f t="shared" si="41"/>
        <v>0</v>
      </c>
      <c r="ER19" s="3557">
        <f t="shared" si="42"/>
        <v>0</v>
      </c>
      <c r="ES19" s="3557"/>
      <c r="ET19" s="3612"/>
      <c r="EU19" s="3569"/>
      <c r="EV19" s="3562"/>
      <c r="EW19" s="3547">
        <f t="shared" si="26"/>
        <v>0</v>
      </c>
      <c r="EX19" s="3568"/>
      <c r="EY19" s="3569"/>
      <c r="EZ19" s="3562"/>
      <c r="FA19" s="3547">
        <f t="shared" si="27"/>
        <v>0</v>
      </c>
      <c r="FB19" s="3612"/>
      <c r="FC19" s="3569"/>
      <c r="FD19" s="3562"/>
      <c r="FE19" s="3547">
        <f t="shared" si="65"/>
        <v>0</v>
      </c>
      <c r="FF19" s="3568"/>
      <c r="FG19" s="3569"/>
      <c r="FH19" s="3562"/>
      <c r="FI19" s="3547">
        <f t="shared" si="66"/>
        <v>0</v>
      </c>
      <c r="FJ19" s="3612"/>
      <c r="FK19" s="3569"/>
      <c r="FL19" s="3562"/>
      <c r="FM19" s="3547">
        <f t="shared" si="67"/>
        <v>0</v>
      </c>
      <c r="FN19" s="3568"/>
      <c r="FO19" s="3569"/>
      <c r="FP19" s="3562"/>
      <c r="FQ19" s="3547">
        <f t="shared" si="68"/>
        <v>0</v>
      </c>
      <c r="FR19" s="3612"/>
      <c r="FS19" s="3569"/>
      <c r="FT19" s="3560"/>
      <c r="FU19" s="3547">
        <f t="shared" si="69"/>
        <v>0</v>
      </c>
      <c r="FV19" s="3568"/>
      <c r="FW19" s="3569"/>
      <c r="FX19" s="3560"/>
      <c r="FY19" s="3547">
        <f t="shared" si="70"/>
        <v>0</v>
      </c>
      <c r="FZ19" s="3612"/>
      <c r="GA19" s="3569"/>
      <c r="GB19" s="3560"/>
      <c r="GC19" s="3547">
        <f t="shared" si="71"/>
        <v>0</v>
      </c>
      <c r="GD19" s="3568"/>
      <c r="GE19" s="3569"/>
      <c r="GF19" s="3560"/>
      <c r="GG19" s="3547">
        <f t="shared" si="72"/>
        <v>0</v>
      </c>
      <c r="GH19" s="3612"/>
      <c r="GI19" s="3569"/>
      <c r="GJ19" s="3562"/>
      <c r="GK19" s="3547">
        <f t="shared" si="73"/>
        <v>0</v>
      </c>
      <c r="GL19" s="3568"/>
      <c r="GM19" s="3569"/>
      <c r="GN19" s="3560"/>
      <c r="GO19" s="3547">
        <f t="shared" si="74"/>
        <v>0</v>
      </c>
      <c r="GP19" s="3612"/>
      <c r="GQ19" s="3569"/>
      <c r="GR19" s="3562"/>
      <c r="GS19" s="3547">
        <f t="shared" si="75"/>
        <v>0</v>
      </c>
      <c r="GT19" s="3568"/>
      <c r="GU19" s="3569"/>
      <c r="GV19" s="3560"/>
      <c r="GW19" s="3547">
        <f t="shared" si="76"/>
        <v>0</v>
      </c>
      <c r="GX19" s="3612"/>
      <c r="GY19" s="3569"/>
      <c r="GZ19" s="3562"/>
      <c r="HA19" s="3547">
        <f t="shared" si="77"/>
        <v>0</v>
      </c>
      <c r="HB19" s="3568"/>
      <c r="HC19" s="3569"/>
      <c r="HD19" s="3562"/>
      <c r="HE19" s="3547">
        <f t="shared" si="78"/>
        <v>0</v>
      </c>
      <c r="HF19" s="3612"/>
      <c r="HG19" s="3569"/>
      <c r="HH19" s="3562"/>
      <c r="HI19" s="3547">
        <f t="shared" si="79"/>
        <v>0</v>
      </c>
      <c r="HJ19" s="3568"/>
      <c r="HK19" s="3569"/>
      <c r="HL19" s="3562"/>
      <c r="HM19" s="3547">
        <f t="shared" si="80"/>
        <v>0</v>
      </c>
      <c r="HN19" s="3612"/>
      <c r="HO19" s="3569"/>
      <c r="HP19" s="3562"/>
      <c r="HQ19" s="3547">
        <f t="shared" si="81"/>
        <v>0</v>
      </c>
      <c r="HR19" s="3568"/>
      <c r="HS19" s="3569"/>
      <c r="HT19" s="3562"/>
      <c r="HU19" s="3547">
        <f t="shared" si="82"/>
        <v>0</v>
      </c>
      <c r="HV19" s="3612"/>
      <c r="HW19" s="3569"/>
      <c r="HX19" s="3562"/>
      <c r="HY19" s="3547">
        <f t="shared" si="83"/>
        <v>0</v>
      </c>
      <c r="HZ19" s="3568"/>
      <c r="IA19" s="3569"/>
      <c r="IB19" s="3562"/>
      <c r="IC19" s="3547">
        <f t="shared" si="84"/>
        <v>0</v>
      </c>
      <c r="ID19" s="3612"/>
      <c r="IE19" s="3569"/>
      <c r="IF19" s="3562"/>
      <c r="IG19" s="3547">
        <f t="shared" si="85"/>
        <v>0</v>
      </c>
      <c r="IH19" s="3568"/>
      <c r="II19" s="3569"/>
      <c r="IJ19" s="3562"/>
      <c r="IK19" s="3547">
        <f t="shared" si="86"/>
        <v>0</v>
      </c>
      <c r="IL19" s="3570"/>
      <c r="IM19" s="3569"/>
      <c r="IN19" s="3569"/>
      <c r="IO19" s="3571"/>
      <c r="IP19" s="3560">
        <f t="shared" si="87"/>
        <v>0</v>
      </c>
      <c r="IQ19" s="3568"/>
      <c r="IR19" s="3568"/>
      <c r="IS19" s="3568"/>
      <c r="IT19" s="3568"/>
      <c r="IU19" s="3568"/>
      <c r="IV19" s="3568"/>
      <c r="IW19" s="3568"/>
      <c r="IX19" s="3568"/>
      <c r="IY19" s="3568"/>
      <c r="IZ19" s="3560"/>
      <c r="JA19" s="3560"/>
      <c r="JB19" s="3560"/>
      <c r="JC19" s="3560">
        <f t="shared" si="11"/>
        <v>0</v>
      </c>
      <c r="JD19" s="3571"/>
      <c r="JE19" s="3568"/>
      <c r="JF19" s="3568"/>
      <c r="JG19" s="3568"/>
      <c r="JH19" s="3568"/>
      <c r="JI19" s="3568"/>
      <c r="JJ19" s="3568"/>
      <c r="JK19" s="3568"/>
      <c r="JL19" s="3568"/>
      <c r="JM19" s="3568"/>
      <c r="JN19" s="3560"/>
      <c r="JO19" s="3560"/>
      <c r="JP19" s="3570"/>
      <c r="JQ19" s="3583"/>
      <c r="JR19" s="3583"/>
      <c r="JS19" s="3573">
        <f t="shared" si="28"/>
        <v>0</v>
      </c>
      <c r="JT19" s="3573">
        <f t="shared" si="35"/>
        <v>0</v>
      </c>
      <c r="JU19" s="3574">
        <f t="shared" si="29"/>
        <v>0</v>
      </c>
      <c r="JV19" s="3574">
        <f t="shared" si="30"/>
        <v>0</v>
      </c>
      <c r="JW19" s="3575"/>
      <c r="JX19" s="3576">
        <f t="shared" si="31"/>
        <v>0</v>
      </c>
      <c r="JY19" s="3576">
        <f t="shared" si="32"/>
        <v>0</v>
      </c>
      <c r="JZ19" s="3577"/>
      <c r="KA19" s="3573">
        <f t="shared" si="12"/>
        <v>0</v>
      </c>
      <c r="KB19" s="3573"/>
      <c r="KC19" s="3573"/>
      <c r="KD19" s="3573">
        <f t="shared" si="33"/>
        <v>0</v>
      </c>
      <c r="KE19" s="3571"/>
      <c r="KF19" s="3579"/>
      <c r="KG19" s="3579"/>
      <c r="KH19" s="3579"/>
      <c r="KI19" s="3579"/>
      <c r="KJ19" s="3579"/>
      <c r="KK19" s="3579"/>
      <c r="KL19" s="3579"/>
      <c r="KM19" s="3579"/>
      <c r="KN19" s="3579"/>
      <c r="KO19" s="3579"/>
      <c r="KP19" s="3579"/>
      <c r="KQ19" s="3579">
        <f t="shared" si="34"/>
        <v>0</v>
      </c>
      <c r="KR19" s="3579">
        <f t="shared" si="88"/>
        <v>0</v>
      </c>
      <c r="KS19" s="3577"/>
      <c r="KT19" s="3577"/>
      <c r="KU19" s="3577"/>
      <c r="KV19" s="3577"/>
      <c r="KW19" s="3577"/>
      <c r="KX19" s="3577"/>
      <c r="KY19" s="3577"/>
      <c r="KZ19" s="3577"/>
      <c r="LA19" s="3577"/>
      <c r="LB19" s="3577"/>
      <c r="LC19" s="3577"/>
      <c r="LD19" s="3577"/>
      <c r="LE19" s="3577"/>
      <c r="LF19" s="3577"/>
      <c r="LG19" s="3577"/>
      <c r="LH19" s="3577"/>
      <c r="LI19" s="3577"/>
      <c r="LJ19" s="3575"/>
      <c r="LK19" s="3571"/>
      <c r="LL19" s="3576"/>
    </row>
    <row r="20" spans="1:325" s="3580" customFormat="1" ht="18" customHeight="1">
      <c r="A20" s="3545">
        <v>17</v>
      </c>
      <c r="B20" s="3546" t="s">
        <v>3848</v>
      </c>
      <c r="C20" s="3546" t="s">
        <v>3935</v>
      </c>
      <c r="D20" s="3547">
        <f>222+221.83</f>
        <v>443.83000000000004</v>
      </c>
      <c r="E20" s="3548" t="s">
        <v>3789</v>
      </c>
      <c r="F20" s="3546" t="s">
        <v>3790</v>
      </c>
      <c r="G20" s="3546" t="s">
        <v>3921</v>
      </c>
      <c r="H20" s="3546" t="s">
        <v>3922</v>
      </c>
      <c r="I20" s="3594" t="s">
        <v>3923</v>
      </c>
      <c r="J20" s="3594" t="s">
        <v>3924</v>
      </c>
      <c r="K20" s="3545" t="s">
        <v>3936</v>
      </c>
      <c r="L20" s="3555"/>
      <c r="M20" s="3551"/>
      <c r="N20" s="3551"/>
      <c r="O20" s="3551">
        <f t="shared" si="13"/>
        <v>0</v>
      </c>
      <c r="P20" s="3551"/>
      <c r="Q20" s="3551"/>
      <c r="R20" s="3547">
        <f t="shared" si="89"/>
        <v>0</v>
      </c>
      <c r="S20" s="3547">
        <f t="shared" si="14"/>
        <v>0</v>
      </c>
      <c r="T20" s="3552"/>
      <c r="U20" s="3553">
        <f t="shared" si="15"/>
        <v>0</v>
      </c>
      <c r="V20" s="3547"/>
      <c r="W20" s="3547">
        <f t="shared" si="16"/>
        <v>0</v>
      </c>
      <c r="X20" s="3552"/>
      <c r="Y20" s="3547">
        <f t="shared" si="17"/>
        <v>0</v>
      </c>
      <c r="Z20" s="3554"/>
      <c r="AA20" s="3555"/>
      <c r="AB20" s="3593"/>
      <c r="AC20" s="3556">
        <f t="shared" si="18"/>
        <v>0</v>
      </c>
      <c r="AD20" s="3556">
        <f t="shared" si="19"/>
        <v>0</v>
      </c>
      <c r="AE20" s="3556">
        <f t="shared" si="19"/>
        <v>0</v>
      </c>
      <c r="AF20" s="3556">
        <f t="shared" si="20"/>
        <v>0</v>
      </c>
      <c r="AG20" s="3556"/>
      <c r="AH20" s="3557">
        <f t="shared" si="21"/>
        <v>0</v>
      </c>
      <c r="AI20" s="3558">
        <f t="shared" si="22"/>
        <v>0</v>
      </c>
      <c r="AJ20" s="3558">
        <f t="shared" si="22"/>
        <v>0</v>
      </c>
      <c r="AK20" s="3557">
        <f t="shared" si="43"/>
        <v>0</v>
      </c>
      <c r="AL20" s="3557"/>
      <c r="AM20" s="3547"/>
      <c r="AN20" s="3609"/>
      <c r="AO20" s="3562"/>
      <c r="AP20" s="3561">
        <f t="shared" si="44"/>
        <v>0</v>
      </c>
      <c r="AQ20" s="3559"/>
      <c r="AR20" s="3562"/>
      <c r="AS20" s="3561">
        <f t="shared" si="36"/>
        <v>0</v>
      </c>
      <c r="AT20" s="3563"/>
      <c r="AU20" s="3547"/>
      <c r="AV20" s="3609"/>
      <c r="AW20" s="3562"/>
      <c r="AX20" s="3561">
        <f t="shared" si="45"/>
        <v>0</v>
      </c>
      <c r="AY20" s="3559"/>
      <c r="AZ20" s="3562"/>
      <c r="BA20" s="3561">
        <f t="shared" si="23"/>
        <v>0</v>
      </c>
      <c r="BB20" s="3563"/>
      <c r="BC20" s="3547"/>
      <c r="BD20" s="3609"/>
      <c r="BE20" s="3562"/>
      <c r="BF20" s="3561">
        <f t="shared" si="46"/>
        <v>0</v>
      </c>
      <c r="BG20" s="3559"/>
      <c r="BH20" s="3562"/>
      <c r="BI20" s="3561">
        <f t="shared" si="47"/>
        <v>0</v>
      </c>
      <c r="BJ20" s="3563"/>
      <c r="BK20" s="3547"/>
      <c r="BL20" s="3609"/>
      <c r="BM20" s="3562"/>
      <c r="BN20" s="3561">
        <f t="shared" si="48"/>
        <v>0</v>
      </c>
      <c r="BO20" s="3559"/>
      <c r="BP20" s="3562"/>
      <c r="BQ20" s="3561">
        <f t="shared" si="49"/>
        <v>0</v>
      </c>
      <c r="BR20" s="3563"/>
      <c r="BS20" s="3547"/>
      <c r="BT20" s="3609"/>
      <c r="BU20" s="3562"/>
      <c r="BV20" s="3561">
        <f t="shared" si="50"/>
        <v>0</v>
      </c>
      <c r="BW20" s="3559"/>
      <c r="BX20" s="3562"/>
      <c r="BY20" s="3561">
        <f t="shared" si="51"/>
        <v>0</v>
      </c>
      <c r="BZ20" s="3563"/>
      <c r="CA20" s="3547"/>
      <c r="CB20" s="3609"/>
      <c r="CC20" s="3562"/>
      <c r="CD20" s="3561">
        <f t="shared" si="52"/>
        <v>0</v>
      </c>
      <c r="CE20" s="3559"/>
      <c r="CF20" s="3562"/>
      <c r="CG20" s="3561">
        <f t="shared" si="53"/>
        <v>0</v>
      </c>
      <c r="CH20" s="3563"/>
      <c r="CI20" s="3547"/>
      <c r="CJ20" s="3609"/>
      <c r="CK20" s="3562"/>
      <c r="CL20" s="3561">
        <f t="shared" si="5"/>
        <v>0</v>
      </c>
      <c r="CM20" s="3559"/>
      <c r="CN20" s="3562"/>
      <c r="CO20" s="3561">
        <f t="shared" si="54"/>
        <v>0</v>
      </c>
      <c r="CP20" s="3563"/>
      <c r="CQ20" s="3547"/>
      <c r="CR20" s="3621"/>
      <c r="CS20" s="3603"/>
      <c r="CT20" s="3602">
        <f t="shared" si="55"/>
        <v>0</v>
      </c>
      <c r="CU20" s="3604"/>
      <c r="CV20" s="3603"/>
      <c r="CW20" s="3561">
        <f t="shared" si="56"/>
        <v>0</v>
      </c>
      <c r="CX20" s="3563"/>
      <c r="CY20" s="3597"/>
      <c r="CZ20" s="3609"/>
      <c r="DA20" s="3562"/>
      <c r="DB20" s="3561">
        <f t="shared" si="57"/>
        <v>0</v>
      </c>
      <c r="DC20" s="3559"/>
      <c r="DD20" s="3562"/>
      <c r="DE20" s="3561">
        <f t="shared" si="58"/>
        <v>0</v>
      </c>
      <c r="DF20" s="3563"/>
      <c r="DG20" s="3547"/>
      <c r="DH20" s="3609"/>
      <c r="DI20" s="3562"/>
      <c r="DJ20" s="3561">
        <f t="shared" si="59"/>
        <v>0</v>
      </c>
      <c r="DK20" s="3559"/>
      <c r="DL20" s="3562"/>
      <c r="DM20" s="3561">
        <f t="shared" si="60"/>
        <v>0</v>
      </c>
      <c r="DN20" s="3563"/>
      <c r="DO20" s="3547"/>
      <c r="DP20" s="3609"/>
      <c r="DQ20" s="3562"/>
      <c r="DR20" s="3561">
        <f t="shared" si="61"/>
        <v>0</v>
      </c>
      <c r="DS20" s="3559"/>
      <c r="DT20" s="3562"/>
      <c r="DU20" s="3561">
        <f t="shared" si="62"/>
        <v>0</v>
      </c>
      <c r="DV20" s="3563"/>
      <c r="DW20" s="3547"/>
      <c r="DX20" s="3609"/>
      <c r="DY20" s="3562"/>
      <c r="DZ20" s="3561">
        <f t="shared" si="63"/>
        <v>0</v>
      </c>
      <c r="EA20" s="3559"/>
      <c r="EB20" s="3562"/>
      <c r="EC20" s="3561">
        <f t="shared" si="64"/>
        <v>0</v>
      </c>
      <c r="ED20" s="3563"/>
      <c r="EE20" s="3564"/>
      <c r="EF20" s="3565">
        <f t="shared" si="37"/>
        <v>203783.135515873</v>
      </c>
      <c r="EG20" s="3565">
        <f t="shared" si="24"/>
        <v>81513.2542063492</v>
      </c>
      <c r="EH20" s="3565">
        <f t="shared" si="24"/>
        <v>0</v>
      </c>
      <c r="EI20" s="3565">
        <f t="shared" si="24"/>
        <v>0</v>
      </c>
      <c r="EJ20" s="3565">
        <f t="shared" si="38"/>
        <v>-81513.2542063492</v>
      </c>
      <c r="EK20" s="3566">
        <f t="shared" si="39"/>
        <v>0</v>
      </c>
      <c r="EL20" s="3622"/>
      <c r="EM20" s="3567">
        <f t="shared" si="40"/>
        <v>84564.967610063206</v>
      </c>
      <c r="EN20" s="3557">
        <f t="shared" si="25"/>
        <v>52853.104756289504</v>
      </c>
      <c r="EO20" s="3557">
        <f t="shared" si="25"/>
        <v>0</v>
      </c>
      <c r="EP20" s="3557">
        <f t="shared" si="25"/>
        <v>0</v>
      </c>
      <c r="EQ20" s="3557">
        <f t="shared" si="41"/>
        <v>-52853.104756289504</v>
      </c>
      <c r="ER20" s="3557">
        <f t="shared" si="42"/>
        <v>0</v>
      </c>
      <c r="ES20" s="3623"/>
      <c r="ET20" s="3612"/>
      <c r="EU20" s="3569"/>
      <c r="EV20" s="3562"/>
      <c r="EW20" s="3547">
        <f t="shared" si="26"/>
        <v>0</v>
      </c>
      <c r="EX20" s="3568"/>
      <c r="EY20" s="3569"/>
      <c r="EZ20" s="3562"/>
      <c r="FA20" s="3547">
        <f t="shared" si="27"/>
        <v>0</v>
      </c>
      <c r="FB20" s="3612"/>
      <c r="FC20" s="3569"/>
      <c r="FD20" s="3562"/>
      <c r="FE20" s="3547">
        <f t="shared" si="65"/>
        <v>0</v>
      </c>
      <c r="FF20" s="3568"/>
      <c r="FG20" s="3569"/>
      <c r="FH20" s="3562"/>
      <c r="FI20" s="3547">
        <f t="shared" si="66"/>
        <v>0</v>
      </c>
      <c r="FJ20" s="3612"/>
      <c r="FK20" s="3569"/>
      <c r="FL20" s="3562"/>
      <c r="FM20" s="3547">
        <f t="shared" si="67"/>
        <v>0</v>
      </c>
      <c r="FN20" s="3568"/>
      <c r="FO20" s="3569"/>
      <c r="FP20" s="3562"/>
      <c r="FQ20" s="3547">
        <f t="shared" si="68"/>
        <v>0</v>
      </c>
      <c r="FR20" s="3612"/>
      <c r="FS20" s="3569"/>
      <c r="FT20" s="3560"/>
      <c r="FU20" s="3547">
        <f t="shared" si="69"/>
        <v>0</v>
      </c>
      <c r="FV20" s="3568"/>
      <c r="FW20" s="3569"/>
      <c r="FX20" s="3560"/>
      <c r="FY20" s="3547">
        <f t="shared" si="70"/>
        <v>0</v>
      </c>
      <c r="FZ20" s="3612"/>
      <c r="GA20" s="3569"/>
      <c r="GB20" s="3560"/>
      <c r="GC20" s="3547">
        <f t="shared" si="71"/>
        <v>0</v>
      </c>
      <c r="GD20" s="3568">
        <v>10570.620951257901</v>
      </c>
      <c r="GE20" s="3569"/>
      <c r="GF20" s="3562"/>
      <c r="GG20" s="3547">
        <f t="shared" si="72"/>
        <v>-10570.620951257901</v>
      </c>
      <c r="GH20" s="3612"/>
      <c r="GI20" s="3569"/>
      <c r="GJ20" s="3562"/>
      <c r="GK20" s="3547">
        <f t="shared" si="73"/>
        <v>0</v>
      </c>
      <c r="GL20" s="3568">
        <v>10570.620951257901</v>
      </c>
      <c r="GM20" s="3569"/>
      <c r="GN20" s="3562"/>
      <c r="GO20" s="3547">
        <f t="shared" si="74"/>
        <v>-10570.620951257901</v>
      </c>
      <c r="GP20" s="3612"/>
      <c r="GQ20" s="3569"/>
      <c r="GR20" s="3562"/>
      <c r="GS20" s="3547">
        <f t="shared" si="75"/>
        <v>0</v>
      </c>
      <c r="GT20" s="3568">
        <v>10570.620951257901</v>
      </c>
      <c r="GU20" s="3569"/>
      <c r="GV20" s="3562"/>
      <c r="GW20" s="3547">
        <f t="shared" si="76"/>
        <v>-10570.620951257901</v>
      </c>
      <c r="GX20" s="3612">
        <v>40756.6271031746</v>
      </c>
      <c r="GY20" s="3569"/>
      <c r="GZ20" s="3562"/>
      <c r="HA20" s="3547">
        <f t="shared" si="77"/>
        <v>-40756.6271031746</v>
      </c>
      <c r="HB20" s="3568">
        <v>10570.620951257901</v>
      </c>
      <c r="HC20" s="3569"/>
      <c r="HD20" s="3562"/>
      <c r="HE20" s="3547">
        <f t="shared" si="78"/>
        <v>-10570.620951257901</v>
      </c>
      <c r="HF20" s="3612">
        <v>40756.6271031746</v>
      </c>
      <c r="HG20" s="3569"/>
      <c r="HH20" s="3562"/>
      <c r="HI20" s="3547">
        <f t="shared" si="79"/>
        <v>-40756.6271031746</v>
      </c>
      <c r="HJ20" s="3568">
        <v>10570.620951257901</v>
      </c>
      <c r="HK20" s="3569"/>
      <c r="HL20" s="3562"/>
      <c r="HM20" s="3547">
        <f t="shared" si="80"/>
        <v>-10570.620951257901</v>
      </c>
      <c r="HN20" s="3612">
        <v>40756.6271031746</v>
      </c>
      <c r="HO20" s="3569"/>
      <c r="HP20" s="3562"/>
      <c r="HQ20" s="3547">
        <f t="shared" si="81"/>
        <v>-40756.6271031746</v>
      </c>
      <c r="HR20" s="3568">
        <v>10570.620951257901</v>
      </c>
      <c r="HS20" s="3569"/>
      <c r="HT20" s="3562"/>
      <c r="HU20" s="3547">
        <f t="shared" si="82"/>
        <v>-10570.620951257901</v>
      </c>
      <c r="HV20" s="3612">
        <v>40756.6271031746</v>
      </c>
      <c r="HW20" s="3569"/>
      <c r="HX20" s="3562"/>
      <c r="HY20" s="3547">
        <f t="shared" si="83"/>
        <v>-40756.6271031746</v>
      </c>
      <c r="HZ20" s="3568">
        <v>10570.620951257901</v>
      </c>
      <c r="IA20" s="3569"/>
      <c r="IB20" s="3562"/>
      <c r="IC20" s="3547">
        <f t="shared" si="84"/>
        <v>-10570.620951257901</v>
      </c>
      <c r="ID20" s="3612">
        <v>40756.6271031746</v>
      </c>
      <c r="IE20" s="3569"/>
      <c r="IF20" s="3562"/>
      <c r="IG20" s="3547">
        <f t="shared" si="85"/>
        <v>-40756.6271031746</v>
      </c>
      <c r="IH20" s="3568">
        <v>10570.620951257901</v>
      </c>
      <c r="II20" s="3569"/>
      <c r="IJ20" s="3562"/>
      <c r="IK20" s="3547">
        <f t="shared" si="86"/>
        <v>-10570.620951257901</v>
      </c>
      <c r="IL20" s="3570"/>
      <c r="IM20" s="3569"/>
      <c r="IN20" s="3569"/>
      <c r="IO20" s="3571"/>
      <c r="IP20" s="3560">
        <f t="shared" si="87"/>
        <v>0</v>
      </c>
      <c r="IQ20" s="3568"/>
      <c r="IR20" s="3568"/>
      <c r="IS20" s="3568"/>
      <c r="IT20" s="3568"/>
      <c r="IU20" s="3568"/>
      <c r="IV20" s="3568"/>
      <c r="IW20" s="3568"/>
      <c r="IX20" s="3568"/>
      <c r="IY20" s="3568"/>
      <c r="IZ20" s="3562"/>
      <c r="JA20" s="3562"/>
      <c r="JB20" s="3562"/>
      <c r="JC20" s="3560">
        <f t="shared" si="11"/>
        <v>0</v>
      </c>
      <c r="JD20" s="3571"/>
      <c r="JE20" s="3568"/>
      <c r="JF20" s="3568"/>
      <c r="JG20" s="3568"/>
      <c r="JH20" s="3568"/>
      <c r="JI20" s="3568"/>
      <c r="JJ20" s="3568"/>
      <c r="JK20" s="3568"/>
      <c r="JL20" s="3568"/>
      <c r="JM20" s="3568"/>
      <c r="JN20" s="3562"/>
      <c r="JO20" s="3562"/>
      <c r="JP20" s="3570"/>
      <c r="JQ20" s="3583"/>
      <c r="JR20" s="3583"/>
      <c r="JS20" s="3573">
        <f t="shared" si="28"/>
        <v>0</v>
      </c>
      <c r="JT20" s="3573">
        <f t="shared" si="35"/>
        <v>0</v>
      </c>
      <c r="JU20" s="3574">
        <f t="shared" si="29"/>
        <v>0</v>
      </c>
      <c r="JV20" s="3574">
        <f t="shared" si="30"/>
        <v>0</v>
      </c>
      <c r="JW20" s="3575"/>
      <c r="JX20" s="3576">
        <f t="shared" si="31"/>
        <v>0</v>
      </c>
      <c r="JY20" s="3576">
        <f t="shared" si="32"/>
        <v>0</v>
      </c>
      <c r="JZ20" s="3577"/>
      <c r="KA20" s="3573">
        <f t="shared" si="12"/>
        <v>-51327.248054432501</v>
      </c>
      <c r="KB20" s="3573"/>
      <c r="KC20" s="3573"/>
      <c r="KD20" s="3573">
        <f t="shared" si="33"/>
        <v>-51327.248054432501</v>
      </c>
      <c r="KE20" s="3578" t="s">
        <v>3765</v>
      </c>
      <c r="KF20" s="3579"/>
      <c r="KG20" s="3579"/>
      <c r="KH20" s="3579"/>
      <c r="KI20" s="3579"/>
      <c r="KJ20" s="3579"/>
      <c r="KK20" s="3579"/>
      <c r="KL20" s="3579">
        <f>-10570.62/10000*3-51327.25/10000*2</f>
        <v>-13.436636</v>
      </c>
      <c r="KM20" s="3579"/>
      <c r="KN20" s="3579"/>
      <c r="KO20" s="3579"/>
      <c r="KP20" s="3579"/>
      <c r="KQ20" s="3579">
        <f t="shared" si="34"/>
        <v>-13.436636</v>
      </c>
      <c r="KR20" s="3579">
        <f t="shared" si="88"/>
        <v>1.0373612902014884E-7</v>
      </c>
      <c r="KS20" s="3577"/>
      <c r="KT20" s="3577"/>
      <c r="KU20" s="3577"/>
      <c r="KV20" s="3577"/>
      <c r="KW20" s="3577"/>
      <c r="KX20" s="3577"/>
      <c r="KY20" s="3577"/>
      <c r="KZ20" s="3577"/>
      <c r="LA20" s="3577"/>
      <c r="LB20" s="3577"/>
      <c r="LC20" s="3577"/>
      <c r="LD20" s="3577"/>
      <c r="LE20" s="3577"/>
      <c r="LF20" s="3577"/>
      <c r="LG20" s="3577"/>
      <c r="LH20" s="3577"/>
      <c r="LI20" s="3577"/>
      <c r="LJ20" s="3575"/>
      <c r="LK20" s="3571"/>
      <c r="LL20" s="3576"/>
    </row>
    <row r="21" spans="1:325" s="3580" customFormat="1" ht="18" customHeight="1">
      <c r="A21" s="3545">
        <v>18</v>
      </c>
      <c r="B21" s="3546" t="s">
        <v>3937</v>
      </c>
      <c r="C21" s="3546" t="s">
        <v>3938</v>
      </c>
      <c r="D21" s="3547">
        <v>58.82</v>
      </c>
      <c r="E21" s="3548" t="s">
        <v>3799</v>
      </c>
      <c r="F21" s="3546" t="s">
        <v>3790</v>
      </c>
      <c r="G21" s="3546" t="s">
        <v>3939</v>
      </c>
      <c r="H21" s="3546" t="s">
        <v>3940</v>
      </c>
      <c r="I21" s="3594" t="s">
        <v>3941</v>
      </c>
      <c r="J21" s="3594" t="s">
        <v>3942</v>
      </c>
      <c r="K21" s="3545" t="s">
        <v>3925</v>
      </c>
      <c r="L21" s="3555"/>
      <c r="M21" s="3551">
        <v>28822.53</v>
      </c>
      <c r="N21" s="3551">
        <v>28822.53</v>
      </c>
      <c r="O21" s="3551">
        <f t="shared" si="13"/>
        <v>0</v>
      </c>
      <c r="P21" s="3547">
        <v>4454.88</v>
      </c>
      <c r="Q21" s="3547">
        <f>43.38+4411.5</f>
        <v>4454.88</v>
      </c>
      <c r="R21" s="3547">
        <f t="shared" si="89"/>
        <v>0</v>
      </c>
      <c r="S21" s="3547">
        <f t="shared" si="14"/>
        <v>5.3699990218591198</v>
      </c>
      <c r="T21" s="3552">
        <v>9607.51</v>
      </c>
      <c r="U21" s="3553">
        <f t="shared" si="15"/>
        <v>115290.12</v>
      </c>
      <c r="V21" s="3547">
        <f>T21*12</f>
        <v>115290.12</v>
      </c>
      <c r="W21" s="3547">
        <f t="shared" si="16"/>
        <v>0.8300000465781372</v>
      </c>
      <c r="X21" s="3620">
        <v>1484.96</v>
      </c>
      <c r="Y21" s="3547">
        <f t="shared" si="17"/>
        <v>17819.52</v>
      </c>
      <c r="Z21" s="3554"/>
      <c r="AA21" s="3555"/>
      <c r="AB21" s="3620" t="s">
        <v>3899</v>
      </c>
      <c r="AC21" s="3556">
        <f t="shared" si="18"/>
        <v>86467.59</v>
      </c>
      <c r="AD21" s="3556">
        <f t="shared" si="19"/>
        <v>86467.59</v>
      </c>
      <c r="AE21" s="3556">
        <f t="shared" si="19"/>
        <v>86467.59</v>
      </c>
      <c r="AF21" s="3556">
        <f t="shared" si="20"/>
        <v>0</v>
      </c>
      <c r="AG21" s="3556"/>
      <c r="AH21" s="3557">
        <f t="shared" si="21"/>
        <v>13364.64</v>
      </c>
      <c r="AI21" s="3558">
        <f t="shared" si="22"/>
        <v>13364.64</v>
      </c>
      <c r="AJ21" s="3558">
        <f t="shared" si="22"/>
        <v>13364.64</v>
      </c>
      <c r="AK21" s="3557">
        <f t="shared" si="43"/>
        <v>0</v>
      </c>
      <c r="AL21" s="3557"/>
      <c r="AM21" s="3547" t="s">
        <v>3822</v>
      </c>
      <c r="AN21" s="3609">
        <v>9607.51</v>
      </c>
      <c r="AO21" s="3562">
        <v>9607.51</v>
      </c>
      <c r="AP21" s="3561">
        <f t="shared" si="44"/>
        <v>0</v>
      </c>
      <c r="AQ21" s="3559">
        <v>1484.96</v>
      </c>
      <c r="AR21" s="3562">
        <v>1484.96</v>
      </c>
      <c r="AS21" s="3561">
        <f t="shared" si="36"/>
        <v>0</v>
      </c>
      <c r="AT21" s="3563" t="s">
        <v>3943</v>
      </c>
      <c r="AU21" s="3547" t="s">
        <v>3824</v>
      </c>
      <c r="AV21" s="3609">
        <v>9607.51</v>
      </c>
      <c r="AW21" s="3562">
        <f>9607.51</f>
        <v>9607.51</v>
      </c>
      <c r="AX21" s="3561">
        <f t="shared" si="45"/>
        <v>0</v>
      </c>
      <c r="AY21" s="3559">
        <v>1484.96</v>
      </c>
      <c r="AZ21" s="3562">
        <v>1484.96</v>
      </c>
      <c r="BA21" s="3561">
        <f t="shared" si="23"/>
        <v>0</v>
      </c>
      <c r="BB21" s="3563" t="s">
        <v>3944</v>
      </c>
      <c r="BC21" s="3547" t="s">
        <v>3826</v>
      </c>
      <c r="BD21" s="3609">
        <v>9607.51</v>
      </c>
      <c r="BE21" s="3562">
        <v>9607.51</v>
      </c>
      <c r="BF21" s="3561">
        <f t="shared" si="46"/>
        <v>0</v>
      </c>
      <c r="BG21" s="3559">
        <v>1484.96</v>
      </c>
      <c r="BH21" s="3562">
        <v>1484.96</v>
      </c>
      <c r="BI21" s="3561">
        <f t="shared" si="47"/>
        <v>0</v>
      </c>
      <c r="BJ21" s="3563" t="s">
        <v>3945</v>
      </c>
      <c r="BK21" s="3547" t="s">
        <v>3873</v>
      </c>
      <c r="BL21" s="3609">
        <v>9607.51</v>
      </c>
      <c r="BM21" s="3603">
        <v>9607.51</v>
      </c>
      <c r="BN21" s="3602">
        <f t="shared" si="48"/>
        <v>0</v>
      </c>
      <c r="BO21" s="3604">
        <v>1484.96</v>
      </c>
      <c r="BP21" s="3603">
        <v>1484.96</v>
      </c>
      <c r="BQ21" s="3561">
        <f t="shared" si="49"/>
        <v>0</v>
      </c>
      <c r="BR21" s="3563" t="s">
        <v>3946</v>
      </c>
      <c r="BS21" s="3547" t="s">
        <v>3875</v>
      </c>
      <c r="BT21" s="3609">
        <v>9607.51</v>
      </c>
      <c r="BU21" s="3603">
        <v>9607.51</v>
      </c>
      <c r="BV21" s="3602">
        <f t="shared" si="50"/>
        <v>0</v>
      </c>
      <c r="BW21" s="3604">
        <v>1484.96</v>
      </c>
      <c r="BX21" s="3603">
        <v>1484.96</v>
      </c>
      <c r="BY21" s="3561">
        <f t="shared" si="51"/>
        <v>0</v>
      </c>
      <c r="BZ21" s="3563" t="s">
        <v>3876</v>
      </c>
      <c r="CA21" s="3547" t="s">
        <v>3877</v>
      </c>
      <c r="CB21" s="3609">
        <v>9607.51</v>
      </c>
      <c r="CC21" s="3603">
        <v>9607.51</v>
      </c>
      <c r="CD21" s="3561">
        <f t="shared" si="52"/>
        <v>0</v>
      </c>
      <c r="CE21" s="3559">
        <v>1484.96</v>
      </c>
      <c r="CF21" s="3562">
        <v>1484.96</v>
      </c>
      <c r="CG21" s="3561">
        <f t="shared" si="53"/>
        <v>0</v>
      </c>
      <c r="CH21" s="3563" t="s">
        <v>3947</v>
      </c>
      <c r="CI21" s="3547" t="s">
        <v>3948</v>
      </c>
      <c r="CJ21" s="3609">
        <v>9607.51</v>
      </c>
      <c r="CK21" s="3603">
        <v>9607.51</v>
      </c>
      <c r="CL21" s="3561">
        <f t="shared" si="5"/>
        <v>0</v>
      </c>
      <c r="CM21" s="3559">
        <v>1484.96</v>
      </c>
      <c r="CN21" s="3562">
        <f>1484.96</f>
        <v>1484.96</v>
      </c>
      <c r="CO21" s="3561">
        <f t="shared" si="54"/>
        <v>0</v>
      </c>
      <c r="CP21" s="3563" t="s">
        <v>3949</v>
      </c>
      <c r="CQ21" s="3547" t="s">
        <v>3950</v>
      </c>
      <c r="CR21" s="3621">
        <v>9607.51</v>
      </c>
      <c r="CS21" s="3603">
        <v>9607.51</v>
      </c>
      <c r="CT21" s="3602">
        <f t="shared" si="55"/>
        <v>0</v>
      </c>
      <c r="CU21" s="3604">
        <v>1484.96</v>
      </c>
      <c r="CV21" s="3603">
        <v>1484.96</v>
      </c>
      <c r="CW21" s="3561">
        <f t="shared" si="56"/>
        <v>0</v>
      </c>
      <c r="CX21" s="3563" t="s">
        <v>3951</v>
      </c>
      <c r="CY21" s="3597" t="s">
        <v>3952</v>
      </c>
      <c r="CZ21" s="3609">
        <v>9607.51</v>
      </c>
      <c r="DA21" s="3562">
        <v>9607.51</v>
      </c>
      <c r="DB21" s="3561">
        <f t="shared" si="57"/>
        <v>0</v>
      </c>
      <c r="DC21" s="3559">
        <v>1484.96</v>
      </c>
      <c r="DD21" s="3562">
        <v>1484.96</v>
      </c>
      <c r="DE21" s="3561">
        <f t="shared" si="58"/>
        <v>0</v>
      </c>
      <c r="DF21" s="3563" t="s">
        <v>3953</v>
      </c>
      <c r="DG21" s="3547"/>
      <c r="DH21" s="3609"/>
      <c r="DI21" s="3562"/>
      <c r="DJ21" s="3561">
        <f t="shared" si="59"/>
        <v>0</v>
      </c>
      <c r="DK21" s="3559"/>
      <c r="DL21" s="3562"/>
      <c r="DM21" s="3561">
        <f t="shared" si="60"/>
        <v>0</v>
      </c>
      <c r="DN21" s="3563"/>
      <c r="DO21" s="3547"/>
      <c r="DP21" s="3609"/>
      <c r="DQ21" s="3562"/>
      <c r="DR21" s="3561">
        <f t="shared" si="61"/>
        <v>0</v>
      </c>
      <c r="DS21" s="3559"/>
      <c r="DT21" s="3562"/>
      <c r="DU21" s="3561">
        <f t="shared" si="62"/>
        <v>0</v>
      </c>
      <c r="DV21" s="3563"/>
      <c r="DW21" s="3547"/>
      <c r="DX21" s="3609"/>
      <c r="DY21" s="3562"/>
      <c r="DZ21" s="3561">
        <f t="shared" si="63"/>
        <v>0</v>
      </c>
      <c r="EA21" s="3559"/>
      <c r="EB21" s="3562"/>
      <c r="EC21" s="3561">
        <f t="shared" si="64"/>
        <v>0</v>
      </c>
      <c r="ED21" s="3563"/>
      <c r="EE21" s="3564"/>
      <c r="EF21" s="3565">
        <f t="shared" si="37"/>
        <v>91500.111904761885</v>
      </c>
      <c r="EG21" s="3565">
        <f t="shared" si="24"/>
        <v>82350.100714285698</v>
      </c>
      <c r="EH21" s="3565">
        <f t="shared" si="24"/>
        <v>82350.085714285713</v>
      </c>
      <c r="EI21" s="3565">
        <f t="shared" si="24"/>
        <v>82350.085714285713</v>
      </c>
      <c r="EJ21" s="3565">
        <f t="shared" si="38"/>
        <v>-1.4999999984866008E-2</v>
      </c>
      <c r="EK21" s="3565">
        <f t="shared" si="39"/>
        <v>0</v>
      </c>
      <c r="EL21" s="3610"/>
      <c r="EM21" s="3557">
        <f t="shared" si="40"/>
        <v>14009.055817610099</v>
      </c>
      <c r="EN21" s="3557">
        <f t="shared" si="25"/>
        <v>12608.150235849089</v>
      </c>
      <c r="EO21" s="3557">
        <f t="shared" si="25"/>
        <v>12608.150943396227</v>
      </c>
      <c r="EP21" s="3557">
        <f t="shared" si="25"/>
        <v>12608.150943396227</v>
      </c>
      <c r="EQ21" s="3557">
        <f t="shared" si="41"/>
        <v>7.075471385178389E-4</v>
      </c>
      <c r="ER21" s="3557">
        <f t="shared" si="42"/>
        <v>0</v>
      </c>
      <c r="ES21" s="3557"/>
      <c r="ET21" s="3612">
        <v>9150.0111904761907</v>
      </c>
      <c r="EU21" s="3559">
        <f>9607.51/1.05</f>
        <v>9150.0095238095237</v>
      </c>
      <c r="EV21" s="3562">
        <f>9607.51/1.05</f>
        <v>9150.0095238095237</v>
      </c>
      <c r="EW21" s="3547">
        <f t="shared" si="26"/>
        <v>-1.6666666670062114E-3</v>
      </c>
      <c r="EX21" s="3568">
        <v>1400.9055817610099</v>
      </c>
      <c r="EY21" s="3569">
        <f>1484.96/1.06</f>
        <v>1400.9056603773583</v>
      </c>
      <c r="EZ21" s="3562">
        <f>1484.96/1.06</f>
        <v>1400.9056603773583</v>
      </c>
      <c r="FA21" s="3547">
        <f t="shared" si="27"/>
        <v>7.8616348446303164E-5</v>
      </c>
      <c r="FB21" s="3612">
        <v>9150.0111904761907</v>
      </c>
      <c r="FC21" s="3559">
        <f>9607.51/1.05</f>
        <v>9150.0095238095237</v>
      </c>
      <c r="FD21" s="3562">
        <f>9607.51/1.05</f>
        <v>9150.0095238095237</v>
      </c>
      <c r="FE21" s="3547">
        <f t="shared" si="65"/>
        <v>-1.6666666670062114E-3</v>
      </c>
      <c r="FF21" s="3568">
        <v>1400.9055817610099</v>
      </c>
      <c r="FG21" s="3569">
        <f>1484.96/1.06</f>
        <v>1400.9056603773583</v>
      </c>
      <c r="FH21" s="3562">
        <f>1484.96/1.06</f>
        <v>1400.9056603773583</v>
      </c>
      <c r="FI21" s="3547">
        <f t="shared" si="66"/>
        <v>7.8616348446303164E-5</v>
      </c>
      <c r="FJ21" s="3612">
        <v>9150.0111904761907</v>
      </c>
      <c r="FK21" s="3559">
        <f>9607.51/1.05</f>
        <v>9150.0095238095237</v>
      </c>
      <c r="FL21" s="3562">
        <f>9607.51/1.05</f>
        <v>9150.0095238095237</v>
      </c>
      <c r="FM21" s="3547">
        <f t="shared" si="67"/>
        <v>-1.6666666670062114E-3</v>
      </c>
      <c r="FN21" s="3568">
        <v>1400.9055817610099</v>
      </c>
      <c r="FO21" s="3559">
        <f>1484.96/1.06</f>
        <v>1400.9056603773583</v>
      </c>
      <c r="FP21" s="3562">
        <f>1484.96/1.06</f>
        <v>1400.9056603773583</v>
      </c>
      <c r="FQ21" s="3547">
        <f t="shared" si="68"/>
        <v>7.8616348446303164E-5</v>
      </c>
      <c r="FR21" s="3612">
        <v>9150.0111904761907</v>
      </c>
      <c r="FS21" s="3559">
        <f>9607.51/1.05</f>
        <v>9150.0095238095237</v>
      </c>
      <c r="FT21" s="3560">
        <f>9607.51/1.05</f>
        <v>9150.0095238095237</v>
      </c>
      <c r="FU21" s="3547">
        <f t="shared" si="69"/>
        <v>-1.6666666670062114E-3</v>
      </c>
      <c r="FV21" s="3568">
        <v>1400.9055817610099</v>
      </c>
      <c r="FW21" s="3559">
        <f>1484.96/1.06</f>
        <v>1400.9056603773583</v>
      </c>
      <c r="FX21" s="3560">
        <f>1484.96/1.06</f>
        <v>1400.9056603773583</v>
      </c>
      <c r="FY21" s="3547">
        <f t="shared" si="70"/>
        <v>7.8616348446303164E-5</v>
      </c>
      <c r="FZ21" s="3612">
        <v>9150.0111904761907</v>
      </c>
      <c r="GA21" s="3559">
        <f>9607.51/1.05</f>
        <v>9150.0095238095237</v>
      </c>
      <c r="GB21" s="3560">
        <f>9607.51/1.05</f>
        <v>9150.0095238095237</v>
      </c>
      <c r="GC21" s="3547">
        <f t="shared" si="71"/>
        <v>-1.6666666670062114E-3</v>
      </c>
      <c r="GD21" s="3568">
        <v>1400.9055817610099</v>
      </c>
      <c r="GE21" s="3569">
        <f>1484.96/1.06</f>
        <v>1400.9056603773583</v>
      </c>
      <c r="GF21" s="3560">
        <f>1484.96/1.06</f>
        <v>1400.9056603773583</v>
      </c>
      <c r="GG21" s="3547">
        <f t="shared" si="72"/>
        <v>7.8616348446303164E-5</v>
      </c>
      <c r="GH21" s="3612">
        <v>9150.0111904761907</v>
      </c>
      <c r="GI21" s="3559">
        <f>9607.51/1.05</f>
        <v>9150.0095238095237</v>
      </c>
      <c r="GJ21" s="3562">
        <f>9607.51/1.05</f>
        <v>9150.0095238095237</v>
      </c>
      <c r="GK21" s="3547">
        <f t="shared" si="73"/>
        <v>-1.6666666670062114E-3</v>
      </c>
      <c r="GL21" s="3568">
        <v>1400.9055817610099</v>
      </c>
      <c r="GM21" s="3569">
        <f>1484.96/1.06</f>
        <v>1400.9056603773583</v>
      </c>
      <c r="GN21" s="3560">
        <f>1484.96/1.06</f>
        <v>1400.9056603773583</v>
      </c>
      <c r="GO21" s="3547">
        <f t="shared" si="74"/>
        <v>7.8616348446303164E-5</v>
      </c>
      <c r="GP21" s="3612">
        <v>9150.0111904761907</v>
      </c>
      <c r="GQ21" s="3559">
        <f>9607.51/1.05</f>
        <v>9150.0095238095237</v>
      </c>
      <c r="GR21" s="3562">
        <f>9607.51/1.05</f>
        <v>9150.0095238095237</v>
      </c>
      <c r="GS21" s="3547">
        <f t="shared" si="75"/>
        <v>-1.6666666670062114E-3</v>
      </c>
      <c r="GT21" s="3568">
        <v>1400.9055817610099</v>
      </c>
      <c r="GU21" s="3569">
        <f>1484.96/1.06</f>
        <v>1400.9056603773583</v>
      </c>
      <c r="GV21" s="3560">
        <f>1484.96/1.06</f>
        <v>1400.9056603773583</v>
      </c>
      <c r="GW21" s="3547">
        <f t="shared" si="76"/>
        <v>7.8616348446303164E-5</v>
      </c>
      <c r="GX21" s="3612">
        <v>9150.0111904761907</v>
      </c>
      <c r="GY21" s="3559">
        <f>9607.51/1.05</f>
        <v>9150.0095238095237</v>
      </c>
      <c r="GZ21" s="3562">
        <f>9607.51/1.05</f>
        <v>9150.0095238095237</v>
      </c>
      <c r="HA21" s="3547">
        <f t="shared" si="77"/>
        <v>-1.6666666670062114E-3</v>
      </c>
      <c r="HB21" s="3568">
        <v>1400.9055817610099</v>
      </c>
      <c r="HC21" s="3569">
        <f>1484.96/1.06</f>
        <v>1400.9056603773583</v>
      </c>
      <c r="HD21" s="3562">
        <f>1484.96/1.06</f>
        <v>1400.9056603773583</v>
      </c>
      <c r="HE21" s="3547">
        <f t="shared" si="78"/>
        <v>7.8616348446303164E-5</v>
      </c>
      <c r="HF21" s="3612">
        <v>9150.0111904761907</v>
      </c>
      <c r="HG21" s="3559">
        <f>9607.51/1.05</f>
        <v>9150.0095238095237</v>
      </c>
      <c r="HH21" s="3624">
        <f>9607.51/1.05</f>
        <v>9150.0095238095237</v>
      </c>
      <c r="HI21" s="3547">
        <f t="shared" si="79"/>
        <v>-1.6666666670062114E-3</v>
      </c>
      <c r="HJ21" s="3568">
        <v>1400.9055817610099</v>
      </c>
      <c r="HK21" s="3569">
        <f>1484.96/1.06</f>
        <v>1400.9056603773583</v>
      </c>
      <c r="HL21" s="3562">
        <f>1484.96/1.06</f>
        <v>1400.9056603773583</v>
      </c>
      <c r="HM21" s="3547">
        <f t="shared" si="80"/>
        <v>7.8616348446303164E-5</v>
      </c>
      <c r="HN21" s="3612">
        <v>9150.0111904761907</v>
      </c>
      <c r="HO21" s="3559">
        <f>9607.51/1.05</f>
        <v>9150.0095238095237</v>
      </c>
      <c r="HP21" s="3562">
        <f>9607.51/1.05</f>
        <v>9150.0095238095237</v>
      </c>
      <c r="HQ21" s="3547">
        <f t="shared" si="81"/>
        <v>-1.6666666670062114E-3</v>
      </c>
      <c r="HR21" s="3568">
        <v>1400.9055817610099</v>
      </c>
      <c r="HS21" s="3569">
        <f>1484.96/1.06</f>
        <v>1400.9056603773583</v>
      </c>
      <c r="HT21" s="3562">
        <f>1484.96/1.06</f>
        <v>1400.9056603773583</v>
      </c>
      <c r="HU21" s="3547">
        <f t="shared" si="82"/>
        <v>7.8616348446303164E-5</v>
      </c>
      <c r="HV21" s="3612"/>
      <c r="HW21" s="3559"/>
      <c r="HX21" s="3562"/>
      <c r="HY21" s="3547">
        <f t="shared" si="83"/>
        <v>0</v>
      </c>
      <c r="HZ21" s="3568"/>
      <c r="IA21" s="3569"/>
      <c r="IB21" s="3562"/>
      <c r="IC21" s="3547">
        <f t="shared" si="84"/>
        <v>0</v>
      </c>
      <c r="ID21" s="3612"/>
      <c r="IE21" s="3559"/>
      <c r="IF21" s="3562"/>
      <c r="IG21" s="3547">
        <f t="shared" si="85"/>
        <v>0</v>
      </c>
      <c r="IH21" s="3568"/>
      <c r="II21" s="3569"/>
      <c r="IJ21" s="3562"/>
      <c r="IK21" s="3547">
        <f t="shared" si="86"/>
        <v>0</v>
      </c>
      <c r="IL21" s="3547"/>
      <c r="IM21" s="3559"/>
      <c r="IN21" s="3569"/>
      <c r="IO21" s="3547"/>
      <c r="IP21" s="3560">
        <f t="shared" si="87"/>
        <v>0</v>
      </c>
      <c r="IQ21" s="3569"/>
      <c r="IR21" s="3568"/>
      <c r="IS21" s="3568"/>
      <c r="IT21" s="3568"/>
      <c r="IU21" s="3568"/>
      <c r="IV21" s="3568"/>
      <c r="IW21" s="3568"/>
      <c r="IX21" s="3568"/>
      <c r="IY21" s="3568"/>
      <c r="IZ21" s="3625"/>
      <c r="JA21" s="3625"/>
      <c r="JB21" s="3625"/>
      <c r="JC21" s="3560">
        <f t="shared" si="11"/>
        <v>0</v>
      </c>
      <c r="JD21" s="3547"/>
      <c r="JE21" s="3569"/>
      <c r="JF21" s="3568"/>
      <c r="JG21" s="3568"/>
      <c r="JH21" s="3568"/>
      <c r="JI21" s="3568"/>
      <c r="JJ21" s="3568"/>
      <c r="JK21" s="3568"/>
      <c r="JL21" s="3568"/>
      <c r="JM21" s="3568"/>
      <c r="JN21" s="3625"/>
      <c r="JO21" s="3625"/>
      <c r="JP21" s="3547" t="s">
        <v>3837</v>
      </c>
      <c r="JQ21" s="3583">
        <f>9607.51/1.05</f>
        <v>9150.0095238095237</v>
      </c>
      <c r="JR21" s="3583">
        <f>1484.96/1.06</f>
        <v>1400.9056603773583</v>
      </c>
      <c r="JS21" s="3573">
        <f t="shared" si="28"/>
        <v>0</v>
      </c>
      <c r="JT21" s="3573">
        <f t="shared" si="35"/>
        <v>-1.8189894035458565E-12</v>
      </c>
      <c r="JU21" s="3574">
        <f t="shared" si="29"/>
        <v>0</v>
      </c>
      <c r="JV21" s="3574">
        <f t="shared" si="30"/>
        <v>0</v>
      </c>
      <c r="JW21" s="3575"/>
      <c r="JX21" s="3576">
        <f t="shared" si="31"/>
        <v>9150.0095238095237</v>
      </c>
      <c r="JY21" s="3576">
        <f t="shared" si="32"/>
        <v>1400.9056603773583</v>
      </c>
      <c r="JZ21" s="3577"/>
      <c r="KA21" s="3573">
        <f t="shared" si="12"/>
        <v>-1.5880503185599082E-3</v>
      </c>
      <c r="KB21" s="3573"/>
      <c r="KC21" s="3573"/>
      <c r="KD21" s="3573">
        <f t="shared" si="33"/>
        <v>-1.5880503185599082E-3</v>
      </c>
      <c r="KE21" s="3571"/>
      <c r="KF21" s="3579"/>
      <c r="KG21" s="3579"/>
      <c r="KH21" s="3579"/>
      <c r="KI21" s="3579"/>
      <c r="KJ21" s="3579"/>
      <c r="KK21" s="3579"/>
      <c r="KL21" s="3579"/>
      <c r="KM21" s="3579"/>
      <c r="KN21" s="3579"/>
      <c r="KO21" s="3579"/>
      <c r="KP21" s="3579"/>
      <c r="KQ21" s="3579">
        <f t="shared" si="34"/>
        <v>0</v>
      </c>
      <c r="KR21" s="3579">
        <f t="shared" si="88"/>
        <v>-1.4292452846348168E-6</v>
      </c>
      <c r="KS21" s="3577"/>
      <c r="KT21" s="3577"/>
      <c r="KU21" s="3577"/>
      <c r="KV21" s="3577"/>
      <c r="KW21" s="3577"/>
      <c r="KX21" s="3577"/>
      <c r="KY21" s="3577"/>
      <c r="KZ21" s="3577"/>
      <c r="LA21" s="3577"/>
      <c r="LB21" s="3577"/>
      <c r="LC21" s="3577"/>
      <c r="LD21" s="3577"/>
      <c r="LE21" s="3577"/>
      <c r="LF21" s="3577"/>
      <c r="LG21" s="3577"/>
      <c r="LH21" s="3577"/>
      <c r="LI21" s="3577"/>
      <c r="LJ21" s="3575"/>
      <c r="LK21" s="3626">
        <v>12</v>
      </c>
      <c r="LL21" s="3627">
        <v>12827.91</v>
      </c>
      <c r="LM21" s="3580" t="s">
        <v>3954</v>
      </c>
    </row>
    <row r="22" spans="1:325" s="3580" customFormat="1" ht="18" customHeight="1">
      <c r="A22" s="3545">
        <v>19</v>
      </c>
      <c r="B22" s="3546" t="s">
        <v>3937</v>
      </c>
      <c r="C22" s="3546" t="s">
        <v>3955</v>
      </c>
      <c r="D22" s="3547">
        <v>80</v>
      </c>
      <c r="E22" s="3548" t="s">
        <v>3799</v>
      </c>
      <c r="F22" s="3546" t="s">
        <v>3790</v>
      </c>
      <c r="G22" s="3628" t="s">
        <v>3956</v>
      </c>
      <c r="H22" s="3546" t="s">
        <v>3957</v>
      </c>
      <c r="I22" s="3594" t="s">
        <v>3958</v>
      </c>
      <c r="J22" s="3629" t="s">
        <v>3959</v>
      </c>
      <c r="K22" s="3545" t="s">
        <v>3925</v>
      </c>
      <c r="L22" s="3555"/>
      <c r="M22" s="3551">
        <v>75250.14</v>
      </c>
      <c r="N22" s="3551">
        <v>75250.14</v>
      </c>
      <c r="O22" s="3551">
        <f t="shared" si="13"/>
        <v>0</v>
      </c>
      <c r="P22" s="3547">
        <v>14977.86</v>
      </c>
      <c r="Q22" s="3547">
        <v>14977.86</v>
      </c>
      <c r="R22" s="3547">
        <f t="shared" si="89"/>
        <v>0</v>
      </c>
      <c r="S22" s="3547">
        <f t="shared" si="14"/>
        <v>10.308238356164384</v>
      </c>
      <c r="T22" s="3552">
        <v>25083.38</v>
      </c>
      <c r="U22" s="3553">
        <f t="shared" si="15"/>
        <v>301000.56</v>
      </c>
      <c r="V22" s="3547">
        <f>25083.38*2*12-25083.38*2</f>
        <v>551834.36</v>
      </c>
      <c r="W22" s="3547">
        <f t="shared" si="16"/>
        <v>2.0517616438356163</v>
      </c>
      <c r="X22" s="3620">
        <v>4992.62</v>
      </c>
      <c r="Y22" s="3547">
        <f t="shared" si="17"/>
        <v>59911.44</v>
      </c>
      <c r="Z22" s="3554"/>
      <c r="AA22" s="3555"/>
      <c r="AB22" s="3620" t="s">
        <v>3899</v>
      </c>
      <c r="AC22" s="3556">
        <f t="shared" si="18"/>
        <v>276398.2311232877</v>
      </c>
      <c r="AD22" s="3556">
        <f t="shared" si="19"/>
        <v>201148.09112328768</v>
      </c>
      <c r="AE22" s="3556">
        <f t="shared" si="19"/>
        <v>201148.09000000003</v>
      </c>
      <c r="AF22" s="3556">
        <f t="shared" si="20"/>
        <v>-1.1232876568101346E-3</v>
      </c>
      <c r="AG22" s="3556"/>
      <c r="AH22" s="3557">
        <f t="shared" si="21"/>
        <v>59911.44000000001</v>
      </c>
      <c r="AI22" s="3558">
        <f t="shared" si="22"/>
        <v>44933.58</v>
      </c>
      <c r="AJ22" s="3558">
        <f t="shared" si="22"/>
        <v>44933.58</v>
      </c>
      <c r="AK22" s="3557">
        <f t="shared" si="43"/>
        <v>0</v>
      </c>
      <c r="AL22" s="3557"/>
      <c r="AM22" s="3547" t="s">
        <v>3822</v>
      </c>
      <c r="AN22" s="3609">
        <v>25083.38</v>
      </c>
      <c r="AO22" s="3562">
        <v>25083.38</v>
      </c>
      <c r="AP22" s="3561">
        <f t="shared" si="44"/>
        <v>0</v>
      </c>
      <c r="AQ22" s="3559">
        <v>4992.62</v>
      </c>
      <c r="AR22" s="3562">
        <v>4992.62</v>
      </c>
      <c r="AS22" s="3561">
        <f t="shared" si="36"/>
        <v>0</v>
      </c>
      <c r="AT22" s="3563" t="s">
        <v>3823</v>
      </c>
      <c r="AU22" s="3547" t="s">
        <v>3824</v>
      </c>
      <c r="AV22" s="3609">
        <v>25083.38</v>
      </c>
      <c r="AW22" s="3562">
        <v>25083.38</v>
      </c>
      <c r="AX22" s="3561">
        <f t="shared" si="45"/>
        <v>0</v>
      </c>
      <c r="AY22" s="3559">
        <v>4992.62</v>
      </c>
      <c r="AZ22" s="3562">
        <v>4992.62</v>
      </c>
      <c r="BA22" s="3561">
        <f t="shared" si="23"/>
        <v>0</v>
      </c>
      <c r="BB22" s="3563" t="s">
        <v>3960</v>
      </c>
      <c r="BC22" s="3547" t="s">
        <v>3826</v>
      </c>
      <c r="BD22" s="3609">
        <v>25083.38</v>
      </c>
      <c r="BE22" s="3562">
        <v>25083.38</v>
      </c>
      <c r="BF22" s="3561">
        <f t="shared" si="46"/>
        <v>0</v>
      </c>
      <c r="BG22" s="3559">
        <v>4992.62</v>
      </c>
      <c r="BH22" s="3562">
        <v>4992.62</v>
      </c>
      <c r="BI22" s="3561">
        <f t="shared" si="47"/>
        <v>0</v>
      </c>
      <c r="BJ22" s="3563" t="s">
        <v>3961</v>
      </c>
      <c r="BK22" s="3547" t="s">
        <v>3873</v>
      </c>
      <c r="BL22" s="3609">
        <v>25083.38</v>
      </c>
      <c r="BM22" s="3603">
        <v>25083.38</v>
      </c>
      <c r="BN22" s="3602">
        <f t="shared" si="48"/>
        <v>0</v>
      </c>
      <c r="BO22" s="3604">
        <v>4992.62</v>
      </c>
      <c r="BP22" s="3603">
        <v>4992.62</v>
      </c>
      <c r="BQ22" s="3561">
        <f t="shared" si="49"/>
        <v>0</v>
      </c>
      <c r="BR22" s="3563" t="s">
        <v>3962</v>
      </c>
      <c r="BS22" s="3547" t="s">
        <v>3875</v>
      </c>
      <c r="BT22" s="3609">
        <v>25083.38</v>
      </c>
      <c r="BU22" s="3603">
        <v>25083.38</v>
      </c>
      <c r="BV22" s="3602">
        <f t="shared" si="50"/>
        <v>0</v>
      </c>
      <c r="BW22" s="3604">
        <v>4992.62</v>
      </c>
      <c r="BX22" s="3603">
        <v>4992.62</v>
      </c>
      <c r="BY22" s="3561">
        <f t="shared" si="51"/>
        <v>0</v>
      </c>
      <c r="BZ22" s="3563" t="s">
        <v>3963</v>
      </c>
      <c r="CA22" s="3584" t="s">
        <v>3877</v>
      </c>
      <c r="CB22" s="3601">
        <f>25083.38*12/365*9</f>
        <v>7421.9316164383563</v>
      </c>
      <c r="CC22" s="3562">
        <v>7421.93</v>
      </c>
      <c r="CD22" s="3561">
        <f t="shared" si="52"/>
        <v>-1.6164383559953421E-3</v>
      </c>
      <c r="CE22" s="3559">
        <v>4992.62</v>
      </c>
      <c r="CF22" s="3562">
        <v>4992.62</v>
      </c>
      <c r="CG22" s="3561">
        <f t="shared" si="53"/>
        <v>0</v>
      </c>
      <c r="CH22" s="3563" t="s">
        <v>3964</v>
      </c>
      <c r="CI22" s="3597" t="s">
        <v>3948</v>
      </c>
      <c r="CJ22" s="3601">
        <f>25083.38*12/365*22</f>
        <v>18142.499506849315</v>
      </c>
      <c r="CK22" s="3605">
        <f>18142.5+25083.38</f>
        <v>43225.880000000005</v>
      </c>
      <c r="CL22" s="3561">
        <f t="shared" si="5"/>
        <v>25083.380493150689</v>
      </c>
      <c r="CM22" s="3559">
        <v>4992.62</v>
      </c>
      <c r="CN22" s="3603">
        <f>4992.62+4992.62</f>
        <v>9985.24</v>
      </c>
      <c r="CO22" s="3602">
        <f t="shared" si="54"/>
        <v>4992.62</v>
      </c>
      <c r="CP22" s="3589" t="s">
        <v>3965</v>
      </c>
      <c r="CQ22" s="3547" t="s">
        <v>3950</v>
      </c>
      <c r="CR22" s="3621">
        <v>25083.38</v>
      </c>
      <c r="CS22" s="3603"/>
      <c r="CT22" s="3602">
        <f t="shared" si="55"/>
        <v>-25083.38</v>
      </c>
      <c r="CU22" s="3604">
        <v>4992.62</v>
      </c>
      <c r="CV22" s="3603"/>
      <c r="CW22" s="3561">
        <f t="shared" si="56"/>
        <v>-4992.62</v>
      </c>
      <c r="CX22" s="3589" t="s">
        <v>3965</v>
      </c>
      <c r="CY22" s="3597" t="s">
        <v>3966</v>
      </c>
      <c r="CZ22" s="3609">
        <v>25083.38</v>
      </c>
      <c r="DA22" s="3603">
        <v>25083.38</v>
      </c>
      <c r="DB22" s="3561">
        <f t="shared" si="57"/>
        <v>0</v>
      </c>
      <c r="DC22" s="3559">
        <v>4992.62</v>
      </c>
      <c r="DD22" s="3603">
        <v>4992.62</v>
      </c>
      <c r="DE22" s="3561">
        <f t="shared" si="58"/>
        <v>0</v>
      </c>
      <c r="DF22" s="3630" t="s">
        <v>3967</v>
      </c>
      <c r="DG22" s="3547" t="s">
        <v>3968</v>
      </c>
      <c r="DH22" s="3609">
        <v>25083.38</v>
      </c>
      <c r="DI22" s="3562"/>
      <c r="DJ22" s="3561">
        <f t="shared" si="59"/>
        <v>-25083.38</v>
      </c>
      <c r="DK22" s="3559">
        <v>4992.62</v>
      </c>
      <c r="DL22" s="3562"/>
      <c r="DM22" s="3561">
        <f t="shared" si="60"/>
        <v>-4992.62</v>
      </c>
      <c r="DN22" s="3563"/>
      <c r="DO22" s="3547" t="s">
        <v>3969</v>
      </c>
      <c r="DP22" s="3609">
        <v>25083.38</v>
      </c>
      <c r="DQ22" s="3562"/>
      <c r="DR22" s="3561">
        <f t="shared" si="61"/>
        <v>-25083.38</v>
      </c>
      <c r="DS22" s="3559">
        <v>4992.62</v>
      </c>
      <c r="DT22" s="3562"/>
      <c r="DU22" s="3561">
        <f t="shared" si="62"/>
        <v>-4992.62</v>
      </c>
      <c r="DV22" s="3563"/>
      <c r="DW22" s="3547" t="s">
        <v>3970</v>
      </c>
      <c r="DX22" s="3609">
        <v>25083.38</v>
      </c>
      <c r="DY22" s="3562"/>
      <c r="DZ22" s="3561">
        <f t="shared" si="63"/>
        <v>-25083.38</v>
      </c>
      <c r="EA22" s="3559">
        <v>4992.62</v>
      </c>
      <c r="EB22" s="3562"/>
      <c r="EC22" s="3561">
        <f t="shared" si="64"/>
        <v>-4992.62</v>
      </c>
      <c r="ED22" s="3563"/>
      <c r="EE22" s="3564"/>
      <c r="EF22" s="3565">
        <f t="shared" si="37"/>
        <v>106487.23809523808</v>
      </c>
      <c r="EG22" s="3565">
        <f t="shared" si="24"/>
        <v>77495.809523809497</v>
      </c>
      <c r="EH22" s="3565">
        <f t="shared" si="24"/>
        <v>191569.6105936073</v>
      </c>
      <c r="EI22" s="3565">
        <f t="shared" si="24"/>
        <v>191569.60952380951</v>
      </c>
      <c r="EJ22" s="3565">
        <f t="shared" si="38"/>
        <v>114073.80000000002</v>
      </c>
      <c r="EK22" s="3565">
        <f t="shared" si="39"/>
        <v>-1.0697977850213647E-3</v>
      </c>
      <c r="EL22" s="3610"/>
      <c r="EM22" s="3557">
        <f t="shared" si="40"/>
        <v>22864.150943396282</v>
      </c>
      <c r="EN22" s="3557">
        <f t="shared" si="25"/>
        <v>17148.113207547209</v>
      </c>
      <c r="EO22" s="3557">
        <f t="shared" si="25"/>
        <v>42390.169811320739</v>
      </c>
      <c r="EP22" s="3557">
        <f t="shared" si="25"/>
        <v>42390.169811320739</v>
      </c>
      <c r="EQ22" s="3557">
        <f t="shared" si="41"/>
        <v>25242.05660377353</v>
      </c>
      <c r="ER22" s="3557">
        <f t="shared" si="42"/>
        <v>0</v>
      </c>
      <c r="ES22" s="3557"/>
      <c r="ET22" s="3612">
        <v>9663.8095238095193</v>
      </c>
      <c r="EU22" s="3559">
        <f>25083.38/1.05</f>
        <v>23888.933333333334</v>
      </c>
      <c r="EV22" s="3562">
        <f>25083.38/1.05</f>
        <v>23888.933333333334</v>
      </c>
      <c r="EW22" s="3547">
        <f t="shared" si="26"/>
        <v>14225.123809523815</v>
      </c>
      <c r="EX22" s="3568">
        <v>1905.3459119496899</v>
      </c>
      <c r="EY22" s="3569">
        <f>4992.62/1.06</f>
        <v>4710.0188679245275</v>
      </c>
      <c r="EZ22" s="3562">
        <f>4992.62/1.06</f>
        <v>4710.0188679245275</v>
      </c>
      <c r="FA22" s="3547">
        <f t="shared" si="27"/>
        <v>2804.6729559748374</v>
      </c>
      <c r="FB22" s="3612">
        <v>9663.8095238095193</v>
      </c>
      <c r="FC22" s="3559">
        <f>25083.38/1.05</f>
        <v>23888.933333333334</v>
      </c>
      <c r="FD22" s="3562">
        <f>25083.38/1.05</f>
        <v>23888.933333333334</v>
      </c>
      <c r="FE22" s="3547">
        <f t="shared" si="65"/>
        <v>14225.123809523815</v>
      </c>
      <c r="FF22" s="3568">
        <v>1905.3459119496899</v>
      </c>
      <c r="FG22" s="3569">
        <f>4992.62/1.06</f>
        <v>4710.0188679245275</v>
      </c>
      <c r="FH22" s="3562">
        <f>4992.62/1.06</f>
        <v>4710.0188679245275</v>
      </c>
      <c r="FI22" s="3547">
        <f t="shared" si="66"/>
        <v>2804.6729559748374</v>
      </c>
      <c r="FJ22" s="3612">
        <v>9663.8095238095193</v>
      </c>
      <c r="FK22" s="3559">
        <f>25083.38/1.05</f>
        <v>23888.933333333334</v>
      </c>
      <c r="FL22" s="3562">
        <f>25083.38/1.05</f>
        <v>23888.933333333334</v>
      </c>
      <c r="FM22" s="3547">
        <f t="shared" si="67"/>
        <v>14225.123809523815</v>
      </c>
      <c r="FN22" s="3568">
        <v>1905.3459119496899</v>
      </c>
      <c r="FO22" s="3559">
        <f>4992.62/1.06</f>
        <v>4710.0188679245275</v>
      </c>
      <c r="FP22" s="3562">
        <f>4992.62/1.06</f>
        <v>4710.0188679245275</v>
      </c>
      <c r="FQ22" s="3547">
        <f t="shared" si="68"/>
        <v>2804.6729559748374</v>
      </c>
      <c r="FR22" s="3612">
        <v>9663.8095238095193</v>
      </c>
      <c r="FS22" s="3569">
        <f>25083.38/1.05</f>
        <v>23888.933333333334</v>
      </c>
      <c r="FT22" s="3560">
        <f>25083.38/1.05</f>
        <v>23888.933333333334</v>
      </c>
      <c r="FU22" s="3547">
        <f t="shared" si="69"/>
        <v>14225.123809523815</v>
      </c>
      <c r="FV22" s="3568">
        <v>1905.3459119496899</v>
      </c>
      <c r="FW22" s="3559">
        <f>4992.62/1.06</f>
        <v>4710.0188679245275</v>
      </c>
      <c r="FX22" s="3560">
        <f>4992.62/1.06</f>
        <v>4710.0188679245275</v>
      </c>
      <c r="FY22" s="3547">
        <f t="shared" si="70"/>
        <v>2804.6729559748374</v>
      </c>
      <c r="FZ22" s="3612">
        <v>9663.8095238095193</v>
      </c>
      <c r="GA22" s="3559">
        <f>25083.38/1.05</f>
        <v>23888.933333333334</v>
      </c>
      <c r="GB22" s="3560">
        <f>25083.38/1.05</f>
        <v>23888.933333333334</v>
      </c>
      <c r="GC22" s="3547">
        <f t="shared" si="71"/>
        <v>14225.123809523815</v>
      </c>
      <c r="GD22" s="3568">
        <v>1905.3459119496899</v>
      </c>
      <c r="GE22" s="3569">
        <f>4992.62/1.06</f>
        <v>4710.0188679245275</v>
      </c>
      <c r="GF22" s="3560">
        <f>4992.62/1.06</f>
        <v>4710.0188679245275</v>
      </c>
      <c r="GG22" s="3547">
        <f t="shared" si="72"/>
        <v>2804.6729559748374</v>
      </c>
      <c r="GH22" s="3612">
        <v>9663.8095238095193</v>
      </c>
      <c r="GI22" s="3569">
        <f>25083.38/1.05</f>
        <v>23888.933333333334</v>
      </c>
      <c r="GJ22" s="3562">
        <f>25083.38/1.05</f>
        <v>23888.933333333334</v>
      </c>
      <c r="GK22" s="3547">
        <f t="shared" si="73"/>
        <v>14225.123809523815</v>
      </c>
      <c r="GL22" s="3568">
        <v>1905.3459119496899</v>
      </c>
      <c r="GM22" s="3569">
        <f>4992.62/1.06</f>
        <v>4710.0188679245275</v>
      </c>
      <c r="GN22" s="3562">
        <f>4992.62/1.06</f>
        <v>4710.0188679245275</v>
      </c>
      <c r="GO22" s="3547">
        <f t="shared" si="74"/>
        <v>2804.6729559748374</v>
      </c>
      <c r="GP22" s="3612">
        <v>2859.4285714285702</v>
      </c>
      <c r="GQ22" s="3631">
        <f>25083.38/1.05*12/365*9</f>
        <v>7068.5063013698636</v>
      </c>
      <c r="GR22" s="3605">
        <f>7421.93/1.05</f>
        <v>7068.5047619047618</v>
      </c>
      <c r="GS22" s="3547">
        <f t="shared" si="75"/>
        <v>4209.0761904761912</v>
      </c>
      <c r="GT22" s="3568">
        <v>1905.3459119496899</v>
      </c>
      <c r="GU22" s="3569">
        <f>4992.62/1.06</f>
        <v>4710.0188679245275</v>
      </c>
      <c r="GV22" s="3560">
        <f>4992.62/1.06</f>
        <v>4710.0188679245275</v>
      </c>
      <c r="GW22" s="3547">
        <f t="shared" si="76"/>
        <v>2804.6729559748374</v>
      </c>
      <c r="GX22" s="3612">
        <v>6989.7142857142899</v>
      </c>
      <c r="GY22" s="3631">
        <f>25083.38/1.05*12/365*22</f>
        <v>17278.570958904111</v>
      </c>
      <c r="GZ22" s="3605">
        <f>18142.5/1.05</f>
        <v>17278.571428571428</v>
      </c>
      <c r="HA22" s="3547">
        <f t="shared" si="77"/>
        <v>10288.857142857138</v>
      </c>
      <c r="HB22" s="3568">
        <v>1905.3459119496899</v>
      </c>
      <c r="HC22" s="3569">
        <f>4992.62/1.06</f>
        <v>4710.0188679245275</v>
      </c>
      <c r="HD22" s="3562">
        <f>4992.62/1.06</f>
        <v>4710.0188679245275</v>
      </c>
      <c r="HE22" s="3547">
        <f t="shared" si="78"/>
        <v>2804.6729559748374</v>
      </c>
      <c r="HF22" s="3612">
        <v>9663.8095238095193</v>
      </c>
      <c r="HG22" s="3559">
        <f>25083.38/1.05</f>
        <v>23888.933333333334</v>
      </c>
      <c r="HH22" s="3624">
        <f>25083.38/1.05</f>
        <v>23888.933333333334</v>
      </c>
      <c r="HI22" s="3547">
        <f t="shared" si="79"/>
        <v>14225.123809523815</v>
      </c>
      <c r="HJ22" s="3568">
        <v>1905.3459119496899</v>
      </c>
      <c r="HK22" s="3569">
        <f>4992.62/1.06</f>
        <v>4710.0188679245275</v>
      </c>
      <c r="HL22" s="3562">
        <f>4992.62/1.06</f>
        <v>4710.0188679245275</v>
      </c>
      <c r="HM22" s="3547">
        <f t="shared" si="80"/>
        <v>2804.6729559748374</v>
      </c>
      <c r="HN22" s="3612">
        <v>9663.8095238095193</v>
      </c>
      <c r="HO22" s="3559">
        <f>25083.38/1.05</f>
        <v>23888.933333333334</v>
      </c>
      <c r="HP22" s="3624">
        <f>25083.38/1.05</f>
        <v>23888.933333333334</v>
      </c>
      <c r="HQ22" s="3547">
        <f t="shared" si="81"/>
        <v>14225.123809523815</v>
      </c>
      <c r="HR22" s="3568">
        <v>1905.3459119496899</v>
      </c>
      <c r="HS22" s="3569">
        <f>4992.62/1.06</f>
        <v>4710.0188679245275</v>
      </c>
      <c r="HT22" s="3562">
        <f>4992.62/1.06</f>
        <v>4710.0188679245275</v>
      </c>
      <c r="HU22" s="3547">
        <f t="shared" si="82"/>
        <v>2804.6729559748374</v>
      </c>
      <c r="HV22" s="3612">
        <v>9663.8095238095193</v>
      </c>
      <c r="HW22" s="3559">
        <f>25083.38/1.05</f>
        <v>23888.933333333334</v>
      </c>
      <c r="HX22" s="3562"/>
      <c r="HY22" s="3547">
        <f t="shared" si="83"/>
        <v>-9663.8095238095193</v>
      </c>
      <c r="HZ22" s="3568">
        <v>1905.3459119496899</v>
      </c>
      <c r="IA22" s="3569">
        <f>4992.62/1.06</f>
        <v>4710.0188679245275</v>
      </c>
      <c r="IB22" s="3562"/>
      <c r="IC22" s="3547">
        <f t="shared" si="84"/>
        <v>-1905.3459119496899</v>
      </c>
      <c r="ID22" s="3612">
        <v>9663.8095238095193</v>
      </c>
      <c r="IE22" s="3559">
        <f>25083.38/1.05</f>
        <v>23888.933333333334</v>
      </c>
      <c r="IF22" s="3562"/>
      <c r="IG22" s="3547">
        <f t="shared" si="85"/>
        <v>-9663.8095238095193</v>
      </c>
      <c r="IH22" s="3568">
        <v>1905.3459119496899</v>
      </c>
      <c r="II22" s="3569">
        <f>4992.62/1.06</f>
        <v>4710.0188679245275</v>
      </c>
      <c r="IJ22" s="3562"/>
      <c r="IK22" s="3547">
        <f t="shared" si="86"/>
        <v>-1905.3459119496899</v>
      </c>
      <c r="IL22" s="3547" t="s">
        <v>3970</v>
      </c>
      <c r="IM22" s="3559">
        <f>25083.38/1.05</f>
        <v>23888.933333333334</v>
      </c>
      <c r="IN22" s="3569">
        <f>4992.62/1.06</f>
        <v>4710.0188679245275</v>
      </c>
      <c r="IO22" s="3547"/>
      <c r="IP22" s="3560">
        <f t="shared" si="87"/>
        <v>0</v>
      </c>
      <c r="IQ22" s="3569"/>
      <c r="IR22" s="3568"/>
      <c r="IS22" s="3568"/>
      <c r="IT22" s="3568"/>
      <c r="IU22" s="3568"/>
      <c r="IV22" s="3568"/>
      <c r="IW22" s="3568"/>
      <c r="IX22" s="3568"/>
      <c r="IY22" s="3568"/>
      <c r="IZ22" s="3560"/>
      <c r="JA22" s="3560"/>
      <c r="JB22" s="3560"/>
      <c r="JC22" s="3560">
        <f t="shared" si="11"/>
        <v>0</v>
      </c>
      <c r="JD22" s="3547"/>
      <c r="JE22" s="3569"/>
      <c r="JF22" s="3568"/>
      <c r="JG22" s="3568"/>
      <c r="JH22" s="3568"/>
      <c r="JI22" s="3568"/>
      <c r="JJ22" s="3568"/>
      <c r="JK22" s="3568"/>
      <c r="JL22" s="3568"/>
      <c r="JM22" s="3568"/>
      <c r="JN22" s="3560"/>
      <c r="JO22" s="3560"/>
      <c r="JP22" s="3547" t="s">
        <v>3837</v>
      </c>
      <c r="JQ22" s="3583">
        <f>25083.38/1.05</f>
        <v>23888.933333333334</v>
      </c>
      <c r="JR22" s="3583">
        <f>4992.62/1.06</f>
        <v>4710.0188679245275</v>
      </c>
      <c r="JS22" s="3573">
        <f t="shared" si="28"/>
        <v>0</v>
      </c>
      <c r="JT22" s="3573">
        <f t="shared" si="35"/>
        <v>2.7284841053187847E-11</v>
      </c>
      <c r="JU22" s="3574">
        <f t="shared" si="29"/>
        <v>0</v>
      </c>
      <c r="JV22" s="3574">
        <f t="shared" si="30"/>
        <v>1.2732925824820995E-11</v>
      </c>
      <c r="JW22" s="3575"/>
      <c r="JX22" s="3576">
        <f t="shared" si="31"/>
        <v>23888.933333333334</v>
      </c>
      <c r="JY22" s="3576">
        <f t="shared" si="32"/>
        <v>4710.0188679245275</v>
      </c>
      <c r="JZ22" s="3577"/>
      <c r="KA22" s="3573">
        <f t="shared" si="12"/>
        <v>17029.796765498653</v>
      </c>
      <c r="KB22" s="3573"/>
      <c r="KC22" s="3573"/>
      <c r="KD22" s="3573">
        <f t="shared" si="33"/>
        <v>17029.796765498653</v>
      </c>
      <c r="KE22" s="3578" t="s">
        <v>3971</v>
      </c>
      <c r="KF22" s="3579"/>
      <c r="KG22" s="3579"/>
      <c r="KH22" s="3579"/>
      <c r="KI22" s="3579"/>
      <c r="KJ22" s="3579"/>
      <c r="KK22" s="3579"/>
      <c r="KL22" s="3579"/>
      <c r="KM22" s="3579"/>
      <c r="KN22" s="3579"/>
      <c r="KO22" s="3579"/>
      <c r="KP22" s="3579"/>
      <c r="KQ22" s="3579">
        <f t="shared" si="34"/>
        <v>0</v>
      </c>
      <c r="KR22" s="3632">
        <f t="shared" si="88"/>
        <v>13.931585660377355</v>
      </c>
      <c r="KS22" s="3577"/>
      <c r="KT22" s="3577"/>
      <c r="KU22" s="3577"/>
      <c r="KV22" s="3577"/>
      <c r="KW22" s="3577"/>
      <c r="KX22" s="3577"/>
      <c r="KY22" s="3577"/>
      <c r="KZ22" s="3577"/>
      <c r="LA22" s="3577"/>
      <c r="LB22" s="3577"/>
      <c r="LC22" s="3577"/>
      <c r="LD22" s="3577"/>
      <c r="LE22" s="3577"/>
      <c r="LF22" s="3577"/>
      <c r="LG22" s="3577"/>
      <c r="LH22" s="3577"/>
      <c r="LI22" s="3577"/>
      <c r="LJ22" s="3575"/>
      <c r="LK22" s="3626">
        <v>11</v>
      </c>
      <c r="LL22" s="3627">
        <v>13359</v>
      </c>
      <c r="LM22" s="3580" t="s">
        <v>3972</v>
      </c>
    </row>
    <row r="23" spans="1:325" s="3580" customFormat="1" ht="18" customHeight="1">
      <c r="A23" s="3545">
        <v>20</v>
      </c>
      <c r="B23" s="3546" t="s">
        <v>3937</v>
      </c>
      <c r="C23" s="3546" t="s">
        <v>3973</v>
      </c>
      <c r="D23" s="3547">
        <v>117.76</v>
      </c>
      <c r="E23" s="3548" t="s">
        <v>3799</v>
      </c>
      <c r="F23" s="3546" t="s">
        <v>3790</v>
      </c>
      <c r="G23" s="3628" t="s">
        <v>3956</v>
      </c>
      <c r="H23" s="3546" t="s">
        <v>3957</v>
      </c>
      <c r="I23" s="3594" t="s">
        <v>3958</v>
      </c>
      <c r="J23" s="3594" t="s">
        <v>3959</v>
      </c>
      <c r="K23" s="3545" t="s">
        <v>3925</v>
      </c>
      <c r="L23" s="3555"/>
      <c r="M23" s="3551">
        <f>58993.35-58993.35</f>
        <v>0</v>
      </c>
      <c r="N23" s="3551">
        <f>58993.35-58993.35</f>
        <v>0</v>
      </c>
      <c r="O23" s="3551">
        <f t="shared" si="13"/>
        <v>0</v>
      </c>
      <c r="P23" s="3547">
        <f>8918.85-8918.85</f>
        <v>0</v>
      </c>
      <c r="Q23" s="3547">
        <f>8918.85-8918.85</f>
        <v>0</v>
      </c>
      <c r="R23" s="3547">
        <f t="shared" si="89"/>
        <v>0</v>
      </c>
      <c r="S23" s="3547">
        <f t="shared" si="14"/>
        <v>0</v>
      </c>
      <c r="T23" s="3552"/>
      <c r="U23" s="3553">
        <f t="shared" si="15"/>
        <v>0</v>
      </c>
      <c r="V23" s="3547"/>
      <c r="W23" s="3547">
        <f t="shared" si="16"/>
        <v>0</v>
      </c>
      <c r="X23" s="3620"/>
      <c r="Y23" s="3547">
        <f t="shared" si="17"/>
        <v>0</v>
      </c>
      <c r="Z23" s="3554"/>
      <c r="AA23" s="3555"/>
      <c r="AB23" s="3620"/>
      <c r="AC23" s="3556">
        <f t="shared" si="18"/>
        <v>0</v>
      </c>
      <c r="AD23" s="3556">
        <f t="shared" si="19"/>
        <v>0</v>
      </c>
      <c r="AE23" s="3556">
        <f t="shared" si="19"/>
        <v>0</v>
      </c>
      <c r="AF23" s="3556">
        <f t="shared" si="20"/>
        <v>0</v>
      </c>
      <c r="AG23" s="3556"/>
      <c r="AH23" s="3557">
        <f t="shared" si="21"/>
        <v>0</v>
      </c>
      <c r="AI23" s="3558">
        <f t="shared" si="22"/>
        <v>0</v>
      </c>
      <c r="AJ23" s="3558">
        <f t="shared" si="22"/>
        <v>0</v>
      </c>
      <c r="AK23" s="3557">
        <f t="shared" si="43"/>
        <v>0</v>
      </c>
      <c r="AL23" s="3557"/>
      <c r="AM23" s="3547"/>
      <c r="AN23" s="3609"/>
      <c r="AO23" s="3562"/>
      <c r="AP23" s="3561">
        <f t="shared" si="44"/>
        <v>0</v>
      </c>
      <c r="AQ23" s="3559"/>
      <c r="AR23" s="3562"/>
      <c r="AS23" s="3561">
        <f t="shared" si="36"/>
        <v>0</v>
      </c>
      <c r="AT23" s="3633"/>
      <c r="AU23" s="3547"/>
      <c r="AV23" s="3609"/>
      <c r="AW23" s="3562"/>
      <c r="AX23" s="3561">
        <f t="shared" si="45"/>
        <v>0</v>
      </c>
      <c r="AY23" s="3559"/>
      <c r="AZ23" s="3562"/>
      <c r="BA23" s="3561">
        <f t="shared" si="23"/>
        <v>0</v>
      </c>
      <c r="BB23" s="3633"/>
      <c r="BC23" s="3547"/>
      <c r="BD23" s="3609"/>
      <c r="BE23" s="3562"/>
      <c r="BF23" s="3561">
        <f t="shared" si="46"/>
        <v>0</v>
      </c>
      <c r="BG23" s="3559"/>
      <c r="BH23" s="3562"/>
      <c r="BI23" s="3561">
        <f t="shared" si="47"/>
        <v>0</v>
      </c>
      <c r="BJ23" s="3633"/>
      <c r="BK23" s="3547"/>
      <c r="BL23" s="3609"/>
      <c r="BM23" s="3562"/>
      <c r="BN23" s="3561">
        <f t="shared" si="48"/>
        <v>0</v>
      </c>
      <c r="BO23" s="3559"/>
      <c r="BP23" s="3562"/>
      <c r="BQ23" s="3561">
        <f t="shared" si="49"/>
        <v>0</v>
      </c>
      <c r="BR23" s="3633"/>
      <c r="BS23" s="3547"/>
      <c r="BT23" s="3609"/>
      <c r="BU23" s="3562"/>
      <c r="BV23" s="3561">
        <f t="shared" si="50"/>
        <v>0</v>
      </c>
      <c r="BW23" s="3559"/>
      <c r="BX23" s="3562"/>
      <c r="BY23" s="3561">
        <f t="shared" si="51"/>
        <v>0</v>
      </c>
      <c r="BZ23" s="3633"/>
      <c r="CA23" s="3547"/>
      <c r="CB23" s="3609"/>
      <c r="CC23" s="3562"/>
      <c r="CD23" s="3561">
        <f t="shared" si="52"/>
        <v>0</v>
      </c>
      <c r="CE23" s="3559"/>
      <c r="CF23" s="3562"/>
      <c r="CG23" s="3561">
        <f t="shared" si="53"/>
        <v>0</v>
      </c>
      <c r="CH23" s="3633"/>
      <c r="CI23" s="3547"/>
      <c r="CJ23" s="3609"/>
      <c r="CK23" s="3562"/>
      <c r="CL23" s="3561">
        <f t="shared" si="5"/>
        <v>0</v>
      </c>
      <c r="CM23" s="3559"/>
      <c r="CN23" s="3562"/>
      <c r="CO23" s="3561">
        <f t="shared" si="54"/>
        <v>0</v>
      </c>
      <c r="CP23" s="3633"/>
      <c r="CQ23" s="3547"/>
      <c r="CR23" s="3621"/>
      <c r="CS23" s="3603"/>
      <c r="CT23" s="3602">
        <f t="shared" si="55"/>
        <v>0</v>
      </c>
      <c r="CU23" s="3604"/>
      <c r="CV23" s="3603"/>
      <c r="CW23" s="3561">
        <f t="shared" si="56"/>
        <v>0</v>
      </c>
      <c r="CX23" s="3633"/>
      <c r="CY23" s="3597"/>
      <c r="CZ23" s="3609"/>
      <c r="DA23" s="3562"/>
      <c r="DB23" s="3561">
        <f t="shared" si="57"/>
        <v>0</v>
      </c>
      <c r="DC23" s="3559"/>
      <c r="DD23" s="3562"/>
      <c r="DE23" s="3561">
        <f t="shared" si="58"/>
        <v>0</v>
      </c>
      <c r="DF23" s="3633"/>
      <c r="DG23" s="3547"/>
      <c r="DH23" s="3609"/>
      <c r="DI23" s="3562"/>
      <c r="DJ23" s="3561">
        <f t="shared" si="59"/>
        <v>0</v>
      </c>
      <c r="DK23" s="3559"/>
      <c r="DL23" s="3562"/>
      <c r="DM23" s="3561">
        <f t="shared" si="60"/>
        <v>0</v>
      </c>
      <c r="DN23" s="3563"/>
      <c r="DO23" s="3547"/>
      <c r="DP23" s="3609"/>
      <c r="DQ23" s="3562"/>
      <c r="DR23" s="3561">
        <f t="shared" si="61"/>
        <v>0</v>
      </c>
      <c r="DS23" s="3559"/>
      <c r="DT23" s="3562"/>
      <c r="DU23" s="3561">
        <f t="shared" si="62"/>
        <v>0</v>
      </c>
      <c r="DV23" s="3563"/>
      <c r="DW23" s="3547"/>
      <c r="DX23" s="3609"/>
      <c r="DY23" s="3562"/>
      <c r="DZ23" s="3561">
        <f t="shared" si="63"/>
        <v>0</v>
      </c>
      <c r="EA23" s="3559"/>
      <c r="EB23" s="3562"/>
      <c r="EC23" s="3561">
        <f t="shared" si="64"/>
        <v>0</v>
      </c>
      <c r="ED23" s="3563"/>
      <c r="EE23" s="3564"/>
      <c r="EF23" s="3565">
        <f t="shared" si="37"/>
        <v>156749.21447619027</v>
      </c>
      <c r="EG23" s="3565">
        <f t="shared" si="24"/>
        <v>114073.83161904747</v>
      </c>
      <c r="EH23" s="3565">
        <f t="shared" si="24"/>
        <v>0</v>
      </c>
      <c r="EI23" s="3565">
        <f t="shared" si="24"/>
        <v>0</v>
      </c>
      <c r="EJ23" s="3565">
        <f t="shared" si="38"/>
        <v>-114073.83161904747</v>
      </c>
      <c r="EK23" s="3566">
        <f t="shared" si="39"/>
        <v>0</v>
      </c>
      <c r="EL23" s="3610"/>
      <c r="EM23" s="3567">
        <f t="shared" si="40"/>
        <v>33656.030188679273</v>
      </c>
      <c r="EN23" s="3557">
        <f t="shared" si="25"/>
        <v>25242.022641509458</v>
      </c>
      <c r="EO23" s="3557">
        <f t="shared" si="25"/>
        <v>0</v>
      </c>
      <c r="EP23" s="3557">
        <f t="shared" si="25"/>
        <v>0</v>
      </c>
      <c r="EQ23" s="3557">
        <f t="shared" si="41"/>
        <v>-25242.022641509458</v>
      </c>
      <c r="ER23" s="3557">
        <f t="shared" si="42"/>
        <v>0</v>
      </c>
      <c r="ES23" s="3557"/>
      <c r="ET23" s="3612">
        <v>14225.1276190476</v>
      </c>
      <c r="EU23" s="3559"/>
      <c r="EV23" s="3562"/>
      <c r="EW23" s="3547">
        <f t="shared" si="26"/>
        <v>-14225.1276190476</v>
      </c>
      <c r="EX23" s="3568">
        <v>2804.66918238994</v>
      </c>
      <c r="EY23" s="3569"/>
      <c r="EZ23" s="3562"/>
      <c r="FA23" s="3547">
        <f t="shared" si="27"/>
        <v>-2804.66918238994</v>
      </c>
      <c r="FB23" s="3612">
        <v>14225.1276190476</v>
      </c>
      <c r="FC23" s="3559"/>
      <c r="FD23" s="3562"/>
      <c r="FE23" s="3547">
        <f t="shared" si="65"/>
        <v>-14225.1276190476</v>
      </c>
      <c r="FF23" s="3568">
        <v>2804.66918238994</v>
      </c>
      <c r="FG23" s="3569"/>
      <c r="FH23" s="3562"/>
      <c r="FI23" s="3547">
        <f t="shared" si="66"/>
        <v>-2804.66918238994</v>
      </c>
      <c r="FJ23" s="3612">
        <v>14225.1276190476</v>
      </c>
      <c r="FK23" s="3559"/>
      <c r="FL23" s="3562"/>
      <c r="FM23" s="3547">
        <f t="shared" si="67"/>
        <v>-14225.1276190476</v>
      </c>
      <c r="FN23" s="3568">
        <v>2804.66918238994</v>
      </c>
      <c r="FO23" s="3559"/>
      <c r="FP23" s="3562"/>
      <c r="FQ23" s="3547">
        <f t="shared" si="68"/>
        <v>-2804.66918238994</v>
      </c>
      <c r="FR23" s="3612">
        <v>14225.1276190476</v>
      </c>
      <c r="FS23" s="3559"/>
      <c r="FT23" s="3560"/>
      <c r="FU23" s="3547">
        <f t="shared" si="69"/>
        <v>-14225.1276190476</v>
      </c>
      <c r="FV23" s="3568">
        <v>2804.66918238994</v>
      </c>
      <c r="FW23" s="3559"/>
      <c r="FX23" s="3560"/>
      <c r="FY23" s="3547">
        <f t="shared" si="70"/>
        <v>-2804.66918238994</v>
      </c>
      <c r="FZ23" s="3612">
        <v>14225.1276190476</v>
      </c>
      <c r="GA23" s="3559"/>
      <c r="GB23" s="3560"/>
      <c r="GC23" s="3547">
        <f t="shared" si="71"/>
        <v>-14225.1276190476</v>
      </c>
      <c r="GD23" s="3568">
        <v>2804.66918238994</v>
      </c>
      <c r="GE23" s="3569"/>
      <c r="GF23" s="3560"/>
      <c r="GG23" s="3547">
        <f t="shared" si="72"/>
        <v>-2804.66918238994</v>
      </c>
      <c r="GH23" s="3612">
        <v>14225.1276190476</v>
      </c>
      <c r="GI23" s="3559"/>
      <c r="GJ23" s="3562"/>
      <c r="GK23" s="3547">
        <f t="shared" si="73"/>
        <v>-14225.1276190476</v>
      </c>
      <c r="GL23" s="3568">
        <v>2804.66918238994</v>
      </c>
      <c r="GM23" s="3569"/>
      <c r="GN23" s="3560"/>
      <c r="GO23" s="3547">
        <f t="shared" si="74"/>
        <v>-2804.66918238994</v>
      </c>
      <c r="GP23" s="3612">
        <v>4209.0788571428602</v>
      </c>
      <c r="GQ23" s="3559"/>
      <c r="GR23" s="3562"/>
      <c r="GS23" s="3547">
        <f t="shared" si="75"/>
        <v>-4209.0788571428602</v>
      </c>
      <c r="GT23" s="3568">
        <v>2804.66918238994</v>
      </c>
      <c r="GU23" s="3569"/>
      <c r="GV23" s="3560"/>
      <c r="GW23" s="3547">
        <f t="shared" si="76"/>
        <v>-2804.66918238994</v>
      </c>
      <c r="GX23" s="3612">
        <v>10288.859428571401</v>
      </c>
      <c r="GY23" s="3559"/>
      <c r="GZ23" s="3562"/>
      <c r="HA23" s="3547">
        <f t="shared" si="77"/>
        <v>-10288.859428571401</v>
      </c>
      <c r="HB23" s="3568">
        <v>2804.66918238994</v>
      </c>
      <c r="HC23" s="3569"/>
      <c r="HD23" s="3562"/>
      <c r="HE23" s="3547">
        <f t="shared" si="78"/>
        <v>-2804.66918238994</v>
      </c>
      <c r="HF23" s="3612">
        <v>14225.1276190476</v>
      </c>
      <c r="HG23" s="3559"/>
      <c r="HH23" s="3562"/>
      <c r="HI23" s="3547">
        <f t="shared" si="79"/>
        <v>-14225.1276190476</v>
      </c>
      <c r="HJ23" s="3568">
        <v>2804.66918238994</v>
      </c>
      <c r="HK23" s="3569"/>
      <c r="HL23" s="3562"/>
      <c r="HM23" s="3547">
        <f t="shared" si="80"/>
        <v>-2804.66918238994</v>
      </c>
      <c r="HN23" s="3612">
        <v>14225.1276190476</v>
      </c>
      <c r="HO23" s="3559"/>
      <c r="HP23" s="3562"/>
      <c r="HQ23" s="3547">
        <f t="shared" si="81"/>
        <v>-14225.1276190476</v>
      </c>
      <c r="HR23" s="3568">
        <v>2804.66918238994</v>
      </c>
      <c r="HS23" s="3569"/>
      <c r="HT23" s="3562"/>
      <c r="HU23" s="3547">
        <f t="shared" si="82"/>
        <v>-2804.66918238994</v>
      </c>
      <c r="HV23" s="3612">
        <v>14225.1276190476</v>
      </c>
      <c r="HW23" s="3559"/>
      <c r="HX23" s="3562"/>
      <c r="HY23" s="3547">
        <f t="shared" si="83"/>
        <v>-14225.1276190476</v>
      </c>
      <c r="HZ23" s="3568">
        <v>2804.66918238994</v>
      </c>
      <c r="IA23" s="3569"/>
      <c r="IB23" s="3562"/>
      <c r="IC23" s="3547">
        <f t="shared" si="84"/>
        <v>-2804.66918238994</v>
      </c>
      <c r="ID23" s="3612">
        <v>14225.1276190476</v>
      </c>
      <c r="IE23" s="3559"/>
      <c r="IF23" s="3562"/>
      <c r="IG23" s="3547">
        <f t="shared" si="85"/>
        <v>-14225.1276190476</v>
      </c>
      <c r="IH23" s="3568">
        <v>2804.66918238994</v>
      </c>
      <c r="II23" s="3569"/>
      <c r="IJ23" s="3562"/>
      <c r="IK23" s="3547">
        <f t="shared" si="86"/>
        <v>-2804.66918238994</v>
      </c>
      <c r="IL23" s="3570"/>
      <c r="IM23" s="3559"/>
      <c r="IN23" s="3569"/>
      <c r="IO23" s="3570"/>
      <c r="IP23" s="3560">
        <f t="shared" si="87"/>
        <v>0</v>
      </c>
      <c r="IQ23" s="3568"/>
      <c r="IR23" s="3568"/>
      <c r="IS23" s="3568"/>
      <c r="IT23" s="3568"/>
      <c r="IU23" s="3568"/>
      <c r="IV23" s="3568"/>
      <c r="IW23" s="3568"/>
      <c r="IX23" s="3568"/>
      <c r="IY23" s="3568"/>
      <c r="IZ23" s="3560"/>
      <c r="JA23" s="3560"/>
      <c r="JB23" s="3560"/>
      <c r="JC23" s="3560">
        <f t="shared" si="11"/>
        <v>0</v>
      </c>
      <c r="JD23" s="3570"/>
      <c r="JE23" s="3568"/>
      <c r="JF23" s="3568"/>
      <c r="JG23" s="3568"/>
      <c r="JH23" s="3568"/>
      <c r="JI23" s="3568"/>
      <c r="JJ23" s="3568"/>
      <c r="JK23" s="3568"/>
      <c r="JL23" s="3568"/>
      <c r="JM23" s="3568"/>
      <c r="JN23" s="3560"/>
      <c r="JO23" s="3560"/>
      <c r="JP23" s="3570"/>
      <c r="JQ23" s="3583"/>
      <c r="JR23" s="3583"/>
      <c r="JS23" s="3573">
        <f t="shared" si="28"/>
        <v>0</v>
      </c>
      <c r="JT23" s="3573">
        <f t="shared" si="35"/>
        <v>0</v>
      </c>
      <c r="JU23" s="3574">
        <f t="shared" si="29"/>
        <v>0</v>
      </c>
      <c r="JV23" s="3574">
        <f t="shared" si="30"/>
        <v>0</v>
      </c>
      <c r="JW23" s="3575"/>
      <c r="JX23" s="3576">
        <f t="shared" si="31"/>
        <v>0</v>
      </c>
      <c r="JY23" s="3576">
        <f t="shared" si="32"/>
        <v>0</v>
      </c>
      <c r="JZ23" s="3577"/>
      <c r="KA23" s="3573">
        <f t="shared" si="12"/>
        <v>-17029.79680143754</v>
      </c>
      <c r="KB23" s="3573"/>
      <c r="KC23" s="3573"/>
      <c r="KD23" s="3573">
        <f t="shared" si="33"/>
        <v>-17029.79680143754</v>
      </c>
      <c r="KE23" s="3578" t="s">
        <v>3971</v>
      </c>
      <c r="KF23" s="3579"/>
      <c r="KG23" s="3579"/>
      <c r="KH23" s="3579"/>
      <c r="KI23" s="3579"/>
      <c r="KJ23" s="3579"/>
      <c r="KK23" s="3579"/>
      <c r="KL23" s="3579"/>
      <c r="KM23" s="3579"/>
      <c r="KN23" s="3579"/>
      <c r="KO23" s="3579"/>
      <c r="KP23" s="3579"/>
      <c r="KQ23" s="3579">
        <f t="shared" si="34"/>
        <v>0</v>
      </c>
      <c r="KR23" s="3632">
        <f t="shared" si="88"/>
        <v>-13.931585426055692</v>
      </c>
      <c r="KS23" s="3577"/>
      <c r="KT23" s="3577"/>
      <c r="KU23" s="3577"/>
      <c r="KV23" s="3577"/>
      <c r="KW23" s="3577"/>
      <c r="KX23" s="3577"/>
      <c r="KY23" s="3577"/>
      <c r="KZ23" s="3577"/>
      <c r="LA23" s="3577"/>
      <c r="LB23" s="3577"/>
      <c r="LC23" s="3577"/>
      <c r="LD23" s="3577"/>
      <c r="LE23" s="3577"/>
      <c r="LF23" s="3577"/>
      <c r="LG23" s="3577"/>
      <c r="LH23" s="3577"/>
      <c r="LI23" s="3577"/>
      <c r="LJ23" s="3575"/>
      <c r="LK23" s="3626">
        <v>11</v>
      </c>
      <c r="LL23" s="3627">
        <v>19664.45</v>
      </c>
      <c r="LM23" s="3580" t="s">
        <v>3972</v>
      </c>
    </row>
    <row r="24" spans="1:325" s="3580" customFormat="1" ht="18" customHeight="1">
      <c r="A24" s="3545">
        <v>21</v>
      </c>
      <c r="B24" s="3546" t="s">
        <v>3937</v>
      </c>
      <c r="C24" s="3546" t="s">
        <v>3974</v>
      </c>
      <c r="D24" s="3547">
        <v>85.54</v>
      </c>
      <c r="E24" s="3548" t="s">
        <v>3799</v>
      </c>
      <c r="F24" s="3546" t="s">
        <v>3790</v>
      </c>
      <c r="G24" s="3546" t="s">
        <v>3975</v>
      </c>
      <c r="H24" s="3546" t="s">
        <v>3976</v>
      </c>
      <c r="I24" s="3634" t="s">
        <v>3977</v>
      </c>
      <c r="J24" s="3635" t="s">
        <v>3978</v>
      </c>
      <c r="K24" s="3545" t="s">
        <v>3925</v>
      </c>
      <c r="L24" s="3555"/>
      <c r="M24" s="3551">
        <v>35671.26</v>
      </c>
      <c r="N24" s="3551">
        <v>35671.26</v>
      </c>
      <c r="O24" s="3551">
        <f t="shared" si="13"/>
        <v>0</v>
      </c>
      <c r="P24" s="3547">
        <v>6478.59</v>
      </c>
      <c r="Q24" s="3547">
        <v>6478.59</v>
      </c>
      <c r="R24" s="3547">
        <f t="shared" si="89"/>
        <v>0</v>
      </c>
      <c r="S24" s="3547">
        <f t="shared" si="14"/>
        <v>4.5700013772295911</v>
      </c>
      <c r="T24" s="3598">
        <v>11890.42</v>
      </c>
      <c r="U24" s="3553">
        <f t="shared" si="15"/>
        <v>142685.04</v>
      </c>
      <c r="V24" s="3547">
        <v>410518.6</v>
      </c>
      <c r="W24" s="3547">
        <f t="shared" si="16"/>
        <v>0.83000054448611715</v>
      </c>
      <c r="X24" s="3620">
        <v>2159.5300000000002</v>
      </c>
      <c r="Y24" s="3547">
        <f t="shared" si="17"/>
        <v>25914.36</v>
      </c>
      <c r="Z24" s="3554"/>
      <c r="AA24" s="3555"/>
      <c r="AB24" s="3552" t="s">
        <v>3979</v>
      </c>
      <c r="AC24" s="3556">
        <f t="shared" si="18"/>
        <v>130794.62</v>
      </c>
      <c r="AD24" s="3556">
        <f t="shared" si="19"/>
        <v>71342.52</v>
      </c>
      <c r="AE24" s="3556">
        <f t="shared" si="19"/>
        <v>71342.52</v>
      </c>
      <c r="AF24" s="3556">
        <f t="shared" si="20"/>
        <v>0</v>
      </c>
      <c r="AG24" s="3556"/>
      <c r="AH24" s="3557">
        <f t="shared" si="21"/>
        <v>25914.36</v>
      </c>
      <c r="AI24" s="3558">
        <f t="shared" si="22"/>
        <v>12957.18</v>
      </c>
      <c r="AJ24" s="3558">
        <f t="shared" si="22"/>
        <v>12957.18</v>
      </c>
      <c r="AK24" s="3557">
        <f t="shared" si="43"/>
        <v>0</v>
      </c>
      <c r="AL24" s="3557"/>
      <c r="AM24" s="3547"/>
      <c r="AN24" s="3609"/>
      <c r="AO24" s="3562"/>
      <c r="AP24" s="3561">
        <f t="shared" si="44"/>
        <v>0</v>
      </c>
      <c r="AQ24" s="3559"/>
      <c r="AR24" s="3562"/>
      <c r="AS24" s="3561">
        <f t="shared" si="36"/>
        <v>0</v>
      </c>
      <c r="AT24" s="3563" t="s">
        <v>3980</v>
      </c>
      <c r="AU24" s="3547"/>
      <c r="AV24" s="3609"/>
      <c r="AW24" s="3562"/>
      <c r="AX24" s="3561">
        <f t="shared" si="45"/>
        <v>0</v>
      </c>
      <c r="AY24" s="3559"/>
      <c r="AZ24" s="3562"/>
      <c r="BA24" s="3561">
        <f t="shared" si="23"/>
        <v>0</v>
      </c>
      <c r="BB24" s="3563" t="s">
        <v>3980</v>
      </c>
      <c r="BC24" s="3547"/>
      <c r="BD24" s="3609"/>
      <c r="BE24" s="3562"/>
      <c r="BF24" s="3561">
        <f t="shared" si="46"/>
        <v>0</v>
      </c>
      <c r="BG24" s="3559"/>
      <c r="BH24" s="3562"/>
      <c r="BI24" s="3561">
        <f t="shared" si="47"/>
        <v>0</v>
      </c>
      <c r="BJ24" s="3563" t="s">
        <v>3980</v>
      </c>
      <c r="BK24" s="3547"/>
      <c r="BL24" s="3609"/>
      <c r="BM24" s="3562"/>
      <c r="BN24" s="3561">
        <f t="shared" si="48"/>
        <v>0</v>
      </c>
      <c r="BO24" s="3559"/>
      <c r="BP24" s="3562"/>
      <c r="BQ24" s="3561">
        <f t="shared" si="49"/>
        <v>0</v>
      </c>
      <c r="BR24" s="3563" t="s">
        <v>3980</v>
      </c>
      <c r="BS24" s="3547" t="s">
        <v>3981</v>
      </c>
      <c r="BT24" s="3609">
        <f>11890.42*6</f>
        <v>71342.52</v>
      </c>
      <c r="BU24" s="3603">
        <v>71342.52</v>
      </c>
      <c r="BV24" s="3602">
        <f t="shared" si="50"/>
        <v>0</v>
      </c>
      <c r="BW24" s="3604">
        <f>2159.53*6</f>
        <v>12957.18</v>
      </c>
      <c r="BX24" s="3603">
        <v>12957.18</v>
      </c>
      <c r="BY24" s="3561">
        <f t="shared" si="51"/>
        <v>0</v>
      </c>
      <c r="BZ24" s="3563" t="s">
        <v>3982</v>
      </c>
      <c r="CA24" s="3547"/>
      <c r="CB24" s="3609"/>
      <c r="CC24" s="3562"/>
      <c r="CD24" s="3561">
        <f t="shared" si="52"/>
        <v>0</v>
      </c>
      <c r="CE24" s="3559"/>
      <c r="CF24" s="3562"/>
      <c r="CG24" s="3561">
        <f t="shared" si="53"/>
        <v>0</v>
      </c>
      <c r="CH24" s="3563" t="s">
        <v>3982</v>
      </c>
      <c r="CI24" s="3547"/>
      <c r="CJ24" s="3609"/>
      <c r="CK24" s="3562"/>
      <c r="CL24" s="3561">
        <f t="shared" si="5"/>
        <v>0</v>
      </c>
      <c r="CM24" s="3559"/>
      <c r="CN24" s="3562"/>
      <c r="CO24" s="3561">
        <f t="shared" si="54"/>
        <v>0</v>
      </c>
      <c r="CP24" s="3563" t="s">
        <v>3982</v>
      </c>
      <c r="CQ24" s="3547"/>
      <c r="CR24" s="3621"/>
      <c r="CS24" s="3603"/>
      <c r="CT24" s="3602">
        <f t="shared" si="55"/>
        <v>0</v>
      </c>
      <c r="CU24" s="3604"/>
      <c r="CV24" s="3603"/>
      <c r="CW24" s="3561">
        <f t="shared" si="56"/>
        <v>0</v>
      </c>
      <c r="CX24" s="3563" t="s">
        <v>3982</v>
      </c>
      <c r="CY24" s="3597"/>
      <c r="CZ24" s="3609"/>
      <c r="DA24" s="3562"/>
      <c r="DB24" s="3561">
        <f t="shared" si="57"/>
        <v>0</v>
      </c>
      <c r="DC24" s="3559"/>
      <c r="DD24" s="3562"/>
      <c r="DE24" s="3561">
        <f t="shared" si="58"/>
        <v>0</v>
      </c>
      <c r="DF24" s="3563" t="s">
        <v>3982</v>
      </c>
      <c r="DG24" s="3547"/>
      <c r="DH24" s="3609"/>
      <c r="DI24" s="3562"/>
      <c r="DJ24" s="3561">
        <f t="shared" si="59"/>
        <v>0</v>
      </c>
      <c r="DK24" s="3609"/>
      <c r="DL24" s="3562"/>
      <c r="DM24" s="3561">
        <f t="shared" si="60"/>
        <v>0</v>
      </c>
      <c r="DN24" s="3563"/>
      <c r="DO24" s="3584" t="s">
        <v>3983</v>
      </c>
      <c r="DP24" s="3614">
        <f>11890.42*5</f>
        <v>59452.1</v>
      </c>
      <c r="DQ24" s="3562"/>
      <c r="DR24" s="3561">
        <f t="shared" si="61"/>
        <v>-59452.1</v>
      </c>
      <c r="DS24" s="3559">
        <f>2159.53*6</f>
        <v>12957.18</v>
      </c>
      <c r="DT24" s="3562"/>
      <c r="DU24" s="3561">
        <f t="shared" si="62"/>
        <v>-12957.18</v>
      </c>
      <c r="DV24" s="3563"/>
      <c r="DW24" s="3547"/>
      <c r="DX24" s="3609"/>
      <c r="DY24" s="3562"/>
      <c r="DZ24" s="3561">
        <f t="shared" si="63"/>
        <v>0</v>
      </c>
      <c r="EA24" s="3559"/>
      <c r="EB24" s="3562"/>
      <c r="EC24" s="3561">
        <f t="shared" si="64"/>
        <v>0</v>
      </c>
      <c r="ED24" s="3563"/>
      <c r="EF24" s="3565">
        <f t="shared" si="37"/>
        <v>124411.17860404415</v>
      </c>
      <c r="EG24" s="3565">
        <f t="shared" si="24"/>
        <v>90438.550032615633</v>
      </c>
      <c r="EH24" s="3565">
        <f t="shared" si="24"/>
        <v>90593.676190476181</v>
      </c>
      <c r="EI24" s="3565">
        <f t="shared" si="24"/>
        <v>90593.676190476181</v>
      </c>
      <c r="EJ24" s="3565">
        <f t="shared" si="38"/>
        <v>155.12615786054812</v>
      </c>
      <c r="EK24" s="3566">
        <f t="shared" si="39"/>
        <v>0</v>
      </c>
      <c r="EL24" s="3610"/>
      <c r="EM24" s="3567">
        <f t="shared" si="40"/>
        <v>24447.509433962274</v>
      </c>
      <c r="EN24" s="3557">
        <f t="shared" si="25"/>
        <v>18335.632075471709</v>
      </c>
      <c r="EO24" s="3557">
        <f t="shared" si="25"/>
        <v>18335.632075471698</v>
      </c>
      <c r="EP24" s="3557">
        <f t="shared" si="25"/>
        <v>18335.632075471698</v>
      </c>
      <c r="EQ24" s="3557">
        <f t="shared" si="41"/>
        <v>0</v>
      </c>
      <c r="ER24" s="3557">
        <f t="shared" si="42"/>
        <v>0</v>
      </c>
      <c r="ES24" s="3557"/>
      <c r="ET24" s="3612">
        <v>11324.209523809501</v>
      </c>
      <c r="EU24" s="3569">
        <f>11890.42/1.05</f>
        <v>11324.209523809523</v>
      </c>
      <c r="EV24" s="3562">
        <f>59452.1/5/1.05</f>
        <v>11324.209523809523</v>
      </c>
      <c r="EW24" s="3547">
        <f t="shared" si="26"/>
        <v>2.1827872842550278E-11</v>
      </c>
      <c r="EX24" s="3568">
        <v>2037.2924528301901</v>
      </c>
      <c r="EY24" s="3569">
        <f>2159.53/1.06</f>
        <v>2037.2924528301887</v>
      </c>
      <c r="EZ24" s="3562">
        <f>12957.18/1.06/6</f>
        <v>2037.2924528301885</v>
      </c>
      <c r="FA24" s="3547">
        <f t="shared" si="27"/>
        <v>0</v>
      </c>
      <c r="FB24" s="3612">
        <v>11324.209523809501</v>
      </c>
      <c r="FC24" s="3569">
        <f>11890.42/1.05</f>
        <v>11324.209523809523</v>
      </c>
      <c r="FD24" s="3562">
        <f>59452.1/5/1.05</f>
        <v>11324.209523809523</v>
      </c>
      <c r="FE24" s="3547">
        <f t="shared" si="65"/>
        <v>2.1827872842550278E-11</v>
      </c>
      <c r="FF24" s="3568">
        <v>2037.2924528301901</v>
      </c>
      <c r="FG24" s="3569">
        <f>2159.53/1.06</f>
        <v>2037.2924528301887</v>
      </c>
      <c r="FH24" s="3562">
        <f>12957.18/1.06/6</f>
        <v>2037.2924528301885</v>
      </c>
      <c r="FI24" s="3547">
        <f t="shared" si="66"/>
        <v>0</v>
      </c>
      <c r="FJ24" s="3612">
        <v>11324.209523809501</v>
      </c>
      <c r="FK24" s="3569">
        <f>11890.42/1.05</f>
        <v>11324.209523809523</v>
      </c>
      <c r="FL24" s="3562">
        <f>59452.1/5/1.05</f>
        <v>11324.209523809523</v>
      </c>
      <c r="FM24" s="3547">
        <f t="shared" si="67"/>
        <v>2.1827872842550278E-11</v>
      </c>
      <c r="FN24" s="3568">
        <v>2037.2924528301901</v>
      </c>
      <c r="FO24" s="3559">
        <f>2159.53/1.06</f>
        <v>2037.2924528301887</v>
      </c>
      <c r="FP24" s="3562">
        <f>12957.18/1.06/6</f>
        <v>2037.2924528301885</v>
      </c>
      <c r="FQ24" s="3547">
        <f t="shared" si="68"/>
        <v>0</v>
      </c>
      <c r="FR24" s="3612">
        <v>11324.209523809501</v>
      </c>
      <c r="FS24" s="3569">
        <f>11890.42/1.05</f>
        <v>11324.209523809523</v>
      </c>
      <c r="FT24" s="3560">
        <f>59452.1/5/1.05</f>
        <v>11324.209523809523</v>
      </c>
      <c r="FU24" s="3547">
        <f t="shared" si="69"/>
        <v>2.1827872842550278E-11</v>
      </c>
      <c r="FV24" s="3568">
        <v>2037.2924528301901</v>
      </c>
      <c r="FW24" s="3559">
        <f>2159.53/1.06</f>
        <v>2037.2924528301887</v>
      </c>
      <c r="FX24" s="3560">
        <f>12957.18/1.06/6</f>
        <v>2037.2924528301885</v>
      </c>
      <c r="FY24" s="3547">
        <f t="shared" si="70"/>
        <v>0</v>
      </c>
      <c r="FZ24" s="3612">
        <v>5212.2389041095903</v>
      </c>
      <c r="GA24" s="3592">
        <f>11890.42/1.05*12/365*14</f>
        <v>5212.2389041095885</v>
      </c>
      <c r="GB24" s="3560">
        <f>59452.1/5/1.05*12/365*14</f>
        <v>5212.2389041095885</v>
      </c>
      <c r="GC24" s="3547">
        <f t="shared" si="71"/>
        <v>0</v>
      </c>
      <c r="GD24" s="3568">
        <v>2037.2924528301901</v>
      </c>
      <c r="GE24" s="3569">
        <f>2159.53/1.06</f>
        <v>2037.2924528301887</v>
      </c>
      <c r="GF24" s="3560">
        <f>12957.18/1.06/6</f>
        <v>2037.2924528301885</v>
      </c>
      <c r="GG24" s="3547">
        <f t="shared" si="72"/>
        <v>0</v>
      </c>
      <c r="GH24" s="3612">
        <v>5956.8444618395297</v>
      </c>
      <c r="GI24" s="3592">
        <f>11890.42/1.05-11890.42/1.05*12/365*14</f>
        <v>6111.9706196999341</v>
      </c>
      <c r="GJ24" s="3605">
        <f>71342.52/6/1.05-71342.52/6/1.05*12/365*14</f>
        <v>6111.9706196999341</v>
      </c>
      <c r="GK24" s="3547">
        <f t="shared" si="73"/>
        <v>155.12615786040442</v>
      </c>
      <c r="GL24" s="3568">
        <v>2037.2924528301901</v>
      </c>
      <c r="GM24" s="3569">
        <f>2159.53/1.06</f>
        <v>2037.2924528301887</v>
      </c>
      <c r="GN24" s="3562">
        <f>12957.18/1.06/6*12/365*14+12957.18/1.06/6-12957.18/1.06/6*12/365*14</f>
        <v>2037.2924528301885</v>
      </c>
      <c r="GO24" s="3547">
        <f t="shared" si="74"/>
        <v>0</v>
      </c>
      <c r="GP24" s="3612">
        <v>11324.209523809501</v>
      </c>
      <c r="GQ24" s="3569">
        <f>11890.42/1.05</f>
        <v>11324.209523809523</v>
      </c>
      <c r="GR24" s="3562">
        <f>71342.52/6/1.05</f>
        <v>11324.209523809523</v>
      </c>
      <c r="GS24" s="3547">
        <f t="shared" si="75"/>
        <v>2.1827872842550278E-11</v>
      </c>
      <c r="GT24" s="3568">
        <v>2037.2924528301901</v>
      </c>
      <c r="GU24" s="3569">
        <f>2159.53/1.06</f>
        <v>2037.2924528301887</v>
      </c>
      <c r="GV24" s="3560">
        <f>12957.18/6/1.06</f>
        <v>2037.2924528301887</v>
      </c>
      <c r="GW24" s="3547">
        <f t="shared" si="76"/>
        <v>0</v>
      </c>
      <c r="GX24" s="3612">
        <v>11324.209523809501</v>
      </c>
      <c r="GY24" s="3569">
        <f>11890.42/1.05</f>
        <v>11324.209523809523</v>
      </c>
      <c r="GZ24" s="3562">
        <f>71342.52/6/1.05</f>
        <v>11324.209523809523</v>
      </c>
      <c r="HA24" s="3547">
        <f t="shared" si="77"/>
        <v>2.1827872842550278E-11</v>
      </c>
      <c r="HB24" s="3568">
        <v>2037.2924528301901</v>
      </c>
      <c r="HC24" s="3569">
        <f>2159.53/1.06</f>
        <v>2037.2924528301887</v>
      </c>
      <c r="HD24" s="3560">
        <f>12957.18/6/1.06</f>
        <v>2037.2924528301887</v>
      </c>
      <c r="HE24" s="3547">
        <f t="shared" si="78"/>
        <v>0</v>
      </c>
      <c r="HF24" s="3612">
        <v>11324.209523809501</v>
      </c>
      <c r="HG24" s="3569">
        <f>11890.42/1.05</f>
        <v>11324.209523809523</v>
      </c>
      <c r="HH24" s="3562">
        <f>71342.52/6/1.05</f>
        <v>11324.209523809523</v>
      </c>
      <c r="HI24" s="3547">
        <f t="shared" si="79"/>
        <v>2.1827872842550278E-11</v>
      </c>
      <c r="HJ24" s="3568">
        <v>2037.2924528301901</v>
      </c>
      <c r="HK24" s="3569">
        <f>2159.53/1.06</f>
        <v>2037.2924528301887</v>
      </c>
      <c r="HL24" s="3560">
        <f>12957.18/6/1.06</f>
        <v>2037.2924528301887</v>
      </c>
      <c r="HM24" s="3547">
        <f t="shared" si="80"/>
        <v>0</v>
      </c>
      <c r="HN24" s="3612">
        <v>11324.209523809501</v>
      </c>
      <c r="HO24" s="3569">
        <f>11890.42/1.05</f>
        <v>11324.209523809523</v>
      </c>
      <c r="HP24" s="3562">
        <f>71342.52/6/1.05</f>
        <v>11324.209523809523</v>
      </c>
      <c r="HQ24" s="3547">
        <f t="shared" si="81"/>
        <v>2.1827872842550278E-11</v>
      </c>
      <c r="HR24" s="3568">
        <v>2037.2924528301901</v>
      </c>
      <c r="HS24" s="3569">
        <f>2159.53/1.06</f>
        <v>2037.2924528301887</v>
      </c>
      <c r="HT24" s="3560">
        <f>12957.18/6/1.06</f>
        <v>2037.2924528301887</v>
      </c>
      <c r="HU24" s="3547">
        <f t="shared" si="82"/>
        <v>0</v>
      </c>
      <c r="HV24" s="3612">
        <v>11324.209523809501</v>
      </c>
      <c r="HW24" s="3569">
        <f>11890.42/1.05</f>
        <v>11324.209523809523</v>
      </c>
      <c r="HX24" s="3562">
        <f>71342.52/6/1.05</f>
        <v>11324.209523809523</v>
      </c>
      <c r="HY24" s="3547">
        <f t="shared" si="83"/>
        <v>2.1827872842550278E-11</v>
      </c>
      <c r="HZ24" s="3568">
        <v>2037.2924528301901</v>
      </c>
      <c r="IA24" s="3569">
        <f>2159.53/1.06</f>
        <v>2037.2924528301887</v>
      </c>
      <c r="IB24" s="3560">
        <f>12957.18/6/1.06</f>
        <v>2037.2924528301887</v>
      </c>
      <c r="IC24" s="3547">
        <f t="shared" si="84"/>
        <v>0</v>
      </c>
      <c r="ID24" s="3612">
        <v>11324.209523809501</v>
      </c>
      <c r="IE24" s="3569">
        <f>11890.42/1.05</f>
        <v>11324.209523809523</v>
      </c>
      <c r="IF24" s="3562">
        <f>71342.52/6/1.05*12/365*14</f>
        <v>5212.2389041095885</v>
      </c>
      <c r="IG24" s="3547">
        <f t="shared" si="85"/>
        <v>-6111.9706196999123</v>
      </c>
      <c r="IH24" s="3568">
        <v>2037.2924528301901</v>
      </c>
      <c r="II24" s="3569">
        <f>2159.53/1.06</f>
        <v>2037.2924528301887</v>
      </c>
      <c r="IJ24" s="3562">
        <f>12957.18/1.06/6*12/365*14</f>
        <v>937.71269061773069</v>
      </c>
      <c r="IK24" s="3547">
        <f t="shared" si="86"/>
        <v>-1099.5797622124594</v>
      </c>
      <c r="IL24" s="3547" t="s">
        <v>3984</v>
      </c>
      <c r="IM24" s="3569">
        <f>11890.42/1.05*4+11890.42/1.05*12/365*14</f>
        <v>50509.076999347679</v>
      </c>
      <c r="IN24" s="3569">
        <f>2159.53/1.06*5+2159.53/1.06*12/365*14</f>
        <v>11124.174954768674</v>
      </c>
      <c r="IO24" s="3547"/>
      <c r="IP24" s="3560">
        <f t="shared" si="87"/>
        <v>0</v>
      </c>
      <c r="IQ24" s="3568"/>
      <c r="IR24" s="3568"/>
      <c r="IS24" s="3568"/>
      <c r="IT24" s="3568"/>
      <c r="IU24" s="3568"/>
      <c r="IV24" s="3568"/>
      <c r="IW24" s="3568"/>
      <c r="IX24" s="3568"/>
      <c r="IY24" s="3568"/>
      <c r="IZ24" s="3560"/>
      <c r="JA24" s="3560"/>
      <c r="JB24" s="3560"/>
      <c r="JC24" s="3560">
        <f t="shared" si="11"/>
        <v>0</v>
      </c>
      <c r="JD24" s="3547"/>
      <c r="JE24" s="3568"/>
      <c r="JF24" s="3568"/>
      <c r="JG24" s="3568"/>
      <c r="JH24" s="3568"/>
      <c r="JI24" s="3568"/>
      <c r="JJ24" s="3568"/>
      <c r="JK24" s="3568"/>
      <c r="JL24" s="3568"/>
      <c r="JM24" s="3568"/>
      <c r="JN24" s="3560"/>
      <c r="JO24" s="3560"/>
      <c r="JP24" s="3547" t="s">
        <v>3985</v>
      </c>
      <c r="JQ24" s="3583">
        <f>11890.42/1.05*4+11890.42/1.05*12/365*14</f>
        <v>50509.076999347679</v>
      </c>
      <c r="JR24" s="3583">
        <f>2159.53/1.06*5+2159.53/1.06*12/365*14</f>
        <v>11124.174954768674</v>
      </c>
      <c r="JS24" s="3573">
        <f t="shared" si="28"/>
        <v>0</v>
      </c>
      <c r="JT24" s="3573">
        <f t="shared" si="35"/>
        <v>0</v>
      </c>
      <c r="JU24" s="3574">
        <f t="shared" si="29"/>
        <v>0</v>
      </c>
      <c r="JV24" s="3574">
        <f t="shared" si="30"/>
        <v>0</v>
      </c>
      <c r="JW24" s="3575"/>
      <c r="JX24" s="3576">
        <f t="shared" si="31"/>
        <v>27860.657951728634</v>
      </c>
      <c r="JY24" s="3576">
        <f t="shared" si="32"/>
        <v>5012.2975962781084</v>
      </c>
      <c r="JZ24" s="3577"/>
      <c r="KA24" s="3573">
        <f t="shared" si="12"/>
        <v>2.1827872842550278E-11</v>
      </c>
      <c r="KB24" s="3573"/>
      <c r="KC24" s="3573"/>
      <c r="KD24" s="3573">
        <f t="shared" si="33"/>
        <v>2.1827872842550278E-11</v>
      </c>
      <c r="KE24" s="3578" t="s">
        <v>3986</v>
      </c>
      <c r="KF24" s="3579"/>
      <c r="KG24" s="3579"/>
      <c r="KH24" s="3579"/>
      <c r="KI24" s="3579"/>
      <c r="KJ24" s="3579"/>
      <c r="KK24" s="3579"/>
      <c r="KL24" s="3579"/>
      <c r="KM24" s="3579"/>
      <c r="KN24" s="3579"/>
      <c r="KO24" s="3579"/>
      <c r="KP24" s="3579">
        <f>155.13/10000</f>
        <v>1.5512999999999999E-2</v>
      </c>
      <c r="KQ24" s="3579">
        <f t="shared" si="34"/>
        <v>1.5512999999999999E-2</v>
      </c>
      <c r="KR24" s="3579">
        <f t="shared" si="88"/>
        <v>-3.8421394518706187E-7</v>
      </c>
      <c r="KS24" s="3577"/>
      <c r="KT24" s="3577"/>
      <c r="KU24" s="3577"/>
      <c r="KV24" s="3577"/>
      <c r="KW24" s="3577"/>
      <c r="KX24" s="3577"/>
      <c r="KY24" s="3577"/>
      <c r="KZ24" s="3577"/>
      <c r="LA24" s="3577"/>
      <c r="LB24" s="3577"/>
      <c r="LC24" s="3577"/>
      <c r="LD24" s="3577"/>
      <c r="LE24" s="3577"/>
      <c r="LF24" s="3577"/>
      <c r="LG24" s="3577"/>
      <c r="LH24" s="3577"/>
      <c r="LI24" s="3577"/>
      <c r="LJ24" s="3575"/>
      <c r="LK24" s="3571"/>
      <c r="LL24" s="3576"/>
    </row>
    <row r="25" spans="1:325" s="3580" customFormat="1" ht="18" customHeight="1">
      <c r="A25" s="3545">
        <v>22</v>
      </c>
      <c r="B25" s="3546" t="s">
        <v>3937</v>
      </c>
      <c r="C25" s="3546">
        <v>909</v>
      </c>
      <c r="D25" s="3547">
        <v>60.81</v>
      </c>
      <c r="E25" s="3548" t="s">
        <v>3789</v>
      </c>
      <c r="F25" s="3546" t="s">
        <v>3790</v>
      </c>
      <c r="G25" s="3546" t="s">
        <v>3987</v>
      </c>
      <c r="H25" s="3546" t="s">
        <v>3988</v>
      </c>
      <c r="I25" s="3594" t="s">
        <v>3989</v>
      </c>
      <c r="J25" s="3594" t="s">
        <v>3990</v>
      </c>
      <c r="K25" s="3545" t="s">
        <v>3991</v>
      </c>
      <c r="L25" s="3555"/>
      <c r="M25" s="3551"/>
      <c r="N25" s="3551"/>
      <c r="O25" s="3551">
        <f t="shared" si="13"/>
        <v>0</v>
      </c>
      <c r="P25" s="3551"/>
      <c r="Q25" s="3551"/>
      <c r="R25" s="3547">
        <f t="shared" si="89"/>
        <v>0</v>
      </c>
      <c r="S25" s="3547">
        <f t="shared" si="14"/>
        <v>0</v>
      </c>
      <c r="T25" s="3552"/>
      <c r="U25" s="3553">
        <f t="shared" si="15"/>
        <v>0</v>
      </c>
      <c r="V25" s="3547"/>
      <c r="W25" s="3547">
        <f t="shared" si="16"/>
        <v>0</v>
      </c>
      <c r="X25" s="3636"/>
      <c r="Y25" s="3547">
        <f t="shared" si="17"/>
        <v>0</v>
      </c>
      <c r="Z25" s="3554"/>
      <c r="AA25" s="3555"/>
      <c r="AB25" s="3593"/>
      <c r="AC25" s="3556">
        <f t="shared" si="18"/>
        <v>0</v>
      </c>
      <c r="AD25" s="3556">
        <f t="shared" si="19"/>
        <v>0</v>
      </c>
      <c r="AE25" s="3556">
        <f t="shared" si="19"/>
        <v>0</v>
      </c>
      <c r="AF25" s="3556">
        <f t="shared" si="20"/>
        <v>0</v>
      </c>
      <c r="AG25" s="3556"/>
      <c r="AH25" s="3557">
        <f t="shared" si="21"/>
        <v>0</v>
      </c>
      <c r="AI25" s="3558">
        <f t="shared" si="22"/>
        <v>0</v>
      </c>
      <c r="AJ25" s="3558">
        <f t="shared" si="22"/>
        <v>0</v>
      </c>
      <c r="AK25" s="3557">
        <f t="shared" si="43"/>
        <v>0</v>
      </c>
      <c r="AL25" s="3557"/>
      <c r="AM25" s="3547"/>
      <c r="AN25" s="3609"/>
      <c r="AO25" s="3562"/>
      <c r="AP25" s="3561">
        <f t="shared" si="44"/>
        <v>0</v>
      </c>
      <c r="AQ25" s="3559"/>
      <c r="AR25" s="3562"/>
      <c r="AS25" s="3561">
        <f t="shared" si="36"/>
        <v>0</v>
      </c>
      <c r="AT25" s="3563" t="s">
        <v>3992</v>
      </c>
      <c r="AU25" s="3547"/>
      <c r="AV25" s="3609"/>
      <c r="AW25" s="3562"/>
      <c r="AX25" s="3561">
        <f t="shared" si="45"/>
        <v>0</v>
      </c>
      <c r="AY25" s="3559"/>
      <c r="AZ25" s="3562"/>
      <c r="BA25" s="3561">
        <f t="shared" si="23"/>
        <v>0</v>
      </c>
      <c r="BB25" s="3563" t="s">
        <v>3992</v>
      </c>
      <c r="BC25" s="3547"/>
      <c r="BD25" s="3609"/>
      <c r="BE25" s="3562"/>
      <c r="BF25" s="3561">
        <f t="shared" si="46"/>
        <v>0</v>
      </c>
      <c r="BG25" s="3559"/>
      <c r="BH25" s="3562"/>
      <c r="BI25" s="3561">
        <f t="shared" si="47"/>
        <v>0</v>
      </c>
      <c r="BJ25" s="3563" t="s">
        <v>3992</v>
      </c>
      <c r="BK25" s="3547"/>
      <c r="BL25" s="3609"/>
      <c r="BM25" s="3562"/>
      <c r="BN25" s="3561">
        <f t="shared" si="48"/>
        <v>0</v>
      </c>
      <c r="BO25" s="3559"/>
      <c r="BP25" s="3562"/>
      <c r="BQ25" s="3561">
        <f t="shared" si="49"/>
        <v>0</v>
      </c>
      <c r="BR25" s="3563" t="s">
        <v>3992</v>
      </c>
      <c r="BS25" s="3547"/>
      <c r="BT25" s="3609"/>
      <c r="BU25" s="3562"/>
      <c r="BV25" s="3561">
        <f t="shared" si="50"/>
        <v>0</v>
      </c>
      <c r="BW25" s="3559"/>
      <c r="BX25" s="3562"/>
      <c r="BY25" s="3561">
        <f t="shared" si="51"/>
        <v>0</v>
      </c>
      <c r="BZ25" s="3563" t="s">
        <v>3992</v>
      </c>
      <c r="CA25" s="3547"/>
      <c r="CB25" s="3609"/>
      <c r="CC25" s="3562"/>
      <c r="CD25" s="3561">
        <f t="shared" si="52"/>
        <v>0</v>
      </c>
      <c r="CE25" s="3559"/>
      <c r="CF25" s="3562"/>
      <c r="CG25" s="3561">
        <f t="shared" si="53"/>
        <v>0</v>
      </c>
      <c r="CH25" s="3563" t="s">
        <v>3992</v>
      </c>
      <c r="CI25" s="3547"/>
      <c r="CJ25" s="3609"/>
      <c r="CK25" s="3562"/>
      <c r="CL25" s="3561">
        <f t="shared" si="5"/>
        <v>0</v>
      </c>
      <c r="CM25" s="3559"/>
      <c r="CN25" s="3562"/>
      <c r="CO25" s="3561">
        <f t="shared" si="54"/>
        <v>0</v>
      </c>
      <c r="CP25" s="3563" t="s">
        <v>3992</v>
      </c>
      <c r="CQ25" s="3547"/>
      <c r="CR25" s="3621"/>
      <c r="CS25" s="3603"/>
      <c r="CT25" s="3602">
        <f t="shared" si="55"/>
        <v>0</v>
      </c>
      <c r="CU25" s="3604"/>
      <c r="CV25" s="3603"/>
      <c r="CW25" s="3561">
        <f t="shared" si="56"/>
        <v>0</v>
      </c>
      <c r="CX25" s="3563" t="s">
        <v>3992</v>
      </c>
      <c r="CY25" s="3597"/>
      <c r="CZ25" s="3609"/>
      <c r="DA25" s="3562"/>
      <c r="DB25" s="3561">
        <f t="shared" si="57"/>
        <v>0</v>
      </c>
      <c r="DC25" s="3559"/>
      <c r="DD25" s="3562"/>
      <c r="DE25" s="3561">
        <f t="shared" si="58"/>
        <v>0</v>
      </c>
      <c r="DF25" s="3563" t="s">
        <v>3992</v>
      </c>
      <c r="DG25" s="3547"/>
      <c r="DH25" s="3609"/>
      <c r="DI25" s="3562"/>
      <c r="DJ25" s="3561">
        <f t="shared" si="59"/>
        <v>0</v>
      </c>
      <c r="DK25" s="3559"/>
      <c r="DL25" s="3562"/>
      <c r="DM25" s="3561">
        <f t="shared" si="60"/>
        <v>0</v>
      </c>
      <c r="DN25" s="3563"/>
      <c r="DO25" s="3547"/>
      <c r="DP25" s="3609"/>
      <c r="DQ25" s="3562"/>
      <c r="DR25" s="3561">
        <f t="shared" si="61"/>
        <v>0</v>
      </c>
      <c r="DS25" s="3559"/>
      <c r="DT25" s="3562"/>
      <c r="DU25" s="3561">
        <f t="shared" si="62"/>
        <v>0</v>
      </c>
      <c r="DV25" s="3563"/>
      <c r="DW25" s="3547"/>
      <c r="DX25" s="3609"/>
      <c r="DY25" s="3562"/>
      <c r="DZ25" s="3561">
        <f t="shared" si="63"/>
        <v>0</v>
      </c>
      <c r="EA25" s="3559"/>
      <c r="EB25" s="3562"/>
      <c r="EC25" s="3561">
        <f t="shared" si="64"/>
        <v>0</v>
      </c>
      <c r="ED25" s="3563"/>
      <c r="EF25" s="3565">
        <f t="shared" si="37"/>
        <v>0</v>
      </c>
      <c r="EG25" s="3565">
        <f t="shared" si="24"/>
        <v>0</v>
      </c>
      <c r="EH25" s="3565">
        <f t="shared" si="24"/>
        <v>0</v>
      </c>
      <c r="EI25" s="3565">
        <f t="shared" si="24"/>
        <v>0</v>
      </c>
      <c r="EJ25" s="3565">
        <f t="shared" si="38"/>
        <v>0</v>
      </c>
      <c r="EK25" s="3566">
        <f t="shared" si="39"/>
        <v>0</v>
      </c>
      <c r="EL25" s="3610"/>
      <c r="EM25" s="3567">
        <f t="shared" si="40"/>
        <v>0</v>
      </c>
      <c r="EN25" s="3557">
        <f t="shared" si="25"/>
        <v>0</v>
      </c>
      <c r="EO25" s="3557">
        <f t="shared" si="25"/>
        <v>0</v>
      </c>
      <c r="EP25" s="3557">
        <f t="shared" si="25"/>
        <v>0</v>
      </c>
      <c r="EQ25" s="3557">
        <f t="shared" si="41"/>
        <v>0</v>
      </c>
      <c r="ER25" s="3557">
        <f t="shared" si="42"/>
        <v>0</v>
      </c>
      <c r="ES25" s="3557"/>
      <c r="ET25" s="3612"/>
      <c r="EU25" s="3569"/>
      <c r="EV25" s="3562"/>
      <c r="EW25" s="3547">
        <f t="shared" si="26"/>
        <v>0</v>
      </c>
      <c r="EX25" s="3612"/>
      <c r="EY25" s="3569"/>
      <c r="EZ25" s="3562"/>
      <c r="FA25" s="3547">
        <f t="shared" si="27"/>
        <v>0</v>
      </c>
      <c r="FB25" s="3612"/>
      <c r="FC25" s="3569"/>
      <c r="FD25" s="3562"/>
      <c r="FE25" s="3547">
        <f t="shared" si="65"/>
        <v>0</v>
      </c>
      <c r="FF25" s="3612"/>
      <c r="FG25" s="3569"/>
      <c r="FH25" s="3562"/>
      <c r="FI25" s="3547">
        <f t="shared" si="66"/>
        <v>0</v>
      </c>
      <c r="FJ25" s="3612"/>
      <c r="FK25" s="3569"/>
      <c r="FL25" s="3562"/>
      <c r="FM25" s="3547">
        <f t="shared" si="67"/>
        <v>0</v>
      </c>
      <c r="FN25" s="3612"/>
      <c r="FO25" s="3559"/>
      <c r="FP25" s="3562"/>
      <c r="FQ25" s="3547">
        <f t="shared" si="68"/>
        <v>0</v>
      </c>
      <c r="FR25" s="3612"/>
      <c r="FS25" s="3569"/>
      <c r="FT25" s="3560"/>
      <c r="FU25" s="3547">
        <f t="shared" si="69"/>
        <v>0</v>
      </c>
      <c r="FV25" s="3612"/>
      <c r="FW25" s="3559"/>
      <c r="FX25" s="3560"/>
      <c r="FY25" s="3547">
        <f t="shared" si="70"/>
        <v>0</v>
      </c>
      <c r="FZ25" s="3612"/>
      <c r="GA25" s="3569"/>
      <c r="GB25" s="3560"/>
      <c r="GC25" s="3547">
        <f t="shared" si="71"/>
        <v>0</v>
      </c>
      <c r="GD25" s="3612"/>
      <c r="GE25" s="3569"/>
      <c r="GF25" s="3560"/>
      <c r="GG25" s="3547">
        <f t="shared" si="72"/>
        <v>0</v>
      </c>
      <c r="GH25" s="3612"/>
      <c r="GI25" s="3637"/>
      <c r="GJ25" s="3638"/>
      <c r="GK25" s="3547">
        <f t="shared" si="73"/>
        <v>0</v>
      </c>
      <c r="GL25" s="3612"/>
      <c r="GM25" s="3569"/>
      <c r="GN25" s="3560"/>
      <c r="GO25" s="3547">
        <f t="shared" si="74"/>
        <v>0</v>
      </c>
      <c r="GP25" s="3612"/>
      <c r="GQ25" s="3569"/>
      <c r="GR25" s="3562"/>
      <c r="GS25" s="3547">
        <f t="shared" si="75"/>
        <v>0</v>
      </c>
      <c r="GT25" s="3568"/>
      <c r="GU25" s="3569"/>
      <c r="GV25" s="3560"/>
      <c r="GW25" s="3547">
        <f t="shared" si="76"/>
        <v>0</v>
      </c>
      <c r="GX25" s="3612"/>
      <c r="GY25" s="3569"/>
      <c r="GZ25" s="3562"/>
      <c r="HA25" s="3547">
        <f t="shared" si="77"/>
        <v>0</v>
      </c>
      <c r="HB25" s="3568"/>
      <c r="HC25" s="3569"/>
      <c r="HD25" s="3562"/>
      <c r="HE25" s="3547">
        <f t="shared" si="78"/>
        <v>0</v>
      </c>
      <c r="HF25" s="3568"/>
      <c r="HG25" s="3569"/>
      <c r="HH25" s="3562"/>
      <c r="HI25" s="3547">
        <f t="shared" si="79"/>
        <v>0</v>
      </c>
      <c r="HJ25" s="3568"/>
      <c r="HK25" s="3569"/>
      <c r="HL25" s="3562"/>
      <c r="HM25" s="3547">
        <f t="shared" si="80"/>
        <v>0</v>
      </c>
      <c r="HN25" s="3568"/>
      <c r="HO25" s="3569"/>
      <c r="HP25" s="3562"/>
      <c r="HQ25" s="3547">
        <f t="shared" si="81"/>
        <v>0</v>
      </c>
      <c r="HR25" s="3568"/>
      <c r="HS25" s="3569"/>
      <c r="HT25" s="3562"/>
      <c r="HU25" s="3547">
        <f t="shared" si="82"/>
        <v>0</v>
      </c>
      <c r="HV25" s="3612"/>
      <c r="HW25" s="3569"/>
      <c r="HX25" s="3562"/>
      <c r="HY25" s="3547">
        <f t="shared" si="83"/>
        <v>0</v>
      </c>
      <c r="HZ25" s="3612"/>
      <c r="IA25" s="3569"/>
      <c r="IB25" s="3562"/>
      <c r="IC25" s="3547">
        <f t="shared" si="84"/>
        <v>0</v>
      </c>
      <c r="ID25" s="3612"/>
      <c r="IE25" s="3569"/>
      <c r="IF25" s="3562"/>
      <c r="IG25" s="3547">
        <f t="shared" si="85"/>
        <v>0</v>
      </c>
      <c r="IH25" s="3612"/>
      <c r="II25" s="3569"/>
      <c r="IJ25" s="3562"/>
      <c r="IK25" s="3547">
        <f t="shared" si="86"/>
        <v>0</v>
      </c>
      <c r="IL25" s="3570"/>
      <c r="IM25" s="3569"/>
      <c r="IN25" s="3569"/>
      <c r="IO25" s="3571"/>
      <c r="IP25" s="3560">
        <f t="shared" si="87"/>
        <v>0</v>
      </c>
      <c r="IQ25" s="3568"/>
      <c r="IR25" s="3568"/>
      <c r="IS25" s="3568"/>
      <c r="IT25" s="3568"/>
      <c r="IU25" s="3568"/>
      <c r="IV25" s="3568"/>
      <c r="IW25" s="3568"/>
      <c r="IX25" s="3568"/>
      <c r="IY25" s="3568"/>
      <c r="IZ25" s="3560"/>
      <c r="JA25" s="3560"/>
      <c r="JB25" s="3560"/>
      <c r="JC25" s="3560">
        <f t="shared" si="11"/>
        <v>0</v>
      </c>
      <c r="JD25" s="3571"/>
      <c r="JE25" s="3568"/>
      <c r="JF25" s="3568"/>
      <c r="JG25" s="3568"/>
      <c r="JH25" s="3568"/>
      <c r="JI25" s="3568"/>
      <c r="JJ25" s="3568"/>
      <c r="JK25" s="3568"/>
      <c r="JL25" s="3568"/>
      <c r="JM25" s="3568"/>
      <c r="JN25" s="3560"/>
      <c r="JO25" s="3560"/>
      <c r="JP25" s="3570"/>
      <c r="JQ25" s="3583"/>
      <c r="JR25" s="3583"/>
      <c r="JS25" s="3573">
        <f t="shared" si="28"/>
        <v>0</v>
      </c>
      <c r="JT25" s="3573">
        <f t="shared" si="35"/>
        <v>0</v>
      </c>
      <c r="JU25" s="3574">
        <f t="shared" si="29"/>
        <v>0</v>
      </c>
      <c r="JV25" s="3574">
        <f t="shared" si="30"/>
        <v>0</v>
      </c>
      <c r="JW25" s="3575"/>
      <c r="JX25" s="3576">
        <f t="shared" si="31"/>
        <v>0</v>
      </c>
      <c r="JY25" s="3576">
        <f t="shared" si="32"/>
        <v>0</v>
      </c>
      <c r="JZ25" s="3577"/>
      <c r="KA25" s="3573">
        <f>HA25+HE25</f>
        <v>0</v>
      </c>
      <c r="KB25" s="3573"/>
      <c r="KC25" s="3573"/>
      <c r="KD25" s="3573">
        <f t="shared" si="33"/>
        <v>0</v>
      </c>
      <c r="KE25" s="3571"/>
      <c r="KF25" s="3579"/>
      <c r="KG25" s="3579"/>
      <c r="KH25" s="3579"/>
      <c r="KI25" s="3579"/>
      <c r="KJ25" s="3579"/>
      <c r="KK25" s="3579"/>
      <c r="KL25" s="3579"/>
      <c r="KM25" s="3579"/>
      <c r="KN25" s="3579"/>
      <c r="KO25" s="3579"/>
      <c r="KP25" s="3579"/>
      <c r="KQ25" s="3579">
        <f t="shared" si="34"/>
        <v>0</v>
      </c>
      <c r="KR25" s="3579">
        <f t="shared" si="88"/>
        <v>0</v>
      </c>
      <c r="KS25" s="3577"/>
      <c r="KT25" s="3577"/>
      <c r="KU25" s="3577"/>
      <c r="KV25" s="3577"/>
      <c r="KW25" s="3577"/>
      <c r="KX25" s="3577"/>
      <c r="KY25" s="3577"/>
      <c r="KZ25" s="3577"/>
      <c r="LA25" s="3577"/>
      <c r="LB25" s="3577"/>
      <c r="LC25" s="3577"/>
      <c r="LD25" s="3577"/>
      <c r="LE25" s="3577"/>
      <c r="LF25" s="3577"/>
      <c r="LG25" s="3577"/>
      <c r="LH25" s="3577"/>
      <c r="LI25" s="3577"/>
      <c r="LJ25" s="3575"/>
      <c r="LK25" s="3571"/>
      <c r="LL25" s="3576"/>
    </row>
    <row r="26" spans="1:325" s="3580" customFormat="1" ht="18" customHeight="1">
      <c r="A26" s="3545">
        <v>23</v>
      </c>
      <c r="B26" s="3546" t="s">
        <v>3937</v>
      </c>
      <c r="C26" s="3546" t="s">
        <v>3993</v>
      </c>
      <c r="D26" s="3547">
        <f>46.07+46.07</f>
        <v>92.14</v>
      </c>
      <c r="E26" s="3548" t="s">
        <v>3789</v>
      </c>
      <c r="F26" s="3546" t="s">
        <v>3790</v>
      </c>
      <c r="G26" s="3639" t="s">
        <v>3994</v>
      </c>
      <c r="H26" s="3546" t="s">
        <v>3995</v>
      </c>
      <c r="I26" s="3594" t="s">
        <v>3996</v>
      </c>
      <c r="J26" s="3594" t="s">
        <v>3997</v>
      </c>
      <c r="K26" s="3545" t="s">
        <v>3998</v>
      </c>
      <c r="L26" s="3546"/>
      <c r="M26" s="3551"/>
      <c r="N26" s="3551"/>
      <c r="O26" s="3551">
        <f t="shared" si="13"/>
        <v>0</v>
      </c>
      <c r="P26" s="3551"/>
      <c r="Q26" s="3551"/>
      <c r="R26" s="3547">
        <f t="shared" si="89"/>
        <v>0</v>
      </c>
      <c r="S26" s="3547">
        <f t="shared" si="14"/>
        <v>0</v>
      </c>
      <c r="T26" s="3552"/>
      <c r="U26" s="3553">
        <f t="shared" si="15"/>
        <v>0</v>
      </c>
      <c r="V26" s="3547"/>
      <c r="W26" s="3547">
        <f t="shared" si="16"/>
        <v>0</v>
      </c>
      <c r="X26" s="3552"/>
      <c r="Y26" s="3547">
        <f t="shared" si="17"/>
        <v>0</v>
      </c>
      <c r="Z26" s="3554"/>
      <c r="AA26" s="3555"/>
      <c r="AB26" s="3593"/>
      <c r="AC26" s="3556">
        <f t="shared" si="18"/>
        <v>0</v>
      </c>
      <c r="AD26" s="3556">
        <f t="shared" si="19"/>
        <v>0</v>
      </c>
      <c r="AE26" s="3556">
        <f t="shared" si="19"/>
        <v>0</v>
      </c>
      <c r="AF26" s="3556">
        <f t="shared" si="20"/>
        <v>0</v>
      </c>
      <c r="AG26" s="3556"/>
      <c r="AH26" s="3557">
        <f t="shared" si="21"/>
        <v>0</v>
      </c>
      <c r="AI26" s="3558">
        <f t="shared" si="22"/>
        <v>0</v>
      </c>
      <c r="AJ26" s="3558">
        <f t="shared" si="22"/>
        <v>0</v>
      </c>
      <c r="AK26" s="3557">
        <f t="shared" si="43"/>
        <v>0</v>
      </c>
      <c r="AL26" s="3557"/>
      <c r="AM26" s="3547"/>
      <c r="AN26" s="3609"/>
      <c r="AO26" s="3562"/>
      <c r="AP26" s="3561">
        <f t="shared" si="44"/>
        <v>0</v>
      </c>
      <c r="AQ26" s="3559"/>
      <c r="AR26" s="3562"/>
      <c r="AS26" s="3561">
        <f t="shared" si="36"/>
        <v>0</v>
      </c>
      <c r="AT26" s="3563" t="s">
        <v>3999</v>
      </c>
      <c r="AU26" s="3547"/>
      <c r="AV26" s="3609"/>
      <c r="AW26" s="3562"/>
      <c r="AX26" s="3561">
        <f t="shared" si="45"/>
        <v>0</v>
      </c>
      <c r="AY26" s="3559"/>
      <c r="AZ26" s="3562"/>
      <c r="BA26" s="3561">
        <f t="shared" si="23"/>
        <v>0</v>
      </c>
      <c r="BB26" s="3563" t="s">
        <v>3999</v>
      </c>
      <c r="BC26" s="3547"/>
      <c r="BD26" s="3609"/>
      <c r="BE26" s="3562"/>
      <c r="BF26" s="3561">
        <f t="shared" si="46"/>
        <v>0</v>
      </c>
      <c r="BG26" s="3559"/>
      <c r="BH26" s="3562"/>
      <c r="BI26" s="3561">
        <f t="shared" si="47"/>
        <v>0</v>
      </c>
      <c r="BJ26" s="3563" t="s">
        <v>3999</v>
      </c>
      <c r="BK26" s="3547"/>
      <c r="BL26" s="3609"/>
      <c r="BM26" s="3562"/>
      <c r="BN26" s="3561">
        <f t="shared" si="48"/>
        <v>0</v>
      </c>
      <c r="BO26" s="3559"/>
      <c r="BP26" s="3562"/>
      <c r="BQ26" s="3561">
        <f t="shared" si="49"/>
        <v>0</v>
      </c>
      <c r="BR26" s="3563" t="s">
        <v>3999</v>
      </c>
      <c r="BS26" s="3547"/>
      <c r="BT26" s="3609"/>
      <c r="BU26" s="3562"/>
      <c r="BV26" s="3561">
        <f t="shared" si="50"/>
        <v>0</v>
      </c>
      <c r="BW26" s="3559"/>
      <c r="BX26" s="3562"/>
      <c r="BY26" s="3561">
        <f t="shared" si="51"/>
        <v>0</v>
      </c>
      <c r="BZ26" s="3563" t="s">
        <v>3999</v>
      </c>
      <c r="CA26" s="3547"/>
      <c r="CB26" s="3609"/>
      <c r="CC26" s="3562"/>
      <c r="CD26" s="3561">
        <f t="shared" si="52"/>
        <v>0</v>
      </c>
      <c r="CE26" s="3559"/>
      <c r="CF26" s="3562"/>
      <c r="CG26" s="3561">
        <f t="shared" si="53"/>
        <v>0</v>
      </c>
      <c r="CH26" s="3563" t="s">
        <v>3999</v>
      </c>
      <c r="CI26" s="3547"/>
      <c r="CJ26" s="3609"/>
      <c r="CK26" s="3562"/>
      <c r="CL26" s="3561">
        <f t="shared" si="5"/>
        <v>0</v>
      </c>
      <c r="CM26" s="3559"/>
      <c r="CN26" s="3562"/>
      <c r="CO26" s="3561">
        <f t="shared" si="54"/>
        <v>0</v>
      </c>
      <c r="CP26" s="3563" t="s">
        <v>3999</v>
      </c>
      <c r="CQ26" s="3547"/>
      <c r="CR26" s="3621"/>
      <c r="CS26" s="3603"/>
      <c r="CT26" s="3602">
        <f t="shared" si="55"/>
        <v>0</v>
      </c>
      <c r="CU26" s="3604"/>
      <c r="CV26" s="3603"/>
      <c r="CW26" s="3561">
        <f t="shared" si="56"/>
        <v>0</v>
      </c>
      <c r="CX26" s="3563" t="s">
        <v>3999</v>
      </c>
      <c r="CY26" s="3597"/>
      <c r="CZ26" s="3609"/>
      <c r="DA26" s="3562"/>
      <c r="DB26" s="3561">
        <f t="shared" si="57"/>
        <v>0</v>
      </c>
      <c r="DC26" s="3559"/>
      <c r="DD26" s="3562"/>
      <c r="DE26" s="3561">
        <f t="shared" si="58"/>
        <v>0</v>
      </c>
      <c r="DF26" s="3563" t="s">
        <v>3999</v>
      </c>
      <c r="DG26" s="3547"/>
      <c r="DH26" s="3609"/>
      <c r="DI26" s="3562"/>
      <c r="DJ26" s="3561">
        <f t="shared" si="59"/>
        <v>0</v>
      </c>
      <c r="DK26" s="3559"/>
      <c r="DL26" s="3562"/>
      <c r="DM26" s="3561">
        <f t="shared" si="60"/>
        <v>0</v>
      </c>
      <c r="DN26" s="3563"/>
      <c r="DO26" s="3547"/>
      <c r="DP26" s="3609"/>
      <c r="DQ26" s="3562"/>
      <c r="DR26" s="3561">
        <f t="shared" si="61"/>
        <v>0</v>
      </c>
      <c r="DS26" s="3559"/>
      <c r="DT26" s="3562"/>
      <c r="DU26" s="3561">
        <f t="shared" si="62"/>
        <v>0</v>
      </c>
      <c r="DV26" s="3563"/>
      <c r="DW26" s="3547"/>
      <c r="DX26" s="3609"/>
      <c r="DY26" s="3562"/>
      <c r="DZ26" s="3561">
        <f t="shared" si="63"/>
        <v>0</v>
      </c>
      <c r="EA26" s="3559"/>
      <c r="EB26" s="3562"/>
      <c r="EC26" s="3561">
        <f t="shared" si="64"/>
        <v>0</v>
      </c>
      <c r="ED26" s="3563"/>
      <c r="EF26" s="3565">
        <f t="shared" si="37"/>
        <v>0</v>
      </c>
      <c r="EG26" s="3565">
        <f t="shared" si="24"/>
        <v>0</v>
      </c>
      <c r="EH26" s="3565">
        <f t="shared" si="24"/>
        <v>0</v>
      </c>
      <c r="EI26" s="3565">
        <f t="shared" si="24"/>
        <v>0</v>
      </c>
      <c r="EJ26" s="3565">
        <f t="shared" si="38"/>
        <v>0</v>
      </c>
      <c r="EK26" s="3566">
        <f t="shared" si="39"/>
        <v>0</v>
      </c>
      <c r="EL26" s="3610"/>
      <c r="EM26" s="3567">
        <f t="shared" si="40"/>
        <v>0</v>
      </c>
      <c r="EN26" s="3557">
        <f t="shared" si="25"/>
        <v>0</v>
      </c>
      <c r="EO26" s="3557">
        <f t="shared" si="25"/>
        <v>0</v>
      </c>
      <c r="EP26" s="3557">
        <f t="shared" si="25"/>
        <v>0</v>
      </c>
      <c r="EQ26" s="3557">
        <f t="shared" si="41"/>
        <v>0</v>
      </c>
      <c r="ER26" s="3557">
        <f t="shared" si="42"/>
        <v>0</v>
      </c>
      <c r="ES26" s="3557"/>
      <c r="ET26" s="3612"/>
      <c r="EU26" s="3569"/>
      <c r="EV26" s="3562"/>
      <c r="EW26" s="3547">
        <f t="shared" si="26"/>
        <v>0</v>
      </c>
      <c r="EX26" s="3612"/>
      <c r="EY26" s="3569"/>
      <c r="EZ26" s="3562"/>
      <c r="FA26" s="3547">
        <f t="shared" si="27"/>
        <v>0</v>
      </c>
      <c r="FB26" s="3612"/>
      <c r="FC26" s="3569"/>
      <c r="FD26" s="3562"/>
      <c r="FE26" s="3547">
        <f t="shared" si="65"/>
        <v>0</v>
      </c>
      <c r="FF26" s="3612"/>
      <c r="FG26" s="3569"/>
      <c r="FH26" s="3562"/>
      <c r="FI26" s="3547">
        <f t="shared" si="66"/>
        <v>0</v>
      </c>
      <c r="FJ26" s="3612"/>
      <c r="FK26" s="3569"/>
      <c r="FL26" s="3562"/>
      <c r="FM26" s="3547">
        <f t="shared" si="67"/>
        <v>0</v>
      </c>
      <c r="FN26" s="3612"/>
      <c r="FO26" s="3559"/>
      <c r="FP26" s="3562"/>
      <c r="FQ26" s="3547">
        <f t="shared" si="68"/>
        <v>0</v>
      </c>
      <c r="FR26" s="3612"/>
      <c r="FS26" s="3569"/>
      <c r="FT26" s="3560"/>
      <c r="FU26" s="3547">
        <f t="shared" si="69"/>
        <v>0</v>
      </c>
      <c r="FV26" s="3612"/>
      <c r="FW26" s="3559"/>
      <c r="FX26" s="3560"/>
      <c r="FY26" s="3547">
        <f t="shared" si="70"/>
        <v>0</v>
      </c>
      <c r="FZ26" s="3612"/>
      <c r="GA26" s="3569"/>
      <c r="GB26" s="3560"/>
      <c r="GC26" s="3547">
        <f t="shared" si="71"/>
        <v>0</v>
      </c>
      <c r="GD26" s="3612"/>
      <c r="GE26" s="3569"/>
      <c r="GF26" s="3560"/>
      <c r="GG26" s="3547">
        <f t="shared" si="72"/>
        <v>0</v>
      </c>
      <c r="GH26" s="3612"/>
      <c r="GI26" s="3637"/>
      <c r="GJ26" s="3638"/>
      <c r="GK26" s="3547">
        <f t="shared" si="73"/>
        <v>0</v>
      </c>
      <c r="GL26" s="3612"/>
      <c r="GM26" s="3569"/>
      <c r="GN26" s="3562"/>
      <c r="GO26" s="3547">
        <f t="shared" si="74"/>
        <v>0</v>
      </c>
      <c r="GP26" s="3612"/>
      <c r="GQ26" s="3569"/>
      <c r="GR26" s="3562"/>
      <c r="GS26" s="3547">
        <f t="shared" si="75"/>
        <v>0</v>
      </c>
      <c r="GT26" s="3568"/>
      <c r="GU26" s="3569"/>
      <c r="GV26" s="3562"/>
      <c r="GW26" s="3547">
        <f t="shared" si="76"/>
        <v>0</v>
      </c>
      <c r="GX26" s="3612"/>
      <c r="GY26" s="3569"/>
      <c r="GZ26" s="3562"/>
      <c r="HA26" s="3547">
        <f t="shared" si="77"/>
        <v>0</v>
      </c>
      <c r="HB26" s="3568"/>
      <c r="HC26" s="3569"/>
      <c r="HD26" s="3562"/>
      <c r="HE26" s="3547">
        <f t="shared" si="78"/>
        <v>0</v>
      </c>
      <c r="HF26" s="3568"/>
      <c r="HG26" s="3569"/>
      <c r="HH26" s="3562"/>
      <c r="HI26" s="3547">
        <f t="shared" si="79"/>
        <v>0</v>
      </c>
      <c r="HJ26" s="3568"/>
      <c r="HK26" s="3569"/>
      <c r="HL26" s="3562"/>
      <c r="HM26" s="3547">
        <f t="shared" si="80"/>
        <v>0</v>
      </c>
      <c r="HN26" s="3568"/>
      <c r="HO26" s="3569"/>
      <c r="HP26" s="3562"/>
      <c r="HQ26" s="3547">
        <f t="shared" si="81"/>
        <v>0</v>
      </c>
      <c r="HR26" s="3568"/>
      <c r="HS26" s="3569"/>
      <c r="HT26" s="3562"/>
      <c r="HU26" s="3547">
        <f t="shared" si="82"/>
        <v>0</v>
      </c>
      <c r="HV26" s="3612"/>
      <c r="HW26" s="3569"/>
      <c r="HX26" s="3562"/>
      <c r="HY26" s="3547">
        <f t="shared" si="83"/>
        <v>0</v>
      </c>
      <c r="HZ26" s="3612"/>
      <c r="IA26" s="3569"/>
      <c r="IB26" s="3562"/>
      <c r="IC26" s="3547">
        <f t="shared" si="84"/>
        <v>0</v>
      </c>
      <c r="ID26" s="3612"/>
      <c r="IE26" s="3569"/>
      <c r="IF26" s="3562"/>
      <c r="IG26" s="3547">
        <f t="shared" si="85"/>
        <v>0</v>
      </c>
      <c r="IH26" s="3612"/>
      <c r="II26" s="3569"/>
      <c r="IJ26" s="3562"/>
      <c r="IK26" s="3547">
        <f t="shared" si="86"/>
        <v>0</v>
      </c>
      <c r="IL26" s="3570"/>
      <c r="IM26" s="3569"/>
      <c r="IN26" s="3569"/>
      <c r="IO26" s="3571"/>
      <c r="IP26" s="3560">
        <f t="shared" si="87"/>
        <v>0</v>
      </c>
      <c r="IQ26" s="3568"/>
      <c r="IR26" s="3568"/>
      <c r="IS26" s="3568"/>
      <c r="IT26" s="3568"/>
      <c r="IU26" s="3568"/>
      <c r="IV26" s="3568"/>
      <c r="IW26" s="3568"/>
      <c r="IX26" s="3568"/>
      <c r="IY26" s="3568"/>
      <c r="IZ26" s="3560"/>
      <c r="JA26" s="3560"/>
      <c r="JB26" s="3560"/>
      <c r="JC26" s="3560">
        <f t="shared" si="11"/>
        <v>0</v>
      </c>
      <c r="JD26" s="3571"/>
      <c r="JE26" s="3568"/>
      <c r="JF26" s="3568"/>
      <c r="JG26" s="3568"/>
      <c r="JH26" s="3568"/>
      <c r="JI26" s="3568"/>
      <c r="JJ26" s="3568"/>
      <c r="JK26" s="3568"/>
      <c r="JL26" s="3568"/>
      <c r="JM26" s="3568"/>
      <c r="JN26" s="3560"/>
      <c r="JO26" s="3560"/>
      <c r="JP26" s="3570"/>
      <c r="JQ26" s="3583"/>
      <c r="JR26" s="3583"/>
      <c r="JS26" s="3573">
        <f t="shared" si="28"/>
        <v>0</v>
      </c>
      <c r="JT26" s="3573">
        <f t="shared" si="35"/>
        <v>0</v>
      </c>
      <c r="JU26" s="3574">
        <f t="shared" si="29"/>
        <v>0</v>
      </c>
      <c r="JV26" s="3574">
        <f t="shared" si="30"/>
        <v>0</v>
      </c>
      <c r="JW26" s="3575"/>
      <c r="JX26" s="3576">
        <f t="shared" si="31"/>
        <v>0</v>
      </c>
      <c r="JY26" s="3576">
        <f t="shared" si="32"/>
        <v>0</v>
      </c>
      <c r="JZ26" s="3577"/>
      <c r="KA26" s="3573">
        <f>HA26+HE26</f>
        <v>0</v>
      </c>
      <c r="KB26" s="3573"/>
      <c r="KC26" s="3573"/>
      <c r="KD26" s="3573">
        <f t="shared" si="33"/>
        <v>0</v>
      </c>
      <c r="KE26" s="3571"/>
      <c r="KF26" s="3579"/>
      <c r="KG26" s="3579"/>
      <c r="KH26" s="3579"/>
      <c r="KI26" s="3579"/>
      <c r="KJ26" s="3579"/>
      <c r="KK26" s="3579"/>
      <c r="KL26" s="3579"/>
      <c r="KM26" s="3579"/>
      <c r="KN26" s="3579"/>
      <c r="KO26" s="3579"/>
      <c r="KP26" s="3579"/>
      <c r="KQ26" s="3579">
        <f t="shared" si="34"/>
        <v>0</v>
      </c>
      <c r="KR26" s="3579">
        <f t="shared" si="88"/>
        <v>0</v>
      </c>
      <c r="KS26" s="3577"/>
      <c r="KT26" s="3577"/>
      <c r="KU26" s="3577"/>
      <c r="KV26" s="3577"/>
      <c r="KW26" s="3577"/>
      <c r="KX26" s="3577"/>
      <c r="KY26" s="3577"/>
      <c r="KZ26" s="3577"/>
      <c r="LA26" s="3577"/>
      <c r="LB26" s="3577"/>
      <c r="LC26" s="3577"/>
      <c r="LD26" s="3577"/>
      <c r="LE26" s="3577"/>
      <c r="LF26" s="3577"/>
      <c r="LG26" s="3577"/>
      <c r="LH26" s="3577"/>
      <c r="LI26" s="3577"/>
      <c r="LJ26" s="3575"/>
      <c r="LK26" s="3571"/>
      <c r="LL26" s="3576"/>
    </row>
    <row r="27" spans="1:325" s="3580" customFormat="1" ht="18" customHeight="1">
      <c r="A27" s="3545">
        <v>24</v>
      </c>
      <c r="B27" s="3546" t="s">
        <v>3937</v>
      </c>
      <c r="C27" s="3617" t="s">
        <v>4000</v>
      </c>
      <c r="D27" s="3618">
        <v>125.37</v>
      </c>
      <c r="E27" s="3548" t="s">
        <v>3789</v>
      </c>
      <c r="F27" s="3546" t="s">
        <v>3790</v>
      </c>
      <c r="G27" s="3546" t="s">
        <v>4001</v>
      </c>
      <c r="H27" s="3546" t="s">
        <v>4002</v>
      </c>
      <c r="I27" s="3594" t="s">
        <v>4003</v>
      </c>
      <c r="J27" s="3594" t="s">
        <v>4004</v>
      </c>
      <c r="K27" s="3545" t="s">
        <v>4005</v>
      </c>
      <c r="L27" s="3546"/>
      <c r="M27" s="3551"/>
      <c r="N27" s="3551"/>
      <c r="O27" s="3551">
        <f t="shared" si="13"/>
        <v>0</v>
      </c>
      <c r="P27" s="3547"/>
      <c r="Q27" s="3547"/>
      <c r="R27" s="3547">
        <f t="shared" si="89"/>
        <v>0</v>
      </c>
      <c r="S27" s="3547">
        <f t="shared" si="14"/>
        <v>0</v>
      </c>
      <c r="T27" s="3552"/>
      <c r="U27" s="3553">
        <f t="shared" si="15"/>
        <v>0</v>
      </c>
      <c r="V27" s="3547"/>
      <c r="W27" s="3547">
        <f t="shared" si="16"/>
        <v>0</v>
      </c>
      <c r="X27" s="3552"/>
      <c r="Y27" s="3547">
        <f t="shared" si="17"/>
        <v>0</v>
      </c>
      <c r="Z27" s="3554"/>
      <c r="AA27" s="3555"/>
      <c r="AB27" s="3593"/>
      <c r="AC27" s="3556">
        <f t="shared" si="18"/>
        <v>0</v>
      </c>
      <c r="AD27" s="3556">
        <f t="shared" si="19"/>
        <v>0</v>
      </c>
      <c r="AE27" s="3556">
        <f t="shared" si="19"/>
        <v>0</v>
      </c>
      <c r="AF27" s="3556">
        <f t="shared" si="20"/>
        <v>0</v>
      </c>
      <c r="AG27" s="3556"/>
      <c r="AH27" s="3557">
        <f t="shared" si="21"/>
        <v>0</v>
      </c>
      <c r="AI27" s="3558">
        <f t="shared" si="22"/>
        <v>0</v>
      </c>
      <c r="AJ27" s="3558">
        <f t="shared" si="22"/>
        <v>0</v>
      </c>
      <c r="AK27" s="3557">
        <f t="shared" si="43"/>
        <v>0</v>
      </c>
      <c r="AL27" s="3557"/>
      <c r="AM27" s="3547"/>
      <c r="AN27" s="3609"/>
      <c r="AO27" s="3562"/>
      <c r="AP27" s="3561">
        <f t="shared" si="44"/>
        <v>0</v>
      </c>
      <c r="AQ27" s="3559"/>
      <c r="AR27" s="3562"/>
      <c r="AS27" s="3561">
        <f t="shared" si="36"/>
        <v>0</v>
      </c>
      <c r="AT27" s="3563" t="s">
        <v>4006</v>
      </c>
      <c r="AU27" s="3547"/>
      <c r="AV27" s="3609"/>
      <c r="AW27" s="3562"/>
      <c r="AX27" s="3561">
        <f t="shared" si="45"/>
        <v>0</v>
      </c>
      <c r="AY27" s="3559"/>
      <c r="AZ27" s="3562"/>
      <c r="BA27" s="3561">
        <f t="shared" si="23"/>
        <v>0</v>
      </c>
      <c r="BB27" s="3563" t="s">
        <v>4006</v>
      </c>
      <c r="BC27" s="3547"/>
      <c r="BD27" s="3609"/>
      <c r="BE27" s="3562"/>
      <c r="BF27" s="3561">
        <f t="shared" si="46"/>
        <v>0</v>
      </c>
      <c r="BG27" s="3559"/>
      <c r="BH27" s="3562"/>
      <c r="BI27" s="3561">
        <f t="shared" si="47"/>
        <v>0</v>
      </c>
      <c r="BJ27" s="3563" t="s">
        <v>4006</v>
      </c>
      <c r="BK27" s="3547"/>
      <c r="BL27" s="3609"/>
      <c r="BM27" s="3562"/>
      <c r="BN27" s="3561">
        <f t="shared" si="48"/>
        <v>0</v>
      </c>
      <c r="BO27" s="3559"/>
      <c r="BP27" s="3562"/>
      <c r="BQ27" s="3561">
        <f t="shared" si="49"/>
        <v>0</v>
      </c>
      <c r="BR27" s="3563" t="s">
        <v>4006</v>
      </c>
      <c r="BS27" s="3547"/>
      <c r="BT27" s="3609"/>
      <c r="BU27" s="3562"/>
      <c r="BV27" s="3561">
        <f t="shared" si="50"/>
        <v>0</v>
      </c>
      <c r="BW27" s="3559"/>
      <c r="BX27" s="3562"/>
      <c r="BY27" s="3561">
        <f t="shared" si="51"/>
        <v>0</v>
      </c>
      <c r="BZ27" s="3563" t="s">
        <v>4006</v>
      </c>
      <c r="CA27" s="3547"/>
      <c r="CB27" s="3609"/>
      <c r="CC27" s="3562"/>
      <c r="CD27" s="3561">
        <f t="shared" si="52"/>
        <v>0</v>
      </c>
      <c r="CE27" s="3559"/>
      <c r="CF27" s="3562"/>
      <c r="CG27" s="3561">
        <f t="shared" si="53"/>
        <v>0</v>
      </c>
      <c r="CH27" s="3563" t="s">
        <v>4006</v>
      </c>
      <c r="CI27" s="3547"/>
      <c r="CJ27" s="3609"/>
      <c r="CK27" s="3562"/>
      <c r="CL27" s="3561">
        <f t="shared" si="5"/>
        <v>0</v>
      </c>
      <c r="CM27" s="3559"/>
      <c r="CN27" s="3562"/>
      <c r="CO27" s="3561">
        <f t="shared" si="54"/>
        <v>0</v>
      </c>
      <c r="CP27" s="3563" t="s">
        <v>4006</v>
      </c>
      <c r="CQ27" s="3547"/>
      <c r="CR27" s="3621"/>
      <c r="CS27" s="3603"/>
      <c r="CT27" s="3602">
        <f t="shared" si="55"/>
        <v>0</v>
      </c>
      <c r="CU27" s="3604"/>
      <c r="CV27" s="3603"/>
      <c r="CW27" s="3561">
        <f t="shared" si="56"/>
        <v>0</v>
      </c>
      <c r="CX27" s="3563" t="s">
        <v>4006</v>
      </c>
      <c r="CY27" s="3597"/>
      <c r="CZ27" s="3609"/>
      <c r="DA27" s="3562"/>
      <c r="DB27" s="3561">
        <f t="shared" si="57"/>
        <v>0</v>
      </c>
      <c r="DC27" s="3559"/>
      <c r="DD27" s="3562"/>
      <c r="DE27" s="3561">
        <f t="shared" si="58"/>
        <v>0</v>
      </c>
      <c r="DF27" s="3563" t="s">
        <v>4006</v>
      </c>
      <c r="DG27" s="3547"/>
      <c r="DH27" s="3609"/>
      <c r="DI27" s="3562"/>
      <c r="DJ27" s="3561">
        <f t="shared" si="59"/>
        <v>0</v>
      </c>
      <c r="DK27" s="3559"/>
      <c r="DL27" s="3562"/>
      <c r="DM27" s="3561">
        <f t="shared" si="60"/>
        <v>0</v>
      </c>
      <c r="DN27" s="3563"/>
      <c r="DO27" s="3547"/>
      <c r="DP27" s="3609"/>
      <c r="DQ27" s="3562"/>
      <c r="DR27" s="3561">
        <f t="shared" si="61"/>
        <v>0</v>
      </c>
      <c r="DS27" s="3559"/>
      <c r="DT27" s="3562"/>
      <c r="DU27" s="3561">
        <f t="shared" si="62"/>
        <v>0</v>
      </c>
      <c r="DV27" s="3563"/>
      <c r="DW27" s="3547"/>
      <c r="DX27" s="3609"/>
      <c r="DY27" s="3562"/>
      <c r="DZ27" s="3561">
        <f t="shared" si="63"/>
        <v>0</v>
      </c>
      <c r="EA27" s="3559"/>
      <c r="EB27" s="3562"/>
      <c r="EC27" s="3561">
        <f t="shared" si="64"/>
        <v>0</v>
      </c>
      <c r="ED27" s="3563"/>
      <c r="EE27" s="3564"/>
      <c r="EF27" s="3565">
        <f t="shared" si="37"/>
        <v>0</v>
      </c>
      <c r="EG27" s="3565">
        <f t="shared" si="24"/>
        <v>0</v>
      </c>
      <c r="EH27" s="3565">
        <f t="shared" si="24"/>
        <v>0</v>
      </c>
      <c r="EI27" s="3565">
        <f t="shared" si="24"/>
        <v>0</v>
      </c>
      <c r="EJ27" s="3565">
        <f t="shared" si="38"/>
        <v>0</v>
      </c>
      <c r="EK27" s="3566">
        <f t="shared" si="39"/>
        <v>0</v>
      </c>
      <c r="EL27" s="3610"/>
      <c r="EM27" s="3567">
        <f t="shared" si="40"/>
        <v>0</v>
      </c>
      <c r="EN27" s="3557">
        <f t="shared" si="25"/>
        <v>0</v>
      </c>
      <c r="EO27" s="3557">
        <f t="shared" si="25"/>
        <v>0</v>
      </c>
      <c r="EP27" s="3557">
        <f t="shared" si="25"/>
        <v>0</v>
      </c>
      <c r="EQ27" s="3557">
        <f t="shared" si="41"/>
        <v>0</v>
      </c>
      <c r="ER27" s="3557">
        <f t="shared" si="42"/>
        <v>0</v>
      </c>
      <c r="ES27" s="3557"/>
      <c r="ET27" s="3612"/>
      <c r="EU27" s="3569"/>
      <c r="EV27" s="3562"/>
      <c r="EW27" s="3547">
        <f t="shared" si="26"/>
        <v>0</v>
      </c>
      <c r="EX27" s="3568"/>
      <c r="EY27" s="3569"/>
      <c r="EZ27" s="3562"/>
      <c r="FA27" s="3547">
        <f t="shared" si="27"/>
        <v>0</v>
      </c>
      <c r="FB27" s="3612"/>
      <c r="FC27" s="3569"/>
      <c r="FD27" s="3562"/>
      <c r="FE27" s="3547">
        <f t="shared" si="65"/>
        <v>0</v>
      </c>
      <c r="FF27" s="3568"/>
      <c r="FG27" s="3569"/>
      <c r="FH27" s="3562"/>
      <c r="FI27" s="3547">
        <f t="shared" si="66"/>
        <v>0</v>
      </c>
      <c r="FJ27" s="3612"/>
      <c r="FK27" s="3569"/>
      <c r="FL27" s="3562"/>
      <c r="FM27" s="3547">
        <f t="shared" si="67"/>
        <v>0</v>
      </c>
      <c r="FN27" s="3568"/>
      <c r="FO27" s="3559"/>
      <c r="FP27" s="3562"/>
      <c r="FQ27" s="3547">
        <f t="shared" si="68"/>
        <v>0</v>
      </c>
      <c r="FR27" s="3612"/>
      <c r="FS27" s="3569"/>
      <c r="FT27" s="3560"/>
      <c r="FU27" s="3547">
        <f t="shared" si="69"/>
        <v>0</v>
      </c>
      <c r="FV27" s="3568"/>
      <c r="FW27" s="3559"/>
      <c r="FX27" s="3560"/>
      <c r="FY27" s="3547">
        <f t="shared" si="70"/>
        <v>0</v>
      </c>
      <c r="FZ27" s="3612"/>
      <c r="GA27" s="3569"/>
      <c r="GB27" s="3560"/>
      <c r="GC27" s="3547">
        <f t="shared" si="71"/>
        <v>0</v>
      </c>
      <c r="GD27" s="3568"/>
      <c r="GE27" s="3569"/>
      <c r="GF27" s="3560"/>
      <c r="GG27" s="3547">
        <f t="shared" si="72"/>
        <v>0</v>
      </c>
      <c r="GH27" s="3640"/>
      <c r="GI27" s="3637"/>
      <c r="GJ27" s="3638"/>
      <c r="GK27" s="3547">
        <f t="shared" si="73"/>
        <v>0</v>
      </c>
      <c r="GL27" s="3568"/>
      <c r="GM27" s="3569"/>
      <c r="GN27" s="3562"/>
      <c r="GO27" s="3547">
        <f t="shared" si="74"/>
        <v>0</v>
      </c>
      <c r="GP27" s="3612"/>
      <c r="GQ27" s="3569"/>
      <c r="GR27" s="3562"/>
      <c r="GS27" s="3547">
        <f t="shared" si="75"/>
        <v>0</v>
      </c>
      <c r="GT27" s="3568"/>
      <c r="GU27" s="3569"/>
      <c r="GV27" s="3562"/>
      <c r="GW27" s="3547">
        <f t="shared" si="76"/>
        <v>0</v>
      </c>
      <c r="GX27" s="3612"/>
      <c r="GY27" s="3569"/>
      <c r="GZ27" s="3562"/>
      <c r="HA27" s="3547">
        <f t="shared" si="77"/>
        <v>0</v>
      </c>
      <c r="HB27" s="3568"/>
      <c r="HC27" s="3569"/>
      <c r="HD27" s="3562"/>
      <c r="HE27" s="3547">
        <f t="shared" si="78"/>
        <v>0</v>
      </c>
      <c r="HF27" s="3612"/>
      <c r="HG27" s="3569"/>
      <c r="HH27" s="3562"/>
      <c r="HI27" s="3547">
        <f t="shared" si="79"/>
        <v>0</v>
      </c>
      <c r="HJ27" s="3568"/>
      <c r="HK27" s="3569"/>
      <c r="HL27" s="3562"/>
      <c r="HM27" s="3547">
        <f t="shared" si="80"/>
        <v>0</v>
      </c>
      <c r="HN27" s="3612"/>
      <c r="HO27" s="3569"/>
      <c r="HP27" s="3562"/>
      <c r="HQ27" s="3547">
        <f t="shared" si="81"/>
        <v>0</v>
      </c>
      <c r="HR27" s="3568"/>
      <c r="HS27" s="3569"/>
      <c r="HT27" s="3562"/>
      <c r="HU27" s="3547">
        <f t="shared" si="82"/>
        <v>0</v>
      </c>
      <c r="HV27" s="3612"/>
      <c r="HW27" s="3569"/>
      <c r="HX27" s="3562"/>
      <c r="HY27" s="3547">
        <f t="shared" si="83"/>
        <v>0</v>
      </c>
      <c r="HZ27" s="3568"/>
      <c r="IA27" s="3569"/>
      <c r="IB27" s="3562"/>
      <c r="IC27" s="3547">
        <f t="shared" si="84"/>
        <v>0</v>
      </c>
      <c r="ID27" s="3612"/>
      <c r="IE27" s="3569"/>
      <c r="IF27" s="3562"/>
      <c r="IG27" s="3547">
        <f t="shared" si="85"/>
        <v>0</v>
      </c>
      <c r="IH27" s="3568"/>
      <c r="II27" s="3569"/>
      <c r="IJ27" s="3562"/>
      <c r="IK27" s="3547">
        <f t="shared" si="86"/>
        <v>0</v>
      </c>
      <c r="IL27" s="3570"/>
      <c r="IM27" s="3569"/>
      <c r="IN27" s="3569"/>
      <c r="IO27" s="3571"/>
      <c r="IP27" s="3560">
        <f t="shared" si="87"/>
        <v>0</v>
      </c>
      <c r="IQ27" s="3568"/>
      <c r="IR27" s="3568"/>
      <c r="IS27" s="3568"/>
      <c r="IT27" s="3568"/>
      <c r="IU27" s="3568"/>
      <c r="IV27" s="3568"/>
      <c r="IW27" s="3568"/>
      <c r="IX27" s="3568"/>
      <c r="IY27" s="3568"/>
      <c r="IZ27" s="3562"/>
      <c r="JA27" s="3562"/>
      <c r="JB27" s="3562"/>
      <c r="JC27" s="3560">
        <f t="shared" si="11"/>
        <v>0</v>
      </c>
      <c r="JD27" s="3571"/>
      <c r="JE27" s="3568"/>
      <c r="JF27" s="3568"/>
      <c r="JG27" s="3568"/>
      <c r="JH27" s="3568"/>
      <c r="JI27" s="3568"/>
      <c r="JJ27" s="3568"/>
      <c r="JK27" s="3568"/>
      <c r="JL27" s="3568"/>
      <c r="JM27" s="3568"/>
      <c r="JN27" s="3562"/>
      <c r="JO27" s="3562"/>
      <c r="JP27" s="3570"/>
      <c r="JQ27" s="3583"/>
      <c r="JR27" s="3583"/>
      <c r="JS27" s="3573">
        <f t="shared" si="28"/>
        <v>0</v>
      </c>
      <c r="JT27" s="3573">
        <f t="shared" si="35"/>
        <v>0</v>
      </c>
      <c r="JU27" s="3574">
        <f t="shared" si="29"/>
        <v>0</v>
      </c>
      <c r="JV27" s="3574">
        <f t="shared" si="30"/>
        <v>0</v>
      </c>
      <c r="JW27" s="3575"/>
      <c r="JX27" s="3576">
        <f t="shared" si="31"/>
        <v>0</v>
      </c>
      <c r="JY27" s="3576">
        <f t="shared" si="32"/>
        <v>0</v>
      </c>
      <c r="JZ27" s="3577"/>
      <c r="KA27" s="3573">
        <f>HA27+HE27</f>
        <v>0</v>
      </c>
      <c r="KB27" s="3573"/>
      <c r="KC27" s="3573"/>
      <c r="KD27" s="3573">
        <f t="shared" si="33"/>
        <v>0</v>
      </c>
      <c r="KE27" s="3571"/>
      <c r="KF27" s="3579"/>
      <c r="KG27" s="3579"/>
      <c r="KH27" s="3579"/>
      <c r="KI27" s="3579"/>
      <c r="KJ27" s="3579"/>
      <c r="KK27" s="3579"/>
      <c r="KL27" s="3579"/>
      <c r="KM27" s="3579"/>
      <c r="KN27" s="3579"/>
      <c r="KO27" s="3579"/>
      <c r="KP27" s="3579"/>
      <c r="KQ27" s="3579">
        <f t="shared" si="34"/>
        <v>0</v>
      </c>
      <c r="KR27" s="3579">
        <f t="shared" si="88"/>
        <v>0</v>
      </c>
      <c r="KS27" s="3577"/>
      <c r="KT27" s="3577"/>
      <c r="KU27" s="3577"/>
      <c r="KV27" s="3577"/>
      <c r="KW27" s="3577"/>
      <c r="KX27" s="3577"/>
      <c r="KY27" s="3577"/>
      <c r="KZ27" s="3577"/>
      <c r="LA27" s="3577"/>
      <c r="LB27" s="3577"/>
      <c r="LC27" s="3577"/>
      <c r="LD27" s="3577"/>
      <c r="LE27" s="3577"/>
      <c r="LF27" s="3577"/>
      <c r="LG27" s="3577"/>
      <c r="LH27" s="3577"/>
      <c r="LJ27" s="3575"/>
      <c r="LK27" s="3571"/>
      <c r="LL27" s="3576"/>
    </row>
    <row r="28" spans="1:325" s="3580" customFormat="1" ht="18" customHeight="1">
      <c r="A28" s="3545">
        <v>25</v>
      </c>
      <c r="B28" s="3546" t="s">
        <v>3937</v>
      </c>
      <c r="C28" s="3615" t="s">
        <v>4007</v>
      </c>
      <c r="D28" s="3547">
        <v>221.83</v>
      </c>
      <c r="E28" s="3548" t="s">
        <v>3799</v>
      </c>
      <c r="F28" s="3546" t="s">
        <v>3790</v>
      </c>
      <c r="G28" s="3546" t="s">
        <v>4008</v>
      </c>
      <c r="H28" s="3546" t="s">
        <v>4009</v>
      </c>
      <c r="I28" s="3594" t="s">
        <v>4010</v>
      </c>
      <c r="J28" s="3594" t="s">
        <v>4011</v>
      </c>
      <c r="K28" s="3545" t="s">
        <v>3885</v>
      </c>
      <c r="L28" s="3555"/>
      <c r="M28" s="3551">
        <v>86433.3</v>
      </c>
      <c r="N28" s="3551">
        <v>86433.3</v>
      </c>
      <c r="O28" s="3551">
        <f t="shared" si="13"/>
        <v>0</v>
      </c>
      <c r="P28" s="3547">
        <v>16800.84</v>
      </c>
      <c r="Q28" s="3547">
        <v>16800.84</v>
      </c>
      <c r="R28" s="3547">
        <f t="shared" si="89"/>
        <v>0</v>
      </c>
      <c r="S28" s="3547">
        <f t="shared" si="14"/>
        <v>4.6700004137439564</v>
      </c>
      <c r="T28" s="3641">
        <v>31510.03</v>
      </c>
      <c r="U28" s="3553">
        <f t="shared" si="15"/>
        <v>378120.36</v>
      </c>
      <c r="V28" s="3620">
        <f>28811.1*9+31510.03*12</f>
        <v>637420.26</v>
      </c>
      <c r="W28" s="3547">
        <f t="shared" si="16"/>
        <v>0.82999952450321379</v>
      </c>
      <c r="X28" s="3642">
        <v>5600.28</v>
      </c>
      <c r="Y28" s="3547">
        <f t="shared" si="17"/>
        <v>67203.360000000001</v>
      </c>
      <c r="Z28" s="3554"/>
      <c r="AA28" s="3555"/>
      <c r="AB28" s="3643" t="s">
        <v>3899</v>
      </c>
      <c r="AC28" s="3556">
        <f t="shared" si="18"/>
        <v>362922.98136986303</v>
      </c>
      <c r="AD28" s="3556">
        <f t="shared" si="19"/>
        <v>268392.89136986301</v>
      </c>
      <c r="AE28" s="3556">
        <f t="shared" si="19"/>
        <v>268392.89</v>
      </c>
      <c r="AF28" s="3556">
        <f t="shared" si="20"/>
        <v>-1.3698629918508232E-3</v>
      </c>
      <c r="AG28" s="3556"/>
      <c r="AH28" s="3557">
        <f t="shared" si="21"/>
        <v>67203.360000000001</v>
      </c>
      <c r="AI28" s="3558">
        <f t="shared" si="22"/>
        <v>50402.52</v>
      </c>
      <c r="AJ28" s="3558">
        <f t="shared" si="22"/>
        <v>50402.52</v>
      </c>
      <c r="AK28" s="3557">
        <f t="shared" si="43"/>
        <v>0</v>
      </c>
      <c r="AL28" s="3557"/>
      <c r="AM28" s="3547" t="s">
        <v>3822</v>
      </c>
      <c r="AN28" s="3609">
        <v>28811.1</v>
      </c>
      <c r="AO28" s="3562">
        <v>28811.1</v>
      </c>
      <c r="AP28" s="3561">
        <f t="shared" si="44"/>
        <v>0</v>
      </c>
      <c r="AQ28" s="3559">
        <v>5600.28</v>
      </c>
      <c r="AR28" s="3562">
        <v>5600.28</v>
      </c>
      <c r="AS28" s="3561">
        <f t="shared" si="36"/>
        <v>0</v>
      </c>
      <c r="AT28" s="3563" t="s">
        <v>3823</v>
      </c>
      <c r="AU28" s="3547" t="s">
        <v>3824</v>
      </c>
      <c r="AV28" s="3609">
        <v>28811.1</v>
      </c>
      <c r="AW28" s="3562">
        <f>28811.1</f>
        <v>28811.1</v>
      </c>
      <c r="AX28" s="3561">
        <f t="shared" si="45"/>
        <v>0</v>
      </c>
      <c r="AY28" s="3559">
        <v>5600.28</v>
      </c>
      <c r="AZ28" s="3562">
        <v>5600.28</v>
      </c>
      <c r="BA28" s="3561">
        <f t="shared" si="23"/>
        <v>0</v>
      </c>
      <c r="BB28" s="3563" t="s">
        <v>3960</v>
      </c>
      <c r="BC28" s="3547" t="s">
        <v>3826</v>
      </c>
      <c r="BD28" s="3609">
        <v>28811.1</v>
      </c>
      <c r="BE28" s="3562">
        <v>28811.1</v>
      </c>
      <c r="BF28" s="3561">
        <f t="shared" si="46"/>
        <v>0</v>
      </c>
      <c r="BG28" s="3559">
        <v>5600.28</v>
      </c>
      <c r="BH28" s="3562">
        <v>5600.28</v>
      </c>
      <c r="BI28" s="3561">
        <f t="shared" si="47"/>
        <v>0</v>
      </c>
      <c r="BJ28" s="3563" t="s">
        <v>4012</v>
      </c>
      <c r="BK28" s="3547" t="s">
        <v>3873</v>
      </c>
      <c r="BL28" s="3609">
        <v>28811.1</v>
      </c>
      <c r="BM28" s="3603">
        <v>28811.1</v>
      </c>
      <c r="BN28" s="3602">
        <f t="shared" si="48"/>
        <v>0</v>
      </c>
      <c r="BO28" s="3604">
        <v>5600.28</v>
      </c>
      <c r="BP28" s="3603">
        <f>5600.28</f>
        <v>5600.28</v>
      </c>
      <c r="BQ28" s="3561">
        <f t="shared" si="49"/>
        <v>0</v>
      </c>
      <c r="BR28" s="3563" t="s">
        <v>4013</v>
      </c>
      <c r="BS28" s="3547" t="s">
        <v>3875</v>
      </c>
      <c r="BT28" s="3609">
        <v>28811.1</v>
      </c>
      <c r="BU28" s="3603">
        <v>28811.1</v>
      </c>
      <c r="BV28" s="3602">
        <f t="shared" si="50"/>
        <v>0</v>
      </c>
      <c r="BW28" s="3604">
        <v>5600.28</v>
      </c>
      <c r="BX28" s="3603">
        <v>5600.28</v>
      </c>
      <c r="BY28" s="3561">
        <f t="shared" si="51"/>
        <v>0</v>
      </c>
      <c r="BZ28" s="3563" t="s">
        <v>3963</v>
      </c>
      <c r="CA28" s="3644" t="s">
        <v>3877</v>
      </c>
      <c r="CB28" s="3601">
        <f>28811.1*12/365*26+31510.03*12/365*5</f>
        <v>29807.301369863013</v>
      </c>
      <c r="CC28" s="3562">
        <v>29807.3</v>
      </c>
      <c r="CD28" s="3561">
        <f t="shared" si="52"/>
        <v>-1.369863013678696E-3</v>
      </c>
      <c r="CE28" s="3559">
        <v>5600.28</v>
      </c>
      <c r="CF28" s="3562">
        <v>5600.28</v>
      </c>
      <c r="CG28" s="3561">
        <f t="shared" si="53"/>
        <v>0</v>
      </c>
      <c r="CH28" s="3563" t="s">
        <v>4014</v>
      </c>
      <c r="CI28" s="3547" t="s">
        <v>3948</v>
      </c>
      <c r="CJ28" s="3609">
        <v>31510.03</v>
      </c>
      <c r="CK28" s="3603">
        <v>31510.03</v>
      </c>
      <c r="CL28" s="3561">
        <f t="shared" si="5"/>
        <v>0</v>
      </c>
      <c r="CM28" s="3559">
        <v>5600.28</v>
      </c>
      <c r="CN28" s="3603">
        <v>5600.28</v>
      </c>
      <c r="CO28" s="3561">
        <f t="shared" si="54"/>
        <v>0</v>
      </c>
      <c r="CP28" s="3563" t="s">
        <v>4015</v>
      </c>
      <c r="CQ28" s="3547" t="s">
        <v>3950</v>
      </c>
      <c r="CR28" s="3621">
        <v>31510.03</v>
      </c>
      <c r="CS28" s="3603">
        <v>31510.03</v>
      </c>
      <c r="CT28" s="3602">
        <f t="shared" si="55"/>
        <v>0</v>
      </c>
      <c r="CU28" s="3604">
        <v>5600.28</v>
      </c>
      <c r="CV28" s="3603">
        <v>5600.28</v>
      </c>
      <c r="CW28" s="3561">
        <f t="shared" si="56"/>
        <v>0</v>
      </c>
      <c r="CX28" s="3563" t="s">
        <v>4016</v>
      </c>
      <c r="CY28" s="3597" t="s">
        <v>3966</v>
      </c>
      <c r="CZ28" s="3609">
        <v>31510.03</v>
      </c>
      <c r="DA28" s="3603">
        <v>31510.03</v>
      </c>
      <c r="DB28" s="3561">
        <f t="shared" si="57"/>
        <v>0</v>
      </c>
      <c r="DC28" s="3559">
        <v>5600.28</v>
      </c>
      <c r="DD28" s="3603">
        <v>5600.28</v>
      </c>
      <c r="DE28" s="3561">
        <f t="shared" si="58"/>
        <v>0</v>
      </c>
      <c r="DF28" s="3630" t="s">
        <v>3967</v>
      </c>
      <c r="DG28" s="3547" t="s">
        <v>3968</v>
      </c>
      <c r="DH28" s="3609">
        <v>31510.03</v>
      </c>
      <c r="DI28" s="3562"/>
      <c r="DJ28" s="3561">
        <f t="shared" si="59"/>
        <v>-31510.03</v>
      </c>
      <c r="DK28" s="3559">
        <v>5600.28</v>
      </c>
      <c r="DL28" s="3562"/>
      <c r="DM28" s="3561">
        <f t="shared" si="60"/>
        <v>-5600.28</v>
      </c>
      <c r="DN28" s="3563"/>
      <c r="DO28" s="3547" t="s">
        <v>3969</v>
      </c>
      <c r="DP28" s="3609">
        <v>31510.03</v>
      </c>
      <c r="DQ28" s="3562"/>
      <c r="DR28" s="3561">
        <f t="shared" si="61"/>
        <v>-31510.03</v>
      </c>
      <c r="DS28" s="3559">
        <v>5600.28</v>
      </c>
      <c r="DT28" s="3562"/>
      <c r="DU28" s="3561">
        <f t="shared" si="62"/>
        <v>-5600.28</v>
      </c>
      <c r="DV28" s="3563"/>
      <c r="DW28" s="3547" t="s">
        <v>3970</v>
      </c>
      <c r="DX28" s="3609">
        <v>31510.03</v>
      </c>
      <c r="DY28" s="3562"/>
      <c r="DZ28" s="3561">
        <f t="shared" si="63"/>
        <v>-31510.03</v>
      </c>
      <c r="EA28" s="3559">
        <v>5600.28</v>
      </c>
      <c r="EB28" s="3562"/>
      <c r="EC28" s="3561">
        <f t="shared" si="64"/>
        <v>-5600.28</v>
      </c>
      <c r="ED28" s="3563"/>
      <c r="EE28" s="3564"/>
      <c r="EF28" s="3565">
        <f t="shared" si="37"/>
        <v>343070.48227777757</v>
      </c>
      <c r="EG28" s="3565">
        <f t="shared" si="24"/>
        <v>253041.83311111099</v>
      </c>
      <c r="EH28" s="3565">
        <f t="shared" si="24"/>
        <v>253041.86797129805</v>
      </c>
      <c r="EI28" s="3565">
        <f t="shared" si="24"/>
        <v>253041.86666666661</v>
      </c>
      <c r="EJ28" s="3565">
        <f t="shared" si="38"/>
        <v>3.3555555623024702E-2</v>
      </c>
      <c r="EK28" s="3565">
        <f t="shared" si="39"/>
        <v>-1.3046314415987581E-3</v>
      </c>
      <c r="EL28" s="3610"/>
      <c r="EM28" s="3557">
        <f t="shared" si="40"/>
        <v>63399.432547169759</v>
      </c>
      <c r="EN28" s="3557">
        <f t="shared" si="25"/>
        <v>47549.574410377318</v>
      </c>
      <c r="EO28" s="3557">
        <f t="shared" si="25"/>
        <v>47549.547169811303</v>
      </c>
      <c r="EP28" s="3557">
        <f t="shared" si="25"/>
        <v>47549.547169811303</v>
      </c>
      <c r="EQ28" s="3557">
        <f t="shared" si="41"/>
        <v>-2.7240566014370415E-2</v>
      </c>
      <c r="ER28" s="3557">
        <f t="shared" si="42"/>
        <v>0</v>
      </c>
      <c r="ES28" s="3645"/>
      <c r="ET28" s="3612">
        <v>27439.138611111099</v>
      </c>
      <c r="EU28" s="3569">
        <f>28811.1/1.05</f>
        <v>27439.142857142855</v>
      </c>
      <c r="EV28" s="3562">
        <f t="shared" ref="EV28:EV32" si="90">28811.1/1.05</f>
        <v>27439.142857142855</v>
      </c>
      <c r="EW28" s="3547">
        <f t="shared" si="26"/>
        <v>4.2460317563381977E-3</v>
      </c>
      <c r="EX28" s="3568">
        <v>5283.2860455974796</v>
      </c>
      <c r="EY28" s="3569">
        <f>5600.28/1.06</f>
        <v>5283.2830188679236</v>
      </c>
      <c r="EZ28" s="3562">
        <f t="shared" ref="EZ28:EZ32" si="91">5600.28/1.06</f>
        <v>5283.2830188679236</v>
      </c>
      <c r="FA28" s="3547">
        <f t="shared" si="27"/>
        <v>-3.0267295560406637E-3</v>
      </c>
      <c r="FB28" s="3612">
        <v>27439.138611111099</v>
      </c>
      <c r="FC28" s="3569">
        <f t="shared" ref="FC28:FC32" si="92">28811.1/1.05</f>
        <v>27439.142857142855</v>
      </c>
      <c r="FD28" s="3562">
        <f>28811.1/1.05</f>
        <v>27439.142857142855</v>
      </c>
      <c r="FE28" s="3547">
        <f t="shared" si="65"/>
        <v>4.2460317563381977E-3</v>
      </c>
      <c r="FF28" s="3568">
        <v>5283.2860455974796</v>
      </c>
      <c r="FG28" s="3569">
        <f t="shared" ref="FG28:FG32" si="93">5600.28/1.06</f>
        <v>5283.2830188679236</v>
      </c>
      <c r="FH28" s="3562">
        <f>5600.28/1.06</f>
        <v>5283.2830188679236</v>
      </c>
      <c r="FI28" s="3547">
        <f t="shared" si="66"/>
        <v>-3.0267295560406637E-3</v>
      </c>
      <c r="FJ28" s="3612">
        <v>27439.138611111099</v>
      </c>
      <c r="FK28" s="3569">
        <f t="shared" ref="FK28:FL32" si="94">28811.1/1.05</f>
        <v>27439.142857142855</v>
      </c>
      <c r="FL28" s="3562">
        <f t="shared" si="94"/>
        <v>27439.142857142855</v>
      </c>
      <c r="FM28" s="3547">
        <f t="shared" si="67"/>
        <v>4.2460317563381977E-3</v>
      </c>
      <c r="FN28" s="3568">
        <v>5283.2860455974796</v>
      </c>
      <c r="FO28" s="3559">
        <f t="shared" ref="FO28:FP32" si="95">5600.28/1.06</f>
        <v>5283.2830188679236</v>
      </c>
      <c r="FP28" s="3562">
        <f t="shared" si="95"/>
        <v>5283.2830188679236</v>
      </c>
      <c r="FQ28" s="3547">
        <f t="shared" si="68"/>
        <v>-3.0267295560406637E-3</v>
      </c>
      <c r="FR28" s="3612">
        <v>27439.138611111099</v>
      </c>
      <c r="FS28" s="3569">
        <f t="shared" ref="FS28:FS29" si="96">28811.1/1.05</f>
        <v>27439.142857142855</v>
      </c>
      <c r="FT28" s="3560">
        <f>28811.1/1.05</f>
        <v>27439.142857142855</v>
      </c>
      <c r="FU28" s="3547">
        <f t="shared" si="69"/>
        <v>4.2460317563381977E-3</v>
      </c>
      <c r="FV28" s="3568">
        <v>5283.2860455974796</v>
      </c>
      <c r="FW28" s="3559">
        <f t="shared" ref="FW28:FX32" si="97">5600.28/1.06</f>
        <v>5283.2830188679236</v>
      </c>
      <c r="FX28" s="3560">
        <f t="shared" si="97"/>
        <v>5283.2830188679236</v>
      </c>
      <c r="FY28" s="3547">
        <f t="shared" si="70"/>
        <v>-3.0267295560406637E-3</v>
      </c>
      <c r="FZ28" s="3612">
        <v>27439.138611111099</v>
      </c>
      <c r="GA28" s="3569">
        <f t="shared" ref="GA28:GA29" si="98">28811.1/1.05</f>
        <v>27439.142857142855</v>
      </c>
      <c r="GB28" s="3560">
        <f>28811.1/1.05</f>
        <v>27439.142857142855</v>
      </c>
      <c r="GC28" s="3547">
        <f t="shared" si="71"/>
        <v>4.2460317563381977E-3</v>
      </c>
      <c r="GD28" s="3568">
        <v>5283.2860455974796</v>
      </c>
      <c r="GE28" s="3569">
        <f t="shared" ref="GE28:GE32" si="99">5600.28/1.06</f>
        <v>5283.2830188679236</v>
      </c>
      <c r="GF28" s="3560">
        <f>5600.28/1.06</f>
        <v>5283.2830188679236</v>
      </c>
      <c r="GG28" s="3547">
        <f t="shared" si="72"/>
        <v>-3.0267295560406637E-3</v>
      </c>
      <c r="GH28" s="3612">
        <v>27439.138611111099</v>
      </c>
      <c r="GI28" s="3569">
        <f t="shared" ref="GI28:GJ32" si="100">28811.1/1.05</f>
        <v>27439.142857142855</v>
      </c>
      <c r="GJ28" s="3562">
        <f t="shared" si="100"/>
        <v>27439.142857142855</v>
      </c>
      <c r="GK28" s="3547">
        <f t="shared" si="73"/>
        <v>4.2460317563381977E-3</v>
      </c>
      <c r="GL28" s="3568">
        <v>5283.2860455974796</v>
      </c>
      <c r="GM28" s="3569">
        <f t="shared" ref="GM28:GN32" si="101">5600.28/1.06</f>
        <v>5283.2830188679236</v>
      </c>
      <c r="GN28" s="3562">
        <f t="shared" si="101"/>
        <v>5283.2830188679236</v>
      </c>
      <c r="GO28" s="3547">
        <f t="shared" si="74"/>
        <v>-3.0267295560406637E-3</v>
      </c>
      <c r="GP28" s="3612">
        <v>28387.901999999998</v>
      </c>
      <c r="GQ28" s="3592">
        <f>28811.1*12/365*26/1.05+31510.03*12/365*5/1.05</f>
        <v>28387.906066536201</v>
      </c>
      <c r="GR28" s="3562">
        <f>29807.3/1.05</f>
        <v>28387.90476190476</v>
      </c>
      <c r="GS28" s="3547">
        <f t="shared" si="75"/>
        <v>2.7619047614280134E-3</v>
      </c>
      <c r="GT28" s="3568">
        <v>5283.2860455974796</v>
      </c>
      <c r="GU28" s="3569">
        <f t="shared" ref="GU28:GU32" si="102">5600.28/1.06</f>
        <v>5283.2830188679236</v>
      </c>
      <c r="GV28" s="3560">
        <f>5600.28/1.06</f>
        <v>5283.2830188679236</v>
      </c>
      <c r="GW28" s="3547">
        <f t="shared" si="76"/>
        <v>-3.0267295560406637E-3</v>
      </c>
      <c r="GX28" s="3612">
        <v>30009.5497222222</v>
      </c>
      <c r="GY28" s="3569">
        <f>31510.03/1.05</f>
        <v>30009.55238095238</v>
      </c>
      <c r="GZ28" s="3562">
        <f>31510.03/1.05</f>
        <v>30009.55238095238</v>
      </c>
      <c r="HA28" s="3547">
        <f t="shared" si="77"/>
        <v>2.6587301799736451E-3</v>
      </c>
      <c r="HB28" s="3568">
        <v>5283.2860455974796</v>
      </c>
      <c r="HC28" s="3569">
        <f t="shared" ref="HC28:HD32" si="103">5600.28/1.06</f>
        <v>5283.2830188679236</v>
      </c>
      <c r="HD28" s="3562">
        <f t="shared" si="103"/>
        <v>5283.2830188679236</v>
      </c>
      <c r="HE28" s="3547">
        <f t="shared" si="78"/>
        <v>-3.0267295560406637E-3</v>
      </c>
      <c r="HF28" s="3612">
        <v>30009.5497222222</v>
      </c>
      <c r="HG28" s="3569">
        <f>31510.03/1.05</f>
        <v>30009.55238095238</v>
      </c>
      <c r="HH28" s="3562">
        <f>31510.03/1.05</f>
        <v>30009.55238095238</v>
      </c>
      <c r="HI28" s="3547">
        <f t="shared" si="79"/>
        <v>2.6587301799736451E-3</v>
      </c>
      <c r="HJ28" s="3568">
        <v>5283.2860455974796</v>
      </c>
      <c r="HK28" s="3569">
        <f t="shared" ref="HK28:HL32" si="104">5600.28/1.06</f>
        <v>5283.2830188679236</v>
      </c>
      <c r="HL28" s="3562">
        <f t="shared" si="104"/>
        <v>5283.2830188679236</v>
      </c>
      <c r="HM28" s="3547">
        <f t="shared" si="80"/>
        <v>-3.0267295560406637E-3</v>
      </c>
      <c r="HN28" s="3612">
        <v>30009.5497222222</v>
      </c>
      <c r="HO28" s="3569">
        <f>31510.03/1.05</f>
        <v>30009.55238095238</v>
      </c>
      <c r="HP28" s="3562">
        <f>31510.03/1.05</f>
        <v>30009.55238095238</v>
      </c>
      <c r="HQ28" s="3547">
        <f t="shared" si="81"/>
        <v>2.6587301799736451E-3</v>
      </c>
      <c r="HR28" s="3568">
        <v>5283.2860455974796</v>
      </c>
      <c r="HS28" s="3569">
        <f t="shared" ref="HS28:HT32" si="105">5600.28/1.06</f>
        <v>5283.2830188679236</v>
      </c>
      <c r="HT28" s="3562">
        <f t="shared" si="105"/>
        <v>5283.2830188679236</v>
      </c>
      <c r="HU28" s="3547">
        <f t="shared" si="82"/>
        <v>-3.0267295560406637E-3</v>
      </c>
      <c r="HV28" s="3612">
        <v>30009.5497222222</v>
      </c>
      <c r="HW28" s="3569">
        <f>31510.03/1.05</f>
        <v>30009.55238095238</v>
      </c>
      <c r="HX28" s="3562"/>
      <c r="HY28" s="3547">
        <f t="shared" si="83"/>
        <v>-30009.5497222222</v>
      </c>
      <c r="HZ28" s="3568">
        <v>5283.2860455974796</v>
      </c>
      <c r="IA28" s="3569">
        <f t="shared" ref="IA28:IA32" si="106">5600.28/1.06</f>
        <v>5283.2830188679236</v>
      </c>
      <c r="IB28" s="3562"/>
      <c r="IC28" s="3547">
        <f t="shared" si="84"/>
        <v>-5283.2860455974796</v>
      </c>
      <c r="ID28" s="3612">
        <v>30009.5497222222</v>
      </c>
      <c r="IE28" s="3569">
        <f>31510.03/1.05</f>
        <v>30009.55238095238</v>
      </c>
      <c r="IF28" s="3562"/>
      <c r="IG28" s="3547">
        <f t="shared" si="85"/>
        <v>-30009.5497222222</v>
      </c>
      <c r="IH28" s="3568">
        <v>5283.2860455974796</v>
      </c>
      <c r="II28" s="3569">
        <f t="shared" ref="II28:II32" si="107">5600.28/1.06</f>
        <v>5283.2830188679236</v>
      </c>
      <c r="IJ28" s="3562"/>
      <c r="IK28" s="3547">
        <f t="shared" si="86"/>
        <v>-5283.2860455974796</v>
      </c>
      <c r="IL28" s="3547" t="s">
        <v>3970</v>
      </c>
      <c r="IM28" s="3569">
        <f>31510.03/1.05</f>
        <v>30009.55238095238</v>
      </c>
      <c r="IN28" s="3569">
        <f t="shared" ref="IN28:IN32" si="108">5600.28/1.06</f>
        <v>5283.2830188679236</v>
      </c>
      <c r="IO28" s="3547"/>
      <c r="IP28" s="3560">
        <f t="shared" si="87"/>
        <v>0</v>
      </c>
      <c r="IQ28" s="3569"/>
      <c r="IR28" s="3568"/>
      <c r="IS28" s="3568"/>
      <c r="IT28" s="3568"/>
      <c r="IU28" s="3568"/>
      <c r="IV28" s="3568"/>
      <c r="IW28" s="3568"/>
      <c r="IX28" s="3568"/>
      <c r="IY28" s="3568"/>
      <c r="IZ28" s="3560"/>
      <c r="JA28" s="3560"/>
      <c r="JB28" s="3560"/>
      <c r="JC28" s="3560">
        <f t="shared" si="11"/>
        <v>0</v>
      </c>
      <c r="JD28" s="3547"/>
      <c r="JE28" s="3569"/>
      <c r="JF28" s="3568"/>
      <c r="JG28" s="3568"/>
      <c r="JH28" s="3568"/>
      <c r="JI28" s="3568"/>
      <c r="JJ28" s="3568"/>
      <c r="JK28" s="3568"/>
      <c r="JL28" s="3568"/>
      <c r="JM28" s="3568"/>
      <c r="JN28" s="3560"/>
      <c r="JO28" s="3560"/>
      <c r="JP28" s="3607" t="s">
        <v>3837</v>
      </c>
      <c r="JQ28" s="3583">
        <f t="shared" ref="JQ28:JQ32" si="109">28811.1/1.05</f>
        <v>27439.142857142855</v>
      </c>
      <c r="JR28" s="3583">
        <f t="shared" ref="JR28:JR32" si="110">5600.28/1.06</f>
        <v>5283.2830188679236</v>
      </c>
      <c r="JS28" s="3573">
        <f t="shared" si="28"/>
        <v>-3.637978807091713E-11</v>
      </c>
      <c r="JT28" s="3573">
        <f t="shared" si="35"/>
        <v>2.0008883439004421E-11</v>
      </c>
      <c r="JU28" s="3574">
        <f t="shared" si="29"/>
        <v>5.0931703299283981E-11</v>
      </c>
      <c r="JV28" s="3574">
        <f t="shared" si="30"/>
        <v>1.2732925824820995E-11</v>
      </c>
      <c r="JW28" s="3575"/>
      <c r="JX28" s="3576">
        <f t="shared" si="31"/>
        <v>30009.55238095238</v>
      </c>
      <c r="JY28" s="3576">
        <f t="shared" si="32"/>
        <v>5283.2830188679236</v>
      </c>
      <c r="JZ28" s="3577"/>
      <c r="KA28" s="3573">
        <f t="shared" ref="KA28:KA41" si="111">HI28+HM28</f>
        <v>-3.679993760670186E-4</v>
      </c>
      <c r="KB28" s="3573"/>
      <c r="KC28" s="3573"/>
      <c r="KD28" s="3573">
        <f t="shared" si="33"/>
        <v>-3.679993760670186E-4</v>
      </c>
      <c r="KE28" s="3571"/>
      <c r="KF28" s="3579"/>
      <c r="KG28" s="3579"/>
      <c r="KH28" s="3579"/>
      <c r="KI28" s="3579"/>
      <c r="KJ28" s="3579"/>
      <c r="KK28" s="3579"/>
      <c r="KL28" s="3579"/>
      <c r="KM28" s="3579"/>
      <c r="KN28" s="3579"/>
      <c r="KO28" s="3579"/>
      <c r="KP28" s="3579"/>
      <c r="KQ28" s="3579">
        <f t="shared" si="34"/>
        <v>0</v>
      </c>
      <c r="KR28" s="3579">
        <f t="shared" si="88"/>
        <v>6.3149896086542865E-7</v>
      </c>
      <c r="KS28" s="3577"/>
      <c r="KT28" s="3577"/>
      <c r="KU28" s="3577"/>
      <c r="KV28" s="3577"/>
      <c r="KW28" s="3577"/>
      <c r="KX28" s="3577"/>
      <c r="KY28" s="3577"/>
      <c r="KZ28" s="3577"/>
      <c r="LA28" s="3577"/>
      <c r="LB28" s="3577"/>
      <c r="LC28" s="3577"/>
      <c r="LD28" s="3577"/>
      <c r="LE28" s="3577"/>
      <c r="LF28" s="3577"/>
      <c r="LG28" s="3577"/>
      <c r="LH28" s="3577"/>
      <c r="LJ28" s="3575"/>
      <c r="LK28" s="3626">
        <v>11</v>
      </c>
      <c r="LL28" s="3627">
        <v>47231.3</v>
      </c>
      <c r="LM28" s="3580" t="s">
        <v>3972</v>
      </c>
    </row>
    <row r="29" spans="1:325" s="3580" customFormat="1" ht="18" customHeight="1">
      <c r="A29" s="3545">
        <v>26</v>
      </c>
      <c r="B29" s="3546" t="s">
        <v>3937</v>
      </c>
      <c r="C29" s="3615" t="s">
        <v>4017</v>
      </c>
      <c r="D29" s="3547">
        <v>221.83</v>
      </c>
      <c r="E29" s="3548" t="s">
        <v>3799</v>
      </c>
      <c r="F29" s="3546" t="s">
        <v>3790</v>
      </c>
      <c r="G29" s="3546" t="s">
        <v>4018</v>
      </c>
      <c r="H29" s="3546" t="s">
        <v>4019</v>
      </c>
      <c r="I29" s="3594" t="s">
        <v>4020</v>
      </c>
      <c r="J29" s="3594" t="s">
        <v>4011</v>
      </c>
      <c r="K29" s="3545"/>
      <c r="L29" s="3555"/>
      <c r="M29" s="3551">
        <v>86433.3</v>
      </c>
      <c r="N29" s="3551">
        <v>86433.3</v>
      </c>
      <c r="O29" s="3551">
        <f t="shared" si="13"/>
        <v>0</v>
      </c>
      <c r="P29" s="3547">
        <v>16800.84</v>
      </c>
      <c r="Q29" s="3547">
        <f>16800.84</f>
        <v>16800.84</v>
      </c>
      <c r="R29" s="3547">
        <f t="shared" si="89"/>
        <v>0</v>
      </c>
      <c r="S29" s="3547">
        <f t="shared" si="14"/>
        <v>4.6700004137439564</v>
      </c>
      <c r="T29" s="3641">
        <v>31510.03</v>
      </c>
      <c r="U29" s="3553">
        <f t="shared" si="15"/>
        <v>378120.36</v>
      </c>
      <c r="V29" s="3620">
        <f>28811.1*2*12</f>
        <v>691466.39999999991</v>
      </c>
      <c r="W29" s="3547">
        <f t="shared" si="16"/>
        <v>0.82999952450321379</v>
      </c>
      <c r="X29" s="3642">
        <v>5600.28</v>
      </c>
      <c r="Y29" s="3547">
        <f t="shared" si="17"/>
        <v>67203.360000000001</v>
      </c>
      <c r="Z29" s="3554"/>
      <c r="AA29" s="3555"/>
      <c r="AB29" s="3643" t="s">
        <v>3899</v>
      </c>
      <c r="AC29" s="3556">
        <f t="shared" si="18"/>
        <v>362922.98136986303</v>
      </c>
      <c r="AD29" s="3556">
        <f t="shared" si="19"/>
        <v>268392.89136986301</v>
      </c>
      <c r="AE29" s="3556">
        <f t="shared" si="19"/>
        <v>268392.89</v>
      </c>
      <c r="AF29" s="3556">
        <f t="shared" si="20"/>
        <v>-1.3698629918508232E-3</v>
      </c>
      <c r="AG29" s="3556"/>
      <c r="AH29" s="3557">
        <f t="shared" si="21"/>
        <v>67203.360000000001</v>
      </c>
      <c r="AI29" s="3558">
        <f t="shared" si="22"/>
        <v>50402.52</v>
      </c>
      <c r="AJ29" s="3558">
        <f t="shared" si="22"/>
        <v>50402.52</v>
      </c>
      <c r="AK29" s="3557">
        <f t="shared" si="43"/>
        <v>0</v>
      </c>
      <c r="AL29" s="3557"/>
      <c r="AM29" s="3547" t="s">
        <v>3822</v>
      </c>
      <c r="AN29" s="3609">
        <v>28811.1</v>
      </c>
      <c r="AO29" s="3562">
        <v>28811.1</v>
      </c>
      <c r="AP29" s="3561">
        <f t="shared" si="44"/>
        <v>0</v>
      </c>
      <c r="AQ29" s="3559">
        <v>5600.28</v>
      </c>
      <c r="AR29" s="3562">
        <v>5600.28</v>
      </c>
      <c r="AS29" s="3561">
        <f t="shared" si="36"/>
        <v>0</v>
      </c>
      <c r="AT29" s="3563" t="s">
        <v>3823</v>
      </c>
      <c r="AU29" s="3547" t="s">
        <v>3824</v>
      </c>
      <c r="AV29" s="3609">
        <v>28811.1</v>
      </c>
      <c r="AW29" s="3562">
        <v>28811.1</v>
      </c>
      <c r="AX29" s="3561">
        <f t="shared" si="45"/>
        <v>0</v>
      </c>
      <c r="AY29" s="3559">
        <v>5600.28</v>
      </c>
      <c r="AZ29" s="3562">
        <v>5600.28</v>
      </c>
      <c r="BA29" s="3561">
        <f t="shared" si="23"/>
        <v>0</v>
      </c>
      <c r="BB29" s="3563" t="s">
        <v>3960</v>
      </c>
      <c r="BC29" s="3547" t="s">
        <v>3826</v>
      </c>
      <c r="BD29" s="3609">
        <v>28811.1</v>
      </c>
      <c r="BE29" s="3562">
        <v>28811.1</v>
      </c>
      <c r="BF29" s="3561">
        <f t="shared" si="46"/>
        <v>0</v>
      </c>
      <c r="BG29" s="3559">
        <v>5600.28</v>
      </c>
      <c r="BH29" s="3562">
        <v>5600.28</v>
      </c>
      <c r="BI29" s="3561">
        <f t="shared" si="47"/>
        <v>0</v>
      </c>
      <c r="BJ29" s="3563" t="s">
        <v>3961</v>
      </c>
      <c r="BK29" s="3547" t="s">
        <v>3873</v>
      </c>
      <c r="BL29" s="3609">
        <v>28811.1</v>
      </c>
      <c r="BM29" s="3603">
        <v>28811.1</v>
      </c>
      <c r="BN29" s="3602">
        <f t="shared" si="48"/>
        <v>0</v>
      </c>
      <c r="BO29" s="3604">
        <v>5600.28</v>
      </c>
      <c r="BP29" s="3603">
        <v>5600.28</v>
      </c>
      <c r="BQ29" s="3561">
        <f t="shared" si="49"/>
        <v>0</v>
      </c>
      <c r="BR29" s="3563" t="s">
        <v>3962</v>
      </c>
      <c r="BS29" s="3547" t="s">
        <v>3875</v>
      </c>
      <c r="BT29" s="3609">
        <v>28811.1</v>
      </c>
      <c r="BU29" s="3603">
        <v>28811.1</v>
      </c>
      <c r="BV29" s="3602">
        <f t="shared" si="50"/>
        <v>0</v>
      </c>
      <c r="BW29" s="3604">
        <v>5600.28</v>
      </c>
      <c r="BX29" s="3603">
        <v>5600.28</v>
      </c>
      <c r="BY29" s="3561">
        <f t="shared" si="51"/>
        <v>0</v>
      </c>
      <c r="BZ29" s="3563" t="s">
        <v>3963</v>
      </c>
      <c r="CA29" s="3547" t="s">
        <v>3877</v>
      </c>
      <c r="CB29" s="3609">
        <f>28811.1*12/365*26+31510.03*12/365*5</f>
        <v>29807.301369863013</v>
      </c>
      <c r="CC29" s="3562">
        <v>29807.3</v>
      </c>
      <c r="CD29" s="3561">
        <f t="shared" si="52"/>
        <v>-1.369863013678696E-3</v>
      </c>
      <c r="CE29" s="3559">
        <v>5600.28</v>
      </c>
      <c r="CF29" s="3562">
        <v>5600.28</v>
      </c>
      <c r="CG29" s="3561">
        <f t="shared" si="53"/>
        <v>0</v>
      </c>
      <c r="CH29" s="3563" t="s">
        <v>4014</v>
      </c>
      <c r="CI29" s="3547" t="s">
        <v>3948</v>
      </c>
      <c r="CJ29" s="3609">
        <v>31510.03</v>
      </c>
      <c r="CK29" s="3603">
        <v>31510.03</v>
      </c>
      <c r="CL29" s="3561">
        <f t="shared" si="5"/>
        <v>0</v>
      </c>
      <c r="CM29" s="3559">
        <v>5600.28</v>
      </c>
      <c r="CN29" s="3603">
        <v>5600.28</v>
      </c>
      <c r="CO29" s="3561">
        <f t="shared" si="54"/>
        <v>0</v>
      </c>
      <c r="CP29" s="3563" t="s">
        <v>4015</v>
      </c>
      <c r="CQ29" s="3547" t="s">
        <v>3950</v>
      </c>
      <c r="CR29" s="3621">
        <v>31510.03</v>
      </c>
      <c r="CS29" s="3603">
        <v>31510.03</v>
      </c>
      <c r="CT29" s="3602">
        <f t="shared" si="55"/>
        <v>0</v>
      </c>
      <c r="CU29" s="3604">
        <v>5600.28</v>
      </c>
      <c r="CV29" s="3603">
        <v>5600.28</v>
      </c>
      <c r="CW29" s="3561">
        <f t="shared" si="56"/>
        <v>0</v>
      </c>
      <c r="CX29" s="3563" t="s">
        <v>4016</v>
      </c>
      <c r="CY29" s="3597" t="s">
        <v>3966</v>
      </c>
      <c r="CZ29" s="3609">
        <v>31510.03</v>
      </c>
      <c r="DA29" s="3603">
        <v>31510.03</v>
      </c>
      <c r="DB29" s="3561">
        <f t="shared" si="57"/>
        <v>0</v>
      </c>
      <c r="DC29" s="3559">
        <v>5600.28</v>
      </c>
      <c r="DD29" s="3603">
        <v>5600.28</v>
      </c>
      <c r="DE29" s="3561">
        <f t="shared" si="58"/>
        <v>0</v>
      </c>
      <c r="DF29" s="3630" t="s">
        <v>3967</v>
      </c>
      <c r="DG29" s="3547" t="s">
        <v>3968</v>
      </c>
      <c r="DH29" s="3609">
        <v>31510.03</v>
      </c>
      <c r="DI29" s="3562"/>
      <c r="DJ29" s="3561">
        <f t="shared" si="59"/>
        <v>-31510.03</v>
      </c>
      <c r="DK29" s="3559">
        <v>5600.28</v>
      </c>
      <c r="DL29" s="3562"/>
      <c r="DM29" s="3561">
        <f t="shared" si="60"/>
        <v>-5600.28</v>
      </c>
      <c r="DN29" s="3563"/>
      <c r="DO29" s="3547" t="s">
        <v>3969</v>
      </c>
      <c r="DP29" s="3609">
        <v>31510.03</v>
      </c>
      <c r="DQ29" s="3562"/>
      <c r="DR29" s="3561">
        <f t="shared" si="61"/>
        <v>-31510.03</v>
      </c>
      <c r="DS29" s="3559">
        <v>5600.28</v>
      </c>
      <c r="DT29" s="3562"/>
      <c r="DU29" s="3561">
        <f t="shared" si="62"/>
        <v>-5600.28</v>
      </c>
      <c r="DV29" s="3563"/>
      <c r="DW29" s="3547" t="s">
        <v>3970</v>
      </c>
      <c r="DX29" s="3609">
        <v>31510.03</v>
      </c>
      <c r="DY29" s="3562"/>
      <c r="DZ29" s="3561">
        <f t="shared" si="63"/>
        <v>-31510.03</v>
      </c>
      <c r="EA29" s="3559">
        <v>5600.28</v>
      </c>
      <c r="EB29" s="3562"/>
      <c r="EC29" s="3561">
        <f t="shared" si="64"/>
        <v>-5600.28</v>
      </c>
      <c r="ED29" s="3563"/>
      <c r="EE29" s="3564"/>
      <c r="EF29" s="3565">
        <f t="shared" si="37"/>
        <v>343070.48227777757</v>
      </c>
      <c r="EG29" s="3565">
        <f t="shared" si="24"/>
        <v>253041.83311111099</v>
      </c>
      <c r="EH29" s="3565">
        <f t="shared" si="24"/>
        <v>253041.86797129805</v>
      </c>
      <c r="EI29" s="3565">
        <f t="shared" si="24"/>
        <v>253041.86666666661</v>
      </c>
      <c r="EJ29" s="3565">
        <f t="shared" si="38"/>
        <v>3.3555555623024702E-2</v>
      </c>
      <c r="EK29" s="3565">
        <f t="shared" si="39"/>
        <v>-1.3046314415987581E-3</v>
      </c>
      <c r="EL29" s="3610"/>
      <c r="EM29" s="3557">
        <f t="shared" si="40"/>
        <v>63399.432547169759</v>
      </c>
      <c r="EN29" s="3557">
        <f t="shared" si="25"/>
        <v>47549.574410377318</v>
      </c>
      <c r="EO29" s="3557">
        <f t="shared" si="25"/>
        <v>47549.547169811303</v>
      </c>
      <c r="EP29" s="3557">
        <f t="shared" si="25"/>
        <v>47549.547169811303</v>
      </c>
      <c r="EQ29" s="3557">
        <f t="shared" si="41"/>
        <v>-2.7240566014370415E-2</v>
      </c>
      <c r="ER29" s="3557">
        <f t="shared" si="42"/>
        <v>0</v>
      </c>
      <c r="ES29" s="3645"/>
      <c r="ET29" s="3612">
        <v>27439.138611111099</v>
      </c>
      <c r="EU29" s="3569">
        <f>28811.1/1.05</f>
        <v>27439.142857142855</v>
      </c>
      <c r="EV29" s="3560">
        <f t="shared" si="90"/>
        <v>27439.142857142855</v>
      </c>
      <c r="EW29" s="3547">
        <f t="shared" si="26"/>
        <v>4.2460317563381977E-3</v>
      </c>
      <c r="EX29" s="3568">
        <v>5283.2860455974796</v>
      </c>
      <c r="EY29" s="3569">
        <f>5600.28/1.06</f>
        <v>5283.2830188679236</v>
      </c>
      <c r="EZ29" s="3560">
        <f t="shared" si="91"/>
        <v>5283.2830188679236</v>
      </c>
      <c r="FA29" s="3547">
        <f t="shared" si="27"/>
        <v>-3.0267295560406637E-3</v>
      </c>
      <c r="FB29" s="3612">
        <v>27439.138611111099</v>
      </c>
      <c r="FC29" s="3569">
        <f t="shared" si="92"/>
        <v>27439.142857142855</v>
      </c>
      <c r="FD29" s="3562">
        <f>28811.1/1.05</f>
        <v>27439.142857142855</v>
      </c>
      <c r="FE29" s="3547">
        <f t="shared" si="65"/>
        <v>4.2460317563381977E-3</v>
      </c>
      <c r="FF29" s="3568">
        <v>5283.2860455974796</v>
      </c>
      <c r="FG29" s="3569">
        <f t="shared" si="93"/>
        <v>5283.2830188679236</v>
      </c>
      <c r="FH29" s="3562">
        <f>5600.28/1.06</f>
        <v>5283.2830188679236</v>
      </c>
      <c r="FI29" s="3547">
        <f t="shared" si="66"/>
        <v>-3.0267295560406637E-3</v>
      </c>
      <c r="FJ29" s="3612">
        <v>27439.138611111099</v>
      </c>
      <c r="FK29" s="3569">
        <f t="shared" si="94"/>
        <v>27439.142857142855</v>
      </c>
      <c r="FL29" s="3562">
        <f t="shared" si="94"/>
        <v>27439.142857142855</v>
      </c>
      <c r="FM29" s="3547">
        <f t="shared" si="67"/>
        <v>4.2460317563381977E-3</v>
      </c>
      <c r="FN29" s="3568">
        <v>5283.2860455974796</v>
      </c>
      <c r="FO29" s="3559">
        <f t="shared" si="95"/>
        <v>5283.2830188679236</v>
      </c>
      <c r="FP29" s="3562">
        <f t="shared" si="95"/>
        <v>5283.2830188679236</v>
      </c>
      <c r="FQ29" s="3547">
        <f t="shared" si="68"/>
        <v>-3.0267295560406637E-3</v>
      </c>
      <c r="FR29" s="3612">
        <v>27439.138611111099</v>
      </c>
      <c r="FS29" s="3569">
        <f t="shared" si="96"/>
        <v>27439.142857142855</v>
      </c>
      <c r="FT29" s="3560">
        <f>28811.1/1.05</f>
        <v>27439.142857142855</v>
      </c>
      <c r="FU29" s="3547">
        <f t="shared" si="69"/>
        <v>4.2460317563381977E-3</v>
      </c>
      <c r="FV29" s="3568">
        <v>5283.2860455974796</v>
      </c>
      <c r="FW29" s="3559">
        <f t="shared" si="97"/>
        <v>5283.2830188679236</v>
      </c>
      <c r="FX29" s="3560">
        <f t="shared" si="97"/>
        <v>5283.2830188679236</v>
      </c>
      <c r="FY29" s="3547">
        <f t="shared" si="70"/>
        <v>-3.0267295560406637E-3</v>
      </c>
      <c r="FZ29" s="3612">
        <v>27439.138611111099</v>
      </c>
      <c r="GA29" s="3569">
        <f t="shared" si="98"/>
        <v>27439.142857142855</v>
      </c>
      <c r="GB29" s="3560">
        <f>28811.1/1.05</f>
        <v>27439.142857142855</v>
      </c>
      <c r="GC29" s="3547">
        <f t="shared" si="71"/>
        <v>4.2460317563381977E-3</v>
      </c>
      <c r="GD29" s="3568">
        <v>5283.2860455974796</v>
      </c>
      <c r="GE29" s="3569">
        <f t="shared" si="99"/>
        <v>5283.2830188679236</v>
      </c>
      <c r="GF29" s="3560">
        <f>5600.28/1.06</f>
        <v>5283.2830188679236</v>
      </c>
      <c r="GG29" s="3547">
        <f t="shared" si="72"/>
        <v>-3.0267295560406637E-3</v>
      </c>
      <c r="GH29" s="3612">
        <v>27439.138611111099</v>
      </c>
      <c r="GI29" s="3569">
        <f t="shared" si="100"/>
        <v>27439.142857142855</v>
      </c>
      <c r="GJ29" s="3562">
        <f t="shared" si="100"/>
        <v>27439.142857142855</v>
      </c>
      <c r="GK29" s="3547">
        <f t="shared" si="73"/>
        <v>4.2460317563381977E-3</v>
      </c>
      <c r="GL29" s="3568">
        <v>5283.2860455974796</v>
      </c>
      <c r="GM29" s="3569">
        <f t="shared" si="101"/>
        <v>5283.2830188679236</v>
      </c>
      <c r="GN29" s="3562">
        <f t="shared" si="101"/>
        <v>5283.2830188679236</v>
      </c>
      <c r="GO29" s="3547">
        <f t="shared" si="74"/>
        <v>-3.0267295560406637E-3</v>
      </c>
      <c r="GP29" s="3612">
        <v>28387.901999999998</v>
      </c>
      <c r="GQ29" s="3646">
        <f>28811.1*12/365*26/1.05+31510.03*12/365*5/1.05</f>
        <v>28387.906066536201</v>
      </c>
      <c r="GR29" s="3562">
        <f>29807.3/1.05</f>
        <v>28387.90476190476</v>
      </c>
      <c r="GS29" s="3547">
        <f t="shared" si="75"/>
        <v>2.7619047614280134E-3</v>
      </c>
      <c r="GT29" s="3568">
        <v>5283.2860455974796</v>
      </c>
      <c r="GU29" s="3569">
        <f t="shared" si="102"/>
        <v>5283.2830188679236</v>
      </c>
      <c r="GV29" s="3560">
        <f>5600.28/1.06</f>
        <v>5283.2830188679236</v>
      </c>
      <c r="GW29" s="3547">
        <f t="shared" si="76"/>
        <v>-3.0267295560406637E-3</v>
      </c>
      <c r="GX29" s="3612">
        <v>30009.5497222222</v>
      </c>
      <c r="GY29" s="3569">
        <f>31510.03/1.05</f>
        <v>30009.55238095238</v>
      </c>
      <c r="GZ29" s="3562">
        <f>31510.03/1.05</f>
        <v>30009.55238095238</v>
      </c>
      <c r="HA29" s="3547">
        <f t="shared" si="77"/>
        <v>2.6587301799736451E-3</v>
      </c>
      <c r="HB29" s="3568">
        <v>5283.2860455974796</v>
      </c>
      <c r="HC29" s="3569">
        <f t="shared" si="103"/>
        <v>5283.2830188679236</v>
      </c>
      <c r="HD29" s="3562">
        <f t="shared" si="103"/>
        <v>5283.2830188679236</v>
      </c>
      <c r="HE29" s="3547">
        <f t="shared" si="78"/>
        <v>-3.0267295560406637E-3</v>
      </c>
      <c r="HF29" s="3612">
        <v>30009.5497222222</v>
      </c>
      <c r="HG29" s="3569">
        <f>31510.03/1.05</f>
        <v>30009.55238095238</v>
      </c>
      <c r="HH29" s="3562">
        <f>31510.03/1.05</f>
        <v>30009.55238095238</v>
      </c>
      <c r="HI29" s="3547">
        <f t="shared" si="79"/>
        <v>2.6587301799736451E-3</v>
      </c>
      <c r="HJ29" s="3568">
        <v>5283.2860455974796</v>
      </c>
      <c r="HK29" s="3569">
        <f t="shared" si="104"/>
        <v>5283.2830188679236</v>
      </c>
      <c r="HL29" s="3562">
        <f t="shared" si="104"/>
        <v>5283.2830188679236</v>
      </c>
      <c r="HM29" s="3547">
        <f t="shared" si="80"/>
        <v>-3.0267295560406637E-3</v>
      </c>
      <c r="HN29" s="3612">
        <v>30009.5497222222</v>
      </c>
      <c r="HO29" s="3569">
        <f>31510.03/1.05</f>
        <v>30009.55238095238</v>
      </c>
      <c r="HP29" s="3562">
        <f>31510.03/1.05</f>
        <v>30009.55238095238</v>
      </c>
      <c r="HQ29" s="3547">
        <f t="shared" si="81"/>
        <v>2.6587301799736451E-3</v>
      </c>
      <c r="HR29" s="3568">
        <v>5283.2860455974796</v>
      </c>
      <c r="HS29" s="3569">
        <f t="shared" si="105"/>
        <v>5283.2830188679236</v>
      </c>
      <c r="HT29" s="3562">
        <f t="shared" si="105"/>
        <v>5283.2830188679236</v>
      </c>
      <c r="HU29" s="3547">
        <f t="shared" si="82"/>
        <v>-3.0267295560406637E-3</v>
      </c>
      <c r="HV29" s="3612">
        <v>30009.5497222222</v>
      </c>
      <c r="HW29" s="3569">
        <f>31510.03/1.05</f>
        <v>30009.55238095238</v>
      </c>
      <c r="HX29" s="3562"/>
      <c r="HY29" s="3547">
        <f t="shared" si="83"/>
        <v>-30009.5497222222</v>
      </c>
      <c r="HZ29" s="3568">
        <v>5283.2860455974796</v>
      </c>
      <c r="IA29" s="3569">
        <f t="shared" si="106"/>
        <v>5283.2830188679236</v>
      </c>
      <c r="IB29" s="3562"/>
      <c r="IC29" s="3547">
        <f t="shared" si="84"/>
        <v>-5283.2860455974796</v>
      </c>
      <c r="ID29" s="3612">
        <v>30009.5497222222</v>
      </c>
      <c r="IE29" s="3569">
        <f>31510.03/1.05</f>
        <v>30009.55238095238</v>
      </c>
      <c r="IF29" s="3562"/>
      <c r="IG29" s="3547">
        <f t="shared" si="85"/>
        <v>-30009.5497222222</v>
      </c>
      <c r="IH29" s="3568">
        <v>5283.2860455974796</v>
      </c>
      <c r="II29" s="3569">
        <f t="shared" si="107"/>
        <v>5283.2830188679236</v>
      </c>
      <c r="IJ29" s="3562"/>
      <c r="IK29" s="3547">
        <f t="shared" si="86"/>
        <v>-5283.2860455974796</v>
      </c>
      <c r="IL29" s="3547" t="s">
        <v>3970</v>
      </c>
      <c r="IM29" s="3569">
        <f>31510.03/1.05</f>
        <v>30009.55238095238</v>
      </c>
      <c r="IN29" s="3569">
        <f t="shared" si="108"/>
        <v>5283.2830188679236</v>
      </c>
      <c r="IO29" s="3547"/>
      <c r="IP29" s="3560">
        <f t="shared" si="87"/>
        <v>0</v>
      </c>
      <c r="IQ29" s="3599"/>
      <c r="IR29" s="3568"/>
      <c r="IS29" s="3568"/>
      <c r="IT29" s="3568"/>
      <c r="IU29" s="3568"/>
      <c r="IV29" s="3568"/>
      <c r="IW29" s="3568"/>
      <c r="IX29" s="3568"/>
      <c r="IY29" s="3568"/>
      <c r="IZ29" s="3560"/>
      <c r="JA29" s="3560"/>
      <c r="JB29" s="3560"/>
      <c r="JC29" s="3560">
        <f t="shared" si="11"/>
        <v>0</v>
      </c>
      <c r="JD29" s="3547"/>
      <c r="JE29" s="3599"/>
      <c r="JF29" s="3568"/>
      <c r="JG29" s="3568"/>
      <c r="JH29" s="3568"/>
      <c r="JI29" s="3568"/>
      <c r="JJ29" s="3568"/>
      <c r="JK29" s="3568"/>
      <c r="JL29" s="3568"/>
      <c r="JM29" s="3568"/>
      <c r="JN29" s="3560"/>
      <c r="JO29" s="3560"/>
      <c r="JP29" s="3547" t="s">
        <v>3837</v>
      </c>
      <c r="JQ29" s="3583">
        <f t="shared" si="109"/>
        <v>27439.142857142855</v>
      </c>
      <c r="JR29" s="3583">
        <f t="shared" si="110"/>
        <v>5283.2830188679236</v>
      </c>
      <c r="JS29" s="3573">
        <f t="shared" si="28"/>
        <v>-3.637978807091713E-11</v>
      </c>
      <c r="JT29" s="3573">
        <f t="shared" si="35"/>
        <v>2.0008883439004421E-11</v>
      </c>
      <c r="JU29" s="3574">
        <f t="shared" si="29"/>
        <v>5.0931703299283981E-11</v>
      </c>
      <c r="JV29" s="3574">
        <f t="shared" si="30"/>
        <v>1.2732925824820995E-11</v>
      </c>
      <c r="JW29" s="3575"/>
      <c r="JX29" s="3576">
        <f t="shared" si="31"/>
        <v>30009.55238095238</v>
      </c>
      <c r="JY29" s="3576">
        <f t="shared" si="32"/>
        <v>5283.2830188679236</v>
      </c>
      <c r="JZ29" s="3577"/>
      <c r="KA29" s="3573">
        <f t="shared" si="111"/>
        <v>-3.679993760670186E-4</v>
      </c>
      <c r="KB29" s="3573"/>
      <c r="KC29" s="3573"/>
      <c r="KD29" s="3573">
        <f t="shared" si="33"/>
        <v>-3.679993760670186E-4</v>
      </c>
      <c r="KE29" s="3571"/>
      <c r="KF29" s="3579"/>
      <c r="KG29" s="3579"/>
      <c r="KH29" s="3579"/>
      <c r="KI29" s="3579"/>
      <c r="KJ29" s="3579"/>
      <c r="KK29" s="3579"/>
      <c r="KL29" s="3579"/>
      <c r="KM29" s="3579"/>
      <c r="KN29" s="3579"/>
      <c r="KO29" s="3579"/>
      <c r="KP29" s="3579"/>
      <c r="KQ29" s="3579">
        <f t="shared" si="34"/>
        <v>0</v>
      </c>
      <c r="KR29" s="3579">
        <f t="shared" si="88"/>
        <v>6.3149896086542865E-7</v>
      </c>
      <c r="KS29" s="3577"/>
      <c r="KT29" s="3577"/>
      <c r="KU29" s="3577"/>
      <c r="KV29" s="3577"/>
      <c r="KW29" s="3577"/>
      <c r="KX29" s="3577"/>
      <c r="KY29" s="3577"/>
      <c r="KZ29" s="3577"/>
      <c r="LA29" s="3577"/>
      <c r="LB29" s="3577"/>
      <c r="LC29" s="3577"/>
      <c r="LD29" s="3577"/>
      <c r="LE29" s="3577"/>
      <c r="LF29" s="3577"/>
      <c r="LG29" s="3577"/>
      <c r="LH29" s="3577"/>
      <c r="LJ29" s="3575"/>
      <c r="LK29" s="3626">
        <v>11</v>
      </c>
      <c r="LL29" s="3627">
        <v>47231.3</v>
      </c>
      <c r="LM29" s="3580" t="s">
        <v>3972</v>
      </c>
    </row>
    <row r="30" spans="1:325" s="3580" customFormat="1" ht="18" customHeight="1">
      <c r="A30" s="3545">
        <v>27</v>
      </c>
      <c r="B30" s="3546" t="s">
        <v>3937</v>
      </c>
      <c r="C30" s="3615" t="s">
        <v>4021</v>
      </c>
      <c r="D30" s="3547">
        <f>1103.33-221.83*3-221.94</f>
        <v>215.89999999999992</v>
      </c>
      <c r="E30" s="3608" t="s">
        <v>4022</v>
      </c>
      <c r="F30" s="3546" t="s">
        <v>3790</v>
      </c>
      <c r="G30" s="3549" t="s">
        <v>4023</v>
      </c>
      <c r="H30" s="3546" t="s">
        <v>4024</v>
      </c>
      <c r="I30" s="3594" t="s">
        <v>4025</v>
      </c>
      <c r="J30" s="3594" t="s">
        <v>4026</v>
      </c>
      <c r="K30" s="3545"/>
      <c r="L30" s="3555"/>
      <c r="M30" s="3551">
        <v>66391.95</v>
      </c>
      <c r="N30" s="3551">
        <v>72302.22</v>
      </c>
      <c r="O30" s="3551">
        <f t="shared" si="13"/>
        <v>5910.2700000000041</v>
      </c>
      <c r="P30" s="3547">
        <v>16351.74</v>
      </c>
      <c r="Q30" s="3547">
        <v>16351.74</v>
      </c>
      <c r="R30" s="3547">
        <f t="shared" si="89"/>
        <v>0</v>
      </c>
      <c r="S30" s="3547">
        <f t="shared" si="14"/>
        <v>3.37000006344896</v>
      </c>
      <c r="T30" s="3552">
        <v>22130.65</v>
      </c>
      <c r="U30" s="3620">
        <f>22130.65*12</f>
        <v>265567.80000000005</v>
      </c>
      <c r="V30" s="3620">
        <f>22130.65*12</f>
        <v>265567.80000000005</v>
      </c>
      <c r="W30" s="3547">
        <f t="shared" si="16"/>
        <v>0.83000069793854359</v>
      </c>
      <c r="X30" s="3642">
        <v>5450.58</v>
      </c>
      <c r="Y30" s="3547">
        <f t="shared" si="17"/>
        <v>65406.96</v>
      </c>
      <c r="Z30" s="3554"/>
      <c r="AA30" s="3555"/>
      <c r="AB30" s="3647" t="s">
        <v>3821</v>
      </c>
      <c r="AC30" s="3556">
        <f t="shared" si="18"/>
        <v>277388.33999999997</v>
      </c>
      <c r="AD30" s="3556">
        <f t="shared" si="19"/>
        <v>233127.03999999998</v>
      </c>
      <c r="AE30" s="3556">
        <f t="shared" si="19"/>
        <v>233127.03999999998</v>
      </c>
      <c r="AF30" s="3556">
        <f t="shared" si="20"/>
        <v>0</v>
      </c>
      <c r="AG30" s="3556"/>
      <c r="AH30" s="3557">
        <f t="shared" si="21"/>
        <v>65406.960000000006</v>
      </c>
      <c r="AI30" s="3558">
        <f t="shared" si="22"/>
        <v>54505.8</v>
      </c>
      <c r="AJ30" s="3558">
        <f t="shared" si="22"/>
        <v>54505.8</v>
      </c>
      <c r="AK30" s="3557">
        <f t="shared" si="43"/>
        <v>0</v>
      </c>
      <c r="AL30" s="3557"/>
      <c r="AM30" s="3547" t="s">
        <v>3822</v>
      </c>
      <c r="AN30" s="3609">
        <v>24100.74</v>
      </c>
      <c r="AO30" s="3562">
        <f>24100.74</f>
        <v>24100.74</v>
      </c>
      <c r="AP30" s="3561">
        <f t="shared" si="44"/>
        <v>0</v>
      </c>
      <c r="AQ30" s="3559">
        <v>5450.58</v>
      </c>
      <c r="AR30" s="3562">
        <v>5450.58</v>
      </c>
      <c r="AS30" s="3561">
        <f t="shared" si="36"/>
        <v>0</v>
      </c>
      <c r="AT30" s="3563" t="s">
        <v>3823</v>
      </c>
      <c r="AU30" s="3547" t="s">
        <v>3824</v>
      </c>
      <c r="AV30" s="3609">
        <v>24100.74</v>
      </c>
      <c r="AW30" s="3562">
        <v>24100.74</v>
      </c>
      <c r="AX30" s="3561">
        <f t="shared" si="45"/>
        <v>0</v>
      </c>
      <c r="AY30" s="3559">
        <v>5450.58</v>
      </c>
      <c r="AZ30" s="3562">
        <v>5450.58</v>
      </c>
      <c r="BA30" s="3561">
        <f t="shared" si="23"/>
        <v>0</v>
      </c>
      <c r="BB30" s="3563" t="s">
        <v>3960</v>
      </c>
      <c r="BC30" s="3547" t="s">
        <v>3826</v>
      </c>
      <c r="BD30" s="3609">
        <v>24100.74</v>
      </c>
      <c r="BE30" s="3562">
        <v>24100.74</v>
      </c>
      <c r="BF30" s="3561">
        <f t="shared" si="46"/>
        <v>0</v>
      </c>
      <c r="BG30" s="3559">
        <v>5450.58</v>
      </c>
      <c r="BH30" s="3562">
        <v>5450.58</v>
      </c>
      <c r="BI30" s="3561">
        <f t="shared" si="47"/>
        <v>0</v>
      </c>
      <c r="BJ30" s="3563" t="s">
        <v>3961</v>
      </c>
      <c r="BK30" s="3547" t="s">
        <v>3873</v>
      </c>
      <c r="BL30" s="3609">
        <v>24100.74</v>
      </c>
      <c r="BM30" s="3603">
        <v>24100.74</v>
      </c>
      <c r="BN30" s="3602">
        <f t="shared" si="48"/>
        <v>0</v>
      </c>
      <c r="BO30" s="3604">
        <v>5450.58</v>
      </c>
      <c r="BP30" s="3603">
        <v>5450.58</v>
      </c>
      <c r="BQ30" s="3561">
        <f t="shared" si="49"/>
        <v>0</v>
      </c>
      <c r="BR30" s="3563" t="s">
        <v>3962</v>
      </c>
      <c r="BS30" s="3547" t="s">
        <v>3875</v>
      </c>
      <c r="BT30" s="3609">
        <v>24100.74</v>
      </c>
      <c r="BU30" s="3603">
        <v>24100.74</v>
      </c>
      <c r="BV30" s="3602">
        <f t="shared" si="50"/>
        <v>0</v>
      </c>
      <c r="BW30" s="3604">
        <v>5450.58</v>
      </c>
      <c r="BX30" s="3603">
        <v>5450.58</v>
      </c>
      <c r="BY30" s="3561">
        <f t="shared" si="51"/>
        <v>0</v>
      </c>
      <c r="BZ30" s="3563" t="s">
        <v>3963</v>
      </c>
      <c r="CA30" s="3547" t="s">
        <v>4027</v>
      </c>
      <c r="CB30" s="3609">
        <v>24100.74</v>
      </c>
      <c r="CC30" s="3562">
        <v>24100.74</v>
      </c>
      <c r="CD30" s="3561">
        <f t="shared" si="52"/>
        <v>0</v>
      </c>
      <c r="CE30" s="3559">
        <v>5450.58</v>
      </c>
      <c r="CF30" s="3562">
        <v>5450.58</v>
      </c>
      <c r="CG30" s="3561">
        <f t="shared" si="53"/>
        <v>0</v>
      </c>
      <c r="CH30" s="3563" t="s">
        <v>4028</v>
      </c>
      <c r="CI30" s="3547"/>
      <c r="CJ30" s="3609"/>
      <c r="CK30" s="3562"/>
      <c r="CL30" s="3561">
        <f t="shared" si="5"/>
        <v>0</v>
      </c>
      <c r="CM30" s="3559"/>
      <c r="CN30" s="3562"/>
      <c r="CO30" s="3561">
        <f t="shared" si="54"/>
        <v>0</v>
      </c>
      <c r="CP30" s="3563" t="s">
        <v>4028</v>
      </c>
      <c r="CQ30" s="3547" t="s">
        <v>4029</v>
      </c>
      <c r="CR30" s="3609">
        <f>22130.65*2</f>
        <v>44261.3</v>
      </c>
      <c r="CS30" s="3603">
        <v>44261.3</v>
      </c>
      <c r="CT30" s="3561">
        <f t="shared" si="55"/>
        <v>0</v>
      </c>
      <c r="CU30" s="3559">
        <f>5450.58*2</f>
        <v>10901.16</v>
      </c>
      <c r="CV30" s="3603">
        <v>10901.16</v>
      </c>
      <c r="CW30" s="3561">
        <f t="shared" si="56"/>
        <v>0</v>
      </c>
      <c r="CX30" s="3563" t="s">
        <v>4030</v>
      </c>
      <c r="CY30" s="3597" t="s">
        <v>4031</v>
      </c>
      <c r="CZ30" s="3609">
        <f>22130.65*2</f>
        <v>44261.3</v>
      </c>
      <c r="DA30" s="3603">
        <v>44261.3</v>
      </c>
      <c r="DB30" s="3561">
        <f t="shared" si="57"/>
        <v>0</v>
      </c>
      <c r="DC30" s="3559">
        <f>5450.58*2</f>
        <v>10901.16</v>
      </c>
      <c r="DD30" s="3603">
        <v>10901.16</v>
      </c>
      <c r="DE30" s="3561">
        <f t="shared" si="58"/>
        <v>0</v>
      </c>
      <c r="DF30" s="3630" t="s">
        <v>4032</v>
      </c>
      <c r="DG30" s="3547"/>
      <c r="DH30" s="3609"/>
      <c r="DI30" s="3562"/>
      <c r="DJ30" s="3561">
        <f t="shared" si="59"/>
        <v>0</v>
      </c>
      <c r="DK30" s="3559"/>
      <c r="DL30" s="3562"/>
      <c r="DM30" s="3561">
        <f t="shared" si="60"/>
        <v>0</v>
      </c>
      <c r="DN30" s="3563"/>
      <c r="DO30" s="3547" t="s">
        <v>4033</v>
      </c>
      <c r="DP30" s="3609">
        <f>22130.65*2</f>
        <v>44261.3</v>
      </c>
      <c r="DQ30" s="3562"/>
      <c r="DR30" s="3561">
        <f t="shared" si="61"/>
        <v>-44261.3</v>
      </c>
      <c r="DS30" s="3559">
        <f>5450.58*2</f>
        <v>10901.16</v>
      </c>
      <c r="DT30" s="3562"/>
      <c r="DU30" s="3561">
        <f t="shared" si="62"/>
        <v>-10901.16</v>
      </c>
      <c r="DV30" s="3563"/>
      <c r="DW30" s="3547"/>
      <c r="DX30" s="3609"/>
      <c r="DY30" s="3562"/>
      <c r="DZ30" s="3561">
        <f t="shared" si="63"/>
        <v>0</v>
      </c>
      <c r="EA30" s="3559"/>
      <c r="EB30" s="3562"/>
      <c r="EC30" s="3561">
        <f t="shared" si="64"/>
        <v>0</v>
      </c>
      <c r="ED30" s="3563"/>
      <c r="EF30" s="3565">
        <f t="shared" si="37"/>
        <v>200323.51984126968</v>
      </c>
      <c r="EG30" s="3565">
        <f t="shared" si="24"/>
        <v>160671.59999999989</v>
      </c>
      <c r="EH30" s="3565">
        <f t="shared" si="24"/>
        <v>202825.21904761903</v>
      </c>
      <c r="EI30" s="3565">
        <f t="shared" si="24"/>
        <v>202825.21904761903</v>
      </c>
      <c r="EJ30" s="3565">
        <f t="shared" si="38"/>
        <v>42153.61904761914</v>
      </c>
      <c r="EK30" s="3566">
        <f t="shared" si="39"/>
        <v>0</v>
      </c>
      <c r="EL30" s="3610"/>
      <c r="EM30" s="3567">
        <f t="shared" si="40"/>
        <v>46278.50078616348</v>
      </c>
      <c r="EN30" s="3557">
        <f t="shared" si="25"/>
        <v>35994.396226415061</v>
      </c>
      <c r="EO30" s="3557">
        <f t="shared" si="25"/>
        <v>46278.509433962259</v>
      </c>
      <c r="EP30" s="3557">
        <f t="shared" si="25"/>
        <v>46278.509433962259</v>
      </c>
      <c r="EQ30" s="3557">
        <f t="shared" si="41"/>
        <v>10284.113207547198</v>
      </c>
      <c r="ER30" s="3557">
        <f t="shared" si="42"/>
        <v>0</v>
      </c>
      <c r="ES30" s="3645"/>
      <c r="ET30" s="3612">
        <v>22953.085714285698</v>
      </c>
      <c r="EU30" s="3569">
        <f>24100.74/1.05</f>
        <v>22953.085714285713</v>
      </c>
      <c r="EV30" s="3560">
        <f>24100.74/1.05</f>
        <v>22953.085714285713</v>
      </c>
      <c r="EW30" s="3547">
        <f t="shared" si="26"/>
        <v>0</v>
      </c>
      <c r="EX30" s="3568">
        <v>5142.0566037735798</v>
      </c>
      <c r="EY30" s="3569">
        <f>5450.58/1.06</f>
        <v>5142.0566037735844</v>
      </c>
      <c r="EZ30" s="3560">
        <f>5450.58/1.06</f>
        <v>5142.0566037735844</v>
      </c>
      <c r="FA30" s="3547">
        <f t="shared" si="27"/>
        <v>0</v>
      </c>
      <c r="FB30" s="3612">
        <v>22953.085714285698</v>
      </c>
      <c r="FC30" s="3569">
        <f>24100.74/1.05</f>
        <v>22953.085714285713</v>
      </c>
      <c r="FD30" s="3562">
        <f>24100.74/1.05</f>
        <v>22953.085714285713</v>
      </c>
      <c r="FE30" s="3547">
        <f t="shared" si="65"/>
        <v>0</v>
      </c>
      <c r="FF30" s="3568">
        <v>5142.0566037735798</v>
      </c>
      <c r="FG30" s="3569">
        <f>5450.58/1.06</f>
        <v>5142.0566037735844</v>
      </c>
      <c r="FH30" s="3562">
        <f>5450.58/1.06</f>
        <v>5142.0566037735844</v>
      </c>
      <c r="FI30" s="3547">
        <f t="shared" si="66"/>
        <v>0</v>
      </c>
      <c r="FJ30" s="3612">
        <v>22953.085714285698</v>
      </c>
      <c r="FK30" s="3569">
        <f>24100.74/1.05</f>
        <v>22953.085714285713</v>
      </c>
      <c r="FL30" s="3562">
        <f>24100.74/1.05</f>
        <v>22953.085714285713</v>
      </c>
      <c r="FM30" s="3547">
        <f t="shared" si="67"/>
        <v>0</v>
      </c>
      <c r="FN30" s="3568">
        <v>5142.0566037735798</v>
      </c>
      <c r="FO30" s="3559">
        <f>5450.58/1.06</f>
        <v>5142.0566037735844</v>
      </c>
      <c r="FP30" s="3562">
        <f>5450.58/1.06</f>
        <v>5142.0566037735844</v>
      </c>
      <c r="FQ30" s="3547">
        <f t="shared" si="68"/>
        <v>0</v>
      </c>
      <c r="FR30" s="3612">
        <v>22953.085714285698</v>
      </c>
      <c r="FS30" s="3569">
        <f>24100.74/1.05</f>
        <v>22953.085714285713</v>
      </c>
      <c r="FT30" s="3560">
        <f>24100.74/1.05</f>
        <v>22953.085714285713</v>
      </c>
      <c r="FU30" s="3547">
        <f t="shared" si="69"/>
        <v>0</v>
      </c>
      <c r="FV30" s="3568">
        <v>5142.0566037735798</v>
      </c>
      <c r="FW30" s="3559">
        <f>5450.58/1.06</f>
        <v>5142.0566037735844</v>
      </c>
      <c r="FX30" s="3560">
        <f>5450.58/1.06</f>
        <v>5142.0566037735844</v>
      </c>
      <c r="FY30" s="3547">
        <f t="shared" si="70"/>
        <v>0</v>
      </c>
      <c r="FZ30" s="3612">
        <v>22953.085714285698</v>
      </c>
      <c r="GA30" s="3569">
        <f>24100.74/1.05</f>
        <v>22953.085714285713</v>
      </c>
      <c r="GB30" s="3560">
        <f>24100.74/1.05</f>
        <v>22953.085714285713</v>
      </c>
      <c r="GC30" s="3547">
        <f t="shared" si="71"/>
        <v>0</v>
      </c>
      <c r="GD30" s="3568">
        <v>5142.0566037735798</v>
      </c>
      <c r="GE30" s="3569">
        <f>5450.58/1.06</f>
        <v>5142.0566037735844</v>
      </c>
      <c r="GF30" s="3560">
        <f>5450.58/1.06</f>
        <v>5142.0566037735844</v>
      </c>
      <c r="GG30" s="3547">
        <f t="shared" si="72"/>
        <v>0</v>
      </c>
      <c r="GH30" s="3612">
        <v>22953.085714285698</v>
      </c>
      <c r="GI30" s="3569">
        <f>24100.74/1.05</f>
        <v>22953.085714285713</v>
      </c>
      <c r="GJ30" s="3562">
        <f>24100.74/1.05</f>
        <v>22953.085714285713</v>
      </c>
      <c r="GK30" s="3547">
        <f t="shared" si="73"/>
        <v>0</v>
      </c>
      <c r="GL30" s="3568">
        <v>5142.0566037735798</v>
      </c>
      <c r="GM30" s="3569">
        <f>5450.58/1.06</f>
        <v>5142.0566037735844</v>
      </c>
      <c r="GN30" s="3562">
        <f>5450.58/1.06</f>
        <v>5142.0566037735844</v>
      </c>
      <c r="GO30" s="3547">
        <f t="shared" si="74"/>
        <v>0</v>
      </c>
      <c r="GP30" s="3612">
        <v>22953.085714285698</v>
      </c>
      <c r="GQ30" s="3569">
        <f>24100.74/1.05</f>
        <v>22953.085714285713</v>
      </c>
      <c r="GR30" s="3562">
        <f>24100.74/1.05</f>
        <v>22953.085714285713</v>
      </c>
      <c r="GS30" s="3547">
        <f t="shared" si="75"/>
        <v>0</v>
      </c>
      <c r="GT30" s="3568">
        <v>5142.0566037735798</v>
      </c>
      <c r="GU30" s="3569">
        <f>5450.58/1.06</f>
        <v>5142.0566037735844</v>
      </c>
      <c r="GV30" s="3560">
        <f>5450.58/1.06</f>
        <v>5142.0566037735844</v>
      </c>
      <c r="GW30" s="3547">
        <f t="shared" si="76"/>
        <v>0</v>
      </c>
      <c r="GX30" s="3612"/>
      <c r="GY30" s="3569">
        <f>22130.65/1.05</f>
        <v>21076.809523809523</v>
      </c>
      <c r="GZ30" s="3562">
        <f>44261.3/2/1.05</f>
        <v>21076.809523809523</v>
      </c>
      <c r="HA30" s="3547">
        <f t="shared" si="77"/>
        <v>21076.809523809523</v>
      </c>
      <c r="HB30" s="3568"/>
      <c r="HC30" s="3569">
        <f>5450.58/1.06</f>
        <v>5142.0566037735844</v>
      </c>
      <c r="HD30" s="3562">
        <f>10901.16/2/1.06</f>
        <v>5142.0566037735844</v>
      </c>
      <c r="HE30" s="3547">
        <f t="shared" si="78"/>
        <v>5142.0566037735844</v>
      </c>
      <c r="HF30" s="3612"/>
      <c r="HG30" s="3569">
        <f>22130.65/1.05</f>
        <v>21076.809523809523</v>
      </c>
      <c r="HH30" s="3562">
        <f>44261.3/2/1.05</f>
        <v>21076.809523809523</v>
      </c>
      <c r="HI30" s="3547">
        <f t="shared" si="79"/>
        <v>21076.809523809523</v>
      </c>
      <c r="HJ30" s="3568"/>
      <c r="HK30" s="3569">
        <f>5450.58/1.06</f>
        <v>5142.0566037735844</v>
      </c>
      <c r="HL30" s="3562">
        <f>10901.16/2/1.06</f>
        <v>5142.0566037735844</v>
      </c>
      <c r="HM30" s="3547">
        <f t="shared" si="80"/>
        <v>5142.0566037735844</v>
      </c>
      <c r="HN30" s="3612"/>
      <c r="HO30" s="3569">
        <f>22130.65/1.05</f>
        <v>21076.809523809523</v>
      </c>
      <c r="HP30" s="3562">
        <f>44261.3/2/1.05</f>
        <v>21076.809523809523</v>
      </c>
      <c r="HQ30" s="3547">
        <f t="shared" si="81"/>
        <v>21076.809523809523</v>
      </c>
      <c r="HR30" s="3568"/>
      <c r="HS30" s="3569">
        <f>5450.58/1.06</f>
        <v>5142.0566037735844</v>
      </c>
      <c r="HT30" s="3562">
        <f>10901.16/2/1.06</f>
        <v>5142.0566037735844</v>
      </c>
      <c r="HU30" s="3547">
        <f t="shared" si="82"/>
        <v>5142.0566037735844</v>
      </c>
      <c r="HV30" s="3612">
        <v>19825.959920634901</v>
      </c>
      <c r="HW30" s="3569">
        <f>22130.65/1.05</f>
        <v>21076.809523809523</v>
      </c>
      <c r="HX30" s="3562">
        <f>44261.3/2/1.05</f>
        <v>21076.809523809523</v>
      </c>
      <c r="HY30" s="3547">
        <f t="shared" si="83"/>
        <v>1250.8496031746217</v>
      </c>
      <c r="HZ30" s="3568">
        <v>5142.0522798742104</v>
      </c>
      <c r="IA30" s="3569">
        <f>5450.58/1.06</f>
        <v>5142.0566037735844</v>
      </c>
      <c r="IB30" s="3562">
        <f>10901.16/2/1.06</f>
        <v>5142.0566037735844</v>
      </c>
      <c r="IC30" s="3547">
        <f t="shared" si="84"/>
        <v>4.3238993739578291E-3</v>
      </c>
      <c r="ID30" s="3612">
        <v>19825.959920634901</v>
      </c>
      <c r="IE30" s="3569">
        <f>22130.65/1.05</f>
        <v>21076.809523809523</v>
      </c>
      <c r="IF30" s="3562"/>
      <c r="IG30" s="3547">
        <f t="shared" si="85"/>
        <v>-19825.959920634901</v>
      </c>
      <c r="IH30" s="3568">
        <v>5142.0522798742104</v>
      </c>
      <c r="II30" s="3569">
        <f>5450.58/1.06</f>
        <v>5142.0566037735844</v>
      </c>
      <c r="IJ30" s="3562"/>
      <c r="IK30" s="3547">
        <f t="shared" si="86"/>
        <v>-5142.0522798742104</v>
      </c>
      <c r="IL30" s="3547" t="s">
        <v>3970</v>
      </c>
      <c r="IM30" s="3569">
        <f>22130.65/1.05</f>
        <v>21076.809523809523</v>
      </c>
      <c r="IN30" s="3569">
        <f>5450.58/1.06</f>
        <v>5142.0566037735844</v>
      </c>
      <c r="IO30" s="3547"/>
      <c r="IP30" s="3560">
        <f t="shared" si="87"/>
        <v>0</v>
      </c>
      <c r="IQ30" s="3599"/>
      <c r="IR30" s="3568"/>
      <c r="IS30" s="3568"/>
      <c r="IT30" s="3568"/>
      <c r="IU30" s="3568"/>
      <c r="IV30" s="3568"/>
      <c r="IW30" s="3568"/>
      <c r="IX30" s="3568"/>
      <c r="IY30" s="3568"/>
      <c r="IZ30" s="3560"/>
      <c r="JA30" s="3560"/>
      <c r="JB30" s="3560"/>
      <c r="JC30" s="3560">
        <f t="shared" si="11"/>
        <v>0</v>
      </c>
      <c r="JD30" s="3547"/>
      <c r="JE30" s="3599"/>
      <c r="JF30" s="3568"/>
      <c r="JG30" s="3568"/>
      <c r="JH30" s="3568"/>
      <c r="JI30" s="3568"/>
      <c r="JJ30" s="3568"/>
      <c r="JK30" s="3568"/>
      <c r="JL30" s="3568"/>
      <c r="JM30" s="3568"/>
      <c r="JN30" s="3560"/>
      <c r="JO30" s="3560"/>
      <c r="JP30" s="3547" t="s">
        <v>3837</v>
      </c>
      <c r="JQ30" s="3583">
        <f>24100.74/1.05</f>
        <v>22953.085714285713</v>
      </c>
      <c r="JR30" s="3583">
        <f>5450.58/1.06</f>
        <v>5142.0566037735844</v>
      </c>
      <c r="JS30" s="3573">
        <f t="shared" si="28"/>
        <v>0</v>
      </c>
      <c r="JT30" s="3573">
        <f t="shared" si="35"/>
        <v>0</v>
      </c>
      <c r="JU30" s="3574">
        <f t="shared" si="29"/>
        <v>0</v>
      </c>
      <c r="JV30" s="3574">
        <f t="shared" si="30"/>
        <v>0</v>
      </c>
      <c r="JW30" s="3575"/>
      <c r="JX30" s="3576">
        <f t="shared" si="31"/>
        <v>42153.619047619046</v>
      </c>
      <c r="JY30" s="3576">
        <f t="shared" si="32"/>
        <v>10284.113207547169</v>
      </c>
      <c r="JZ30" s="3577"/>
      <c r="KA30" s="3573">
        <f t="shared" si="111"/>
        <v>26218.866127583107</v>
      </c>
      <c r="KB30" s="3573"/>
      <c r="KC30" s="3573"/>
      <c r="KD30" s="3573">
        <f t="shared" si="33"/>
        <v>26218.866127583107</v>
      </c>
      <c r="KE30" s="3578" t="s">
        <v>3761</v>
      </c>
      <c r="KF30" s="3579"/>
      <c r="KG30" s="3579"/>
      <c r="KH30" s="3579">
        <f>26218.87/10000*2</f>
        <v>5.2437740000000002</v>
      </c>
      <c r="KI30" s="3579"/>
      <c r="KJ30" s="3579"/>
      <c r="KK30" s="3579"/>
      <c r="KL30" s="3579"/>
      <c r="KM30" s="3579"/>
      <c r="KN30" s="3579"/>
      <c r="KO30" s="3579"/>
      <c r="KP30" s="3579"/>
      <c r="KQ30" s="3579">
        <f t="shared" si="34"/>
        <v>5.2437740000000002</v>
      </c>
      <c r="KR30" s="3579">
        <f t="shared" si="88"/>
        <v>-7.7448336632812698E-7</v>
      </c>
      <c r="KS30" s="3577"/>
      <c r="KT30" s="3577"/>
      <c r="KU30" s="3577"/>
      <c r="KV30" s="3577"/>
      <c r="KW30" s="3577"/>
      <c r="KX30" s="3577"/>
      <c r="KY30" s="3577"/>
      <c r="KZ30" s="3577"/>
      <c r="LA30" s="3577"/>
      <c r="LB30" s="3577"/>
      <c r="LC30" s="3577"/>
      <c r="LD30" s="3577"/>
      <c r="LE30" s="3577"/>
      <c r="LF30" s="3577"/>
      <c r="LG30" s="3577"/>
      <c r="LH30" s="3577"/>
      <c r="LJ30" s="3575"/>
      <c r="LK30" s="3571"/>
      <c r="LL30" s="3576"/>
    </row>
    <row r="31" spans="1:325" s="3580" customFormat="1" ht="18" customHeight="1">
      <c r="A31" s="3545">
        <v>28</v>
      </c>
      <c r="B31" s="3546" t="s">
        <v>3937</v>
      </c>
      <c r="C31" s="3615" t="s">
        <v>4034</v>
      </c>
      <c r="D31" s="3547">
        <v>221.94</v>
      </c>
      <c r="E31" s="3548" t="s">
        <v>3799</v>
      </c>
      <c r="F31" s="3546" t="s">
        <v>3790</v>
      </c>
      <c r="G31" s="3546" t="s">
        <v>4035</v>
      </c>
      <c r="H31" s="3546" t="s">
        <v>4036</v>
      </c>
      <c r="I31" s="3594" t="s">
        <v>4020</v>
      </c>
      <c r="J31" s="3594" t="s">
        <v>4011</v>
      </c>
      <c r="K31" s="3545"/>
      <c r="L31" s="3555"/>
      <c r="M31" s="3551">
        <v>86476.14</v>
      </c>
      <c r="N31" s="3551">
        <v>86476.14</v>
      </c>
      <c r="O31" s="3551">
        <f t="shared" si="13"/>
        <v>0</v>
      </c>
      <c r="P31" s="3551">
        <v>16809.18</v>
      </c>
      <c r="Q31" s="3547">
        <v>16809.18</v>
      </c>
      <c r="R31" s="3547">
        <f t="shared" si="89"/>
        <v>0</v>
      </c>
      <c r="S31" s="3547">
        <f t="shared" si="14"/>
        <v>4.6699996666999972</v>
      </c>
      <c r="T31" s="3641">
        <v>31525.65</v>
      </c>
      <c r="U31" s="3553">
        <f t="shared" si="15"/>
        <v>378307.80000000005</v>
      </c>
      <c r="V31" s="3620">
        <f>28825.38*12*2</f>
        <v>691809.12</v>
      </c>
      <c r="W31" s="3547">
        <f t="shared" si="16"/>
        <v>0.82999996296666634</v>
      </c>
      <c r="X31" s="3642">
        <v>5603.06</v>
      </c>
      <c r="Y31" s="3547">
        <f t="shared" si="17"/>
        <v>67236.72</v>
      </c>
      <c r="Z31" s="3554"/>
      <c r="AA31" s="3555"/>
      <c r="AB31" s="3643" t="s">
        <v>3899</v>
      </c>
      <c r="AC31" s="3556">
        <f t="shared" si="18"/>
        <v>363102.877150685</v>
      </c>
      <c r="AD31" s="3556">
        <f t="shared" si="19"/>
        <v>268525.92715068493</v>
      </c>
      <c r="AE31" s="3556">
        <f t="shared" si="19"/>
        <v>268525.93</v>
      </c>
      <c r="AF31" s="3556">
        <f t="shared" si="20"/>
        <v>2.8493150603026152E-3</v>
      </c>
      <c r="AG31" s="3556"/>
      <c r="AH31" s="3557">
        <f t="shared" si="21"/>
        <v>67236.719999999987</v>
      </c>
      <c r="AI31" s="3558">
        <f t="shared" si="22"/>
        <v>50427.539999999994</v>
      </c>
      <c r="AJ31" s="3558">
        <f t="shared" si="22"/>
        <v>50427.539999999994</v>
      </c>
      <c r="AK31" s="3557">
        <f t="shared" si="43"/>
        <v>0</v>
      </c>
      <c r="AL31" s="3557"/>
      <c r="AM31" s="3547" t="s">
        <v>3822</v>
      </c>
      <c r="AN31" s="3609">
        <v>28825.38</v>
      </c>
      <c r="AO31" s="3562">
        <v>28825.38</v>
      </c>
      <c r="AP31" s="3561">
        <f t="shared" si="44"/>
        <v>0</v>
      </c>
      <c r="AQ31" s="3559">
        <v>5603.06</v>
      </c>
      <c r="AR31" s="3562">
        <v>5603.06</v>
      </c>
      <c r="AS31" s="3561">
        <f t="shared" si="36"/>
        <v>0</v>
      </c>
      <c r="AT31" s="3563" t="s">
        <v>3823</v>
      </c>
      <c r="AU31" s="3547" t="s">
        <v>3824</v>
      </c>
      <c r="AV31" s="3609">
        <v>28825.38</v>
      </c>
      <c r="AW31" s="3562">
        <v>28825.38</v>
      </c>
      <c r="AX31" s="3561">
        <f t="shared" si="45"/>
        <v>0</v>
      </c>
      <c r="AY31" s="3559">
        <v>5603.06</v>
      </c>
      <c r="AZ31" s="3562">
        <v>5603.06</v>
      </c>
      <c r="BA31" s="3561">
        <f t="shared" si="23"/>
        <v>0</v>
      </c>
      <c r="BB31" s="3563" t="s">
        <v>3960</v>
      </c>
      <c r="BC31" s="3547" t="s">
        <v>3826</v>
      </c>
      <c r="BD31" s="3609">
        <v>28825.38</v>
      </c>
      <c r="BE31" s="3562">
        <v>28825.38</v>
      </c>
      <c r="BF31" s="3561">
        <f t="shared" si="46"/>
        <v>0</v>
      </c>
      <c r="BG31" s="3559">
        <v>5603.06</v>
      </c>
      <c r="BH31" s="3562">
        <v>5603.06</v>
      </c>
      <c r="BI31" s="3561">
        <f t="shared" si="47"/>
        <v>0</v>
      </c>
      <c r="BJ31" s="3563" t="s">
        <v>4012</v>
      </c>
      <c r="BK31" s="3547" t="s">
        <v>3873</v>
      </c>
      <c r="BL31" s="3609">
        <v>28825.38</v>
      </c>
      <c r="BM31" s="3603">
        <v>28825.38</v>
      </c>
      <c r="BN31" s="3602">
        <f t="shared" si="48"/>
        <v>0</v>
      </c>
      <c r="BO31" s="3604">
        <v>5603.06</v>
      </c>
      <c r="BP31" s="3603">
        <v>5603.06</v>
      </c>
      <c r="BQ31" s="3561">
        <f t="shared" si="49"/>
        <v>0</v>
      </c>
      <c r="BR31" s="3563" t="s">
        <v>4013</v>
      </c>
      <c r="BS31" s="3547" t="s">
        <v>3875</v>
      </c>
      <c r="BT31" s="3609">
        <v>28825.38</v>
      </c>
      <c r="BU31" s="3603">
        <v>28825.38</v>
      </c>
      <c r="BV31" s="3602">
        <f t="shared" si="50"/>
        <v>0</v>
      </c>
      <c r="BW31" s="3604">
        <v>5603.06</v>
      </c>
      <c r="BX31" s="3603">
        <v>5603.06</v>
      </c>
      <c r="BY31" s="3561">
        <f t="shared" si="51"/>
        <v>0</v>
      </c>
      <c r="BZ31" s="3563" t="s">
        <v>3963</v>
      </c>
      <c r="CA31" s="3547" t="s">
        <v>3877</v>
      </c>
      <c r="CB31" s="3609">
        <f>28825.38*12/365*26+31525.66*12/365*5</f>
        <v>29822.077150684931</v>
      </c>
      <c r="CC31" s="3562">
        <v>29822.080000000002</v>
      </c>
      <c r="CD31" s="3561">
        <f t="shared" si="52"/>
        <v>2.8493150712165516E-3</v>
      </c>
      <c r="CE31" s="3559">
        <v>5603.06</v>
      </c>
      <c r="CF31" s="3562">
        <v>5603.06</v>
      </c>
      <c r="CG31" s="3561">
        <f t="shared" si="53"/>
        <v>0</v>
      </c>
      <c r="CH31" s="3563" t="s">
        <v>4014</v>
      </c>
      <c r="CI31" s="3547" t="s">
        <v>3948</v>
      </c>
      <c r="CJ31" s="3609">
        <v>31525.65</v>
      </c>
      <c r="CK31" s="3603">
        <v>31525.65</v>
      </c>
      <c r="CL31" s="3561">
        <f t="shared" si="5"/>
        <v>0</v>
      </c>
      <c r="CM31" s="3559">
        <v>5603.06</v>
      </c>
      <c r="CN31" s="3603">
        <v>5603.06</v>
      </c>
      <c r="CO31" s="3561">
        <f t="shared" si="54"/>
        <v>0</v>
      </c>
      <c r="CP31" s="3563" t="s">
        <v>4015</v>
      </c>
      <c r="CQ31" s="3547" t="s">
        <v>3950</v>
      </c>
      <c r="CR31" s="3609">
        <v>31525.65</v>
      </c>
      <c r="CS31" s="3603">
        <v>31525.65</v>
      </c>
      <c r="CT31" s="3561">
        <f t="shared" si="55"/>
        <v>0</v>
      </c>
      <c r="CU31" s="3559">
        <v>5603.06</v>
      </c>
      <c r="CV31" s="3603">
        <f>5603.06</f>
        <v>5603.06</v>
      </c>
      <c r="CW31" s="3561">
        <f t="shared" si="56"/>
        <v>0</v>
      </c>
      <c r="CX31" s="3563" t="s">
        <v>4016</v>
      </c>
      <c r="CY31" s="3597" t="s">
        <v>3966</v>
      </c>
      <c r="CZ31" s="3609">
        <v>31525.65</v>
      </c>
      <c r="DA31" s="3603">
        <v>31525.65</v>
      </c>
      <c r="DB31" s="3561">
        <f t="shared" si="57"/>
        <v>0</v>
      </c>
      <c r="DC31" s="3559">
        <v>5603.06</v>
      </c>
      <c r="DD31" s="3603">
        <v>5603.06</v>
      </c>
      <c r="DE31" s="3561">
        <f t="shared" si="58"/>
        <v>0</v>
      </c>
      <c r="DF31" s="3630" t="s">
        <v>3967</v>
      </c>
      <c r="DG31" s="3547" t="s">
        <v>3968</v>
      </c>
      <c r="DH31" s="3609">
        <v>31525.65</v>
      </c>
      <c r="DI31" s="3562"/>
      <c r="DJ31" s="3561">
        <f t="shared" si="59"/>
        <v>-31525.65</v>
      </c>
      <c r="DK31" s="3559">
        <v>5603.06</v>
      </c>
      <c r="DL31" s="3562"/>
      <c r="DM31" s="3561">
        <f t="shared" si="60"/>
        <v>-5603.06</v>
      </c>
      <c r="DN31" s="3563"/>
      <c r="DO31" s="3547" t="s">
        <v>3969</v>
      </c>
      <c r="DP31" s="3609">
        <v>31525.65</v>
      </c>
      <c r="DQ31" s="3562"/>
      <c r="DR31" s="3561">
        <f t="shared" si="61"/>
        <v>-31525.65</v>
      </c>
      <c r="DS31" s="3559">
        <v>5603.06</v>
      </c>
      <c r="DT31" s="3562"/>
      <c r="DU31" s="3561">
        <f t="shared" si="62"/>
        <v>-5603.06</v>
      </c>
      <c r="DV31" s="3563"/>
      <c r="DW31" s="3547" t="s">
        <v>3970</v>
      </c>
      <c r="DX31" s="3609">
        <v>31525.65</v>
      </c>
      <c r="DY31" s="3562"/>
      <c r="DZ31" s="3561">
        <f t="shared" si="63"/>
        <v>-31525.65</v>
      </c>
      <c r="EA31" s="3559">
        <v>5603.06</v>
      </c>
      <c r="EB31" s="3562"/>
      <c r="EC31" s="3561">
        <f t="shared" si="64"/>
        <v>-5603.06</v>
      </c>
      <c r="ED31" s="3563"/>
      <c r="EE31" s="3564"/>
      <c r="EF31" s="3565">
        <f t="shared" si="37"/>
        <v>343240.60242857144</v>
      </c>
      <c r="EG31" s="3565">
        <f t="shared" si="24"/>
        <v>253167.31028571431</v>
      </c>
      <c r="EH31" s="3565">
        <f t="shared" si="24"/>
        <v>253167.29252446184</v>
      </c>
      <c r="EI31" s="3565">
        <f t="shared" si="24"/>
        <v>253167.29523809525</v>
      </c>
      <c r="EJ31" s="3565">
        <f t="shared" si="38"/>
        <v>-1.5047619061078876E-2</v>
      </c>
      <c r="EK31" s="3565">
        <f t="shared" si="39"/>
        <v>2.713633410166949E-3</v>
      </c>
      <c r="EL31" s="3610"/>
      <c r="EM31" s="3557">
        <f t="shared" si="40"/>
        <v>63430.870754716918</v>
      </c>
      <c r="EN31" s="3557">
        <f t="shared" si="25"/>
        <v>47573.153066037688</v>
      </c>
      <c r="EO31" s="3557">
        <f t="shared" si="25"/>
        <v>47573.15094339622</v>
      </c>
      <c r="EP31" s="3557">
        <f t="shared" si="25"/>
        <v>47573.15094339622</v>
      </c>
      <c r="EQ31" s="3557">
        <f t="shared" si="41"/>
        <v>-2.1226414683042094E-3</v>
      </c>
      <c r="ER31" s="3557">
        <f t="shared" si="42"/>
        <v>0</v>
      </c>
      <c r="ES31" s="3645"/>
      <c r="ET31" s="3612">
        <v>27452.744999999999</v>
      </c>
      <c r="EU31" s="3569">
        <f>28825.38/1.05</f>
        <v>27452.742857142857</v>
      </c>
      <c r="EV31" s="3560">
        <f>28825.38/1.05</f>
        <v>27452.742857142857</v>
      </c>
      <c r="EW31" s="3547">
        <f t="shared" si="26"/>
        <v>-2.1428571417345665E-3</v>
      </c>
      <c r="EX31" s="3568">
        <v>5285.9058962264098</v>
      </c>
      <c r="EY31" s="3569">
        <f>5603.06/1.06</f>
        <v>5285.9056603773588</v>
      </c>
      <c r="EZ31" s="3560">
        <f>5603.06/1.06</f>
        <v>5285.9056603773588</v>
      </c>
      <c r="FA31" s="3547">
        <f t="shared" si="27"/>
        <v>-2.3584905102325138E-4</v>
      </c>
      <c r="FB31" s="3612">
        <v>27452.744999999999</v>
      </c>
      <c r="FC31" s="3569">
        <f>28825.38/1.05</f>
        <v>27452.742857142857</v>
      </c>
      <c r="FD31" s="3562">
        <f>28825.38/1.05</f>
        <v>27452.742857142857</v>
      </c>
      <c r="FE31" s="3547">
        <f t="shared" si="65"/>
        <v>-2.1428571417345665E-3</v>
      </c>
      <c r="FF31" s="3568">
        <v>5285.9058962264098</v>
      </c>
      <c r="FG31" s="3569">
        <f>5603.06/1.06</f>
        <v>5285.9056603773588</v>
      </c>
      <c r="FH31" s="3562">
        <f>5603.06/1.06</f>
        <v>5285.9056603773588</v>
      </c>
      <c r="FI31" s="3547">
        <f t="shared" si="66"/>
        <v>-2.3584905102325138E-4</v>
      </c>
      <c r="FJ31" s="3612">
        <v>27452.744999999999</v>
      </c>
      <c r="FK31" s="3569">
        <f>28825.38/1.05</f>
        <v>27452.742857142857</v>
      </c>
      <c r="FL31" s="3562">
        <f>28825.38/1.05</f>
        <v>27452.742857142857</v>
      </c>
      <c r="FM31" s="3547">
        <f t="shared" si="67"/>
        <v>-2.1428571417345665E-3</v>
      </c>
      <c r="FN31" s="3568">
        <v>5285.9058962264098</v>
      </c>
      <c r="FO31" s="3559">
        <f>5603.06/1.06</f>
        <v>5285.9056603773588</v>
      </c>
      <c r="FP31" s="3562">
        <f>5603.06/1.06</f>
        <v>5285.9056603773588</v>
      </c>
      <c r="FQ31" s="3547">
        <f t="shared" si="68"/>
        <v>-2.3584905102325138E-4</v>
      </c>
      <c r="FR31" s="3612">
        <v>27452.744999999999</v>
      </c>
      <c r="FS31" s="3569">
        <f>28825.38/1.05</f>
        <v>27452.742857142857</v>
      </c>
      <c r="FT31" s="3560">
        <f>28825.38/1.05</f>
        <v>27452.742857142857</v>
      </c>
      <c r="FU31" s="3547">
        <f t="shared" si="69"/>
        <v>-2.1428571417345665E-3</v>
      </c>
      <c r="FV31" s="3568">
        <v>5285.9058962264098</v>
      </c>
      <c r="FW31" s="3559">
        <f>5603.06/1.06</f>
        <v>5285.9056603773588</v>
      </c>
      <c r="FX31" s="3560">
        <f>5603.06/1.06</f>
        <v>5285.9056603773588</v>
      </c>
      <c r="FY31" s="3547">
        <f t="shared" si="70"/>
        <v>-2.3584905102325138E-4</v>
      </c>
      <c r="FZ31" s="3612">
        <v>27452.744999999999</v>
      </c>
      <c r="GA31" s="3569">
        <f>28825.38/1.05</f>
        <v>27452.742857142857</v>
      </c>
      <c r="GB31" s="3560">
        <f>28825.38/1.05</f>
        <v>27452.742857142857</v>
      </c>
      <c r="GC31" s="3547">
        <f t="shared" si="71"/>
        <v>-2.1428571417345665E-3</v>
      </c>
      <c r="GD31" s="3568">
        <v>5285.9058962264098</v>
      </c>
      <c r="GE31" s="3569">
        <f>5603.06/1.06</f>
        <v>5285.9056603773588</v>
      </c>
      <c r="GF31" s="3560">
        <f>5603.06/1.06</f>
        <v>5285.9056603773588</v>
      </c>
      <c r="GG31" s="3547">
        <f t="shared" si="72"/>
        <v>-2.3584905102325138E-4</v>
      </c>
      <c r="GH31" s="3612">
        <v>27452.744999999999</v>
      </c>
      <c r="GI31" s="3569">
        <f>28825.38/1.05</f>
        <v>27452.742857142857</v>
      </c>
      <c r="GJ31" s="3562">
        <f>28825.38/1.05</f>
        <v>27452.742857142857</v>
      </c>
      <c r="GK31" s="3547">
        <f t="shared" si="73"/>
        <v>-2.1428571417345665E-3</v>
      </c>
      <c r="GL31" s="3568">
        <v>5285.9058962264098</v>
      </c>
      <c r="GM31" s="3569">
        <f>5603.06/1.06</f>
        <v>5285.9056603773588</v>
      </c>
      <c r="GN31" s="3562">
        <f>5603.06/1.06</f>
        <v>5285.9056603773588</v>
      </c>
      <c r="GO31" s="3547">
        <f t="shared" si="74"/>
        <v>-2.3584905102325138E-4</v>
      </c>
      <c r="GP31" s="3612">
        <v>28401.978857142902</v>
      </c>
      <c r="GQ31" s="3646">
        <f>28825.38*12/365*26/1.05+31525.66*12/365*5/1.05</f>
        <v>28401.97823874755</v>
      </c>
      <c r="GR31" s="3562">
        <f>29822.08/1.05</f>
        <v>28401.980952380953</v>
      </c>
      <c r="GS31" s="3547">
        <f t="shared" si="75"/>
        <v>2.0952380509697832E-3</v>
      </c>
      <c r="GT31" s="3568">
        <v>5285.9058962264098</v>
      </c>
      <c r="GU31" s="3569">
        <f>5603.06/1.06</f>
        <v>5285.9056603773588</v>
      </c>
      <c r="GV31" s="3560">
        <f>5603.06/1.06</f>
        <v>5285.9056603773588</v>
      </c>
      <c r="GW31" s="3547">
        <f t="shared" si="76"/>
        <v>-2.3584905102325138E-4</v>
      </c>
      <c r="GX31" s="3612">
        <v>30024.4307142857</v>
      </c>
      <c r="GY31" s="3569">
        <f>31525.65/1.05</f>
        <v>30024.428571428572</v>
      </c>
      <c r="GZ31" s="3562">
        <f>31525.65/1.05</f>
        <v>30024.428571428572</v>
      </c>
      <c r="HA31" s="3547">
        <f t="shared" si="77"/>
        <v>-2.1428571271826513E-3</v>
      </c>
      <c r="HB31" s="3568">
        <v>5285.9058962264098</v>
      </c>
      <c r="HC31" s="3569">
        <f>5603.06/1.06</f>
        <v>5285.9056603773588</v>
      </c>
      <c r="HD31" s="3562">
        <f>5603.06/1.06</f>
        <v>5285.9056603773588</v>
      </c>
      <c r="HE31" s="3547">
        <f t="shared" si="78"/>
        <v>-2.3584905102325138E-4</v>
      </c>
      <c r="HF31" s="3612">
        <v>30024.4307142857</v>
      </c>
      <c r="HG31" s="3569">
        <f>31525.65/1.05</f>
        <v>30024.428571428572</v>
      </c>
      <c r="HH31" s="3562">
        <f>31525.65/1.05</f>
        <v>30024.428571428572</v>
      </c>
      <c r="HI31" s="3547">
        <f t="shared" si="79"/>
        <v>-2.1428571271826513E-3</v>
      </c>
      <c r="HJ31" s="3568">
        <v>5285.9058962264098</v>
      </c>
      <c r="HK31" s="3569">
        <f>5603.06/1.06</f>
        <v>5285.9056603773588</v>
      </c>
      <c r="HL31" s="3562">
        <f>5603.06/1.06</f>
        <v>5285.9056603773588</v>
      </c>
      <c r="HM31" s="3547">
        <f t="shared" si="80"/>
        <v>-2.3584905102325138E-4</v>
      </c>
      <c r="HN31" s="3612">
        <v>30024.4307142857</v>
      </c>
      <c r="HO31" s="3569">
        <f>31525.65/1.05</f>
        <v>30024.428571428572</v>
      </c>
      <c r="HP31" s="3562">
        <f>31525.65/1.05</f>
        <v>30024.428571428572</v>
      </c>
      <c r="HQ31" s="3547">
        <f t="shared" si="81"/>
        <v>-2.1428571271826513E-3</v>
      </c>
      <c r="HR31" s="3568">
        <v>5285.9058962264098</v>
      </c>
      <c r="HS31" s="3569">
        <f>5603.06/1.06</f>
        <v>5285.9056603773588</v>
      </c>
      <c r="HT31" s="3562">
        <f>5603.06/1.06</f>
        <v>5285.9056603773588</v>
      </c>
      <c r="HU31" s="3547">
        <f t="shared" si="82"/>
        <v>-2.3584905102325138E-4</v>
      </c>
      <c r="HV31" s="3612">
        <v>30024.4307142857</v>
      </c>
      <c r="HW31" s="3569">
        <f>31525.65/1.05</f>
        <v>30024.428571428572</v>
      </c>
      <c r="HX31" s="3562"/>
      <c r="HY31" s="3547">
        <f t="shared" si="83"/>
        <v>-30024.4307142857</v>
      </c>
      <c r="HZ31" s="3568">
        <v>5285.9058962264098</v>
      </c>
      <c r="IA31" s="3569">
        <f>5603.06/1.06</f>
        <v>5285.9056603773588</v>
      </c>
      <c r="IB31" s="3562"/>
      <c r="IC31" s="3547">
        <f t="shared" si="84"/>
        <v>-5285.9058962264098</v>
      </c>
      <c r="ID31" s="3612">
        <v>30024.4307142857</v>
      </c>
      <c r="IE31" s="3569">
        <f>31525.65/1.05</f>
        <v>30024.428571428572</v>
      </c>
      <c r="IF31" s="3562"/>
      <c r="IG31" s="3547">
        <f t="shared" si="85"/>
        <v>-30024.4307142857</v>
      </c>
      <c r="IH31" s="3568">
        <v>5285.9058962264098</v>
      </c>
      <c r="II31" s="3569">
        <f>5603.06/1.06</f>
        <v>5285.9056603773588</v>
      </c>
      <c r="IJ31" s="3562"/>
      <c r="IK31" s="3547">
        <f t="shared" si="86"/>
        <v>-5285.9058962264098</v>
      </c>
      <c r="IL31" s="3547" t="s">
        <v>3970</v>
      </c>
      <c r="IM31" s="3569">
        <f>31525.65/1.05</f>
        <v>30024.428571428572</v>
      </c>
      <c r="IN31" s="3569">
        <f>5603.06/1.06</f>
        <v>5285.9056603773588</v>
      </c>
      <c r="IO31" s="3547"/>
      <c r="IP31" s="3560">
        <f t="shared" si="87"/>
        <v>0</v>
      </c>
      <c r="IQ31" s="3599"/>
      <c r="IR31" s="3568"/>
      <c r="IS31" s="3568"/>
      <c r="IT31" s="3568"/>
      <c r="IU31" s="3568"/>
      <c r="IV31" s="3568"/>
      <c r="IW31" s="3568"/>
      <c r="IX31" s="3568"/>
      <c r="IY31" s="3568"/>
      <c r="IZ31" s="3560"/>
      <c r="JA31" s="3560"/>
      <c r="JB31" s="3560"/>
      <c r="JC31" s="3560">
        <f t="shared" si="11"/>
        <v>0</v>
      </c>
      <c r="JD31" s="3547"/>
      <c r="JE31" s="3599"/>
      <c r="JF31" s="3568"/>
      <c r="JG31" s="3568"/>
      <c r="JH31" s="3568"/>
      <c r="JI31" s="3568"/>
      <c r="JJ31" s="3568"/>
      <c r="JK31" s="3568"/>
      <c r="JL31" s="3568"/>
      <c r="JM31" s="3568"/>
      <c r="JN31" s="3560"/>
      <c r="JO31" s="3560"/>
      <c r="JP31" s="3547" t="s">
        <v>3837</v>
      </c>
      <c r="JQ31" s="3583">
        <f>28825.38/1.05</f>
        <v>27452.742857142857</v>
      </c>
      <c r="JR31" s="3583">
        <f>5603.06/1.06</f>
        <v>5285.9056603773588</v>
      </c>
      <c r="JS31" s="3573">
        <f t="shared" si="28"/>
        <v>6.5483618527650833E-11</v>
      </c>
      <c r="JT31" s="3573">
        <f t="shared" si="35"/>
        <v>0</v>
      </c>
      <c r="JU31" s="3574">
        <f t="shared" si="29"/>
        <v>0</v>
      </c>
      <c r="JV31" s="3574">
        <f t="shared" si="30"/>
        <v>0</v>
      </c>
      <c r="JW31" s="3575"/>
      <c r="JX31" s="3576">
        <f t="shared" si="31"/>
        <v>30024.428571428572</v>
      </c>
      <c r="JY31" s="3576">
        <f t="shared" si="32"/>
        <v>5285.9056603773588</v>
      </c>
      <c r="JZ31" s="3577"/>
      <c r="KA31" s="3573">
        <f t="shared" si="111"/>
        <v>-2.3787061782059027E-3</v>
      </c>
      <c r="KB31" s="3573"/>
      <c r="KC31" s="3573"/>
      <c r="KD31" s="3573">
        <f t="shared" si="33"/>
        <v>-2.3787061782059027E-3</v>
      </c>
      <c r="KE31" s="3571"/>
      <c r="KF31" s="3579"/>
      <c r="KG31" s="3579"/>
      <c r="KH31" s="3579"/>
      <c r="KI31" s="3579"/>
      <c r="KJ31" s="3579"/>
      <c r="KK31" s="3579"/>
      <c r="KL31" s="3579"/>
      <c r="KM31" s="3579"/>
      <c r="KN31" s="3579"/>
      <c r="KO31" s="3579"/>
      <c r="KP31" s="3579"/>
      <c r="KQ31" s="3579">
        <f t="shared" si="34"/>
        <v>0</v>
      </c>
      <c r="KR31" s="3579">
        <f t="shared" si="88"/>
        <v>-1.7170260529383085E-6</v>
      </c>
      <c r="KS31" s="3577"/>
      <c r="KT31" s="3577"/>
      <c r="KU31" s="3577"/>
      <c r="KV31" s="3577"/>
      <c r="KW31" s="3577"/>
      <c r="KX31" s="3577"/>
      <c r="KY31" s="3577"/>
      <c r="KZ31" s="3577"/>
      <c r="LA31" s="3577"/>
      <c r="LB31" s="3577"/>
      <c r="LC31" s="3577"/>
      <c r="LD31" s="3577"/>
      <c r="LE31" s="3577"/>
      <c r="LF31" s="3577"/>
      <c r="LG31" s="3577"/>
      <c r="LH31" s="3577"/>
      <c r="LJ31" s="3575"/>
      <c r="LK31" s="3626">
        <v>11</v>
      </c>
      <c r="LL31" s="3627">
        <v>47254.74</v>
      </c>
      <c r="LM31" s="3580" t="s">
        <v>3972</v>
      </c>
    </row>
    <row r="32" spans="1:325" s="3580" customFormat="1" ht="18" customHeight="1">
      <c r="A32" s="3545">
        <v>29</v>
      </c>
      <c r="B32" s="3546" t="s">
        <v>3937</v>
      </c>
      <c r="C32" s="3615" t="s">
        <v>4037</v>
      </c>
      <c r="D32" s="3547">
        <v>221.83</v>
      </c>
      <c r="E32" s="3548" t="s">
        <v>3799</v>
      </c>
      <c r="F32" s="3546" t="s">
        <v>3790</v>
      </c>
      <c r="G32" s="3546" t="s">
        <v>4038</v>
      </c>
      <c r="H32" s="3546" t="s">
        <v>4039</v>
      </c>
      <c r="I32" s="3594" t="s">
        <v>4040</v>
      </c>
      <c r="J32" s="3629" t="s">
        <v>4041</v>
      </c>
      <c r="K32" s="3545"/>
      <c r="L32" s="3555"/>
      <c r="M32" s="3551">
        <v>86433.3</v>
      </c>
      <c r="N32" s="3551">
        <v>86433.3</v>
      </c>
      <c r="O32" s="3551">
        <f t="shared" si="13"/>
        <v>0</v>
      </c>
      <c r="P32" s="3551">
        <v>16800.84</v>
      </c>
      <c r="Q32" s="3547">
        <v>16800.84</v>
      </c>
      <c r="R32" s="3547">
        <f t="shared" si="89"/>
        <v>0</v>
      </c>
      <c r="S32" s="3547">
        <f t="shared" si="14"/>
        <v>4.2700006607552732</v>
      </c>
      <c r="T32" s="3598">
        <v>28811.1</v>
      </c>
      <c r="U32" s="3553">
        <f t="shared" si="15"/>
        <v>345733.19999999995</v>
      </c>
      <c r="V32" s="3620">
        <f>28811.1*10+31510.03*12</f>
        <v>666231.36</v>
      </c>
      <c r="W32" s="3547">
        <f t="shared" si="16"/>
        <v>0.82999952450321379</v>
      </c>
      <c r="X32" s="3642">
        <v>5600.28</v>
      </c>
      <c r="Y32" s="3547">
        <f t="shared" si="17"/>
        <v>67203.360000000001</v>
      </c>
      <c r="Z32" s="3554"/>
      <c r="AA32" s="3555"/>
      <c r="AB32" s="3643" t="s">
        <v>3899</v>
      </c>
      <c r="AC32" s="3556">
        <f t="shared" si="18"/>
        <v>298906.71999999997</v>
      </c>
      <c r="AD32" s="3556">
        <f t="shared" si="19"/>
        <v>204376.63</v>
      </c>
      <c r="AE32" s="3556">
        <f t="shared" si="19"/>
        <v>204376.63</v>
      </c>
      <c r="AF32" s="3556">
        <f t="shared" si="20"/>
        <v>0</v>
      </c>
      <c r="AG32" s="3556"/>
      <c r="AH32" s="3557">
        <f t="shared" si="21"/>
        <v>67203.360000000001</v>
      </c>
      <c r="AI32" s="3558">
        <f t="shared" si="22"/>
        <v>50402.52</v>
      </c>
      <c r="AJ32" s="3558">
        <f t="shared" si="22"/>
        <v>50402.52</v>
      </c>
      <c r="AK32" s="3557">
        <f t="shared" si="43"/>
        <v>0</v>
      </c>
      <c r="AL32" s="3557"/>
      <c r="AM32" s="3547" t="s">
        <v>3822</v>
      </c>
      <c r="AN32" s="3609">
        <v>28811.1</v>
      </c>
      <c r="AO32" s="3562">
        <v>28811.1</v>
      </c>
      <c r="AP32" s="3561">
        <f t="shared" si="44"/>
        <v>0</v>
      </c>
      <c r="AQ32" s="3559">
        <v>5600.28</v>
      </c>
      <c r="AR32" s="3562">
        <v>5600.28</v>
      </c>
      <c r="AS32" s="3561">
        <f t="shared" si="36"/>
        <v>0</v>
      </c>
      <c r="AT32" s="3563" t="s">
        <v>3823</v>
      </c>
      <c r="AU32" s="3547" t="s">
        <v>3824</v>
      </c>
      <c r="AV32" s="3609">
        <v>28811.1</v>
      </c>
      <c r="AW32" s="3562">
        <f>28811.1</f>
        <v>28811.1</v>
      </c>
      <c r="AX32" s="3561">
        <f t="shared" si="45"/>
        <v>0</v>
      </c>
      <c r="AY32" s="3559">
        <v>5600.28</v>
      </c>
      <c r="AZ32" s="3562">
        <v>5600.28</v>
      </c>
      <c r="BA32" s="3561">
        <f t="shared" si="23"/>
        <v>0</v>
      </c>
      <c r="BB32" s="3563" t="s">
        <v>3944</v>
      </c>
      <c r="BC32" s="3547" t="s">
        <v>3826</v>
      </c>
      <c r="BD32" s="3601"/>
      <c r="BE32" s="3562"/>
      <c r="BF32" s="3561">
        <f t="shared" si="46"/>
        <v>0</v>
      </c>
      <c r="BG32" s="3559">
        <v>5600.28</v>
      </c>
      <c r="BH32" s="3562">
        <v>5600.28</v>
      </c>
      <c r="BI32" s="3561">
        <f t="shared" si="47"/>
        <v>0</v>
      </c>
      <c r="BJ32" s="3563" t="s">
        <v>4042</v>
      </c>
      <c r="BK32" s="3597" t="s">
        <v>3873</v>
      </c>
      <c r="BL32" s="3601"/>
      <c r="BM32" s="3562"/>
      <c r="BN32" s="3561">
        <f t="shared" si="48"/>
        <v>0</v>
      </c>
      <c r="BO32" s="3559">
        <v>5600.28</v>
      </c>
      <c r="BP32" s="3562">
        <v>5600.28</v>
      </c>
      <c r="BQ32" s="3561">
        <f t="shared" si="49"/>
        <v>0</v>
      </c>
      <c r="BR32" s="3563" t="s">
        <v>4043</v>
      </c>
      <c r="BS32" s="3547" t="s">
        <v>3875</v>
      </c>
      <c r="BT32" s="3609">
        <v>28811.1</v>
      </c>
      <c r="BU32" s="3603">
        <v>28811.1</v>
      </c>
      <c r="BV32" s="3602">
        <f t="shared" si="50"/>
        <v>0</v>
      </c>
      <c r="BW32" s="3604">
        <v>5600.28</v>
      </c>
      <c r="BX32" s="3603">
        <v>5600.28</v>
      </c>
      <c r="BY32" s="3561">
        <f t="shared" si="51"/>
        <v>0</v>
      </c>
      <c r="BZ32" s="3563" t="s">
        <v>3963</v>
      </c>
      <c r="CA32" s="3547" t="s">
        <v>3877</v>
      </c>
      <c r="CB32" s="3609">
        <v>28811.1</v>
      </c>
      <c r="CC32" s="3562">
        <v>28811.1</v>
      </c>
      <c r="CD32" s="3561">
        <f t="shared" si="52"/>
        <v>0</v>
      </c>
      <c r="CE32" s="3559">
        <v>5600.28</v>
      </c>
      <c r="CF32" s="3562">
        <v>5600.28</v>
      </c>
      <c r="CG32" s="3561">
        <f t="shared" si="53"/>
        <v>0</v>
      </c>
      <c r="CH32" s="3563" t="s">
        <v>4014</v>
      </c>
      <c r="CI32" s="3547" t="s">
        <v>3948</v>
      </c>
      <c r="CJ32" s="3609">
        <v>28811.1</v>
      </c>
      <c r="CK32" s="3603">
        <v>28811.1</v>
      </c>
      <c r="CL32" s="3561">
        <f t="shared" si="5"/>
        <v>0</v>
      </c>
      <c r="CM32" s="3559">
        <v>5600.28</v>
      </c>
      <c r="CN32" s="3603">
        <v>5600.28</v>
      </c>
      <c r="CO32" s="3561">
        <f t="shared" si="54"/>
        <v>0</v>
      </c>
      <c r="CP32" s="3563" t="s">
        <v>4015</v>
      </c>
      <c r="CQ32" s="3547" t="s">
        <v>3950</v>
      </c>
      <c r="CR32" s="3609">
        <v>28811.1</v>
      </c>
      <c r="CS32" s="3603">
        <v>28811.1</v>
      </c>
      <c r="CT32" s="3561">
        <f t="shared" si="55"/>
        <v>0</v>
      </c>
      <c r="CU32" s="3559">
        <v>5600.28</v>
      </c>
      <c r="CV32" s="3603">
        <v>5600.28</v>
      </c>
      <c r="CW32" s="3561">
        <f t="shared" si="56"/>
        <v>0</v>
      </c>
      <c r="CX32" s="3563" t="s">
        <v>4016</v>
      </c>
      <c r="CY32" s="3597" t="s">
        <v>3966</v>
      </c>
      <c r="CZ32" s="3601">
        <v>31510.03</v>
      </c>
      <c r="DA32" s="3603">
        <v>31510.03</v>
      </c>
      <c r="DB32" s="3561">
        <f t="shared" si="57"/>
        <v>0</v>
      </c>
      <c r="DC32" s="3559">
        <v>5600.28</v>
      </c>
      <c r="DD32" s="3603">
        <v>5600.28</v>
      </c>
      <c r="DE32" s="3561">
        <f t="shared" si="58"/>
        <v>0</v>
      </c>
      <c r="DF32" s="3630" t="s">
        <v>3967</v>
      </c>
      <c r="DG32" s="3547" t="s">
        <v>3968</v>
      </c>
      <c r="DH32" s="3609">
        <v>31510.03</v>
      </c>
      <c r="DI32" s="3562"/>
      <c r="DJ32" s="3561">
        <f t="shared" si="59"/>
        <v>-31510.03</v>
      </c>
      <c r="DK32" s="3559">
        <v>5600.28</v>
      </c>
      <c r="DL32" s="3562"/>
      <c r="DM32" s="3561">
        <f t="shared" si="60"/>
        <v>-5600.28</v>
      </c>
      <c r="DN32" s="3563"/>
      <c r="DO32" s="3547" t="s">
        <v>3969</v>
      </c>
      <c r="DP32" s="3609">
        <v>31510.03</v>
      </c>
      <c r="DQ32" s="3562"/>
      <c r="DR32" s="3561">
        <f t="shared" si="61"/>
        <v>-31510.03</v>
      </c>
      <c r="DS32" s="3559">
        <v>5600.28</v>
      </c>
      <c r="DT32" s="3562"/>
      <c r="DU32" s="3561">
        <f t="shared" si="62"/>
        <v>-5600.28</v>
      </c>
      <c r="DV32" s="3563"/>
      <c r="DW32" s="3547" t="s">
        <v>3970</v>
      </c>
      <c r="DX32" s="3609">
        <v>31510.03</v>
      </c>
      <c r="DY32" s="3562"/>
      <c r="DZ32" s="3561">
        <f t="shared" si="63"/>
        <v>-31510.03</v>
      </c>
      <c r="EA32" s="3559">
        <v>5600.28</v>
      </c>
      <c r="EB32" s="3562"/>
      <c r="EC32" s="3561">
        <f t="shared" si="64"/>
        <v>-5600.28</v>
      </c>
      <c r="ED32" s="3563"/>
      <c r="EE32" s="3564"/>
      <c r="EF32" s="3565">
        <f t="shared" si="37"/>
        <v>288192.20505555539</v>
      </c>
      <c r="EG32" s="3565">
        <f t="shared" si="24"/>
        <v>198163.5558888888</v>
      </c>
      <c r="EH32" s="3565">
        <f t="shared" si="24"/>
        <v>192073.99999999994</v>
      </c>
      <c r="EI32" s="3565">
        <f t="shared" si="24"/>
        <v>192073.99999999994</v>
      </c>
      <c r="EJ32" s="3565">
        <f t="shared" si="38"/>
        <v>-6089.5558888888627</v>
      </c>
      <c r="EK32" s="3565">
        <f t="shared" si="39"/>
        <v>0</v>
      </c>
      <c r="EL32" s="3610"/>
      <c r="EM32" s="3557">
        <f t="shared" si="40"/>
        <v>63399.432547169759</v>
      </c>
      <c r="EN32" s="3557">
        <f t="shared" si="25"/>
        <v>47549.574410377318</v>
      </c>
      <c r="EO32" s="3557">
        <f t="shared" si="25"/>
        <v>47549.547169811303</v>
      </c>
      <c r="EP32" s="3557">
        <f t="shared" si="25"/>
        <v>47549.547169811303</v>
      </c>
      <c r="EQ32" s="3557">
        <f t="shared" si="41"/>
        <v>-2.7240566014370415E-2</v>
      </c>
      <c r="ER32" s="3557">
        <f t="shared" si="42"/>
        <v>0</v>
      </c>
      <c r="ES32" s="3645"/>
      <c r="ET32" s="3612">
        <v>27439.138611111099</v>
      </c>
      <c r="EU32" s="3569">
        <f>28811.1/1.05</f>
        <v>27439.142857142855</v>
      </c>
      <c r="EV32" s="3560">
        <f t="shared" si="90"/>
        <v>27439.142857142855</v>
      </c>
      <c r="EW32" s="3547">
        <f t="shared" si="26"/>
        <v>4.2460317563381977E-3</v>
      </c>
      <c r="EX32" s="3568">
        <v>5283.2860455974796</v>
      </c>
      <c r="EY32" s="3569">
        <f>5600.28/1.06</f>
        <v>5283.2830188679236</v>
      </c>
      <c r="EZ32" s="3560">
        <f t="shared" si="91"/>
        <v>5283.2830188679236</v>
      </c>
      <c r="FA32" s="3547">
        <f t="shared" si="27"/>
        <v>-3.0267295560406637E-3</v>
      </c>
      <c r="FB32" s="3612">
        <v>27439.138611111099</v>
      </c>
      <c r="FC32" s="3569">
        <f t="shared" si="92"/>
        <v>27439.142857142855</v>
      </c>
      <c r="FD32" s="3562">
        <f>28811.1/1.05</f>
        <v>27439.142857142855</v>
      </c>
      <c r="FE32" s="3547">
        <f t="shared" si="65"/>
        <v>4.2460317563381977E-3</v>
      </c>
      <c r="FF32" s="3568">
        <v>5283.2860455974796</v>
      </c>
      <c r="FG32" s="3569">
        <f t="shared" si="93"/>
        <v>5283.2830188679236</v>
      </c>
      <c r="FH32" s="3562">
        <f>5600.28/1.06</f>
        <v>5283.2830188679236</v>
      </c>
      <c r="FI32" s="3547">
        <f t="shared" si="66"/>
        <v>-3.0267295560406637E-3</v>
      </c>
      <c r="FJ32" s="3612">
        <v>27439.138611111099</v>
      </c>
      <c r="FK32" s="3569">
        <f t="shared" si="94"/>
        <v>27439.142857142855</v>
      </c>
      <c r="FL32" s="3562">
        <f t="shared" si="94"/>
        <v>27439.142857142855</v>
      </c>
      <c r="FM32" s="3547">
        <f t="shared" si="67"/>
        <v>4.2460317563381977E-3</v>
      </c>
      <c r="FN32" s="3568">
        <v>5283.2860455974796</v>
      </c>
      <c r="FO32" s="3559">
        <f t="shared" si="95"/>
        <v>5283.2830188679236</v>
      </c>
      <c r="FP32" s="3562">
        <f t="shared" si="95"/>
        <v>5283.2830188679236</v>
      </c>
      <c r="FQ32" s="3547">
        <f t="shared" si="68"/>
        <v>-3.0267295560406637E-3</v>
      </c>
      <c r="FR32" s="3612"/>
      <c r="FS32" s="3592"/>
      <c r="FT32" s="3560"/>
      <c r="FU32" s="3547">
        <f t="shared" si="69"/>
        <v>0</v>
      </c>
      <c r="FV32" s="3568">
        <v>5283.2860455974796</v>
      </c>
      <c r="FW32" s="3559">
        <f t="shared" si="97"/>
        <v>5283.2830188679236</v>
      </c>
      <c r="FX32" s="3560">
        <f t="shared" si="97"/>
        <v>5283.2830188679236</v>
      </c>
      <c r="FY32" s="3547">
        <f t="shared" si="70"/>
        <v>-3.0267295560406637E-3</v>
      </c>
      <c r="FZ32" s="3612"/>
      <c r="GA32" s="3592"/>
      <c r="GB32" s="3560"/>
      <c r="GC32" s="3547">
        <f t="shared" si="71"/>
        <v>0</v>
      </c>
      <c r="GD32" s="3568">
        <v>5283.2860455974796</v>
      </c>
      <c r="GE32" s="3569">
        <f t="shared" si="99"/>
        <v>5283.2830188679236</v>
      </c>
      <c r="GF32" s="3560">
        <f>5600.28/1.06</f>
        <v>5283.2830188679236</v>
      </c>
      <c r="GG32" s="3547">
        <f t="shared" si="72"/>
        <v>-3.0267295560406637E-3</v>
      </c>
      <c r="GH32" s="3612">
        <v>27439.138611111099</v>
      </c>
      <c r="GI32" s="3569">
        <f t="shared" si="100"/>
        <v>27439.142857142855</v>
      </c>
      <c r="GJ32" s="3562">
        <f t="shared" si="100"/>
        <v>27439.142857142855</v>
      </c>
      <c r="GK32" s="3547">
        <f t="shared" si="73"/>
        <v>4.2460317563381977E-3</v>
      </c>
      <c r="GL32" s="3568">
        <v>5283.2860455974796</v>
      </c>
      <c r="GM32" s="3569">
        <f t="shared" si="101"/>
        <v>5283.2830188679236</v>
      </c>
      <c r="GN32" s="3562">
        <f t="shared" si="101"/>
        <v>5283.2830188679236</v>
      </c>
      <c r="GO32" s="3547">
        <f t="shared" si="74"/>
        <v>-3.0267295560406637E-3</v>
      </c>
      <c r="GP32" s="3612">
        <v>28387.901999999998</v>
      </c>
      <c r="GQ32" s="3569">
        <f>28811.1/1.05</f>
        <v>27439.142857142855</v>
      </c>
      <c r="GR32" s="3562">
        <f>28811.1/1.05</f>
        <v>27439.142857142855</v>
      </c>
      <c r="GS32" s="3547">
        <f t="shared" si="75"/>
        <v>-948.75914285714316</v>
      </c>
      <c r="GT32" s="3568">
        <v>5283.2860455974796</v>
      </c>
      <c r="GU32" s="3569">
        <f t="shared" si="102"/>
        <v>5283.2830188679236</v>
      </c>
      <c r="GV32" s="3560">
        <f>5600.28/1.06</f>
        <v>5283.2830188679236</v>
      </c>
      <c r="GW32" s="3547">
        <f t="shared" si="76"/>
        <v>-3.0267295560406637E-3</v>
      </c>
      <c r="GX32" s="3612">
        <v>30009.5497222222</v>
      </c>
      <c r="GY32" s="3569">
        <f>28811.1/1.05</f>
        <v>27439.142857142855</v>
      </c>
      <c r="GZ32" s="3562">
        <f>28811.1/1.05</f>
        <v>27439.142857142855</v>
      </c>
      <c r="HA32" s="3547">
        <f t="shared" si="77"/>
        <v>-2570.4068650793452</v>
      </c>
      <c r="HB32" s="3568">
        <v>5283.2860455974796</v>
      </c>
      <c r="HC32" s="3569">
        <f t="shared" si="103"/>
        <v>5283.2830188679236</v>
      </c>
      <c r="HD32" s="3562">
        <f t="shared" si="103"/>
        <v>5283.2830188679236</v>
      </c>
      <c r="HE32" s="3547">
        <f t="shared" si="78"/>
        <v>-3.0267295560406637E-3</v>
      </c>
      <c r="HF32" s="3612">
        <v>30009.5497222222</v>
      </c>
      <c r="HG32" s="3569">
        <f>28811.1/1.05</f>
        <v>27439.142857142855</v>
      </c>
      <c r="HH32" s="3562">
        <f>28811.1/1.05</f>
        <v>27439.142857142855</v>
      </c>
      <c r="HI32" s="3547">
        <f t="shared" si="79"/>
        <v>-2570.4068650793452</v>
      </c>
      <c r="HJ32" s="3568">
        <v>5283.2860455974796</v>
      </c>
      <c r="HK32" s="3569">
        <f t="shared" si="104"/>
        <v>5283.2830188679236</v>
      </c>
      <c r="HL32" s="3562">
        <f t="shared" si="104"/>
        <v>5283.2830188679236</v>
      </c>
      <c r="HM32" s="3547">
        <f t="shared" si="80"/>
        <v>-3.0267295560406637E-3</v>
      </c>
      <c r="HN32" s="3612">
        <v>30009.5497222222</v>
      </c>
      <c r="HO32" s="3569">
        <f>31510.03/1.05</f>
        <v>30009.55238095238</v>
      </c>
      <c r="HP32" s="3562">
        <f>31510.03/1.05</f>
        <v>30009.55238095238</v>
      </c>
      <c r="HQ32" s="3547">
        <f t="shared" si="81"/>
        <v>2.6587301799736451E-3</v>
      </c>
      <c r="HR32" s="3568">
        <v>5283.2860455974796</v>
      </c>
      <c r="HS32" s="3569">
        <f t="shared" si="105"/>
        <v>5283.2830188679236</v>
      </c>
      <c r="HT32" s="3562">
        <f t="shared" si="105"/>
        <v>5283.2830188679236</v>
      </c>
      <c r="HU32" s="3547">
        <f t="shared" si="82"/>
        <v>-3.0267295560406637E-3</v>
      </c>
      <c r="HV32" s="3612">
        <v>30009.5497222222</v>
      </c>
      <c r="HW32" s="3569">
        <f>31510.03/1.05</f>
        <v>30009.55238095238</v>
      </c>
      <c r="HX32" s="3562"/>
      <c r="HY32" s="3547">
        <f t="shared" si="83"/>
        <v>-30009.5497222222</v>
      </c>
      <c r="HZ32" s="3568">
        <v>5283.2860455974796</v>
      </c>
      <c r="IA32" s="3569">
        <f t="shared" si="106"/>
        <v>5283.2830188679236</v>
      </c>
      <c r="IB32" s="3562"/>
      <c r="IC32" s="3547">
        <f t="shared" si="84"/>
        <v>-5283.2860455974796</v>
      </c>
      <c r="ID32" s="3612">
        <v>30009.5497222222</v>
      </c>
      <c r="IE32" s="3569">
        <f>31510.03/1.05</f>
        <v>30009.55238095238</v>
      </c>
      <c r="IF32" s="3562"/>
      <c r="IG32" s="3547">
        <f t="shared" si="85"/>
        <v>-30009.5497222222</v>
      </c>
      <c r="IH32" s="3568">
        <v>5283.2860455974796</v>
      </c>
      <c r="II32" s="3569">
        <f t="shared" si="107"/>
        <v>5283.2830188679236</v>
      </c>
      <c r="IJ32" s="3562"/>
      <c r="IK32" s="3547">
        <f t="shared" si="86"/>
        <v>-5283.2860455974796</v>
      </c>
      <c r="IL32" s="3547" t="s">
        <v>3970</v>
      </c>
      <c r="IM32" s="3569">
        <f>31510.03/1.05</f>
        <v>30009.55238095238</v>
      </c>
      <c r="IN32" s="3569">
        <f t="shared" si="108"/>
        <v>5283.2830188679236</v>
      </c>
      <c r="IO32" s="3547"/>
      <c r="IP32" s="3560">
        <f t="shared" si="87"/>
        <v>0</v>
      </c>
      <c r="IQ32" s="3599"/>
      <c r="IR32" s="3568"/>
      <c r="IS32" s="3568"/>
      <c r="IT32" s="3568"/>
      <c r="IU32" s="3568"/>
      <c r="IV32" s="3568"/>
      <c r="IW32" s="3568"/>
      <c r="IX32" s="3568"/>
      <c r="IY32" s="3568"/>
      <c r="IZ32" s="3560"/>
      <c r="JA32" s="3560"/>
      <c r="JB32" s="3560"/>
      <c r="JC32" s="3560">
        <f t="shared" si="11"/>
        <v>0</v>
      </c>
      <c r="JD32" s="3547"/>
      <c r="JE32" s="3599"/>
      <c r="JF32" s="3568"/>
      <c r="JG32" s="3568"/>
      <c r="JH32" s="3568"/>
      <c r="JI32" s="3568"/>
      <c r="JJ32" s="3568"/>
      <c r="JK32" s="3568"/>
      <c r="JL32" s="3568"/>
      <c r="JM32" s="3568"/>
      <c r="JN32" s="3560"/>
      <c r="JO32" s="3560"/>
      <c r="JP32" s="3547" t="s">
        <v>3837</v>
      </c>
      <c r="JQ32" s="3583">
        <f t="shared" si="109"/>
        <v>27439.142857142855</v>
      </c>
      <c r="JR32" s="3583">
        <f t="shared" si="110"/>
        <v>5283.2830188679236</v>
      </c>
      <c r="JS32" s="3573">
        <f t="shared" si="28"/>
        <v>0</v>
      </c>
      <c r="JT32" s="3573">
        <f t="shared" si="35"/>
        <v>2.0008883439004421E-11</v>
      </c>
      <c r="JU32" s="3574">
        <f t="shared" si="29"/>
        <v>8.0035533756017685E-11</v>
      </c>
      <c r="JV32" s="3574">
        <f t="shared" si="30"/>
        <v>1.2732925824820995E-11</v>
      </c>
      <c r="JW32" s="3575"/>
      <c r="JX32" s="3576">
        <f t="shared" si="31"/>
        <v>30009.55238095238</v>
      </c>
      <c r="JY32" s="3576">
        <f t="shared" si="32"/>
        <v>5283.2830188679236</v>
      </c>
      <c r="JZ32" s="3577"/>
      <c r="KA32" s="3573">
        <f t="shared" si="111"/>
        <v>-2570.4098918089012</v>
      </c>
      <c r="KB32" s="3573"/>
      <c r="KC32" s="3573"/>
      <c r="KD32" s="3573">
        <f t="shared" si="33"/>
        <v>-2570.4098918089012</v>
      </c>
      <c r="KE32" s="3578" t="s">
        <v>3815</v>
      </c>
      <c r="KF32" s="3579"/>
      <c r="KG32" s="3579"/>
      <c r="KH32" s="3579"/>
      <c r="KI32" s="3579"/>
      <c r="KJ32" s="3579"/>
      <c r="KK32" s="3579"/>
      <c r="KL32" s="3579"/>
      <c r="KM32" s="3579">
        <f>-948.76/10000-2570.41/10000*2</f>
        <v>-0.60895799999999989</v>
      </c>
      <c r="KN32" s="3579"/>
      <c r="KO32" s="3579"/>
      <c r="KP32" s="3579"/>
      <c r="KQ32" s="3579">
        <f t="shared" si="34"/>
        <v>-0.60895799999999989</v>
      </c>
      <c r="KR32" s="3579">
        <f t="shared" si="88"/>
        <v>-3.1294548785698595E-7</v>
      </c>
      <c r="KS32" s="3577"/>
      <c r="KT32" s="3577"/>
      <c r="KU32" s="3577"/>
      <c r="KV32" s="3577"/>
      <c r="KW32" s="3577"/>
      <c r="KX32" s="3577"/>
      <c r="KY32" s="3577"/>
      <c r="KZ32" s="3577"/>
      <c r="LA32" s="3577"/>
      <c r="LB32" s="3577"/>
      <c r="LC32" s="3577"/>
      <c r="LD32" s="3577"/>
      <c r="LE32" s="3577"/>
      <c r="LF32" s="3577"/>
      <c r="LG32" s="3577"/>
      <c r="LH32" s="3577"/>
      <c r="LJ32" s="3575"/>
      <c r="LK32" s="3626">
        <v>11</v>
      </c>
      <c r="LL32" s="3627">
        <v>47231.3</v>
      </c>
      <c r="LM32" s="3580" t="s">
        <v>3972</v>
      </c>
    </row>
    <row r="33" spans="1:325" s="3580" customFormat="1" ht="18" customHeight="1">
      <c r="A33" s="3545">
        <v>30</v>
      </c>
      <c r="B33" s="3546" t="s">
        <v>3937</v>
      </c>
      <c r="C33" s="3546" t="s">
        <v>4044</v>
      </c>
      <c r="D33" s="3547">
        <f>218.32+202.97</f>
        <v>421.28999999999996</v>
      </c>
      <c r="E33" s="3548" t="s">
        <v>3789</v>
      </c>
      <c r="F33" s="3546" t="s">
        <v>3790</v>
      </c>
      <c r="G33" s="3546" t="s">
        <v>4045</v>
      </c>
      <c r="H33" s="3546" t="s">
        <v>4046</v>
      </c>
      <c r="I33" s="3594" t="s">
        <v>4047</v>
      </c>
      <c r="J33" s="3594" t="s">
        <v>3932</v>
      </c>
      <c r="K33" s="3545" t="s">
        <v>4048</v>
      </c>
      <c r="L33" s="3555"/>
      <c r="M33" s="3551"/>
      <c r="N33" s="3551"/>
      <c r="O33" s="3551">
        <f t="shared" si="13"/>
        <v>0</v>
      </c>
      <c r="P33" s="3551"/>
      <c r="Q33" s="3551"/>
      <c r="R33" s="3547">
        <f t="shared" si="89"/>
        <v>0</v>
      </c>
      <c r="S33" s="3547">
        <f t="shared" si="14"/>
        <v>0</v>
      </c>
      <c r="T33" s="3552"/>
      <c r="U33" s="3553">
        <f t="shared" si="15"/>
        <v>0</v>
      </c>
      <c r="V33" s="3547"/>
      <c r="W33" s="3547">
        <f t="shared" si="16"/>
        <v>0</v>
      </c>
      <c r="X33" s="3620"/>
      <c r="Y33" s="3547">
        <f t="shared" si="17"/>
        <v>0</v>
      </c>
      <c r="Z33" s="3554"/>
      <c r="AA33" s="3555"/>
      <c r="AB33" s="3593"/>
      <c r="AC33" s="3556">
        <f t="shared" si="18"/>
        <v>0</v>
      </c>
      <c r="AD33" s="3556">
        <f t="shared" si="19"/>
        <v>0</v>
      </c>
      <c r="AE33" s="3556">
        <f t="shared" si="19"/>
        <v>0</v>
      </c>
      <c r="AF33" s="3556">
        <f t="shared" si="20"/>
        <v>0</v>
      </c>
      <c r="AG33" s="3556"/>
      <c r="AH33" s="3557">
        <f t="shared" si="21"/>
        <v>0</v>
      </c>
      <c r="AI33" s="3558">
        <f t="shared" si="22"/>
        <v>0</v>
      </c>
      <c r="AJ33" s="3558">
        <f t="shared" si="22"/>
        <v>0</v>
      </c>
      <c r="AK33" s="3557">
        <f t="shared" si="43"/>
        <v>0</v>
      </c>
      <c r="AL33" s="3557"/>
      <c r="AM33" s="3547"/>
      <c r="AN33" s="3609"/>
      <c r="AO33" s="3562"/>
      <c r="AP33" s="3561">
        <f t="shared" si="44"/>
        <v>0</v>
      </c>
      <c r="AQ33" s="3559"/>
      <c r="AR33" s="3562"/>
      <c r="AS33" s="3561">
        <f t="shared" si="36"/>
        <v>0</v>
      </c>
      <c r="AT33" s="3563" t="s">
        <v>4049</v>
      </c>
      <c r="AU33" s="3547"/>
      <c r="AV33" s="3609"/>
      <c r="AW33" s="3562"/>
      <c r="AX33" s="3561">
        <f t="shared" si="45"/>
        <v>0</v>
      </c>
      <c r="AY33" s="3559"/>
      <c r="AZ33" s="3562"/>
      <c r="BA33" s="3561">
        <f t="shared" si="23"/>
        <v>0</v>
      </c>
      <c r="BB33" s="3563" t="s">
        <v>4049</v>
      </c>
      <c r="BC33" s="3547"/>
      <c r="BD33" s="3609"/>
      <c r="BE33" s="3562"/>
      <c r="BF33" s="3561">
        <f t="shared" si="46"/>
        <v>0</v>
      </c>
      <c r="BG33" s="3559"/>
      <c r="BH33" s="3562"/>
      <c r="BI33" s="3561">
        <f t="shared" si="47"/>
        <v>0</v>
      </c>
      <c r="BJ33" s="3563" t="s">
        <v>4049</v>
      </c>
      <c r="BK33" s="3547"/>
      <c r="BL33" s="3609"/>
      <c r="BM33" s="3562"/>
      <c r="BN33" s="3561">
        <f t="shared" si="48"/>
        <v>0</v>
      </c>
      <c r="BO33" s="3559"/>
      <c r="BP33" s="3562"/>
      <c r="BQ33" s="3561">
        <f t="shared" si="49"/>
        <v>0</v>
      </c>
      <c r="BR33" s="3563" t="s">
        <v>4049</v>
      </c>
      <c r="BS33" s="3547"/>
      <c r="BT33" s="3609"/>
      <c r="BU33" s="3562"/>
      <c r="BV33" s="3561">
        <f t="shared" si="50"/>
        <v>0</v>
      </c>
      <c r="BW33" s="3559"/>
      <c r="BX33" s="3562"/>
      <c r="BY33" s="3561">
        <f t="shared" si="51"/>
        <v>0</v>
      </c>
      <c r="BZ33" s="3563" t="s">
        <v>4049</v>
      </c>
      <c r="CA33" s="3547"/>
      <c r="CB33" s="3609"/>
      <c r="CC33" s="3562"/>
      <c r="CD33" s="3561">
        <f t="shared" si="52"/>
        <v>0</v>
      </c>
      <c r="CE33" s="3559"/>
      <c r="CF33" s="3562"/>
      <c r="CG33" s="3561">
        <f t="shared" si="53"/>
        <v>0</v>
      </c>
      <c r="CH33" s="3563" t="s">
        <v>4049</v>
      </c>
      <c r="CI33" s="3547"/>
      <c r="CJ33" s="3609"/>
      <c r="CK33" s="3562"/>
      <c r="CL33" s="3561">
        <f t="shared" si="5"/>
        <v>0</v>
      </c>
      <c r="CM33" s="3559"/>
      <c r="CN33" s="3562"/>
      <c r="CO33" s="3561">
        <f t="shared" si="54"/>
        <v>0</v>
      </c>
      <c r="CP33" s="3563" t="s">
        <v>4049</v>
      </c>
      <c r="CQ33" s="3547"/>
      <c r="CR33" s="3609"/>
      <c r="CS33" s="3603"/>
      <c r="CT33" s="3561">
        <f t="shared" si="55"/>
        <v>0</v>
      </c>
      <c r="CU33" s="3559"/>
      <c r="CV33" s="3603"/>
      <c r="CW33" s="3561">
        <f t="shared" si="56"/>
        <v>0</v>
      </c>
      <c r="CX33" s="3563" t="s">
        <v>4049</v>
      </c>
      <c r="CY33" s="3597"/>
      <c r="CZ33" s="3609"/>
      <c r="DA33" s="3562"/>
      <c r="DB33" s="3561">
        <f t="shared" si="57"/>
        <v>0</v>
      </c>
      <c r="DC33" s="3559"/>
      <c r="DD33" s="3562"/>
      <c r="DE33" s="3561">
        <f t="shared" si="58"/>
        <v>0</v>
      </c>
      <c r="DF33" s="3563" t="s">
        <v>4049</v>
      </c>
      <c r="DG33" s="3547"/>
      <c r="DH33" s="3609"/>
      <c r="DI33" s="3562"/>
      <c r="DJ33" s="3561">
        <f t="shared" si="59"/>
        <v>0</v>
      </c>
      <c r="DK33" s="3559"/>
      <c r="DL33" s="3562"/>
      <c r="DM33" s="3561">
        <f t="shared" si="60"/>
        <v>0</v>
      </c>
      <c r="DN33" s="3563"/>
      <c r="DO33" s="3547"/>
      <c r="DP33" s="3609"/>
      <c r="DQ33" s="3562"/>
      <c r="DR33" s="3561">
        <f t="shared" si="61"/>
        <v>0</v>
      </c>
      <c r="DS33" s="3559"/>
      <c r="DT33" s="3562"/>
      <c r="DU33" s="3561">
        <f t="shared" si="62"/>
        <v>0</v>
      </c>
      <c r="DV33" s="3563"/>
      <c r="DW33" s="3547"/>
      <c r="DX33" s="3609"/>
      <c r="DY33" s="3562"/>
      <c r="DZ33" s="3561">
        <f t="shared" si="63"/>
        <v>0</v>
      </c>
      <c r="EA33" s="3559"/>
      <c r="EB33" s="3562"/>
      <c r="EC33" s="3561">
        <f t="shared" si="64"/>
        <v>0</v>
      </c>
      <c r="ED33" s="3563"/>
      <c r="EF33" s="3565">
        <f t="shared" si="37"/>
        <v>154747.17285714281</v>
      </c>
      <c r="EG33" s="3565">
        <f t="shared" si="24"/>
        <v>38686.793214285703</v>
      </c>
      <c r="EH33" s="3565">
        <f t="shared" si="24"/>
        <v>0</v>
      </c>
      <c r="EI33" s="3565">
        <f t="shared" si="24"/>
        <v>0</v>
      </c>
      <c r="EJ33" s="3565">
        <f t="shared" si="38"/>
        <v>-38686.793214285703</v>
      </c>
      <c r="EK33" s="3566">
        <f t="shared" si="39"/>
        <v>0</v>
      </c>
      <c r="EL33" s="3610"/>
      <c r="EM33" s="3567">
        <f t="shared" si="40"/>
        <v>70236.528183962015</v>
      </c>
      <c r="EN33" s="3557">
        <f t="shared" si="25"/>
        <v>40135.158962264002</v>
      </c>
      <c r="EO33" s="3557">
        <f t="shared" si="25"/>
        <v>0</v>
      </c>
      <c r="EP33" s="3557">
        <f t="shared" si="25"/>
        <v>0</v>
      </c>
      <c r="EQ33" s="3557">
        <f t="shared" si="41"/>
        <v>-40135.158962264002</v>
      </c>
      <c r="ER33" s="3557">
        <f t="shared" si="42"/>
        <v>0</v>
      </c>
      <c r="ES33" s="3645"/>
      <c r="ET33" s="3612"/>
      <c r="EU33" s="3569"/>
      <c r="EV33" s="3562"/>
      <c r="EW33" s="3547">
        <f t="shared" si="26"/>
        <v>0</v>
      </c>
      <c r="EX33" s="3568"/>
      <c r="EY33" s="3569"/>
      <c r="EZ33" s="3562"/>
      <c r="FA33" s="3547">
        <f t="shared" si="27"/>
        <v>0</v>
      </c>
      <c r="FB33" s="3612"/>
      <c r="FC33" s="3569"/>
      <c r="FD33" s="3562"/>
      <c r="FE33" s="3547">
        <f t="shared" si="65"/>
        <v>0</v>
      </c>
      <c r="FF33" s="3568"/>
      <c r="FG33" s="3569"/>
      <c r="FH33" s="3562"/>
      <c r="FI33" s="3547">
        <f t="shared" si="66"/>
        <v>0</v>
      </c>
      <c r="FJ33" s="3612"/>
      <c r="FK33" s="3569"/>
      <c r="FL33" s="3562"/>
      <c r="FM33" s="3547">
        <f t="shared" si="67"/>
        <v>0</v>
      </c>
      <c r="FN33" s="3568"/>
      <c r="FO33" s="3559"/>
      <c r="FP33" s="3562"/>
      <c r="FQ33" s="3547">
        <f t="shared" si="68"/>
        <v>0</v>
      </c>
      <c r="FR33" s="3612"/>
      <c r="FS33" s="3569"/>
      <c r="FT33" s="3560"/>
      <c r="FU33" s="3547">
        <f t="shared" si="69"/>
        <v>0</v>
      </c>
      <c r="FV33" s="3568"/>
      <c r="FW33" s="3559"/>
      <c r="FX33" s="3560"/>
      <c r="FY33" s="3547">
        <f t="shared" si="70"/>
        <v>0</v>
      </c>
      <c r="FZ33" s="3612"/>
      <c r="GA33" s="3569"/>
      <c r="GB33" s="3560"/>
      <c r="GC33" s="3547">
        <f t="shared" si="71"/>
        <v>0</v>
      </c>
      <c r="GD33" s="3568"/>
      <c r="GE33" s="3569"/>
      <c r="GF33" s="3560"/>
      <c r="GG33" s="3547">
        <f t="shared" si="72"/>
        <v>0</v>
      </c>
      <c r="GH33" s="3612"/>
      <c r="GI33" s="3569"/>
      <c r="GJ33" s="3562"/>
      <c r="GK33" s="3547">
        <f t="shared" si="73"/>
        <v>0</v>
      </c>
      <c r="GL33" s="3568">
        <v>10033.789740566001</v>
      </c>
      <c r="GM33" s="3569"/>
      <c r="GN33" s="3560"/>
      <c r="GO33" s="3547">
        <f t="shared" si="74"/>
        <v>-10033.789740566001</v>
      </c>
      <c r="GP33" s="3612"/>
      <c r="GQ33" s="3569"/>
      <c r="GR33" s="3562"/>
      <c r="GS33" s="3547">
        <f t="shared" si="75"/>
        <v>0</v>
      </c>
      <c r="GT33" s="3568">
        <v>10033.789740566001</v>
      </c>
      <c r="GU33" s="3569"/>
      <c r="GV33" s="3560"/>
      <c r="GW33" s="3547">
        <f t="shared" si="76"/>
        <v>-10033.789740566001</v>
      </c>
      <c r="GX33" s="3612"/>
      <c r="GY33" s="3569"/>
      <c r="GZ33" s="3562"/>
      <c r="HA33" s="3547">
        <f t="shared" si="77"/>
        <v>0</v>
      </c>
      <c r="HB33" s="3568">
        <v>10033.789740566001</v>
      </c>
      <c r="HC33" s="3569"/>
      <c r="HD33" s="3562"/>
      <c r="HE33" s="3547">
        <f t="shared" si="78"/>
        <v>-10033.789740566001</v>
      </c>
      <c r="HF33" s="3612">
        <v>38686.793214285703</v>
      </c>
      <c r="HG33" s="3569"/>
      <c r="HH33" s="3562"/>
      <c r="HI33" s="3547">
        <f t="shared" si="79"/>
        <v>-38686.793214285703</v>
      </c>
      <c r="HJ33" s="3568">
        <v>10033.789740566001</v>
      </c>
      <c r="HK33" s="3569"/>
      <c r="HL33" s="3562"/>
      <c r="HM33" s="3547">
        <f t="shared" si="80"/>
        <v>-10033.789740566001</v>
      </c>
      <c r="HN33" s="3612">
        <v>38686.793214285703</v>
      </c>
      <c r="HO33" s="3569"/>
      <c r="HP33" s="3562"/>
      <c r="HQ33" s="3547">
        <f t="shared" si="81"/>
        <v>-38686.793214285703</v>
      </c>
      <c r="HR33" s="3568">
        <v>10033.789740566001</v>
      </c>
      <c r="HS33" s="3569"/>
      <c r="HT33" s="3562"/>
      <c r="HU33" s="3547">
        <f t="shared" si="82"/>
        <v>-10033.789740566001</v>
      </c>
      <c r="HV33" s="3612">
        <v>38686.793214285703</v>
      </c>
      <c r="HW33" s="3569"/>
      <c r="HX33" s="3562"/>
      <c r="HY33" s="3547">
        <f t="shared" si="83"/>
        <v>-38686.793214285703</v>
      </c>
      <c r="HZ33" s="3568">
        <v>10033.789740566001</v>
      </c>
      <c r="IA33" s="3569"/>
      <c r="IB33" s="3562"/>
      <c r="IC33" s="3547">
        <f t="shared" si="84"/>
        <v>-10033.789740566001</v>
      </c>
      <c r="ID33" s="3612">
        <v>38686.793214285703</v>
      </c>
      <c r="IE33" s="3569"/>
      <c r="IF33" s="3562"/>
      <c r="IG33" s="3547">
        <f t="shared" si="85"/>
        <v>-38686.793214285703</v>
      </c>
      <c r="IH33" s="3568">
        <v>10033.789740566001</v>
      </c>
      <c r="II33" s="3569"/>
      <c r="IJ33" s="3562"/>
      <c r="IK33" s="3547">
        <f t="shared" si="86"/>
        <v>-10033.789740566001</v>
      </c>
      <c r="IL33" s="3547"/>
      <c r="IM33" s="3569"/>
      <c r="IN33" s="3569"/>
      <c r="IO33" s="3570"/>
      <c r="IP33" s="3560">
        <f t="shared" si="87"/>
        <v>0</v>
      </c>
      <c r="IQ33" s="3568"/>
      <c r="IR33" s="3568"/>
      <c r="IS33" s="3568"/>
      <c r="IT33" s="3568"/>
      <c r="IU33" s="3568"/>
      <c r="IV33" s="3568"/>
      <c r="IW33" s="3568"/>
      <c r="IX33" s="3568"/>
      <c r="IY33" s="3568"/>
      <c r="IZ33" s="3560"/>
      <c r="JA33" s="3560"/>
      <c r="JB33" s="3560"/>
      <c r="JC33" s="3560">
        <f t="shared" si="11"/>
        <v>0</v>
      </c>
      <c r="JD33" s="3570"/>
      <c r="JE33" s="3568"/>
      <c r="JF33" s="3568"/>
      <c r="JG33" s="3568"/>
      <c r="JH33" s="3568"/>
      <c r="JI33" s="3568"/>
      <c r="JJ33" s="3568"/>
      <c r="JK33" s="3568"/>
      <c r="JL33" s="3568"/>
      <c r="JM33" s="3568"/>
      <c r="JN33" s="3560"/>
      <c r="JO33" s="3560"/>
      <c r="JP33" s="3547"/>
      <c r="JQ33" s="3583"/>
      <c r="JR33" s="3583"/>
      <c r="JS33" s="3573">
        <f t="shared" si="28"/>
        <v>0</v>
      </c>
      <c r="JT33" s="3573">
        <f t="shared" si="35"/>
        <v>0</v>
      </c>
      <c r="JU33" s="3574">
        <f t="shared" si="29"/>
        <v>0</v>
      </c>
      <c r="JV33" s="3574">
        <f t="shared" si="30"/>
        <v>0</v>
      </c>
      <c r="JW33" s="3575"/>
      <c r="JX33" s="3576">
        <f t="shared" si="31"/>
        <v>0</v>
      </c>
      <c r="JY33" s="3576">
        <f t="shared" si="32"/>
        <v>0</v>
      </c>
      <c r="JZ33" s="3577"/>
      <c r="KA33" s="3573">
        <f t="shared" si="111"/>
        <v>-48720.582954851707</v>
      </c>
      <c r="KB33" s="3573"/>
      <c r="KC33" s="3573"/>
      <c r="KD33" s="3573">
        <f t="shared" si="33"/>
        <v>-48720.582954851707</v>
      </c>
      <c r="KE33" s="3578" t="s">
        <v>3765</v>
      </c>
      <c r="KF33" s="3579"/>
      <c r="KG33" s="3579"/>
      <c r="KH33" s="3579"/>
      <c r="KI33" s="3579"/>
      <c r="KJ33" s="3579"/>
      <c r="KK33" s="3579"/>
      <c r="KL33" s="3579">
        <f>-10033.79/10000*3-48720.58/10000</f>
        <v>-7.8821950000000003</v>
      </c>
      <c r="KM33" s="3579"/>
      <c r="KN33" s="3579"/>
      <c r="KO33" s="3579"/>
      <c r="KP33" s="3579"/>
      <c r="KQ33" s="3579">
        <f t="shared" si="34"/>
        <v>-7.8821950000000003</v>
      </c>
      <c r="KR33" s="3579">
        <f t="shared" si="88"/>
        <v>-2.1765497049131E-7</v>
      </c>
      <c r="KS33" s="3577"/>
      <c r="KT33" s="3577"/>
      <c r="KU33" s="3577"/>
      <c r="KV33" s="3577"/>
      <c r="KW33" s="3577"/>
      <c r="KX33" s="3577"/>
      <c r="KY33" s="3577"/>
      <c r="KZ33" s="3577"/>
      <c r="LA33" s="3577"/>
      <c r="LB33" s="3577"/>
      <c r="LC33" s="3577"/>
      <c r="LD33" s="3577"/>
      <c r="LE33" s="3577"/>
      <c r="LF33" s="3577"/>
      <c r="LG33" s="3577"/>
      <c r="LH33" s="3577"/>
      <c r="LJ33" s="3575"/>
      <c r="LK33" s="3571"/>
      <c r="LL33" s="3576"/>
    </row>
    <row r="34" spans="1:325" s="3580" customFormat="1" ht="18" customHeight="1">
      <c r="A34" s="3545">
        <v>31</v>
      </c>
      <c r="B34" s="3546" t="s">
        <v>3937</v>
      </c>
      <c r="C34" s="3615" t="s">
        <v>4050</v>
      </c>
      <c r="D34" s="3547">
        <f>171.4</f>
        <v>171.4</v>
      </c>
      <c r="E34" s="3548" t="s">
        <v>3789</v>
      </c>
      <c r="F34" s="3546" t="s">
        <v>3790</v>
      </c>
      <c r="G34" s="3546" t="s">
        <v>4051</v>
      </c>
      <c r="H34" s="3546" t="s">
        <v>4052</v>
      </c>
      <c r="I34" s="3594" t="s">
        <v>4047</v>
      </c>
      <c r="J34" s="3594" t="s">
        <v>3932</v>
      </c>
      <c r="K34" s="3545" t="s">
        <v>4048</v>
      </c>
      <c r="L34" s="3555"/>
      <c r="M34" s="3551"/>
      <c r="N34" s="3551"/>
      <c r="O34" s="3551">
        <f t="shared" si="13"/>
        <v>0</v>
      </c>
      <c r="P34" s="3551"/>
      <c r="Q34" s="3551"/>
      <c r="R34" s="3547">
        <f t="shared" si="89"/>
        <v>0</v>
      </c>
      <c r="S34" s="3547">
        <f t="shared" si="14"/>
        <v>0</v>
      </c>
      <c r="T34" s="3552"/>
      <c r="U34" s="3553">
        <f t="shared" si="15"/>
        <v>0</v>
      </c>
      <c r="V34" s="3547"/>
      <c r="W34" s="3547">
        <f t="shared" si="16"/>
        <v>0</v>
      </c>
      <c r="X34" s="3648"/>
      <c r="Y34" s="3547">
        <f t="shared" si="17"/>
        <v>0</v>
      </c>
      <c r="Z34" s="3554"/>
      <c r="AA34" s="3555"/>
      <c r="AB34" s="3593"/>
      <c r="AC34" s="3556">
        <f t="shared" si="18"/>
        <v>0</v>
      </c>
      <c r="AD34" s="3556">
        <f t="shared" si="19"/>
        <v>0</v>
      </c>
      <c r="AE34" s="3556">
        <f t="shared" si="19"/>
        <v>0</v>
      </c>
      <c r="AF34" s="3556">
        <f t="shared" si="20"/>
        <v>0</v>
      </c>
      <c r="AG34" s="3556"/>
      <c r="AH34" s="3557">
        <f t="shared" si="21"/>
        <v>0</v>
      </c>
      <c r="AI34" s="3558">
        <f t="shared" si="22"/>
        <v>0</v>
      </c>
      <c r="AJ34" s="3558">
        <f t="shared" si="22"/>
        <v>0</v>
      </c>
      <c r="AK34" s="3557">
        <f t="shared" si="43"/>
        <v>0</v>
      </c>
      <c r="AL34" s="3557"/>
      <c r="AM34" s="3547"/>
      <c r="AN34" s="3609"/>
      <c r="AO34" s="3562"/>
      <c r="AP34" s="3561">
        <f t="shared" si="44"/>
        <v>0</v>
      </c>
      <c r="AQ34" s="3559"/>
      <c r="AR34" s="3562"/>
      <c r="AS34" s="3561">
        <f t="shared" si="36"/>
        <v>0</v>
      </c>
      <c r="AT34" s="3563" t="s">
        <v>4049</v>
      </c>
      <c r="AU34" s="3547"/>
      <c r="AV34" s="3609"/>
      <c r="AW34" s="3562"/>
      <c r="AX34" s="3561">
        <f t="shared" si="45"/>
        <v>0</v>
      </c>
      <c r="AY34" s="3559"/>
      <c r="AZ34" s="3562"/>
      <c r="BA34" s="3561">
        <f t="shared" si="23"/>
        <v>0</v>
      </c>
      <c r="BB34" s="3563" t="s">
        <v>4049</v>
      </c>
      <c r="BC34" s="3547"/>
      <c r="BD34" s="3609"/>
      <c r="BE34" s="3562"/>
      <c r="BF34" s="3561">
        <f t="shared" si="46"/>
        <v>0</v>
      </c>
      <c r="BG34" s="3559"/>
      <c r="BH34" s="3562"/>
      <c r="BI34" s="3561">
        <f t="shared" si="47"/>
        <v>0</v>
      </c>
      <c r="BJ34" s="3563" t="s">
        <v>4049</v>
      </c>
      <c r="BK34" s="3547"/>
      <c r="BL34" s="3609"/>
      <c r="BM34" s="3562"/>
      <c r="BN34" s="3561">
        <f t="shared" si="48"/>
        <v>0</v>
      </c>
      <c r="BO34" s="3559"/>
      <c r="BP34" s="3562"/>
      <c r="BQ34" s="3561">
        <f t="shared" si="49"/>
        <v>0</v>
      </c>
      <c r="BR34" s="3563" t="s">
        <v>4049</v>
      </c>
      <c r="BS34" s="3547"/>
      <c r="BT34" s="3609"/>
      <c r="BU34" s="3562"/>
      <c r="BV34" s="3561">
        <f t="shared" si="50"/>
        <v>0</v>
      </c>
      <c r="BW34" s="3559"/>
      <c r="BX34" s="3562"/>
      <c r="BY34" s="3561">
        <f t="shared" si="51"/>
        <v>0</v>
      </c>
      <c r="BZ34" s="3563" t="s">
        <v>4049</v>
      </c>
      <c r="CA34" s="3547"/>
      <c r="CB34" s="3609"/>
      <c r="CC34" s="3562"/>
      <c r="CD34" s="3561">
        <f t="shared" si="52"/>
        <v>0</v>
      </c>
      <c r="CE34" s="3559"/>
      <c r="CF34" s="3562"/>
      <c r="CG34" s="3561">
        <f t="shared" si="53"/>
        <v>0</v>
      </c>
      <c r="CH34" s="3563" t="s">
        <v>4049</v>
      </c>
      <c r="CI34" s="3547"/>
      <c r="CJ34" s="3609"/>
      <c r="CK34" s="3562"/>
      <c r="CL34" s="3561">
        <f t="shared" si="5"/>
        <v>0</v>
      </c>
      <c r="CM34" s="3559"/>
      <c r="CN34" s="3562"/>
      <c r="CO34" s="3561">
        <f t="shared" si="54"/>
        <v>0</v>
      </c>
      <c r="CP34" s="3563" t="s">
        <v>4049</v>
      </c>
      <c r="CQ34" s="3547"/>
      <c r="CR34" s="3609"/>
      <c r="CS34" s="3603"/>
      <c r="CT34" s="3561">
        <f t="shared" si="55"/>
        <v>0</v>
      </c>
      <c r="CU34" s="3559"/>
      <c r="CV34" s="3603"/>
      <c r="CW34" s="3561">
        <f t="shared" si="56"/>
        <v>0</v>
      </c>
      <c r="CX34" s="3563" t="s">
        <v>4049</v>
      </c>
      <c r="CY34" s="3597"/>
      <c r="CZ34" s="3609"/>
      <c r="DA34" s="3562"/>
      <c r="DB34" s="3561">
        <f t="shared" si="57"/>
        <v>0</v>
      </c>
      <c r="DC34" s="3559"/>
      <c r="DD34" s="3562"/>
      <c r="DE34" s="3561">
        <f t="shared" si="58"/>
        <v>0</v>
      </c>
      <c r="DF34" s="3563" t="s">
        <v>4049</v>
      </c>
      <c r="DG34" s="3547"/>
      <c r="DH34" s="3609"/>
      <c r="DI34" s="3562"/>
      <c r="DJ34" s="3561">
        <f t="shared" si="59"/>
        <v>0</v>
      </c>
      <c r="DK34" s="3559"/>
      <c r="DL34" s="3562"/>
      <c r="DM34" s="3561">
        <f t="shared" si="60"/>
        <v>0</v>
      </c>
      <c r="DN34" s="3563"/>
      <c r="DO34" s="3547"/>
      <c r="DP34" s="3609"/>
      <c r="DQ34" s="3562"/>
      <c r="DR34" s="3561">
        <f t="shared" si="61"/>
        <v>0</v>
      </c>
      <c r="DS34" s="3559"/>
      <c r="DT34" s="3562"/>
      <c r="DU34" s="3561">
        <f t="shared" si="62"/>
        <v>0</v>
      </c>
      <c r="DV34" s="3563"/>
      <c r="DW34" s="3547"/>
      <c r="DX34" s="3609"/>
      <c r="DY34" s="3562"/>
      <c r="DZ34" s="3561">
        <f t="shared" si="63"/>
        <v>0</v>
      </c>
      <c r="EA34" s="3559"/>
      <c r="EB34" s="3562"/>
      <c r="EC34" s="3561">
        <f t="shared" si="64"/>
        <v>0</v>
      </c>
      <c r="ED34" s="3563"/>
      <c r="EF34" s="3565">
        <f t="shared" si="37"/>
        <v>62958.212698412593</v>
      </c>
      <c r="EG34" s="3565">
        <f t="shared" si="24"/>
        <v>15739.553174603148</v>
      </c>
      <c r="EH34" s="3565">
        <f t="shared" si="24"/>
        <v>0</v>
      </c>
      <c r="EI34" s="3565">
        <f t="shared" si="24"/>
        <v>0</v>
      </c>
      <c r="EJ34" s="3565">
        <f t="shared" si="38"/>
        <v>-15739.553174603148</v>
      </c>
      <c r="EK34" s="3566">
        <f t="shared" si="39"/>
        <v>0</v>
      </c>
      <c r="EL34" s="3610"/>
      <c r="EM34" s="3567">
        <f t="shared" si="40"/>
        <v>28575.425314465389</v>
      </c>
      <c r="EN34" s="3557">
        <f t="shared" si="25"/>
        <v>16328.814465408792</v>
      </c>
      <c r="EO34" s="3557">
        <f t="shared" si="25"/>
        <v>0</v>
      </c>
      <c r="EP34" s="3557">
        <f t="shared" si="25"/>
        <v>0</v>
      </c>
      <c r="EQ34" s="3557">
        <f t="shared" si="41"/>
        <v>-16328.814465408792</v>
      </c>
      <c r="ER34" s="3557">
        <f t="shared" si="42"/>
        <v>0</v>
      </c>
      <c r="ES34" s="3557"/>
      <c r="ET34" s="3568"/>
      <c r="EU34" s="3568"/>
      <c r="EV34" s="3562"/>
      <c r="EW34" s="3547">
        <f t="shared" si="26"/>
        <v>0</v>
      </c>
      <c r="EX34" s="3568"/>
      <c r="EY34" s="3569"/>
      <c r="EZ34" s="3562"/>
      <c r="FA34" s="3547">
        <f t="shared" si="27"/>
        <v>0</v>
      </c>
      <c r="FB34" s="3568"/>
      <c r="FC34" s="3568"/>
      <c r="FD34" s="3562"/>
      <c r="FE34" s="3547">
        <f t="shared" si="65"/>
        <v>0</v>
      </c>
      <c r="FF34" s="3568"/>
      <c r="FG34" s="3569"/>
      <c r="FH34" s="3562"/>
      <c r="FI34" s="3547">
        <f t="shared" si="66"/>
        <v>0</v>
      </c>
      <c r="FJ34" s="3568"/>
      <c r="FK34" s="3568"/>
      <c r="FL34" s="3562"/>
      <c r="FM34" s="3547">
        <f t="shared" si="67"/>
        <v>0</v>
      </c>
      <c r="FN34" s="3568"/>
      <c r="FO34" s="3559"/>
      <c r="FP34" s="3562"/>
      <c r="FQ34" s="3547">
        <f t="shared" si="68"/>
        <v>0</v>
      </c>
      <c r="FR34" s="3568"/>
      <c r="FS34" s="3568"/>
      <c r="FT34" s="3560"/>
      <c r="FU34" s="3547">
        <f t="shared" si="69"/>
        <v>0</v>
      </c>
      <c r="FV34" s="3568"/>
      <c r="FW34" s="3559"/>
      <c r="FX34" s="3560"/>
      <c r="FY34" s="3547">
        <f t="shared" si="70"/>
        <v>0</v>
      </c>
      <c r="FZ34" s="3568"/>
      <c r="GA34" s="3568"/>
      <c r="GB34" s="3560"/>
      <c r="GC34" s="3547">
        <f t="shared" si="71"/>
        <v>0</v>
      </c>
      <c r="GD34" s="3568"/>
      <c r="GE34" s="3569"/>
      <c r="GF34" s="3560"/>
      <c r="GG34" s="3547">
        <f t="shared" si="72"/>
        <v>0</v>
      </c>
      <c r="GH34" s="3568"/>
      <c r="GI34" s="3568"/>
      <c r="GJ34" s="3562"/>
      <c r="GK34" s="3547">
        <f t="shared" si="73"/>
        <v>0</v>
      </c>
      <c r="GL34" s="3568">
        <f>7620.43097484276/319.96*171.4</f>
        <v>4082.203616352198</v>
      </c>
      <c r="GM34" s="3569"/>
      <c r="GN34" s="3560"/>
      <c r="GO34" s="3547">
        <f t="shared" si="74"/>
        <v>-4082.203616352198</v>
      </c>
      <c r="GP34" s="3568"/>
      <c r="GQ34" s="3568"/>
      <c r="GR34" s="3562"/>
      <c r="GS34" s="3547">
        <f t="shared" si="75"/>
        <v>0</v>
      </c>
      <c r="GT34" s="3568">
        <f>7620.43097484276/319.96*171.4</f>
        <v>4082.203616352198</v>
      </c>
      <c r="GU34" s="3569"/>
      <c r="GV34" s="3560"/>
      <c r="GW34" s="3547">
        <f t="shared" si="76"/>
        <v>-4082.203616352198</v>
      </c>
      <c r="GX34" s="3568"/>
      <c r="GY34" s="3568"/>
      <c r="GZ34" s="3562"/>
      <c r="HA34" s="3547">
        <f t="shared" si="77"/>
        <v>0</v>
      </c>
      <c r="HB34" s="3568">
        <f>7620.43097484276/319.96*171.4</f>
        <v>4082.203616352198</v>
      </c>
      <c r="HC34" s="3569"/>
      <c r="HD34" s="3562"/>
      <c r="HE34" s="3547">
        <f t="shared" si="78"/>
        <v>-4082.203616352198</v>
      </c>
      <c r="HF34" s="3568">
        <f>29381.7236507936/319.96*171.4</f>
        <v>15739.553174603148</v>
      </c>
      <c r="HG34" s="3568"/>
      <c r="HH34" s="3562"/>
      <c r="HI34" s="3547">
        <f t="shared" si="79"/>
        <v>-15739.553174603148</v>
      </c>
      <c r="HJ34" s="3568">
        <f>7620.43097484276/319.96*171.4</f>
        <v>4082.203616352198</v>
      </c>
      <c r="HK34" s="3569"/>
      <c r="HL34" s="3562"/>
      <c r="HM34" s="3547">
        <f t="shared" si="80"/>
        <v>-4082.203616352198</v>
      </c>
      <c r="HN34" s="3568">
        <f>29381.7236507936/319.96*171.4</f>
        <v>15739.553174603148</v>
      </c>
      <c r="HO34" s="3568"/>
      <c r="HP34" s="3562"/>
      <c r="HQ34" s="3547">
        <f t="shared" si="81"/>
        <v>-15739.553174603148</v>
      </c>
      <c r="HR34" s="3568">
        <f>7620.43097484276/319.96*171.4</f>
        <v>4082.203616352198</v>
      </c>
      <c r="HS34" s="3569"/>
      <c r="HT34" s="3562"/>
      <c r="HU34" s="3547">
        <f t="shared" si="82"/>
        <v>-4082.203616352198</v>
      </c>
      <c r="HV34" s="3568">
        <f>29381.7236507936/319.96*171.4</f>
        <v>15739.553174603148</v>
      </c>
      <c r="HW34" s="3568"/>
      <c r="HX34" s="3562"/>
      <c r="HY34" s="3547">
        <f t="shared" si="83"/>
        <v>-15739.553174603148</v>
      </c>
      <c r="HZ34" s="3568">
        <f>7620.43097484276/319.96*171.4</f>
        <v>4082.203616352198</v>
      </c>
      <c r="IA34" s="3569"/>
      <c r="IB34" s="3562"/>
      <c r="IC34" s="3547">
        <f t="shared" si="84"/>
        <v>-4082.203616352198</v>
      </c>
      <c r="ID34" s="3568">
        <f>29381.7236507936/319.96*171.4</f>
        <v>15739.553174603148</v>
      </c>
      <c r="IE34" s="3568"/>
      <c r="IF34" s="3562"/>
      <c r="IG34" s="3547">
        <f t="shared" si="85"/>
        <v>-15739.553174603148</v>
      </c>
      <c r="IH34" s="3568">
        <f>7620.43097484276/319.96*171.4</f>
        <v>4082.203616352198</v>
      </c>
      <c r="II34" s="3569"/>
      <c r="IJ34" s="3562"/>
      <c r="IK34" s="3547">
        <f t="shared" si="86"/>
        <v>-4082.203616352198</v>
      </c>
      <c r="IL34" s="3547"/>
      <c r="IM34" s="3568"/>
      <c r="IN34" s="3569"/>
      <c r="IO34" s="3571"/>
      <c r="IP34" s="3560">
        <f t="shared" si="87"/>
        <v>0</v>
      </c>
      <c r="IQ34" s="3568"/>
      <c r="IR34" s="3568"/>
      <c r="IS34" s="3568"/>
      <c r="IT34" s="3568"/>
      <c r="IU34" s="3568"/>
      <c r="IV34" s="3568"/>
      <c r="IW34" s="3568"/>
      <c r="IX34" s="3568"/>
      <c r="IY34" s="3568"/>
      <c r="IZ34" s="3560"/>
      <c r="JA34" s="3560"/>
      <c r="JB34" s="3560"/>
      <c r="JC34" s="3560">
        <f t="shared" si="11"/>
        <v>0</v>
      </c>
      <c r="JD34" s="3571"/>
      <c r="JE34" s="3568"/>
      <c r="JF34" s="3568"/>
      <c r="JG34" s="3568"/>
      <c r="JH34" s="3568"/>
      <c r="JI34" s="3568"/>
      <c r="JJ34" s="3568"/>
      <c r="JK34" s="3568"/>
      <c r="JL34" s="3568"/>
      <c r="JM34" s="3568"/>
      <c r="JN34" s="3560"/>
      <c r="JO34" s="3560"/>
      <c r="JP34" s="3547"/>
      <c r="JQ34" s="3583"/>
      <c r="JR34" s="3583"/>
      <c r="JS34" s="3573">
        <f t="shared" si="28"/>
        <v>0</v>
      </c>
      <c r="JT34" s="3573">
        <f t="shared" si="35"/>
        <v>0</v>
      </c>
      <c r="JU34" s="3574">
        <f t="shared" si="29"/>
        <v>0</v>
      </c>
      <c r="JV34" s="3574">
        <f t="shared" si="30"/>
        <v>0</v>
      </c>
      <c r="JW34" s="3575"/>
      <c r="JX34" s="3576">
        <f t="shared" si="31"/>
        <v>0</v>
      </c>
      <c r="JY34" s="3576">
        <f t="shared" si="32"/>
        <v>0</v>
      </c>
      <c r="JZ34" s="3577"/>
      <c r="KA34" s="3573">
        <f t="shared" si="111"/>
        <v>-19821.756790955347</v>
      </c>
      <c r="KB34" s="3573"/>
      <c r="KC34" s="3573"/>
      <c r="KD34" s="3573">
        <f t="shared" si="33"/>
        <v>-19821.756790955347</v>
      </c>
      <c r="KE34" s="3578" t="s">
        <v>3765</v>
      </c>
      <c r="KF34" s="3579"/>
      <c r="KG34" s="3579"/>
      <c r="KH34" s="3579"/>
      <c r="KI34" s="3579"/>
      <c r="KJ34" s="3579"/>
      <c r="KK34" s="3579"/>
      <c r="KL34" s="3579">
        <f>-4082.2/10000*3-19821.76/10000</f>
        <v>-3.206836</v>
      </c>
      <c r="KM34" s="3579"/>
      <c r="KN34" s="3579"/>
      <c r="KO34" s="3579"/>
      <c r="KP34" s="3579"/>
      <c r="KQ34" s="3579">
        <f t="shared" si="34"/>
        <v>-3.206836</v>
      </c>
      <c r="KR34" s="3579">
        <f t="shared" si="88"/>
        <v>-7.6400119386477172E-7</v>
      </c>
      <c r="KS34" s="3577"/>
      <c r="KT34" s="3577"/>
      <c r="KU34" s="3577"/>
      <c r="KV34" s="3577"/>
      <c r="KW34" s="3577"/>
      <c r="KX34" s="3577"/>
      <c r="KY34" s="3577"/>
      <c r="KZ34" s="3577"/>
      <c r="LA34" s="3577"/>
      <c r="LB34" s="3577"/>
      <c r="LC34" s="3577"/>
      <c r="LD34" s="3577"/>
      <c r="LE34" s="3577"/>
      <c r="LF34" s="3577"/>
      <c r="LG34" s="3577"/>
      <c r="LH34" s="3577"/>
      <c r="LJ34" s="3575"/>
      <c r="LK34" s="3571"/>
      <c r="LL34" s="3576"/>
    </row>
    <row r="35" spans="1:325" s="3580" customFormat="1" ht="18" customHeight="1">
      <c r="A35" s="3545">
        <v>32</v>
      </c>
      <c r="B35" s="3546" t="s">
        <v>3937</v>
      </c>
      <c r="C35" s="3615" t="s">
        <v>4053</v>
      </c>
      <c r="D35" s="3547">
        <v>148.56</v>
      </c>
      <c r="E35" s="3548" t="s">
        <v>3799</v>
      </c>
      <c r="F35" s="3546"/>
      <c r="G35" s="3549" t="s">
        <v>4054</v>
      </c>
      <c r="H35" s="3546" t="s">
        <v>4055</v>
      </c>
      <c r="I35" s="3594" t="s">
        <v>4056</v>
      </c>
      <c r="J35" s="3649" t="s">
        <v>4057</v>
      </c>
      <c r="K35" s="3545"/>
      <c r="L35" s="3555"/>
      <c r="M35" s="3551">
        <v>53817.72</v>
      </c>
      <c r="N35" s="3551">
        <v>53817.72</v>
      </c>
      <c r="O35" s="3551">
        <f t="shared" si="13"/>
        <v>0</v>
      </c>
      <c r="P35" s="3547">
        <v>11251.56</v>
      </c>
      <c r="Q35" s="3547">
        <v>11251.56</v>
      </c>
      <c r="R35" s="3547"/>
      <c r="S35" s="3547"/>
      <c r="T35" s="3552">
        <v>17939.240000000002</v>
      </c>
      <c r="U35" s="3553">
        <f t="shared" si="15"/>
        <v>215270.88</v>
      </c>
      <c r="V35" s="3547">
        <f>T35*10</f>
        <v>179392.40000000002</v>
      </c>
      <c r="W35" s="3547"/>
      <c r="X35" s="3648">
        <v>3750.52</v>
      </c>
      <c r="Y35" s="3547">
        <f t="shared" si="17"/>
        <v>45006.239999999998</v>
      </c>
      <c r="Z35" s="3554"/>
      <c r="AA35" s="3555"/>
      <c r="AB35" s="3650" t="s">
        <v>3821</v>
      </c>
      <c r="AC35" s="3556">
        <f t="shared" si="18"/>
        <v>161453.16000000003</v>
      </c>
      <c r="AD35" s="3556">
        <f t="shared" si="19"/>
        <v>125574.68000000002</v>
      </c>
      <c r="AE35" s="3556">
        <f t="shared" si="19"/>
        <v>125574.68</v>
      </c>
      <c r="AF35" s="3556">
        <f t="shared" si="20"/>
        <v>0</v>
      </c>
      <c r="AG35" s="3556"/>
      <c r="AH35" s="3557">
        <f t="shared" si="21"/>
        <v>37505.199999999997</v>
      </c>
      <c r="AI35" s="3558">
        <f t="shared" si="22"/>
        <v>30004.16</v>
      </c>
      <c r="AJ35" s="3558">
        <f t="shared" si="22"/>
        <v>30004.16</v>
      </c>
      <c r="AK35" s="3557">
        <f t="shared" si="43"/>
        <v>0</v>
      </c>
      <c r="AL35" s="3557"/>
      <c r="AM35" s="3547"/>
      <c r="AN35" s="3609"/>
      <c r="AO35" s="3562"/>
      <c r="AP35" s="3561"/>
      <c r="AQ35" s="3559"/>
      <c r="AR35" s="3562"/>
      <c r="AS35" s="3561"/>
      <c r="AT35" s="3563"/>
      <c r="AU35" s="3547"/>
      <c r="AV35" s="3609"/>
      <c r="AW35" s="3562"/>
      <c r="AX35" s="3561"/>
      <c r="AY35" s="3559"/>
      <c r="AZ35" s="3562"/>
      <c r="BA35" s="3561"/>
      <c r="BB35" s="3563"/>
      <c r="BC35" s="3547"/>
      <c r="BD35" s="3609"/>
      <c r="BE35" s="3562"/>
      <c r="BF35" s="3561"/>
      <c r="BG35" s="3559"/>
      <c r="BH35" s="3562"/>
      <c r="BI35" s="3561"/>
      <c r="BJ35" s="3563"/>
      <c r="BK35" s="3547" t="s">
        <v>4058</v>
      </c>
      <c r="BL35" s="3601">
        <v>17939.240000000002</v>
      </c>
      <c r="BM35" s="3562">
        <v>17939.240000000002</v>
      </c>
      <c r="BN35" s="3561">
        <f t="shared" si="48"/>
        <v>0</v>
      </c>
      <c r="BO35" s="3559">
        <v>7501.04</v>
      </c>
      <c r="BP35" s="3603">
        <v>7501.04</v>
      </c>
      <c r="BQ35" s="3602">
        <f t="shared" si="49"/>
        <v>0</v>
      </c>
      <c r="BR35" s="3630" t="s">
        <v>4059</v>
      </c>
      <c r="BS35" s="3547" t="s">
        <v>4060</v>
      </c>
      <c r="BT35" s="3559">
        <f>17939.24*2</f>
        <v>35878.480000000003</v>
      </c>
      <c r="BU35" s="3562">
        <v>35878.480000000003</v>
      </c>
      <c r="BV35" s="3561">
        <f t="shared" si="50"/>
        <v>0</v>
      </c>
      <c r="BW35" s="3559">
        <f>3750.52*2</f>
        <v>7501.04</v>
      </c>
      <c r="BX35" s="3562">
        <v>7501.04</v>
      </c>
      <c r="BY35" s="3561">
        <f t="shared" si="51"/>
        <v>0</v>
      </c>
      <c r="BZ35" s="3630" t="s">
        <v>4061</v>
      </c>
      <c r="CA35" s="3547"/>
      <c r="CB35" s="3609"/>
      <c r="CC35" s="3562"/>
      <c r="CD35" s="3561">
        <f t="shared" si="52"/>
        <v>0</v>
      </c>
      <c r="CE35" s="3559"/>
      <c r="CF35" s="3562"/>
      <c r="CG35" s="3561">
        <f t="shared" si="53"/>
        <v>0</v>
      </c>
      <c r="CH35" s="3630" t="s">
        <v>4061</v>
      </c>
      <c r="CI35" s="3547" t="s">
        <v>4062</v>
      </c>
      <c r="CJ35" s="3609">
        <f>17939.24*2</f>
        <v>35878.480000000003</v>
      </c>
      <c r="CK35" s="3603">
        <v>35878.959999999999</v>
      </c>
      <c r="CL35" s="3561">
        <f t="shared" si="5"/>
        <v>0.47999999999592546</v>
      </c>
      <c r="CM35" s="3559">
        <f>3750.52*2</f>
        <v>7501.04</v>
      </c>
      <c r="CN35" s="3603">
        <v>7501.04</v>
      </c>
      <c r="CO35" s="3602">
        <f t="shared" si="54"/>
        <v>0</v>
      </c>
      <c r="CP35" s="3589" t="s">
        <v>4063</v>
      </c>
      <c r="CQ35" s="3547"/>
      <c r="CR35" s="3609"/>
      <c r="CS35" s="3603"/>
      <c r="CT35" s="3561">
        <f t="shared" si="55"/>
        <v>0</v>
      </c>
      <c r="CU35" s="3559"/>
      <c r="CV35" s="3603"/>
      <c r="CW35" s="3561">
        <f t="shared" si="56"/>
        <v>0</v>
      </c>
      <c r="CX35" s="3589" t="s">
        <v>4064</v>
      </c>
      <c r="CY35" s="3597" t="s">
        <v>4065</v>
      </c>
      <c r="CZ35" s="3609">
        <f>17939.24*2</f>
        <v>35878.480000000003</v>
      </c>
      <c r="DA35" s="3562">
        <v>35878</v>
      </c>
      <c r="DB35" s="3561">
        <f t="shared" si="57"/>
        <v>-0.48000000000320142</v>
      </c>
      <c r="DC35" s="3559">
        <f>3750.52*2</f>
        <v>7501.04</v>
      </c>
      <c r="DD35" s="3562">
        <v>7501.04</v>
      </c>
      <c r="DE35" s="3561">
        <f t="shared" si="58"/>
        <v>0</v>
      </c>
      <c r="DF35" s="3589" t="s">
        <v>4066</v>
      </c>
      <c r="DG35" s="3547"/>
      <c r="DH35" s="3609"/>
      <c r="DI35" s="3562"/>
      <c r="DJ35" s="3561">
        <f t="shared" si="59"/>
        <v>0</v>
      </c>
      <c r="DK35" s="3559"/>
      <c r="DL35" s="3562"/>
      <c r="DM35" s="3561">
        <f t="shared" si="60"/>
        <v>0</v>
      </c>
      <c r="DN35" s="3563"/>
      <c r="DO35" s="3547" t="s">
        <v>4067</v>
      </c>
      <c r="DP35" s="3609">
        <f>17939.24*2</f>
        <v>35878.480000000003</v>
      </c>
      <c r="DQ35" s="3562"/>
      <c r="DR35" s="3561">
        <f t="shared" si="61"/>
        <v>-35878.480000000003</v>
      </c>
      <c r="DS35" s="3559">
        <f>3750.52*2</f>
        <v>7501.04</v>
      </c>
      <c r="DT35" s="3562"/>
      <c r="DU35" s="3561">
        <f t="shared" si="62"/>
        <v>-7501.04</v>
      </c>
      <c r="DV35" s="3563"/>
      <c r="DW35" s="3547"/>
      <c r="DX35" s="3609"/>
      <c r="DY35" s="3562"/>
      <c r="DZ35" s="3561">
        <f t="shared" si="63"/>
        <v>0</v>
      </c>
      <c r="EA35" s="3559"/>
      <c r="EB35" s="3562"/>
      <c r="EC35" s="3561">
        <f t="shared" si="64"/>
        <v>0</v>
      </c>
      <c r="ED35" s="3563"/>
      <c r="EF35" s="3565">
        <f t="shared" si="37"/>
        <v>54568.681904761812</v>
      </c>
      <c r="EG35" s="3565">
        <f t="shared" si="24"/>
        <v>13642.170476190453</v>
      </c>
      <c r="EH35" s="3565">
        <f t="shared" si="24"/>
        <v>81493.064161774295</v>
      </c>
      <c r="EI35" s="3565">
        <f t="shared" si="24"/>
        <v>81493.064161774295</v>
      </c>
      <c r="EJ35" s="3565">
        <f t="shared" si="38"/>
        <v>67850.89368558384</v>
      </c>
      <c r="EK35" s="3565">
        <f t="shared" si="39"/>
        <v>0</v>
      </c>
      <c r="EL35" s="3610"/>
      <c r="EM35" s="3557">
        <f t="shared" si="40"/>
        <v>24767.59150943394</v>
      </c>
      <c r="EN35" s="3557">
        <f t="shared" si="25"/>
        <v>14152.909433962252</v>
      </c>
      <c r="EO35" s="3557">
        <f t="shared" si="25"/>
        <v>20415.081726544326</v>
      </c>
      <c r="EP35" s="3557">
        <f t="shared" si="25"/>
        <v>20415.081726544326</v>
      </c>
      <c r="EQ35" s="3557">
        <f t="shared" si="41"/>
        <v>6262.1722925820741</v>
      </c>
      <c r="ER35" s="3557">
        <f t="shared" si="42"/>
        <v>0</v>
      </c>
      <c r="ES35" s="3557"/>
      <c r="ET35" s="3612"/>
      <c r="EU35" s="3568"/>
      <c r="EV35" s="3562"/>
      <c r="EW35" s="3547"/>
      <c r="EX35" s="3568"/>
      <c r="EY35" s="3569"/>
      <c r="EZ35" s="3562"/>
      <c r="FA35" s="3547"/>
      <c r="FB35" s="3612"/>
      <c r="FC35" s="3568"/>
      <c r="FD35" s="3562"/>
      <c r="FE35" s="3547"/>
      <c r="FF35" s="3568"/>
      <c r="FG35" s="3569"/>
      <c r="FH35" s="3562"/>
      <c r="FI35" s="3547"/>
      <c r="FJ35" s="3612"/>
      <c r="FK35" s="3568"/>
      <c r="FL35" s="3562"/>
      <c r="FM35" s="3547"/>
      <c r="FN35" s="3568"/>
      <c r="FO35" s="3559"/>
      <c r="FP35" s="3562"/>
      <c r="FQ35" s="3547"/>
      <c r="FR35" s="3612"/>
      <c r="FS35" s="3651"/>
      <c r="FT35" s="3560"/>
      <c r="FU35" s="3547">
        <f t="shared" si="69"/>
        <v>0</v>
      </c>
      <c r="FV35" s="3568"/>
      <c r="FW35" s="3631">
        <f>3750.52/1.06-3750.52/1.06*12/365*7</f>
        <v>2723.9496510726285</v>
      </c>
      <c r="FX35" s="3560">
        <f>7501.04/1.06/2-7501.04/1.06/2*12/365*7</f>
        <v>2723.9496510726285</v>
      </c>
      <c r="FY35" s="3547">
        <f t="shared" si="70"/>
        <v>2723.9496510726285</v>
      </c>
      <c r="FZ35" s="3612"/>
      <c r="GA35" s="3651">
        <f>17939.24/1.05-17939.24/1.05*12/365*7</f>
        <v>13153.102257012393</v>
      </c>
      <c r="GB35" s="3560">
        <f>17939.24/1.05-17939.24/1.05*12/365*7</f>
        <v>13153.102257012393</v>
      </c>
      <c r="GC35" s="3547">
        <f t="shared" si="71"/>
        <v>13153.102257012393</v>
      </c>
      <c r="GD35" s="3568"/>
      <c r="GE35" s="3559">
        <f>3750.52/1.06</f>
        <v>3538.2264150943392</v>
      </c>
      <c r="GF35" s="3560">
        <f>7501.04/2/1.06</f>
        <v>3538.2264150943392</v>
      </c>
      <c r="GG35" s="3547">
        <f t="shared" si="72"/>
        <v>3538.2264150943392</v>
      </c>
      <c r="GH35" s="3612"/>
      <c r="GI35" s="3568">
        <f>17939.24/1.05</f>
        <v>17084.990476190476</v>
      </c>
      <c r="GJ35" s="3652">
        <f>17939.24/1.05*12/365*7+35878.48/2/1.05-35878.48/2/1.05*12/365*7</f>
        <v>17084.990476190476</v>
      </c>
      <c r="GK35" s="3547">
        <f t="shared" si="73"/>
        <v>17084.990476190476</v>
      </c>
      <c r="GL35" s="3568">
        <f>7620.43097484276/319.96*148.56</f>
        <v>3538.2273584905629</v>
      </c>
      <c r="GM35" s="3559">
        <f>3750.52/1.06</f>
        <v>3538.2264150943392</v>
      </c>
      <c r="GN35" s="3652">
        <f>7501.04/2/1.06*12/365*7+7501.04/2/1.06-7501.04/2/1.06*12/365*7</f>
        <v>3538.2264150943392</v>
      </c>
      <c r="GO35" s="3547">
        <f t="shared" si="74"/>
        <v>-9.433962236471416E-4</v>
      </c>
      <c r="GP35" s="3612"/>
      <c r="GQ35" s="3568">
        <f>17939.24/1.05</f>
        <v>17084.990476190476</v>
      </c>
      <c r="GR35" s="3560">
        <f>35878.48/2/1.05</f>
        <v>17084.990476190476</v>
      </c>
      <c r="GS35" s="3547">
        <f t="shared" si="75"/>
        <v>17084.990476190476</v>
      </c>
      <c r="GT35" s="3568">
        <f>7620.43097484276/319.96*148.56</f>
        <v>3538.2273584905629</v>
      </c>
      <c r="GU35" s="3559">
        <f>3750.52/1.06</f>
        <v>3538.2264150943392</v>
      </c>
      <c r="GV35" s="3560">
        <f>7501.04/2/1.06</f>
        <v>3538.2264150943392</v>
      </c>
      <c r="GW35" s="3547">
        <f t="shared" si="76"/>
        <v>-9.433962236471416E-4</v>
      </c>
      <c r="GX35" s="3612"/>
      <c r="GY35" s="3568">
        <f>17939.24/1.05</f>
        <v>17084.990476190476</v>
      </c>
      <c r="GZ35" s="3560">
        <f>35878.48/2/1.05*12/365*7+17939.24/1.05-17939.24/1.05*12/365*7</f>
        <v>17084.990476190476</v>
      </c>
      <c r="HA35" s="3547">
        <f t="shared" si="77"/>
        <v>17084.990476190476</v>
      </c>
      <c r="HB35" s="3568">
        <f>7620.43097484276/319.96*148.56</f>
        <v>3538.2273584905629</v>
      </c>
      <c r="HC35" s="3559">
        <f>3750.52/1.06</f>
        <v>3538.2264150943392</v>
      </c>
      <c r="HD35" s="3560">
        <f>7501.04/2/1.06*12/365*7+7501.04/2/1.06-7501.04/2/1.06*12/365*7</f>
        <v>3538.2264150943392</v>
      </c>
      <c r="HE35" s="3547">
        <f t="shared" si="78"/>
        <v>-9.433962236471416E-4</v>
      </c>
      <c r="HF35" s="3568">
        <f>29381.7236507936/319.96*148.56</f>
        <v>13642.170476190453</v>
      </c>
      <c r="HG35" s="3568">
        <f>17939.24/1.05</f>
        <v>17084.990476190476</v>
      </c>
      <c r="HH35" s="3562">
        <f>17939.24/1.05</f>
        <v>17084.990476190476</v>
      </c>
      <c r="HI35" s="3547">
        <f t="shared" si="79"/>
        <v>3442.8200000000234</v>
      </c>
      <c r="HJ35" s="3568">
        <f>7620.43097484276/319.96*148.56</f>
        <v>3538.2273584905629</v>
      </c>
      <c r="HK35" s="3559">
        <f>3750.52/1.06</f>
        <v>3538.2264150943392</v>
      </c>
      <c r="HL35" s="3562">
        <f>7501.04/1.06/2</f>
        <v>3538.2264150943392</v>
      </c>
      <c r="HM35" s="3547">
        <f t="shared" si="80"/>
        <v>-9.433962236471416E-4</v>
      </c>
      <c r="HN35" s="3568">
        <f>29381.7236507936/319.96*148.56</f>
        <v>13642.170476190453</v>
      </c>
      <c r="HO35" s="3568">
        <f>17939.24/1.05</f>
        <v>17084.990476190476</v>
      </c>
      <c r="HP35" s="3562">
        <f>17939.24/1.05*12/365*7+0.48/1.05+(17939.24-0.48)/1.05-17939.24/1.05*12/365*7</f>
        <v>17084.990476190476</v>
      </c>
      <c r="HQ35" s="3547">
        <f t="shared" si="81"/>
        <v>3442.8200000000234</v>
      </c>
      <c r="HR35" s="3568">
        <f>7620.43097484276/319.96*148.56</f>
        <v>3538.2273584905629</v>
      </c>
      <c r="HS35" s="3559">
        <f>3750.52/1.06</f>
        <v>3538.2264150943392</v>
      </c>
      <c r="HT35" s="3560">
        <f>7501.04/1.06/2*12/365*7+7501.04/1.06/2-7501.04/1.06/2*12/365*7</f>
        <v>3538.2264150943392</v>
      </c>
      <c r="HU35" s="3547">
        <f t="shared" si="82"/>
        <v>-9.433962236471416E-4</v>
      </c>
      <c r="HV35" s="3568">
        <f>29381.7236507936/319.96*148.56</f>
        <v>13642.170476190453</v>
      </c>
      <c r="HW35" s="3568">
        <f>17939.24/1.05</f>
        <v>17084.990476190476</v>
      </c>
      <c r="HX35" s="3560">
        <f>17939.24/1.05</f>
        <v>17084.990476190476</v>
      </c>
      <c r="HY35" s="3547">
        <f t="shared" si="83"/>
        <v>3442.8200000000234</v>
      </c>
      <c r="HZ35" s="3568">
        <f>7620.43097484276/319.96*148.56</f>
        <v>3538.2273584905629</v>
      </c>
      <c r="IA35" s="3559">
        <f>3750.52/1.06</f>
        <v>3538.2264150943392</v>
      </c>
      <c r="IB35" s="3560">
        <f>7501.04/2/1.06</f>
        <v>3538.2264150943392</v>
      </c>
      <c r="IC35" s="3547">
        <f t="shared" si="84"/>
        <v>-9.433962236471416E-4</v>
      </c>
      <c r="ID35" s="3568">
        <f>29381.7236507936/319.96*148.56</f>
        <v>13642.170476190453</v>
      </c>
      <c r="IE35" s="3568">
        <f>17939.24/1.05</f>
        <v>17084.990476190476</v>
      </c>
      <c r="IF35" s="3560">
        <f>17939.24/1.05*12/365*7</f>
        <v>3931.8882191780826</v>
      </c>
      <c r="IG35" s="3547">
        <f t="shared" si="85"/>
        <v>-9710.2822570123699</v>
      </c>
      <c r="IH35" s="3568">
        <f>7620.43097484276/319.96*148.56</f>
        <v>3538.2273584905629</v>
      </c>
      <c r="II35" s="3559">
        <f>3750.52/1.06</f>
        <v>3538.2264150943392</v>
      </c>
      <c r="IJ35" s="3560">
        <f>7501.04/1.06/2*12/365*7</f>
        <v>814.27676402171096</v>
      </c>
      <c r="IK35" s="3547">
        <f t="shared" si="86"/>
        <v>-2723.9505944688517</v>
      </c>
      <c r="IL35" s="3547" t="s">
        <v>4068</v>
      </c>
      <c r="IM35" s="3609">
        <f>17939.24/1.05+17939.24/1.05*12/365*7</f>
        <v>21016.878695368559</v>
      </c>
      <c r="IN35" s="3559">
        <f>3750.52/1.06+3750.52/1.06*12/365*7</f>
        <v>4352.50317911605</v>
      </c>
      <c r="IO35" s="3571"/>
      <c r="IP35" s="3560">
        <f t="shared" si="87"/>
        <v>0</v>
      </c>
      <c r="IQ35" s="3568"/>
      <c r="IR35" s="3568"/>
      <c r="IS35" s="3568"/>
      <c r="IT35" s="3568"/>
      <c r="IU35" s="3568"/>
      <c r="IV35" s="3568"/>
      <c r="IW35" s="3568"/>
      <c r="IX35" s="3568"/>
      <c r="IY35" s="3568"/>
      <c r="IZ35" s="3560"/>
      <c r="JA35" s="3560"/>
      <c r="JB35" s="3560"/>
      <c r="JC35" s="3560">
        <f t="shared" si="11"/>
        <v>0</v>
      </c>
      <c r="JD35" s="3571"/>
      <c r="JE35" s="3568"/>
      <c r="JF35" s="3568"/>
      <c r="JG35" s="3568"/>
      <c r="JH35" s="3568"/>
      <c r="JI35" s="3568"/>
      <c r="JJ35" s="3568"/>
      <c r="JK35" s="3568"/>
      <c r="JL35" s="3568"/>
      <c r="JM35" s="3568"/>
      <c r="JN35" s="3560"/>
      <c r="JO35" s="3560"/>
      <c r="JP35" s="3547"/>
      <c r="JQ35" s="3583"/>
      <c r="JR35" s="3583"/>
      <c r="JS35" s="3573">
        <f t="shared" si="28"/>
        <v>0</v>
      </c>
      <c r="JT35" s="3573">
        <f t="shared" si="35"/>
        <v>0</v>
      </c>
      <c r="JU35" s="3574">
        <f t="shared" si="29"/>
        <v>0</v>
      </c>
      <c r="JV35" s="3574">
        <f t="shared" si="30"/>
        <v>0</v>
      </c>
      <c r="JW35" s="3575"/>
      <c r="JX35" s="3576">
        <f t="shared" si="31"/>
        <v>38101.869171559032</v>
      </c>
      <c r="JY35" s="3576">
        <f t="shared" si="32"/>
        <v>7890.7295942103892</v>
      </c>
      <c r="JZ35" s="3577"/>
      <c r="KA35" s="3573">
        <f t="shared" si="111"/>
        <v>3442.8190566037997</v>
      </c>
      <c r="KB35" s="3573"/>
      <c r="KC35" s="3573"/>
      <c r="KD35" s="3573">
        <f t="shared" si="33"/>
        <v>3442.8190566037997</v>
      </c>
      <c r="KE35" s="3578" t="s">
        <v>4069</v>
      </c>
      <c r="KF35" s="3579">
        <f>2723.95/10000+16691.33/10000+17084.99/10000*3</f>
        <v>7.067025000000001</v>
      </c>
      <c r="KG35" s="3579"/>
      <c r="KH35" s="3579"/>
      <c r="KI35" s="3579">
        <f>3442.82/10000</f>
        <v>0.34428200000000003</v>
      </c>
      <c r="KJ35" s="3579"/>
      <c r="KK35" s="3579"/>
      <c r="KL35" s="3579"/>
      <c r="KM35" s="3579"/>
      <c r="KN35" s="3579"/>
      <c r="KO35" s="3579"/>
      <c r="KP35" s="3579"/>
      <c r="KQ35" s="3579">
        <f t="shared" si="34"/>
        <v>7.4113070000000008</v>
      </c>
      <c r="KR35" s="3579">
        <f t="shared" si="88"/>
        <v>-4.0218340835451727E-7</v>
      </c>
      <c r="KS35" s="3577"/>
      <c r="KT35" s="3577"/>
      <c r="KU35" s="3577"/>
      <c r="KV35" s="3577"/>
      <c r="KW35" s="3577"/>
      <c r="KX35" s="3577"/>
      <c r="KY35" s="3577"/>
      <c r="KZ35" s="3577"/>
      <c r="LA35" s="3577"/>
      <c r="LB35" s="3577"/>
      <c r="LC35" s="3577"/>
      <c r="LD35" s="3577"/>
      <c r="LE35" s="3577"/>
      <c r="LF35" s="3577"/>
      <c r="LG35" s="3577"/>
      <c r="LH35" s="3577"/>
      <c r="LJ35" s="3575"/>
      <c r="LK35" s="3571"/>
      <c r="LL35" s="3576"/>
    </row>
    <row r="36" spans="1:325" s="3580" customFormat="1" ht="18" customHeight="1">
      <c r="A36" s="3545">
        <v>33</v>
      </c>
      <c r="B36" s="3546" t="s">
        <v>3937</v>
      </c>
      <c r="C36" s="3615" t="s">
        <v>4070</v>
      </c>
      <c r="D36" s="3547">
        <v>262.2</v>
      </c>
      <c r="E36" s="3608" t="s">
        <v>4022</v>
      </c>
      <c r="F36" s="3546" t="s">
        <v>3790</v>
      </c>
      <c r="G36" s="3546" t="s">
        <v>4071</v>
      </c>
      <c r="H36" s="3546" t="s">
        <v>4072</v>
      </c>
      <c r="I36" s="3594" t="s">
        <v>4073</v>
      </c>
      <c r="J36" s="3653" t="s">
        <v>4074</v>
      </c>
      <c r="K36" s="3545"/>
      <c r="L36" s="3555"/>
      <c r="M36" s="3551">
        <v>95703</v>
      </c>
      <c r="N36" s="3551">
        <v>95703</v>
      </c>
      <c r="O36" s="3551">
        <f t="shared" si="13"/>
        <v>0</v>
      </c>
      <c r="P36" s="3547">
        <v>19858.38</v>
      </c>
      <c r="Q36" s="3547">
        <v>19858.38</v>
      </c>
      <c r="R36" s="3547">
        <f t="shared" ref="R36:R41" si="112">Q36-P36</f>
        <v>0</v>
      </c>
      <c r="S36" s="3547">
        <f>U36/365/D36</f>
        <v>4</v>
      </c>
      <c r="T36" s="3552">
        <v>31901</v>
      </c>
      <c r="U36" s="3553">
        <f t="shared" si="15"/>
        <v>382812</v>
      </c>
      <c r="V36" s="3547">
        <f>31901*(12-1)*2</f>
        <v>701822</v>
      </c>
      <c r="W36" s="3547">
        <f>Y36/365/D36</f>
        <v>0.83000031346979719</v>
      </c>
      <c r="X36" s="3552">
        <v>6619.46</v>
      </c>
      <c r="Y36" s="3547">
        <f t="shared" si="17"/>
        <v>79433.52</v>
      </c>
      <c r="Z36" s="3554"/>
      <c r="AA36" s="3555"/>
      <c r="AB36" s="3650" t="s">
        <v>3821</v>
      </c>
      <c r="AC36" s="3556">
        <f t="shared" si="18"/>
        <v>223307</v>
      </c>
      <c r="AD36" s="3556">
        <f t="shared" si="19"/>
        <v>159505</v>
      </c>
      <c r="AE36" s="3556">
        <f t="shared" si="19"/>
        <v>159505</v>
      </c>
      <c r="AF36" s="3556">
        <f t="shared" si="20"/>
        <v>0</v>
      </c>
      <c r="AG36" s="3556"/>
      <c r="AH36" s="3557">
        <f t="shared" si="21"/>
        <v>52955.68</v>
      </c>
      <c r="AI36" s="3558">
        <f t="shared" si="22"/>
        <v>39716.76</v>
      </c>
      <c r="AJ36" s="3558">
        <f t="shared" si="22"/>
        <v>39716.76</v>
      </c>
      <c r="AK36" s="3557">
        <f t="shared" si="43"/>
        <v>0</v>
      </c>
      <c r="AL36" s="3557"/>
      <c r="AM36" s="3547"/>
      <c r="AN36" s="3609"/>
      <c r="AO36" s="3562"/>
      <c r="AP36" s="3561">
        <f t="shared" ref="AP36:AP93" si="113">AO36-AN36</f>
        <v>0</v>
      </c>
      <c r="AQ36" s="3559"/>
      <c r="AR36" s="3562"/>
      <c r="AS36" s="3561">
        <f>AR36-AQ36</f>
        <v>0</v>
      </c>
      <c r="AT36" s="3563" t="s">
        <v>4075</v>
      </c>
      <c r="AU36" s="3547"/>
      <c r="AV36" s="3609"/>
      <c r="AW36" s="3562"/>
      <c r="AX36" s="3561">
        <f t="shared" ref="AX36:AX93" si="114">AW36-AV36</f>
        <v>0</v>
      </c>
      <c r="AY36" s="3559"/>
      <c r="AZ36" s="3562"/>
      <c r="BA36" s="3561">
        <f>AZ36-AY36</f>
        <v>0</v>
      </c>
      <c r="BB36" s="3563" t="s">
        <v>4075</v>
      </c>
      <c r="BC36" s="3547"/>
      <c r="BD36" s="3609"/>
      <c r="BE36" s="3562"/>
      <c r="BF36" s="3561">
        <f t="shared" ref="BF36:BF94" si="115">BE36-BD36</f>
        <v>0</v>
      </c>
      <c r="BG36" s="3559"/>
      <c r="BH36" s="3562"/>
      <c r="BI36" s="3561">
        <f t="shared" ref="BI36:BI94" si="116">BH36-BG36</f>
        <v>0</v>
      </c>
      <c r="BJ36" s="3563" t="s">
        <v>4075</v>
      </c>
      <c r="BK36" s="3547"/>
      <c r="BL36" s="3609"/>
      <c r="BM36" s="3562"/>
      <c r="BN36" s="3561">
        <f t="shared" si="48"/>
        <v>0</v>
      </c>
      <c r="BO36" s="3559"/>
      <c r="BP36" s="3562"/>
      <c r="BQ36" s="3561">
        <f t="shared" si="49"/>
        <v>0</v>
      </c>
      <c r="BR36" s="3563" t="s">
        <v>4075</v>
      </c>
      <c r="BS36" s="3547"/>
      <c r="BT36" s="3559"/>
      <c r="BU36" s="3562"/>
      <c r="BV36" s="3561">
        <f t="shared" si="50"/>
        <v>0</v>
      </c>
      <c r="BW36" s="3559"/>
      <c r="BX36" s="3562"/>
      <c r="BY36" s="3561">
        <f t="shared" si="51"/>
        <v>0</v>
      </c>
      <c r="BZ36" s="3563" t="s">
        <v>4075</v>
      </c>
      <c r="CA36" s="3547" t="s">
        <v>4076</v>
      </c>
      <c r="CB36" s="3609">
        <f>31901</f>
        <v>31901</v>
      </c>
      <c r="CC36" s="3562">
        <v>31901</v>
      </c>
      <c r="CD36" s="3561">
        <f t="shared" si="52"/>
        <v>0</v>
      </c>
      <c r="CE36" s="3559">
        <f>6619.46*2</f>
        <v>13238.92</v>
      </c>
      <c r="CF36" s="3562">
        <v>13238.92</v>
      </c>
      <c r="CG36" s="3561">
        <f t="shared" si="53"/>
        <v>0</v>
      </c>
      <c r="CH36" s="3563" t="s">
        <v>4077</v>
      </c>
      <c r="CI36" s="3547" t="s">
        <v>4029</v>
      </c>
      <c r="CJ36" s="3609">
        <f>31901*2</f>
        <v>63802</v>
      </c>
      <c r="CK36" s="3603">
        <v>63802</v>
      </c>
      <c r="CL36" s="3561">
        <f t="shared" si="5"/>
        <v>0</v>
      </c>
      <c r="CM36" s="3559">
        <f>6619.46*2</f>
        <v>13238.92</v>
      </c>
      <c r="CN36" s="3603">
        <v>13238.92</v>
      </c>
      <c r="CO36" s="3602">
        <f t="shared" si="54"/>
        <v>0</v>
      </c>
      <c r="CP36" s="3563" t="s">
        <v>4078</v>
      </c>
      <c r="CQ36" s="3547"/>
      <c r="CR36" s="3609"/>
      <c r="CS36" s="3603"/>
      <c r="CT36" s="3561">
        <f t="shared" si="55"/>
        <v>0</v>
      </c>
      <c r="CU36" s="3559"/>
      <c r="CV36" s="3603"/>
      <c r="CW36" s="3561">
        <f t="shared" si="56"/>
        <v>0</v>
      </c>
      <c r="CX36" s="3563" t="s">
        <v>4078</v>
      </c>
      <c r="CY36" s="3597" t="s">
        <v>4031</v>
      </c>
      <c r="CZ36" s="3609">
        <f>31901*2</f>
        <v>63802</v>
      </c>
      <c r="DA36" s="3603">
        <f>63802</f>
        <v>63802</v>
      </c>
      <c r="DB36" s="3561">
        <f t="shared" si="57"/>
        <v>0</v>
      </c>
      <c r="DC36" s="3559">
        <f>6619.46*2</f>
        <v>13238.92</v>
      </c>
      <c r="DD36" s="3603">
        <v>13238.92</v>
      </c>
      <c r="DE36" s="3561">
        <f t="shared" si="58"/>
        <v>0</v>
      </c>
      <c r="DF36" s="3630" t="s">
        <v>4032</v>
      </c>
      <c r="DG36" s="3547"/>
      <c r="DH36" s="3609"/>
      <c r="DI36" s="3562"/>
      <c r="DJ36" s="3561">
        <f t="shared" si="59"/>
        <v>0</v>
      </c>
      <c r="DK36" s="3559"/>
      <c r="DL36" s="3562"/>
      <c r="DM36" s="3561">
        <f t="shared" si="60"/>
        <v>0</v>
      </c>
      <c r="DN36" s="3563"/>
      <c r="DO36" s="3547" t="s">
        <v>4033</v>
      </c>
      <c r="DP36" s="3609">
        <f>31901*2</f>
        <v>63802</v>
      </c>
      <c r="DQ36" s="3562"/>
      <c r="DR36" s="3561">
        <f t="shared" si="61"/>
        <v>-63802</v>
      </c>
      <c r="DS36" s="3559">
        <f>6619.46*2</f>
        <v>13238.92</v>
      </c>
      <c r="DT36" s="3562"/>
      <c r="DU36" s="3561">
        <f t="shared" si="62"/>
        <v>-13238.92</v>
      </c>
      <c r="DV36" s="3563"/>
      <c r="DW36" s="3547"/>
      <c r="DX36" s="3609"/>
      <c r="DY36" s="3562"/>
      <c r="DZ36" s="3561">
        <f t="shared" si="63"/>
        <v>0</v>
      </c>
      <c r="EA36" s="3559"/>
      <c r="EB36" s="3562"/>
      <c r="EC36" s="3561">
        <f t="shared" si="64"/>
        <v>0</v>
      </c>
      <c r="ED36" s="3563"/>
      <c r="EF36" s="3565">
        <f t="shared" si="37"/>
        <v>285058.22142857139</v>
      </c>
      <c r="EG36" s="3565">
        <f t="shared" si="24"/>
        <v>190038.81428571424</v>
      </c>
      <c r="EH36" s="3565">
        <f t="shared" si="24"/>
        <v>91145.714285714275</v>
      </c>
      <c r="EI36" s="3565">
        <f t="shared" si="24"/>
        <v>91145.714285714275</v>
      </c>
      <c r="EJ36" s="3565">
        <f t="shared" si="38"/>
        <v>-98893.099999999962</v>
      </c>
      <c r="EK36" s="3565">
        <f t="shared" si="39"/>
        <v>0</v>
      </c>
      <c r="EL36" s="3610"/>
      <c r="EM36" s="3557">
        <f t="shared" si="40"/>
        <v>56202.941037735807</v>
      </c>
      <c r="EN36" s="3557">
        <f t="shared" si="25"/>
        <v>37468.627358490536</v>
      </c>
      <c r="EO36" s="3557">
        <f t="shared" si="25"/>
        <v>24979.094339622639</v>
      </c>
      <c r="EP36" s="3557">
        <f t="shared" si="25"/>
        <v>24979.094339622639</v>
      </c>
      <c r="EQ36" s="3557">
        <f t="shared" si="41"/>
        <v>-12489.533018867896</v>
      </c>
      <c r="ER36" s="3557">
        <f t="shared" si="42"/>
        <v>0</v>
      </c>
      <c r="ES36" s="3645"/>
      <c r="ET36" s="3612"/>
      <c r="EU36" s="3569"/>
      <c r="EV36" s="3562"/>
      <c r="EW36" s="3547">
        <f>EV36-ET36</f>
        <v>0</v>
      </c>
      <c r="EX36" s="3568"/>
      <c r="EY36" s="3569"/>
      <c r="EZ36" s="3562"/>
      <c r="FA36" s="3547">
        <f>EZ36-EX36</f>
        <v>0</v>
      </c>
      <c r="FB36" s="3612"/>
      <c r="FC36" s="3569"/>
      <c r="FD36" s="3562"/>
      <c r="FE36" s="3547">
        <f t="shared" ref="FE36:FE93" si="117">FD36-FB36</f>
        <v>0</v>
      </c>
      <c r="FF36" s="3568"/>
      <c r="FG36" s="3569"/>
      <c r="FH36" s="3562"/>
      <c r="FI36" s="3547">
        <f t="shared" ref="FI36:FI93" si="118">FH36-FF36</f>
        <v>0</v>
      </c>
      <c r="FJ36" s="3612"/>
      <c r="FK36" s="3569"/>
      <c r="FL36" s="3562"/>
      <c r="FM36" s="3547">
        <f t="shared" ref="FM36:FM94" si="119">FL36-FJ36</f>
        <v>0</v>
      </c>
      <c r="FN36" s="3568"/>
      <c r="FO36" s="3559"/>
      <c r="FP36" s="3562"/>
      <c r="FQ36" s="3547">
        <f t="shared" ref="FQ36:FQ94" si="120">FP36-FN36</f>
        <v>0</v>
      </c>
      <c r="FR36" s="3612">
        <v>31673.135714285701</v>
      </c>
      <c r="FS36" s="3569"/>
      <c r="FT36" s="3560"/>
      <c r="FU36" s="3547">
        <f t="shared" si="69"/>
        <v>-31673.135714285701</v>
      </c>
      <c r="FV36" s="3568">
        <v>6244.7712264150896</v>
      </c>
      <c r="FW36" s="3559"/>
      <c r="FX36" s="3560"/>
      <c r="FY36" s="3547">
        <f t="shared" si="70"/>
        <v>-6244.7712264150896</v>
      </c>
      <c r="FZ36" s="3612">
        <v>31673.135714285701</v>
      </c>
      <c r="GA36" s="3569"/>
      <c r="GB36" s="3560"/>
      <c r="GC36" s="3547">
        <f t="shared" si="71"/>
        <v>-31673.135714285701</v>
      </c>
      <c r="GD36" s="3568">
        <v>6244.7712264150896</v>
      </c>
      <c r="GE36" s="3569"/>
      <c r="GF36" s="3560"/>
      <c r="GG36" s="3547">
        <f t="shared" si="72"/>
        <v>-6244.7712264150896</v>
      </c>
      <c r="GH36" s="3612">
        <v>31673.135714285701</v>
      </c>
      <c r="GI36" s="3592"/>
      <c r="GJ36" s="3592"/>
      <c r="GK36" s="3547">
        <f t="shared" si="73"/>
        <v>-31673.135714285701</v>
      </c>
      <c r="GL36" s="3568">
        <v>6244.7712264150896</v>
      </c>
      <c r="GM36" s="3569">
        <f>6619.46/1.06</f>
        <v>6244.7735849056598</v>
      </c>
      <c r="GN36" s="3560">
        <f>13238.92/2/1.06</f>
        <v>6244.7735849056598</v>
      </c>
      <c r="GO36" s="3547">
        <f t="shared" si="74"/>
        <v>2.3584905702591641E-3</v>
      </c>
      <c r="GP36" s="3612">
        <v>31673.135714285701</v>
      </c>
      <c r="GQ36" s="3569">
        <f>31901/1.05</f>
        <v>30381.90476190476</v>
      </c>
      <c r="GR36" s="3562">
        <f>31901/1.05</f>
        <v>30381.90476190476</v>
      </c>
      <c r="GS36" s="3547">
        <f t="shared" si="75"/>
        <v>-1291.2309523809417</v>
      </c>
      <c r="GT36" s="3568">
        <v>6244.7712264150896</v>
      </c>
      <c r="GU36" s="3569">
        <f>6619.46/1.06</f>
        <v>6244.7735849056598</v>
      </c>
      <c r="GV36" s="3560">
        <f>13238.92/2/1.06</f>
        <v>6244.7735849056598</v>
      </c>
      <c r="GW36" s="3547">
        <f t="shared" si="76"/>
        <v>2.3584905702591641E-3</v>
      </c>
      <c r="GX36" s="3612">
        <v>31673.135714285701</v>
      </c>
      <c r="GY36" s="3569">
        <f>31901/1.05</f>
        <v>30381.90476190476</v>
      </c>
      <c r="GZ36" s="3562">
        <f>63802/2/1.05</f>
        <v>30381.90476190476</v>
      </c>
      <c r="HA36" s="3547">
        <f t="shared" si="77"/>
        <v>-1291.2309523809417</v>
      </c>
      <c r="HB36" s="3568">
        <v>6244.7712264150896</v>
      </c>
      <c r="HC36" s="3569">
        <f>6619.46/1.06</f>
        <v>6244.7735849056598</v>
      </c>
      <c r="HD36" s="3562">
        <f>13238.92/2/1.06</f>
        <v>6244.7735849056598</v>
      </c>
      <c r="HE36" s="3547">
        <f t="shared" si="78"/>
        <v>2.3584905702591641E-3</v>
      </c>
      <c r="HF36" s="3612">
        <v>31673.135714285701</v>
      </c>
      <c r="HG36" s="3569">
        <f>31901/1.05</f>
        <v>30381.90476190476</v>
      </c>
      <c r="HH36" s="3562">
        <f>63802/2/1.05</f>
        <v>30381.90476190476</v>
      </c>
      <c r="HI36" s="3547">
        <f t="shared" si="79"/>
        <v>-1291.2309523809417</v>
      </c>
      <c r="HJ36" s="3568">
        <v>6244.7712264150896</v>
      </c>
      <c r="HK36" s="3569">
        <f>6619.46/1.06</f>
        <v>6244.7735849056598</v>
      </c>
      <c r="HL36" s="3562">
        <f>13238.92/2/1.06</f>
        <v>6244.7735849056598</v>
      </c>
      <c r="HM36" s="3547">
        <f t="shared" si="80"/>
        <v>2.3584905702591641E-3</v>
      </c>
      <c r="HN36" s="3612">
        <v>31673.135714285701</v>
      </c>
      <c r="HO36" s="3569">
        <f>31901/1.05</f>
        <v>30381.90476190476</v>
      </c>
      <c r="HP36" s="3562">
        <f>63802/2/1.05</f>
        <v>30381.90476190476</v>
      </c>
      <c r="HQ36" s="3547">
        <f t="shared" si="81"/>
        <v>-1291.2309523809417</v>
      </c>
      <c r="HR36" s="3568">
        <v>6244.7712264150896</v>
      </c>
      <c r="HS36" s="3569">
        <f>6619.46/1.06</f>
        <v>6244.7735849056598</v>
      </c>
      <c r="HT36" s="3562">
        <f>13238.92/2/1.06</f>
        <v>6244.7735849056598</v>
      </c>
      <c r="HU36" s="3547">
        <f t="shared" si="82"/>
        <v>2.3584905702591641E-3</v>
      </c>
      <c r="HV36" s="3612">
        <v>31673.135714285701</v>
      </c>
      <c r="HW36" s="3569">
        <f>31901/1.05</f>
        <v>30381.90476190476</v>
      </c>
      <c r="HX36" s="3562">
        <f>63802/2/1.05</f>
        <v>30381.90476190476</v>
      </c>
      <c r="HY36" s="3547">
        <f t="shared" si="83"/>
        <v>-1291.2309523809417</v>
      </c>
      <c r="HZ36" s="3568">
        <v>6244.7712264150896</v>
      </c>
      <c r="IA36" s="3569">
        <f>6619.46/1.06</f>
        <v>6244.7735849056598</v>
      </c>
      <c r="IB36" s="3562">
        <f>13238.92/2/1.06</f>
        <v>6244.7735849056598</v>
      </c>
      <c r="IC36" s="3547">
        <f t="shared" si="84"/>
        <v>2.3584905702591641E-3</v>
      </c>
      <c r="ID36" s="3612">
        <v>31673.135714285701</v>
      </c>
      <c r="IE36" s="3569">
        <f>31901/1.05</f>
        <v>30381.90476190476</v>
      </c>
      <c r="IF36" s="3562"/>
      <c r="IG36" s="3547">
        <f t="shared" si="85"/>
        <v>-31673.135714285701</v>
      </c>
      <c r="IH36" s="3568">
        <v>6244.7712264150896</v>
      </c>
      <c r="II36" s="3569">
        <f>6619.46/1.06</f>
        <v>6244.7735849056598</v>
      </c>
      <c r="IJ36" s="3562"/>
      <c r="IK36" s="3547">
        <f t="shared" si="86"/>
        <v>-6244.7712264150896</v>
      </c>
      <c r="IL36" s="3547" t="s">
        <v>3970</v>
      </c>
      <c r="IM36" s="3569">
        <f>31901/1.05</f>
        <v>30381.90476190476</v>
      </c>
      <c r="IN36" s="3569">
        <f>6619.46/1.06</f>
        <v>6244.7735849056598</v>
      </c>
      <c r="IO36" s="3571"/>
      <c r="IP36" s="3560">
        <f t="shared" si="87"/>
        <v>0</v>
      </c>
      <c r="IQ36" s="3568"/>
      <c r="IR36" s="3568"/>
      <c r="IS36" s="3568"/>
      <c r="IT36" s="3568"/>
      <c r="IU36" s="3568"/>
      <c r="IV36" s="3568"/>
      <c r="IW36" s="3568"/>
      <c r="IX36" s="3568"/>
      <c r="IY36" s="3568"/>
      <c r="IZ36" s="3560"/>
      <c r="JA36" s="3560"/>
      <c r="JB36" s="3560"/>
      <c r="JC36" s="3560">
        <f t="shared" si="11"/>
        <v>0</v>
      </c>
      <c r="JD36" s="3571"/>
      <c r="JE36" s="3568"/>
      <c r="JF36" s="3568"/>
      <c r="JG36" s="3568"/>
      <c r="JH36" s="3568"/>
      <c r="JI36" s="3568"/>
      <c r="JJ36" s="3568"/>
      <c r="JK36" s="3568"/>
      <c r="JL36" s="3568"/>
      <c r="JM36" s="3568"/>
      <c r="JN36" s="3560"/>
      <c r="JO36" s="3560"/>
      <c r="JP36" s="3547"/>
      <c r="JQ36" s="3583"/>
      <c r="JR36" s="3583"/>
      <c r="JS36" s="3573">
        <f t="shared" si="28"/>
        <v>0</v>
      </c>
      <c r="JT36" s="3573">
        <f t="shared" si="35"/>
        <v>0</v>
      </c>
      <c r="JU36" s="3574">
        <f t="shared" si="29"/>
        <v>0</v>
      </c>
      <c r="JV36" s="3574">
        <f t="shared" si="30"/>
        <v>0</v>
      </c>
      <c r="JW36" s="3575"/>
      <c r="JX36" s="3576">
        <f t="shared" si="31"/>
        <v>60763.809523809519</v>
      </c>
      <c r="JY36" s="3576">
        <f t="shared" si="32"/>
        <v>12489.54716981132</v>
      </c>
      <c r="JZ36" s="3577"/>
      <c r="KA36" s="3573">
        <f t="shared" si="111"/>
        <v>-1291.2285938903715</v>
      </c>
      <c r="KB36" s="3573"/>
      <c r="KC36" s="3573"/>
      <c r="KD36" s="3573">
        <f t="shared" si="33"/>
        <v>-1291.2285938903715</v>
      </c>
      <c r="KE36" s="3578" t="s">
        <v>3815</v>
      </c>
      <c r="KF36" s="3579"/>
      <c r="KG36" s="3579"/>
      <c r="KH36" s="3579"/>
      <c r="KI36" s="3579"/>
      <c r="KJ36" s="3579"/>
      <c r="KK36" s="3579"/>
      <c r="KL36" s="3579">
        <f>-37917.91/10000*2</f>
        <v>-7.5835820000000007</v>
      </c>
      <c r="KM36" s="3579">
        <f>-1291.23/10000*4</f>
        <v>-0.51649200000000006</v>
      </c>
      <c r="KN36" s="3579">
        <f>-30381.9/10000</f>
        <v>-3.0381900000000002</v>
      </c>
      <c r="KO36" s="3579"/>
      <c r="KP36" s="3579"/>
      <c r="KQ36" s="3579">
        <f t="shared" si="34"/>
        <v>-11.138264000000001</v>
      </c>
      <c r="KR36" s="3579">
        <f t="shared" si="88"/>
        <v>6.9811321523616243E-7</v>
      </c>
      <c r="KS36" s="3577"/>
      <c r="KT36" s="3577"/>
      <c r="KU36" s="3577"/>
      <c r="KV36" s="3577"/>
      <c r="KW36" s="3577"/>
      <c r="KX36" s="3577"/>
      <c r="KY36" s="3577"/>
      <c r="KZ36" s="3577"/>
      <c r="LA36" s="3577"/>
      <c r="LB36" s="3577"/>
      <c r="LC36" s="3577"/>
      <c r="LD36" s="3577"/>
      <c r="LE36" s="3577"/>
      <c r="LF36" s="3577"/>
      <c r="LG36" s="3577"/>
      <c r="LH36" s="3577"/>
      <c r="LJ36" s="3575"/>
      <c r="LK36" s="3571"/>
      <c r="LL36" s="3576"/>
    </row>
    <row r="37" spans="1:325" s="3580" customFormat="1" ht="18" customHeight="1">
      <c r="A37" s="3545">
        <v>34</v>
      </c>
      <c r="B37" s="3546" t="s">
        <v>3937</v>
      </c>
      <c r="C37" s="3546" t="s">
        <v>4079</v>
      </c>
      <c r="D37" s="3547">
        <v>126</v>
      </c>
      <c r="E37" s="3548" t="s">
        <v>3842</v>
      </c>
      <c r="F37" s="3546" t="s">
        <v>3790</v>
      </c>
      <c r="G37" s="3546" t="s">
        <v>4080</v>
      </c>
      <c r="H37" s="3546"/>
      <c r="I37" s="3594"/>
      <c r="J37" s="3594"/>
      <c r="K37" s="3555"/>
      <c r="L37" s="3555"/>
      <c r="M37" s="3551"/>
      <c r="N37" s="3551"/>
      <c r="O37" s="3551">
        <f t="shared" si="13"/>
        <v>0</v>
      </c>
      <c r="P37" s="3547"/>
      <c r="Q37" s="3547"/>
      <c r="R37" s="3547">
        <f t="shared" si="112"/>
        <v>0</v>
      </c>
      <c r="S37" s="3547">
        <f>U37/365/D37</f>
        <v>0</v>
      </c>
      <c r="T37" s="3552"/>
      <c r="U37" s="3553">
        <f t="shared" si="15"/>
        <v>0</v>
      </c>
      <c r="V37" s="3547"/>
      <c r="W37" s="3547">
        <f>Y37/365/D37</f>
        <v>0</v>
      </c>
      <c r="X37" s="3654"/>
      <c r="Y37" s="3547">
        <f t="shared" si="17"/>
        <v>0</v>
      </c>
      <c r="Z37" s="3554"/>
      <c r="AA37" s="3555"/>
      <c r="AB37" s="3620"/>
      <c r="AC37" s="3556">
        <f t="shared" si="18"/>
        <v>0</v>
      </c>
      <c r="AD37" s="3556">
        <f t="shared" ref="AD37:AE68" si="121">SUM(AN37,AV37,BD37,BL37,BT37,CB37,CJ37,CR37,CZ37)</f>
        <v>0</v>
      </c>
      <c r="AE37" s="3556">
        <f t="shared" si="121"/>
        <v>0</v>
      </c>
      <c r="AF37" s="3556">
        <f t="shared" si="20"/>
        <v>0</v>
      </c>
      <c r="AG37" s="3556"/>
      <c r="AH37" s="3557">
        <f t="shared" si="21"/>
        <v>0</v>
      </c>
      <c r="AI37" s="3558">
        <f t="shared" ref="AI37:AJ68" si="122">SUM(AQ37,AY37,BG37,BO37,BW37,CE37,CM37,CU37,DC37)</f>
        <v>0</v>
      </c>
      <c r="AJ37" s="3558">
        <f t="shared" si="122"/>
        <v>0</v>
      </c>
      <c r="AK37" s="3557">
        <f t="shared" si="43"/>
        <v>0</v>
      </c>
      <c r="AL37" s="3557"/>
      <c r="AM37" s="3547"/>
      <c r="AN37" s="3609"/>
      <c r="AO37" s="3562"/>
      <c r="AP37" s="3561">
        <f t="shared" si="113"/>
        <v>0</v>
      </c>
      <c r="AQ37" s="3559"/>
      <c r="AR37" s="3562"/>
      <c r="AS37" s="3561">
        <f>AR37-AQ37</f>
        <v>0</v>
      </c>
      <c r="AT37" s="3633"/>
      <c r="AU37" s="3547"/>
      <c r="AV37" s="3609"/>
      <c r="AW37" s="3562"/>
      <c r="AX37" s="3561">
        <f t="shared" si="114"/>
        <v>0</v>
      </c>
      <c r="AY37" s="3559"/>
      <c r="AZ37" s="3562"/>
      <c r="BA37" s="3561">
        <f>AZ37-AY37</f>
        <v>0</v>
      </c>
      <c r="BB37" s="3633"/>
      <c r="BC37" s="3547"/>
      <c r="BD37" s="3609"/>
      <c r="BE37" s="3562"/>
      <c r="BF37" s="3561">
        <f t="shared" si="115"/>
        <v>0</v>
      </c>
      <c r="BG37" s="3559"/>
      <c r="BH37" s="3562"/>
      <c r="BI37" s="3561">
        <f t="shared" si="116"/>
        <v>0</v>
      </c>
      <c r="BJ37" s="3633"/>
      <c r="BK37" s="3547"/>
      <c r="BL37" s="3609"/>
      <c r="BM37" s="3562"/>
      <c r="BN37" s="3561">
        <f t="shared" si="48"/>
        <v>0</v>
      </c>
      <c r="BO37" s="3559"/>
      <c r="BP37" s="3562"/>
      <c r="BQ37" s="3561">
        <f t="shared" si="49"/>
        <v>0</v>
      </c>
      <c r="BR37" s="3633"/>
      <c r="BS37" s="3547"/>
      <c r="BT37" s="3559"/>
      <c r="BU37" s="3562"/>
      <c r="BV37" s="3561">
        <f t="shared" si="50"/>
        <v>0</v>
      </c>
      <c r="BW37" s="3559"/>
      <c r="BX37" s="3562"/>
      <c r="BY37" s="3561">
        <f t="shared" si="51"/>
        <v>0</v>
      </c>
      <c r="BZ37" s="3633"/>
      <c r="CA37" s="3547"/>
      <c r="CB37" s="3609"/>
      <c r="CC37" s="3562"/>
      <c r="CD37" s="3561">
        <f t="shared" si="52"/>
        <v>0</v>
      </c>
      <c r="CE37" s="3559"/>
      <c r="CF37" s="3562"/>
      <c r="CG37" s="3561">
        <f t="shared" si="53"/>
        <v>0</v>
      </c>
      <c r="CH37" s="3633"/>
      <c r="CI37" s="3547"/>
      <c r="CJ37" s="3609"/>
      <c r="CK37" s="3562"/>
      <c r="CL37" s="3561">
        <f t="shared" si="5"/>
        <v>0</v>
      </c>
      <c r="CM37" s="3559"/>
      <c r="CN37" s="3562"/>
      <c r="CO37" s="3561">
        <f t="shared" si="54"/>
        <v>0</v>
      </c>
      <c r="CP37" s="3633"/>
      <c r="CQ37" s="3547"/>
      <c r="CR37" s="3609"/>
      <c r="CS37" s="3603"/>
      <c r="CT37" s="3561">
        <f t="shared" si="55"/>
        <v>0</v>
      </c>
      <c r="CU37" s="3559"/>
      <c r="CV37" s="3603"/>
      <c r="CW37" s="3561">
        <f t="shared" si="56"/>
        <v>0</v>
      </c>
      <c r="CX37" s="3633"/>
      <c r="CY37" s="3597"/>
      <c r="CZ37" s="3609"/>
      <c r="DA37" s="3562"/>
      <c r="DB37" s="3561">
        <f t="shared" si="57"/>
        <v>0</v>
      </c>
      <c r="DC37" s="3559"/>
      <c r="DD37" s="3562"/>
      <c r="DE37" s="3561">
        <f t="shared" si="58"/>
        <v>0</v>
      </c>
      <c r="DF37" s="3633"/>
      <c r="DG37" s="3547"/>
      <c r="DH37" s="3609"/>
      <c r="DI37" s="3562"/>
      <c r="DJ37" s="3561">
        <f t="shared" si="59"/>
        <v>0</v>
      </c>
      <c r="DK37" s="3559"/>
      <c r="DL37" s="3562"/>
      <c r="DM37" s="3561">
        <f t="shared" si="60"/>
        <v>0</v>
      </c>
      <c r="DN37" s="3563"/>
      <c r="DO37" s="3547"/>
      <c r="DP37" s="3609"/>
      <c r="DQ37" s="3562"/>
      <c r="DR37" s="3561">
        <f t="shared" si="61"/>
        <v>0</v>
      </c>
      <c r="DS37" s="3559"/>
      <c r="DT37" s="3562"/>
      <c r="DU37" s="3561">
        <f t="shared" si="62"/>
        <v>0</v>
      </c>
      <c r="DV37" s="3563"/>
      <c r="DW37" s="3547"/>
      <c r="DX37" s="3609"/>
      <c r="DY37" s="3562"/>
      <c r="DZ37" s="3561">
        <f t="shared" si="63"/>
        <v>0</v>
      </c>
      <c r="EA37" s="3559"/>
      <c r="EB37" s="3562"/>
      <c r="EC37" s="3561">
        <f t="shared" si="64"/>
        <v>0</v>
      </c>
      <c r="ED37" s="3563"/>
      <c r="EF37" s="3565">
        <f t="shared" si="37"/>
        <v>0</v>
      </c>
      <c r="EG37" s="3565">
        <f t="shared" ref="EG37:EI68" si="123">SUM(ET37,FB37,FJ37,FR37,FZ37,GH37,GP37,GX37,HF37)</f>
        <v>0</v>
      </c>
      <c r="EH37" s="3565">
        <f t="shared" si="123"/>
        <v>0</v>
      </c>
      <c r="EI37" s="3565">
        <f t="shared" si="123"/>
        <v>0</v>
      </c>
      <c r="EJ37" s="3565">
        <f t="shared" si="38"/>
        <v>0</v>
      </c>
      <c r="EK37" s="3566">
        <f t="shared" si="39"/>
        <v>0</v>
      </c>
      <c r="EL37" s="3610"/>
      <c r="EM37" s="3567">
        <f t="shared" si="40"/>
        <v>0</v>
      </c>
      <c r="EN37" s="3557">
        <f t="shared" ref="EN37:EP68" si="124">SUM(EX37,FF37,FN37,FV37,GD37,GL37,GT37,HB37,HJ37)</f>
        <v>0</v>
      </c>
      <c r="EO37" s="3557">
        <f t="shared" si="124"/>
        <v>0</v>
      </c>
      <c r="EP37" s="3557">
        <f t="shared" si="124"/>
        <v>0</v>
      </c>
      <c r="EQ37" s="3557">
        <f t="shared" si="41"/>
        <v>0</v>
      </c>
      <c r="ER37" s="3557">
        <f t="shared" si="42"/>
        <v>0</v>
      </c>
      <c r="ES37" s="3557"/>
      <c r="ET37" s="3568"/>
      <c r="EU37" s="3569"/>
      <c r="EV37" s="3562"/>
      <c r="EW37" s="3547">
        <f>EV37-ET37</f>
        <v>0</v>
      </c>
      <c r="EX37" s="3568"/>
      <c r="EY37" s="3569"/>
      <c r="EZ37" s="3562"/>
      <c r="FA37" s="3547">
        <f>EZ37-EX37</f>
        <v>0</v>
      </c>
      <c r="FB37" s="3568"/>
      <c r="FC37" s="3569"/>
      <c r="FD37" s="3562"/>
      <c r="FE37" s="3547">
        <f t="shared" si="117"/>
        <v>0</v>
      </c>
      <c r="FF37" s="3568"/>
      <c r="FG37" s="3569"/>
      <c r="FH37" s="3562"/>
      <c r="FI37" s="3547">
        <f t="shared" si="118"/>
        <v>0</v>
      </c>
      <c r="FJ37" s="3568"/>
      <c r="FK37" s="3569"/>
      <c r="FL37" s="3562"/>
      <c r="FM37" s="3547">
        <f t="shared" si="119"/>
        <v>0</v>
      </c>
      <c r="FN37" s="3568"/>
      <c r="FO37" s="3559"/>
      <c r="FP37" s="3562"/>
      <c r="FQ37" s="3547">
        <f t="shared" si="120"/>
        <v>0</v>
      </c>
      <c r="FR37" s="3568"/>
      <c r="FS37" s="3569"/>
      <c r="FT37" s="3560"/>
      <c r="FU37" s="3547">
        <f t="shared" si="69"/>
        <v>0</v>
      </c>
      <c r="FV37" s="3568"/>
      <c r="FW37" s="3559"/>
      <c r="FX37" s="3560"/>
      <c r="FY37" s="3547">
        <f t="shared" si="70"/>
        <v>0</v>
      </c>
      <c r="FZ37" s="3568"/>
      <c r="GA37" s="3569"/>
      <c r="GB37" s="3560"/>
      <c r="GC37" s="3547">
        <f t="shared" si="71"/>
        <v>0</v>
      </c>
      <c r="GD37" s="3568"/>
      <c r="GE37" s="3569"/>
      <c r="GF37" s="3560"/>
      <c r="GG37" s="3547">
        <f t="shared" si="72"/>
        <v>0</v>
      </c>
      <c r="GH37" s="3568"/>
      <c r="GI37" s="3569"/>
      <c r="GJ37" s="3562"/>
      <c r="GK37" s="3547">
        <f t="shared" si="73"/>
        <v>0</v>
      </c>
      <c r="GL37" s="3568"/>
      <c r="GM37" s="3569"/>
      <c r="GN37" s="3560"/>
      <c r="GO37" s="3547">
        <f t="shared" si="74"/>
        <v>0</v>
      </c>
      <c r="GP37" s="3568"/>
      <c r="GQ37" s="3569"/>
      <c r="GR37" s="3562"/>
      <c r="GS37" s="3547">
        <f t="shared" si="75"/>
        <v>0</v>
      </c>
      <c r="GT37" s="3568"/>
      <c r="GU37" s="3569"/>
      <c r="GV37" s="3560"/>
      <c r="GW37" s="3547">
        <f t="shared" si="76"/>
        <v>0</v>
      </c>
      <c r="GX37" s="3568"/>
      <c r="GY37" s="3569"/>
      <c r="GZ37" s="3562"/>
      <c r="HA37" s="3547">
        <f t="shared" si="77"/>
        <v>0</v>
      </c>
      <c r="HB37" s="3568"/>
      <c r="HC37" s="3569"/>
      <c r="HD37" s="3562"/>
      <c r="HE37" s="3547">
        <f t="shared" si="78"/>
        <v>0</v>
      </c>
      <c r="HF37" s="3568"/>
      <c r="HG37" s="3569"/>
      <c r="HH37" s="3562"/>
      <c r="HI37" s="3547">
        <f t="shared" si="79"/>
        <v>0</v>
      </c>
      <c r="HJ37" s="3568"/>
      <c r="HK37" s="3569"/>
      <c r="HL37" s="3562"/>
      <c r="HM37" s="3547">
        <f t="shared" si="80"/>
        <v>0</v>
      </c>
      <c r="HN37" s="3568"/>
      <c r="HO37" s="3569"/>
      <c r="HP37" s="3562"/>
      <c r="HQ37" s="3547">
        <f t="shared" si="81"/>
        <v>0</v>
      </c>
      <c r="HR37" s="3568"/>
      <c r="HS37" s="3569"/>
      <c r="HT37" s="3562"/>
      <c r="HU37" s="3547">
        <f t="shared" si="82"/>
        <v>0</v>
      </c>
      <c r="HV37" s="3568"/>
      <c r="HW37" s="3569"/>
      <c r="HX37" s="3562"/>
      <c r="HY37" s="3547">
        <f t="shared" si="83"/>
        <v>0</v>
      </c>
      <c r="HZ37" s="3568"/>
      <c r="IA37" s="3569"/>
      <c r="IB37" s="3562"/>
      <c r="IC37" s="3547">
        <f t="shared" si="84"/>
        <v>0</v>
      </c>
      <c r="ID37" s="3568"/>
      <c r="IE37" s="3569"/>
      <c r="IF37" s="3562"/>
      <c r="IG37" s="3547">
        <f t="shared" si="85"/>
        <v>0</v>
      </c>
      <c r="IH37" s="3568"/>
      <c r="II37" s="3569"/>
      <c r="IJ37" s="3562"/>
      <c r="IK37" s="3547">
        <f t="shared" si="86"/>
        <v>0</v>
      </c>
      <c r="IL37" s="3547"/>
      <c r="IM37" s="3569"/>
      <c r="IN37" s="3569"/>
      <c r="IO37" s="3571"/>
      <c r="IP37" s="3560">
        <f t="shared" si="87"/>
        <v>0</v>
      </c>
      <c r="IQ37" s="3568"/>
      <c r="IR37" s="3568"/>
      <c r="IS37" s="3568"/>
      <c r="IT37" s="3568"/>
      <c r="IU37" s="3568"/>
      <c r="IV37" s="3568"/>
      <c r="IW37" s="3568"/>
      <c r="IX37" s="3568"/>
      <c r="IY37" s="3568"/>
      <c r="IZ37" s="3560"/>
      <c r="JA37" s="3560"/>
      <c r="JB37" s="3560"/>
      <c r="JC37" s="3560">
        <f t="shared" si="11"/>
        <v>0</v>
      </c>
      <c r="JD37" s="3571"/>
      <c r="JE37" s="3568"/>
      <c r="JF37" s="3568"/>
      <c r="JG37" s="3568"/>
      <c r="JH37" s="3568"/>
      <c r="JI37" s="3568"/>
      <c r="JJ37" s="3568"/>
      <c r="JK37" s="3568"/>
      <c r="JL37" s="3568"/>
      <c r="JM37" s="3568"/>
      <c r="JN37" s="3560"/>
      <c r="JO37" s="3560"/>
      <c r="JP37" s="3547"/>
      <c r="JQ37" s="3583"/>
      <c r="JR37" s="3583"/>
      <c r="JS37" s="3573">
        <f t="shared" si="28"/>
        <v>0</v>
      </c>
      <c r="JT37" s="3573">
        <f t="shared" si="35"/>
        <v>0</v>
      </c>
      <c r="JU37" s="3574">
        <f t="shared" si="29"/>
        <v>0</v>
      </c>
      <c r="JV37" s="3574">
        <f t="shared" si="30"/>
        <v>0</v>
      </c>
      <c r="JW37" s="3575"/>
      <c r="JX37" s="3576">
        <f t="shared" si="31"/>
        <v>0</v>
      </c>
      <c r="JY37" s="3576">
        <f t="shared" si="32"/>
        <v>0</v>
      </c>
      <c r="JZ37" s="3577"/>
      <c r="KA37" s="3573">
        <f t="shared" si="111"/>
        <v>0</v>
      </c>
      <c r="KB37" s="3573"/>
      <c r="KC37" s="3573"/>
      <c r="KD37" s="3573">
        <f t="shared" si="33"/>
        <v>0</v>
      </c>
      <c r="KE37" s="3571"/>
      <c r="KF37" s="3579"/>
      <c r="KG37" s="3579"/>
      <c r="KH37" s="3579"/>
      <c r="KI37" s="3579"/>
      <c r="KJ37" s="3579"/>
      <c r="KK37" s="3579"/>
      <c r="KL37" s="3579"/>
      <c r="KM37" s="3579"/>
      <c r="KN37" s="3579"/>
      <c r="KO37" s="3579"/>
      <c r="KP37" s="3579"/>
      <c r="KQ37" s="3579">
        <f t="shared" si="34"/>
        <v>0</v>
      </c>
      <c r="KR37" s="3579">
        <f t="shared" si="88"/>
        <v>0</v>
      </c>
      <c r="KS37" s="3577"/>
      <c r="KT37" s="3577"/>
      <c r="KU37" s="3577"/>
      <c r="KV37" s="3577"/>
      <c r="KW37" s="3577"/>
      <c r="KX37" s="3577"/>
      <c r="KY37" s="3577"/>
      <c r="KZ37" s="3577"/>
      <c r="LA37" s="3577"/>
      <c r="LB37" s="3577"/>
      <c r="LC37" s="3577"/>
      <c r="LD37" s="3577"/>
      <c r="LE37" s="3577"/>
      <c r="LF37" s="3577"/>
      <c r="LG37" s="3577"/>
      <c r="LH37" s="3577"/>
      <c r="LJ37" s="3575"/>
      <c r="LK37" s="3571"/>
      <c r="LL37" s="3576"/>
    </row>
    <row r="38" spans="1:325" s="3580" customFormat="1" ht="18" customHeight="1">
      <c r="A38" s="3545">
        <v>35</v>
      </c>
      <c r="B38" s="3546" t="s">
        <v>3937</v>
      </c>
      <c r="C38" s="3546" t="s">
        <v>4081</v>
      </c>
      <c r="D38" s="3547">
        <v>11.9</v>
      </c>
      <c r="E38" s="3548" t="s">
        <v>3799</v>
      </c>
      <c r="F38" s="3546" t="s">
        <v>3790</v>
      </c>
      <c r="G38" s="3549" t="s">
        <v>4082</v>
      </c>
      <c r="H38" s="3546" t="s">
        <v>4083</v>
      </c>
      <c r="I38" s="3594" t="s">
        <v>4084</v>
      </c>
      <c r="J38" s="3594" t="s">
        <v>4085</v>
      </c>
      <c r="K38" s="3545" t="s">
        <v>3925</v>
      </c>
      <c r="L38" s="3555"/>
      <c r="M38" s="3551">
        <v>6699.84</v>
      </c>
      <c r="N38" s="3551">
        <v>8437.26</v>
      </c>
      <c r="O38" s="3551">
        <f t="shared" si="13"/>
        <v>1737.42</v>
      </c>
      <c r="P38" s="3547">
        <v>901.29</v>
      </c>
      <c r="Q38" s="3547">
        <v>901.29</v>
      </c>
      <c r="R38" s="3547">
        <f t="shared" si="112"/>
        <v>0</v>
      </c>
      <c r="S38" s="3547">
        <f t="shared" ref="S38:S101" si="125">U38/365/D38</f>
        <v>6.1699919419822722</v>
      </c>
      <c r="T38" s="3552">
        <v>2233.2800000000002</v>
      </c>
      <c r="U38" s="3553">
        <f t="shared" si="15"/>
        <v>26799.360000000001</v>
      </c>
      <c r="V38" s="3547">
        <v>26799.360000000001</v>
      </c>
      <c r="W38" s="3547">
        <f t="shared" ref="W38:W101" si="126">Y38/365/D38</f>
        <v>0.83001266259928619</v>
      </c>
      <c r="X38" s="3654">
        <v>300.43</v>
      </c>
      <c r="Y38" s="3547">
        <f t="shared" si="17"/>
        <v>3605.16</v>
      </c>
      <c r="Z38" s="3554"/>
      <c r="AA38" s="3555"/>
      <c r="AB38" s="3620" t="s">
        <v>3804</v>
      </c>
      <c r="AC38" s="3556">
        <f t="shared" si="18"/>
        <v>26799.360000000001</v>
      </c>
      <c r="AD38" s="3556">
        <f t="shared" si="121"/>
        <v>20099.52</v>
      </c>
      <c r="AE38" s="3556">
        <f t="shared" si="121"/>
        <v>20099.52</v>
      </c>
      <c r="AF38" s="3556">
        <f t="shared" si="20"/>
        <v>0</v>
      </c>
      <c r="AG38" s="3556"/>
      <c r="AH38" s="3557">
        <f t="shared" si="21"/>
        <v>3605.16</v>
      </c>
      <c r="AI38" s="3558">
        <f t="shared" si="122"/>
        <v>2703.87</v>
      </c>
      <c r="AJ38" s="3558">
        <f t="shared" si="122"/>
        <v>2703.87</v>
      </c>
      <c r="AK38" s="3557">
        <f t="shared" si="43"/>
        <v>0</v>
      </c>
      <c r="AL38" s="3557"/>
      <c r="AM38" s="3547"/>
      <c r="AN38" s="3609"/>
      <c r="AO38" s="3562"/>
      <c r="AP38" s="3561">
        <f t="shared" si="113"/>
        <v>0</v>
      </c>
      <c r="AQ38" s="3559"/>
      <c r="AR38" s="3562"/>
      <c r="AS38" s="3561">
        <f t="shared" ref="AS38:AS93" si="127">AR38-AQ38</f>
        <v>0</v>
      </c>
      <c r="AT38" s="3563" t="s">
        <v>4086</v>
      </c>
      <c r="AU38" s="3547"/>
      <c r="AV38" s="3609"/>
      <c r="AW38" s="3562"/>
      <c r="AX38" s="3561">
        <f t="shared" si="114"/>
        <v>0</v>
      </c>
      <c r="AY38" s="3559"/>
      <c r="AZ38" s="3562"/>
      <c r="BA38" s="3561">
        <f>AZ38-AY38</f>
        <v>0</v>
      </c>
      <c r="BB38" s="3563" t="s">
        <v>4086</v>
      </c>
      <c r="BC38" s="3547"/>
      <c r="BD38" s="3609"/>
      <c r="BE38" s="3562"/>
      <c r="BF38" s="3561">
        <f t="shared" si="115"/>
        <v>0</v>
      </c>
      <c r="BG38" s="3559"/>
      <c r="BH38" s="3562"/>
      <c r="BI38" s="3561">
        <f t="shared" si="116"/>
        <v>0</v>
      </c>
      <c r="BJ38" s="3563" t="s">
        <v>4086</v>
      </c>
      <c r="BK38" s="3547" t="s">
        <v>4087</v>
      </c>
      <c r="BL38" s="3609">
        <v>6699.84</v>
      </c>
      <c r="BM38" s="3603">
        <f>6699.84</f>
        <v>6699.84</v>
      </c>
      <c r="BN38" s="3602">
        <f t="shared" si="48"/>
        <v>0</v>
      </c>
      <c r="BO38" s="3604">
        <v>901.29</v>
      </c>
      <c r="BP38" s="3603">
        <v>901.29</v>
      </c>
      <c r="BQ38" s="3561">
        <f t="shared" si="49"/>
        <v>0</v>
      </c>
      <c r="BR38" s="3563" t="s">
        <v>4088</v>
      </c>
      <c r="BS38" s="3547"/>
      <c r="BT38" s="3559"/>
      <c r="BU38" s="3562"/>
      <c r="BV38" s="3561">
        <f t="shared" si="50"/>
        <v>0</v>
      </c>
      <c r="BW38" s="3559"/>
      <c r="BX38" s="3562"/>
      <c r="BY38" s="3561">
        <f t="shared" si="51"/>
        <v>0</v>
      </c>
      <c r="BZ38" s="3563" t="s">
        <v>4088</v>
      </c>
      <c r="CA38" s="3547" t="s">
        <v>4089</v>
      </c>
      <c r="CB38" s="3609">
        <v>6699.84</v>
      </c>
      <c r="CC38" s="3562">
        <v>6699.84</v>
      </c>
      <c r="CD38" s="3561">
        <f t="shared" si="52"/>
        <v>0</v>
      </c>
      <c r="CE38" s="3559">
        <v>901.29</v>
      </c>
      <c r="CF38" s="3562">
        <v>901.29</v>
      </c>
      <c r="CG38" s="3561">
        <f t="shared" si="53"/>
        <v>0</v>
      </c>
      <c r="CH38" s="3563" t="s">
        <v>4090</v>
      </c>
      <c r="CI38" s="3547"/>
      <c r="CJ38" s="3609"/>
      <c r="CK38" s="3562"/>
      <c r="CL38" s="3561">
        <f t="shared" si="5"/>
        <v>0</v>
      </c>
      <c r="CM38" s="3559"/>
      <c r="CN38" s="3562"/>
      <c r="CO38" s="3561">
        <f t="shared" si="54"/>
        <v>0</v>
      </c>
      <c r="CP38" s="3563" t="s">
        <v>4090</v>
      </c>
      <c r="CQ38" s="3547"/>
      <c r="CR38" s="3609"/>
      <c r="CS38" s="3603"/>
      <c r="CT38" s="3561">
        <f t="shared" si="55"/>
        <v>0</v>
      </c>
      <c r="CU38" s="3559"/>
      <c r="CV38" s="3603"/>
      <c r="CW38" s="3561">
        <f t="shared" si="56"/>
        <v>0</v>
      </c>
      <c r="CX38" s="3563" t="s">
        <v>4090</v>
      </c>
      <c r="CY38" s="3597" t="s">
        <v>4091</v>
      </c>
      <c r="CZ38" s="3609">
        <v>6699.84</v>
      </c>
      <c r="DA38" s="3562">
        <v>6699.84</v>
      </c>
      <c r="DB38" s="3561">
        <f t="shared" si="57"/>
        <v>0</v>
      </c>
      <c r="DC38" s="3559">
        <v>901.29</v>
      </c>
      <c r="DD38" s="3603">
        <v>901.29</v>
      </c>
      <c r="DE38" s="3561">
        <f t="shared" si="58"/>
        <v>0</v>
      </c>
      <c r="DF38" s="3563" t="s">
        <v>4092</v>
      </c>
      <c r="DG38" s="3547"/>
      <c r="DH38" s="3609"/>
      <c r="DI38" s="3562"/>
      <c r="DJ38" s="3561">
        <f t="shared" si="59"/>
        <v>0</v>
      </c>
      <c r="DK38" s="3559"/>
      <c r="DL38" s="3562"/>
      <c r="DM38" s="3561">
        <f t="shared" si="60"/>
        <v>0</v>
      </c>
      <c r="DN38" s="3563"/>
      <c r="DO38" s="3547"/>
      <c r="DP38" s="3609"/>
      <c r="DQ38" s="3562"/>
      <c r="DR38" s="3561">
        <f t="shared" si="61"/>
        <v>0</v>
      </c>
      <c r="DS38" s="3559"/>
      <c r="DT38" s="3562"/>
      <c r="DU38" s="3561">
        <f t="shared" si="62"/>
        <v>0</v>
      </c>
      <c r="DV38" s="3563"/>
      <c r="DW38" s="3547" t="s">
        <v>4093</v>
      </c>
      <c r="DX38" s="3609">
        <v>6699.84</v>
      </c>
      <c r="DY38" s="3562"/>
      <c r="DZ38" s="3561">
        <f t="shared" si="63"/>
        <v>-6699.84</v>
      </c>
      <c r="EA38" s="3559">
        <v>901.29</v>
      </c>
      <c r="EB38" s="3562"/>
      <c r="EC38" s="3561">
        <f t="shared" si="64"/>
        <v>-901.29</v>
      </c>
      <c r="ED38" s="3563"/>
      <c r="EE38" s="3564"/>
      <c r="EF38" s="3565">
        <f t="shared" si="37"/>
        <v>16039.925000000012</v>
      </c>
      <c r="EG38" s="3565">
        <f t="shared" si="123"/>
        <v>11727.45</v>
      </c>
      <c r="EH38" s="3565">
        <f t="shared" si="123"/>
        <v>20176.571428571431</v>
      </c>
      <c r="EI38" s="3565">
        <f t="shared" si="123"/>
        <v>20176.571428571435</v>
      </c>
      <c r="EJ38" s="3565">
        <f t="shared" si="38"/>
        <v>8449.1214285714341</v>
      </c>
      <c r="EK38" s="3566">
        <f t="shared" si="39"/>
        <v>0</v>
      </c>
      <c r="EL38" s="3610"/>
      <c r="EM38" s="3567">
        <f t="shared" si="40"/>
        <v>2550.7818396226439</v>
      </c>
      <c r="EN38" s="3557">
        <f t="shared" si="124"/>
        <v>1700.521226415096</v>
      </c>
      <c r="EO38" s="3557">
        <f t="shared" si="124"/>
        <v>2550.8207547169809</v>
      </c>
      <c r="EP38" s="3557">
        <f t="shared" si="124"/>
        <v>2550.8207547169809</v>
      </c>
      <c r="EQ38" s="3557">
        <f t="shared" si="41"/>
        <v>850.29952830188495</v>
      </c>
      <c r="ER38" s="3557">
        <f t="shared" si="42"/>
        <v>0</v>
      </c>
      <c r="ES38" s="3557"/>
      <c r="ET38" s="3568">
        <v>2471.6583333333301</v>
      </c>
      <c r="EU38" s="3569">
        <f>2595.24/1.05</f>
        <v>2471.6571428571424</v>
      </c>
      <c r="EV38" s="3562">
        <f>7785.72/3/1.05</f>
        <v>2471.6571428571428</v>
      </c>
      <c r="EW38" s="3547">
        <f>EV38-ET38</f>
        <v>-1.1904761872756353E-3</v>
      </c>
      <c r="EX38" s="3568">
        <v>283.42020440251599</v>
      </c>
      <c r="EY38" s="3569">
        <f>300.43/1.06</f>
        <v>283.42452830188677</v>
      </c>
      <c r="EZ38" s="3562">
        <f>901.29/3/1.06</f>
        <v>283.42452830188677</v>
      </c>
      <c r="FA38" s="3547">
        <f>EZ38-EX38</f>
        <v>4.3238993707745976E-3</v>
      </c>
      <c r="FB38" s="3568">
        <v>2471.6583333333301</v>
      </c>
      <c r="FC38" s="3569">
        <f>2595.24/1.05</f>
        <v>2471.6571428571424</v>
      </c>
      <c r="FD38" s="3562">
        <f>7785.72/3/1.05</f>
        <v>2471.6571428571428</v>
      </c>
      <c r="FE38" s="3547">
        <f t="shared" si="117"/>
        <v>-1.1904761872756353E-3</v>
      </c>
      <c r="FF38" s="3568">
        <v>283.42020440251599</v>
      </c>
      <c r="FG38" s="3569">
        <f>300.43/1.06</f>
        <v>283.42452830188677</v>
      </c>
      <c r="FH38" s="3562">
        <f>901.29/3/1.06</f>
        <v>283.42452830188677</v>
      </c>
      <c r="FI38" s="3547">
        <f t="shared" si="118"/>
        <v>4.3238993707745976E-3</v>
      </c>
      <c r="FJ38" s="3568">
        <v>2471.6583333333301</v>
      </c>
      <c r="FK38" s="3569">
        <f>2595.24/1.05</f>
        <v>2471.6571428571424</v>
      </c>
      <c r="FL38" s="3562">
        <f>7785.72/3/1.05</f>
        <v>2471.6571428571428</v>
      </c>
      <c r="FM38" s="3547">
        <f t="shared" si="119"/>
        <v>-1.1904761872756353E-3</v>
      </c>
      <c r="FN38" s="3568">
        <v>283.42020440251599</v>
      </c>
      <c r="FO38" s="3559">
        <f>300.43/1.06</f>
        <v>283.42452830188677</v>
      </c>
      <c r="FP38" s="3562">
        <f>901.29/3/1.06</f>
        <v>283.42452830188677</v>
      </c>
      <c r="FQ38" s="3547">
        <f t="shared" si="120"/>
        <v>4.3238993707745976E-3</v>
      </c>
      <c r="FR38" s="3568"/>
      <c r="FS38" s="3569">
        <f>2233.28/1.05</f>
        <v>2126.9333333333334</v>
      </c>
      <c r="FT38" s="3560">
        <f>6699.84/3/1.05</f>
        <v>2126.9333333333334</v>
      </c>
      <c r="FU38" s="3547">
        <f t="shared" si="69"/>
        <v>2126.9333333333334</v>
      </c>
      <c r="FV38" s="3568"/>
      <c r="FW38" s="3559">
        <f>300.43/1.06</f>
        <v>283.42452830188677</v>
      </c>
      <c r="FX38" s="3560">
        <f>901.29/3/1.06</f>
        <v>283.42452830188677</v>
      </c>
      <c r="FY38" s="3547">
        <f t="shared" si="70"/>
        <v>283.42452830188677</v>
      </c>
      <c r="FZ38" s="3568"/>
      <c r="GA38" s="3569">
        <f>2233.28/1.05</f>
        <v>2126.9333333333334</v>
      </c>
      <c r="GB38" s="3560">
        <f>6699.84/3/1.05</f>
        <v>2126.9333333333334</v>
      </c>
      <c r="GC38" s="3547">
        <f t="shared" si="71"/>
        <v>2126.9333333333334</v>
      </c>
      <c r="GD38" s="3568"/>
      <c r="GE38" s="3559">
        <f>300.43/1.06</f>
        <v>283.42452830188677</v>
      </c>
      <c r="GF38" s="3560">
        <f>901.29/3/1.06</f>
        <v>283.42452830188677</v>
      </c>
      <c r="GG38" s="3547">
        <f t="shared" si="72"/>
        <v>283.42452830188677</v>
      </c>
      <c r="GH38" s="3568"/>
      <c r="GI38" s="3569">
        <f>2233.28/1.05</f>
        <v>2126.9333333333334</v>
      </c>
      <c r="GJ38" s="3560">
        <f>6699.84/3/1.05</f>
        <v>2126.9333333333334</v>
      </c>
      <c r="GK38" s="3547">
        <f t="shared" si="73"/>
        <v>2126.9333333333334</v>
      </c>
      <c r="GL38" s="3568"/>
      <c r="GM38" s="3559">
        <f>300.43/1.06</f>
        <v>283.42452830188677</v>
      </c>
      <c r="GN38" s="3560">
        <f>901.29/3/1.06</f>
        <v>283.42452830188677</v>
      </c>
      <c r="GO38" s="3547">
        <f t="shared" si="74"/>
        <v>283.42452830188677</v>
      </c>
      <c r="GP38" s="3568">
        <v>1437.49166666667</v>
      </c>
      <c r="GQ38" s="3569">
        <f>2233.28/1.05</f>
        <v>2126.9333333333334</v>
      </c>
      <c r="GR38" s="3562">
        <f>6699.84/3/1.05</f>
        <v>2126.9333333333334</v>
      </c>
      <c r="GS38" s="3547">
        <f t="shared" si="75"/>
        <v>689.44166666666342</v>
      </c>
      <c r="GT38" s="3568">
        <v>283.42020440251599</v>
      </c>
      <c r="GU38" s="3559">
        <f>300.43/1.06</f>
        <v>283.42452830188677</v>
      </c>
      <c r="GV38" s="3560">
        <f>901.29/3/1.06</f>
        <v>283.42452830188677</v>
      </c>
      <c r="GW38" s="3547">
        <f t="shared" si="76"/>
        <v>4.3238993707745976E-3</v>
      </c>
      <c r="GX38" s="3568">
        <v>1437.49166666667</v>
      </c>
      <c r="GY38" s="3569">
        <f>2233.28/1.05</f>
        <v>2126.9333333333334</v>
      </c>
      <c r="GZ38" s="3562">
        <f>6699.84/3/1.05</f>
        <v>2126.9333333333334</v>
      </c>
      <c r="HA38" s="3547">
        <f t="shared" si="77"/>
        <v>689.44166666666342</v>
      </c>
      <c r="HB38" s="3568">
        <v>283.42020440251599</v>
      </c>
      <c r="HC38" s="3559">
        <f>300.43/1.06</f>
        <v>283.42452830188677</v>
      </c>
      <c r="HD38" s="3560">
        <f>901.29/3/1.06</f>
        <v>283.42452830188677</v>
      </c>
      <c r="HE38" s="3547">
        <f t="shared" si="78"/>
        <v>4.3238993707745976E-3</v>
      </c>
      <c r="HF38" s="3568">
        <v>1437.49166666667</v>
      </c>
      <c r="HG38" s="3569">
        <f>2233.28/1.05</f>
        <v>2126.9333333333334</v>
      </c>
      <c r="HH38" s="3562">
        <f>6699.84/3/1.05</f>
        <v>2126.9333333333334</v>
      </c>
      <c r="HI38" s="3547">
        <f t="shared" si="79"/>
        <v>689.44166666666342</v>
      </c>
      <c r="HJ38" s="3568">
        <v>283.42020440251599</v>
      </c>
      <c r="HK38" s="3559">
        <f>300.43/1.06</f>
        <v>283.42452830188677</v>
      </c>
      <c r="HL38" s="3562">
        <f>901.29/3/1.06</f>
        <v>283.42452830188677</v>
      </c>
      <c r="HM38" s="3547">
        <f t="shared" si="80"/>
        <v>4.3238993707745976E-3</v>
      </c>
      <c r="HN38" s="3568">
        <v>1437.49166666667</v>
      </c>
      <c r="HO38" s="3569">
        <f>2233.28/1.05</f>
        <v>2126.9333333333334</v>
      </c>
      <c r="HP38" s="3562">
        <f>6699.84/1.05/3</f>
        <v>2126.9333333333334</v>
      </c>
      <c r="HQ38" s="3547">
        <f t="shared" si="81"/>
        <v>689.44166666666342</v>
      </c>
      <c r="HR38" s="3568">
        <v>283.42020440251599</v>
      </c>
      <c r="HS38" s="3559">
        <f>300.43/1.06</f>
        <v>283.42452830188677</v>
      </c>
      <c r="HT38" s="3562">
        <f>901.29/3/1.06</f>
        <v>283.42452830188677</v>
      </c>
      <c r="HU38" s="3547">
        <f t="shared" si="82"/>
        <v>4.3238993707745976E-3</v>
      </c>
      <c r="HV38" s="3568">
        <v>1437.49166666667</v>
      </c>
      <c r="HW38" s="3569">
        <f>2233.28/1.05</f>
        <v>2126.9333333333334</v>
      </c>
      <c r="HX38" s="3562">
        <f>6699.84/1.05/3</f>
        <v>2126.9333333333334</v>
      </c>
      <c r="HY38" s="3547">
        <f t="shared" si="83"/>
        <v>689.44166666666342</v>
      </c>
      <c r="HZ38" s="3568">
        <v>283.42020440251599</v>
      </c>
      <c r="IA38" s="3559">
        <f>300.43/1.06</f>
        <v>283.42452830188677</v>
      </c>
      <c r="IB38" s="3562">
        <f>901.29/3/1.06</f>
        <v>283.42452830188677</v>
      </c>
      <c r="IC38" s="3547">
        <f t="shared" si="84"/>
        <v>4.3238993707745976E-3</v>
      </c>
      <c r="ID38" s="3568">
        <v>1437.49166666667</v>
      </c>
      <c r="IE38" s="3569">
        <f>2233.28/1.05</f>
        <v>2126.9333333333334</v>
      </c>
      <c r="IF38" s="3562">
        <f>6699.84/1.05/3</f>
        <v>2126.9333333333334</v>
      </c>
      <c r="IG38" s="3547">
        <f t="shared" si="85"/>
        <v>689.44166666666342</v>
      </c>
      <c r="IH38" s="3568">
        <v>283.42020440251599</v>
      </c>
      <c r="II38" s="3559">
        <f>300.43/1.06</f>
        <v>283.42452830188677</v>
      </c>
      <c r="IJ38" s="3562">
        <f>901.29/3/1.06</f>
        <v>283.42452830188677</v>
      </c>
      <c r="IK38" s="3547">
        <f t="shared" si="86"/>
        <v>4.3238993707745976E-3</v>
      </c>
      <c r="IL38" s="3547" t="s">
        <v>4093</v>
      </c>
      <c r="IM38" s="3569">
        <f>2233.28/1.05*3</f>
        <v>6380.8</v>
      </c>
      <c r="IN38" s="3559">
        <f>300.43/1.06*3</f>
        <v>850.2735849056603</v>
      </c>
      <c r="IO38" s="3547"/>
      <c r="IP38" s="3560">
        <f t="shared" si="87"/>
        <v>0</v>
      </c>
      <c r="IQ38" s="3568"/>
      <c r="IR38" s="3568"/>
      <c r="IS38" s="3568"/>
      <c r="IT38" s="3568"/>
      <c r="IU38" s="3568"/>
      <c r="IV38" s="3568"/>
      <c r="IW38" s="3568"/>
      <c r="IX38" s="3568"/>
      <c r="IY38" s="3568"/>
      <c r="IZ38" s="3560"/>
      <c r="JA38" s="3560"/>
      <c r="JB38" s="3560"/>
      <c r="JC38" s="3560">
        <f t="shared" si="11"/>
        <v>0</v>
      </c>
      <c r="JD38" s="3547"/>
      <c r="JE38" s="3568"/>
      <c r="JF38" s="3568"/>
      <c r="JG38" s="3568"/>
      <c r="JH38" s="3568"/>
      <c r="JI38" s="3568"/>
      <c r="JJ38" s="3568"/>
      <c r="JK38" s="3568"/>
      <c r="JL38" s="3568"/>
      <c r="JM38" s="3568"/>
      <c r="JN38" s="3560"/>
      <c r="JO38" s="3560"/>
      <c r="JP38" s="3547" t="s">
        <v>4094</v>
      </c>
      <c r="JQ38" s="3583">
        <f>7785.72/1.05</f>
        <v>7414.9714285714281</v>
      </c>
      <c r="JR38" s="3583">
        <f>901.29/1.06</f>
        <v>850.2735849056603</v>
      </c>
      <c r="JS38" s="3573">
        <f t="shared" si="28"/>
        <v>-8.1854523159563541E-12</v>
      </c>
      <c r="JT38" s="3573">
        <f t="shared" si="35"/>
        <v>0</v>
      </c>
      <c r="JU38" s="3574">
        <f t="shared" si="29"/>
        <v>-8.1854523159563541E-12</v>
      </c>
      <c r="JV38" s="3574">
        <f t="shared" si="30"/>
        <v>0</v>
      </c>
      <c r="JW38" s="3575"/>
      <c r="JX38" s="3576">
        <f t="shared" si="31"/>
        <v>6380.8</v>
      </c>
      <c r="JY38" s="3576">
        <f t="shared" si="32"/>
        <v>850.2735849056603</v>
      </c>
      <c r="JZ38" s="3577"/>
      <c r="KA38" s="3573">
        <f t="shared" si="111"/>
        <v>689.4459905660342</v>
      </c>
      <c r="KB38" s="3573"/>
      <c r="KC38" s="3573"/>
      <c r="KD38" s="3573">
        <f t="shared" si="33"/>
        <v>689.4459905660342</v>
      </c>
      <c r="KE38" s="3578" t="s">
        <v>4069</v>
      </c>
      <c r="KF38" s="3579"/>
      <c r="KG38" s="3579"/>
      <c r="KH38" s="3579">
        <f>2410.36/10000*3</f>
        <v>0.72310799999999997</v>
      </c>
      <c r="KI38" s="3579">
        <f>689.45/10000*3</f>
        <v>0.20683500000000002</v>
      </c>
      <c r="KJ38" s="3579"/>
      <c r="KK38" s="3579"/>
      <c r="KL38" s="3579"/>
      <c r="KM38" s="3579"/>
      <c r="KN38" s="3579"/>
      <c r="KO38" s="3579"/>
      <c r="KP38" s="3579"/>
      <c r="KQ38" s="3579">
        <f t="shared" si="34"/>
        <v>0.92994299999999996</v>
      </c>
      <c r="KR38" s="3579">
        <f t="shared" si="88"/>
        <v>-9.0431266808188582E-7</v>
      </c>
      <c r="KS38" s="3577"/>
      <c r="KT38" s="3577"/>
      <c r="KU38" s="3577"/>
      <c r="KV38" s="3577"/>
      <c r="KW38" s="3577"/>
      <c r="KX38" s="3577"/>
      <c r="KY38" s="3577"/>
      <c r="KZ38" s="3577"/>
      <c r="LA38" s="3577"/>
      <c r="LB38" s="3577"/>
      <c r="LC38" s="3577"/>
      <c r="LD38" s="3577"/>
      <c r="LE38" s="3577"/>
      <c r="LF38" s="3577"/>
      <c r="LG38" s="3577"/>
      <c r="LH38" s="3577"/>
      <c r="LJ38" s="3575"/>
      <c r="LK38" s="3626">
        <v>12</v>
      </c>
      <c r="LL38" s="3627">
        <v>2812.42</v>
      </c>
      <c r="LM38" s="3580" t="s">
        <v>4095</v>
      </c>
    </row>
    <row r="39" spans="1:325" s="3580" customFormat="1" ht="18" customHeight="1">
      <c r="A39" s="3545">
        <v>36</v>
      </c>
      <c r="B39" s="3546" t="s">
        <v>3937</v>
      </c>
      <c r="C39" s="3546" t="s">
        <v>4096</v>
      </c>
      <c r="D39" s="3547">
        <v>14.6</v>
      </c>
      <c r="E39" s="3548" t="s">
        <v>3799</v>
      </c>
      <c r="F39" s="3546" t="s">
        <v>3790</v>
      </c>
      <c r="G39" s="3655" t="s">
        <v>4082</v>
      </c>
      <c r="H39" s="3546" t="s">
        <v>4097</v>
      </c>
      <c r="I39" s="3594" t="s">
        <v>4098</v>
      </c>
      <c r="J39" s="3594" t="s">
        <v>4099</v>
      </c>
      <c r="K39" s="3545" t="s">
        <v>3925</v>
      </c>
      <c r="L39" s="3555"/>
      <c r="M39" s="3551">
        <v>7993.5</v>
      </c>
      <c r="N39" s="3551">
        <f>8897.07+655.17+666.12</f>
        <v>10218.36</v>
      </c>
      <c r="O39" s="3551">
        <f t="shared" si="13"/>
        <v>2224.8600000000006</v>
      </c>
      <c r="P39" s="3547">
        <v>1105.77</v>
      </c>
      <c r="Q39" s="3547">
        <f>1095+56.75</f>
        <v>1151.75</v>
      </c>
      <c r="R39" s="3547">
        <f t="shared" si="112"/>
        <v>45.980000000000018</v>
      </c>
      <c r="S39" s="3547">
        <f t="shared" si="125"/>
        <v>6</v>
      </c>
      <c r="T39" s="3552">
        <v>2664.5</v>
      </c>
      <c r="U39" s="3553">
        <f t="shared" si="15"/>
        <v>31974</v>
      </c>
      <c r="V39" s="3547">
        <f>3108.58*12</f>
        <v>37302.959999999999</v>
      </c>
      <c r="W39" s="3547">
        <f t="shared" si="126"/>
        <v>0.83000187652467627</v>
      </c>
      <c r="X39" s="3654">
        <v>368.59</v>
      </c>
      <c r="Y39" s="3547">
        <f t="shared" si="17"/>
        <v>4423.08</v>
      </c>
      <c r="Z39" s="3554"/>
      <c r="AA39" s="3555"/>
      <c r="AB39" s="3552" t="s">
        <v>3804</v>
      </c>
      <c r="AC39" s="3556">
        <f t="shared" si="18"/>
        <v>33306.239999999998</v>
      </c>
      <c r="AD39" s="3556">
        <f t="shared" si="121"/>
        <v>25312.739999999998</v>
      </c>
      <c r="AE39" s="3556">
        <f t="shared" si="121"/>
        <v>25312.739999999998</v>
      </c>
      <c r="AF39" s="3556">
        <f t="shared" si="20"/>
        <v>0</v>
      </c>
      <c r="AG39" s="3556"/>
      <c r="AH39" s="3557">
        <f t="shared" si="21"/>
        <v>4423.08</v>
      </c>
      <c r="AI39" s="3558">
        <f t="shared" si="122"/>
        <v>3317.31</v>
      </c>
      <c r="AJ39" s="3558">
        <f t="shared" si="122"/>
        <v>3317.31</v>
      </c>
      <c r="AK39" s="3557">
        <f t="shared" si="43"/>
        <v>0</v>
      </c>
      <c r="AL39" s="3557"/>
      <c r="AM39" s="3547" t="s">
        <v>4100</v>
      </c>
      <c r="AN39" s="3609">
        <f>3108.58*3</f>
        <v>9325.74</v>
      </c>
      <c r="AO39" s="3562">
        <v>9325.74</v>
      </c>
      <c r="AP39" s="3561">
        <f t="shared" si="113"/>
        <v>0</v>
      </c>
      <c r="AQ39" s="3559">
        <f>368.59*3</f>
        <v>1105.77</v>
      </c>
      <c r="AR39" s="3562">
        <v>1105.77</v>
      </c>
      <c r="AS39" s="3561">
        <f t="shared" si="127"/>
        <v>0</v>
      </c>
      <c r="AT39" s="3563" t="s">
        <v>4101</v>
      </c>
      <c r="AU39" s="3547"/>
      <c r="AV39" s="3609"/>
      <c r="AW39" s="3562"/>
      <c r="AX39" s="3561">
        <f t="shared" si="114"/>
        <v>0</v>
      </c>
      <c r="AY39" s="3559"/>
      <c r="AZ39" s="3562"/>
      <c r="BA39" s="3561">
        <f>AZ39-AY39</f>
        <v>0</v>
      </c>
      <c r="BB39" s="3563" t="s">
        <v>4101</v>
      </c>
      <c r="BC39" s="3547"/>
      <c r="BD39" s="3609"/>
      <c r="BE39" s="3562"/>
      <c r="BF39" s="3561">
        <f t="shared" si="115"/>
        <v>0</v>
      </c>
      <c r="BG39" s="3559"/>
      <c r="BH39" s="3562"/>
      <c r="BI39" s="3561">
        <f t="shared" si="116"/>
        <v>0</v>
      </c>
      <c r="BJ39" s="3563" t="s">
        <v>4101</v>
      </c>
      <c r="BK39" s="3547"/>
      <c r="BL39" s="3609"/>
      <c r="BM39" s="3562"/>
      <c r="BN39" s="3561">
        <f t="shared" si="48"/>
        <v>0</v>
      </c>
      <c r="BO39" s="3559"/>
      <c r="BP39" s="3562"/>
      <c r="BQ39" s="3561">
        <f t="shared" si="49"/>
        <v>0</v>
      </c>
      <c r="BR39" s="3563" t="s">
        <v>4101</v>
      </c>
      <c r="BS39" s="3547" t="s">
        <v>4102</v>
      </c>
      <c r="BT39" s="3559">
        <v>7993.5</v>
      </c>
      <c r="BU39" s="3603">
        <v>7993.5</v>
      </c>
      <c r="BV39" s="3602">
        <f t="shared" si="50"/>
        <v>0</v>
      </c>
      <c r="BW39" s="3604">
        <v>1105.77</v>
      </c>
      <c r="BX39" s="3603">
        <v>1105.77</v>
      </c>
      <c r="BY39" s="3561">
        <f t="shared" si="51"/>
        <v>0</v>
      </c>
      <c r="BZ39" s="3563" t="s">
        <v>4103</v>
      </c>
      <c r="CA39" s="3547"/>
      <c r="CB39" s="3609"/>
      <c r="CC39" s="3562"/>
      <c r="CD39" s="3561">
        <f t="shared" si="52"/>
        <v>0</v>
      </c>
      <c r="CE39" s="3559"/>
      <c r="CF39" s="3562"/>
      <c r="CG39" s="3561">
        <f t="shared" si="53"/>
        <v>0</v>
      </c>
      <c r="CH39" s="3563" t="s">
        <v>4103</v>
      </c>
      <c r="CI39" s="3547" t="s">
        <v>4104</v>
      </c>
      <c r="CJ39" s="3609">
        <v>7993.5</v>
      </c>
      <c r="CK39" s="3603">
        <v>7993.5</v>
      </c>
      <c r="CL39" s="3561">
        <f t="shared" si="5"/>
        <v>0</v>
      </c>
      <c r="CM39" s="3559">
        <v>1105.77</v>
      </c>
      <c r="CN39" s="3562">
        <v>1105.77</v>
      </c>
      <c r="CO39" s="3561">
        <f t="shared" si="54"/>
        <v>0</v>
      </c>
      <c r="CP39" s="3563" t="s">
        <v>4105</v>
      </c>
      <c r="CQ39" s="3547"/>
      <c r="CR39" s="3609"/>
      <c r="CS39" s="3603"/>
      <c r="CT39" s="3561">
        <f t="shared" si="55"/>
        <v>0</v>
      </c>
      <c r="CU39" s="3559"/>
      <c r="CV39" s="3603"/>
      <c r="CW39" s="3561">
        <f t="shared" si="56"/>
        <v>0</v>
      </c>
      <c r="CX39" s="3563" t="s">
        <v>4105</v>
      </c>
      <c r="CY39" s="3597"/>
      <c r="CZ39" s="3609"/>
      <c r="DA39" s="3562"/>
      <c r="DB39" s="3561">
        <f t="shared" si="57"/>
        <v>0</v>
      </c>
      <c r="DC39" s="3559"/>
      <c r="DD39" s="3562"/>
      <c r="DE39" s="3561">
        <f t="shared" si="58"/>
        <v>0</v>
      </c>
      <c r="DF39" s="3563" t="s">
        <v>4105</v>
      </c>
      <c r="DG39" s="3547" t="s">
        <v>4106</v>
      </c>
      <c r="DH39" s="3609">
        <v>7993.5</v>
      </c>
      <c r="DI39" s="3562"/>
      <c r="DJ39" s="3561">
        <f t="shared" si="59"/>
        <v>-7993.5</v>
      </c>
      <c r="DK39" s="3559">
        <v>1105.77</v>
      </c>
      <c r="DL39" s="3562"/>
      <c r="DM39" s="3561">
        <f t="shared" si="60"/>
        <v>-1105.77</v>
      </c>
      <c r="DN39" s="3563"/>
      <c r="DO39" s="3547"/>
      <c r="DP39" s="3609"/>
      <c r="DQ39" s="3562"/>
      <c r="DR39" s="3561">
        <f t="shared" si="61"/>
        <v>0</v>
      </c>
      <c r="DS39" s="3559"/>
      <c r="DT39" s="3562"/>
      <c r="DU39" s="3561">
        <f t="shared" si="62"/>
        <v>0</v>
      </c>
      <c r="DV39" s="3563"/>
      <c r="DW39" s="3547"/>
      <c r="DX39" s="3609"/>
      <c r="DY39" s="3562"/>
      <c r="DZ39" s="3561">
        <f t="shared" si="63"/>
        <v>0</v>
      </c>
      <c r="EA39" s="3559"/>
      <c r="EB39" s="3562"/>
      <c r="EC39" s="3561">
        <f t="shared" si="64"/>
        <v>0</v>
      </c>
      <c r="ED39" s="3563"/>
      <c r="EE39" s="3564"/>
      <c r="EF39" s="3565">
        <f t="shared" si="37"/>
        <v>20660.448412698439</v>
      </c>
      <c r="EG39" s="3565">
        <f t="shared" si="123"/>
        <v>15369.51269841272</v>
      </c>
      <c r="EH39" s="3565">
        <f t="shared" si="123"/>
        <v>24530.304761904757</v>
      </c>
      <c r="EI39" s="3565">
        <f t="shared" si="123"/>
        <v>24530.304761904757</v>
      </c>
      <c r="EJ39" s="3565">
        <f t="shared" si="38"/>
        <v>9160.7920634920374</v>
      </c>
      <c r="EK39" s="3566">
        <f t="shared" si="39"/>
        <v>0</v>
      </c>
      <c r="EL39" s="3610"/>
      <c r="EM39" s="3567">
        <f t="shared" si="40"/>
        <v>3129.530660377362</v>
      </c>
      <c r="EN39" s="3557">
        <f t="shared" si="124"/>
        <v>2086.3537735849081</v>
      </c>
      <c r="EO39" s="3557">
        <f t="shared" si="124"/>
        <v>3129.5377358490568</v>
      </c>
      <c r="EP39" s="3557">
        <f t="shared" si="124"/>
        <v>3129.5377358490568</v>
      </c>
      <c r="EQ39" s="3557">
        <f t="shared" si="41"/>
        <v>1043.1839622641487</v>
      </c>
      <c r="ER39" s="3557">
        <f t="shared" si="42"/>
        <v>0</v>
      </c>
      <c r="ES39" s="3557"/>
      <c r="ET39" s="3568">
        <v>2960.5555555555602</v>
      </c>
      <c r="EU39" s="3569">
        <f>3108.58/1.05</f>
        <v>2960.5523809523806</v>
      </c>
      <c r="EV39" s="3562">
        <f>9325.74/3/1.05</f>
        <v>2960.5523809523806</v>
      </c>
      <c r="EW39" s="3547">
        <f>EV39-ET39</f>
        <v>-3.1746031795591989E-3</v>
      </c>
      <c r="EX39" s="3568">
        <v>347.725628930818</v>
      </c>
      <c r="EY39" s="3569">
        <f>368.59/1.06</f>
        <v>347.72641509433959</v>
      </c>
      <c r="EZ39" s="3562">
        <f>1105.77/3/1.06</f>
        <v>347.72641509433959</v>
      </c>
      <c r="FA39" s="3547">
        <f>EZ39-EX39</f>
        <v>7.8616352158178415E-4</v>
      </c>
      <c r="FB39" s="3568">
        <v>2960.5555555555602</v>
      </c>
      <c r="FC39" s="3569">
        <f>3108.58/1.05</f>
        <v>2960.5523809523806</v>
      </c>
      <c r="FD39" s="3562">
        <f>9325.74/3/1.05</f>
        <v>2960.5523809523806</v>
      </c>
      <c r="FE39" s="3547">
        <f t="shared" si="117"/>
        <v>-3.1746031795591989E-3</v>
      </c>
      <c r="FF39" s="3568">
        <v>347.725628930818</v>
      </c>
      <c r="FG39" s="3569">
        <f>368.59/1.06</f>
        <v>347.72641509433959</v>
      </c>
      <c r="FH39" s="3562">
        <f>1105.77/1.06/3</f>
        <v>347.72641509433964</v>
      </c>
      <c r="FI39" s="3547">
        <f t="shared" si="118"/>
        <v>7.8616352163862757E-4</v>
      </c>
      <c r="FJ39" s="3568">
        <v>2960.5555555555602</v>
      </c>
      <c r="FK39" s="3569">
        <f>3108.58/1.05</f>
        <v>2960.5523809523806</v>
      </c>
      <c r="FL39" s="3562">
        <f>9325.74/3/1.05</f>
        <v>2960.5523809523806</v>
      </c>
      <c r="FM39" s="3547">
        <f t="shared" si="119"/>
        <v>-3.1746031795591989E-3</v>
      </c>
      <c r="FN39" s="3568">
        <v>347.725628930818</v>
      </c>
      <c r="FO39" s="3559">
        <f>368.59/1.06</f>
        <v>347.72641509433959</v>
      </c>
      <c r="FP39" s="3562">
        <f>1105.77/1.06/3</f>
        <v>347.72641509433964</v>
      </c>
      <c r="FQ39" s="3547">
        <f t="shared" si="120"/>
        <v>7.8616352163862757E-4</v>
      </c>
      <c r="FR39" s="3568">
        <v>2960.5555555555602</v>
      </c>
      <c r="FS39" s="3569">
        <f>3108.58/1.05</f>
        <v>2960.5523809523806</v>
      </c>
      <c r="FT39" s="3560">
        <f>9325.74/3/1.05</f>
        <v>2960.5523809523806</v>
      </c>
      <c r="FU39" s="3547">
        <f t="shared" si="69"/>
        <v>-3.1746031795591989E-3</v>
      </c>
      <c r="FV39" s="3568">
        <v>347.725628930818</v>
      </c>
      <c r="FW39" s="3559">
        <f>368.59/1.06</f>
        <v>347.72641509433959</v>
      </c>
      <c r="FX39" s="3560">
        <f>1105.77/1.06/3</f>
        <v>347.72641509433964</v>
      </c>
      <c r="FY39" s="3547">
        <f t="shared" si="70"/>
        <v>7.8616352163862757E-4</v>
      </c>
      <c r="FZ39" s="3568"/>
      <c r="GA39" s="3569">
        <f>2664.5/1.05</f>
        <v>2537.6190476190477</v>
      </c>
      <c r="GB39" s="3562">
        <f>7993.5/3/1.05</f>
        <v>2537.6190476190477</v>
      </c>
      <c r="GC39" s="3547">
        <f t="shared" si="71"/>
        <v>2537.6190476190477</v>
      </c>
      <c r="GD39" s="3568"/>
      <c r="GE39" s="3569">
        <f>368.59/1.06</f>
        <v>347.72641509433959</v>
      </c>
      <c r="GF39" s="3560">
        <f>1105.77/3/1.06</f>
        <v>347.72641509433959</v>
      </c>
      <c r="GG39" s="3547">
        <f t="shared" si="72"/>
        <v>347.72641509433959</v>
      </c>
      <c r="GH39" s="3568"/>
      <c r="GI39" s="3569">
        <f>2664.5/1.05</f>
        <v>2537.6190476190477</v>
      </c>
      <c r="GJ39" s="3562">
        <f>7993.5/3/1.05</f>
        <v>2537.6190476190477</v>
      </c>
      <c r="GK39" s="3547">
        <f t="shared" si="73"/>
        <v>2537.6190476190477</v>
      </c>
      <c r="GL39" s="3568"/>
      <c r="GM39" s="3569">
        <f>368.59/1.06</f>
        <v>347.72641509433959</v>
      </c>
      <c r="GN39" s="3560">
        <f>1105.77/3/1.06</f>
        <v>347.72641509433959</v>
      </c>
      <c r="GO39" s="3547">
        <f t="shared" si="74"/>
        <v>347.72641509433959</v>
      </c>
      <c r="GP39" s="3568"/>
      <c r="GQ39" s="3569">
        <f>2664.5/1.05</f>
        <v>2537.6190476190477</v>
      </c>
      <c r="GR39" s="3562">
        <f>7993.5/3/1.05</f>
        <v>2537.6190476190477</v>
      </c>
      <c r="GS39" s="3547">
        <f t="shared" si="75"/>
        <v>2537.6190476190477</v>
      </c>
      <c r="GT39" s="3568"/>
      <c r="GU39" s="3569">
        <f>368.59/1.06</f>
        <v>347.72641509433959</v>
      </c>
      <c r="GV39" s="3560">
        <f>1105.77/3/1.06</f>
        <v>347.72641509433959</v>
      </c>
      <c r="GW39" s="3547">
        <f t="shared" si="76"/>
        <v>347.72641509433959</v>
      </c>
      <c r="GX39" s="3568">
        <v>1763.6452380952401</v>
      </c>
      <c r="GY39" s="3569">
        <f>2664.5/1.05</f>
        <v>2537.6190476190477</v>
      </c>
      <c r="GZ39" s="3562">
        <f>7993.5/1.05/3</f>
        <v>2537.6190476190473</v>
      </c>
      <c r="HA39" s="3547">
        <f t="shared" si="77"/>
        <v>773.97380952380718</v>
      </c>
      <c r="HB39" s="3568">
        <v>347.725628930818</v>
      </c>
      <c r="HC39" s="3569">
        <f>368.59/1.06</f>
        <v>347.72641509433959</v>
      </c>
      <c r="HD39" s="3562">
        <f>1105.77/3/1.06</f>
        <v>347.72641509433959</v>
      </c>
      <c r="HE39" s="3547">
        <f t="shared" si="78"/>
        <v>7.8616352158178415E-4</v>
      </c>
      <c r="HF39" s="3568">
        <v>1763.6452380952401</v>
      </c>
      <c r="HG39" s="3569">
        <f>2664.5/1.05</f>
        <v>2537.6190476190477</v>
      </c>
      <c r="HH39" s="3562">
        <f>7993.5/1.05/3</f>
        <v>2537.6190476190473</v>
      </c>
      <c r="HI39" s="3547">
        <f t="shared" si="79"/>
        <v>773.97380952380718</v>
      </c>
      <c r="HJ39" s="3568">
        <v>347.725628930818</v>
      </c>
      <c r="HK39" s="3569">
        <f>368.59/1.06</f>
        <v>347.72641509433959</v>
      </c>
      <c r="HL39" s="3562">
        <f>1105.77/3/1.06</f>
        <v>347.72641509433959</v>
      </c>
      <c r="HM39" s="3547">
        <f t="shared" si="80"/>
        <v>7.8616352158178415E-4</v>
      </c>
      <c r="HN39" s="3568">
        <v>1763.6452380952401</v>
      </c>
      <c r="HO39" s="3569">
        <f>2664.5/1.05</f>
        <v>2537.6190476190477</v>
      </c>
      <c r="HP39" s="3562">
        <f>7993.5/1.05/3</f>
        <v>2537.6190476190473</v>
      </c>
      <c r="HQ39" s="3547">
        <f t="shared" si="81"/>
        <v>773.97380952380718</v>
      </c>
      <c r="HR39" s="3568">
        <v>347.725628930818</v>
      </c>
      <c r="HS39" s="3569">
        <f>368.59/1.06</f>
        <v>347.72641509433959</v>
      </c>
      <c r="HT39" s="3562">
        <f>1105.77/3/1.06</f>
        <v>347.72641509433959</v>
      </c>
      <c r="HU39" s="3547">
        <f t="shared" si="82"/>
        <v>7.8616352158178415E-4</v>
      </c>
      <c r="HV39" s="3568">
        <v>1763.6452380952401</v>
      </c>
      <c r="HW39" s="3569">
        <f>2664.5/1.05</f>
        <v>2537.6190476190477</v>
      </c>
      <c r="HX39" s="3562"/>
      <c r="HY39" s="3547">
        <f t="shared" si="83"/>
        <v>-1763.6452380952401</v>
      </c>
      <c r="HZ39" s="3568">
        <v>347.725628930818</v>
      </c>
      <c r="IA39" s="3569">
        <f>368.59/1.06</f>
        <v>347.72641509433959</v>
      </c>
      <c r="IB39" s="3562"/>
      <c r="IC39" s="3547">
        <f t="shared" si="84"/>
        <v>-347.725628930818</v>
      </c>
      <c r="ID39" s="3568">
        <v>1763.6452380952401</v>
      </c>
      <c r="IE39" s="3569">
        <f>2664.5/1.05</f>
        <v>2537.6190476190477</v>
      </c>
      <c r="IF39" s="3562"/>
      <c r="IG39" s="3547">
        <f t="shared" si="85"/>
        <v>-1763.6452380952401</v>
      </c>
      <c r="IH39" s="3568">
        <v>347.725628930818</v>
      </c>
      <c r="II39" s="3569">
        <f>368.59/1.06</f>
        <v>347.72641509433959</v>
      </c>
      <c r="IJ39" s="3562"/>
      <c r="IK39" s="3547">
        <f t="shared" si="86"/>
        <v>-347.725628930818</v>
      </c>
      <c r="IL39" s="3547" t="s">
        <v>3970</v>
      </c>
      <c r="IM39" s="3569">
        <f>2664.5/1.05</f>
        <v>2537.6190476190477</v>
      </c>
      <c r="IN39" s="3569">
        <f>368.59/1.06</f>
        <v>347.72641509433959</v>
      </c>
      <c r="IO39" s="3547"/>
      <c r="IP39" s="3560">
        <f t="shared" si="87"/>
        <v>0</v>
      </c>
      <c r="IQ39" s="3568"/>
      <c r="IR39" s="3568"/>
      <c r="IS39" s="3568"/>
      <c r="IT39" s="3568"/>
      <c r="IU39" s="3568"/>
      <c r="IV39" s="3568"/>
      <c r="IW39" s="3568"/>
      <c r="IX39" s="3568"/>
      <c r="IY39" s="3568"/>
      <c r="IZ39" s="3562"/>
      <c r="JA39" s="3562"/>
      <c r="JB39" s="3562"/>
      <c r="JC39" s="3560">
        <f t="shared" si="11"/>
        <v>0</v>
      </c>
      <c r="JD39" s="3547"/>
      <c r="JE39" s="3568"/>
      <c r="JF39" s="3568"/>
      <c r="JG39" s="3568"/>
      <c r="JH39" s="3568"/>
      <c r="JI39" s="3568"/>
      <c r="JJ39" s="3568"/>
      <c r="JK39" s="3568"/>
      <c r="JL39" s="3568"/>
      <c r="JM39" s="3568"/>
      <c r="JN39" s="3562"/>
      <c r="JO39" s="3562"/>
      <c r="JP39" s="3547" t="s">
        <v>3837</v>
      </c>
      <c r="JQ39" s="3583">
        <f>3108.58/1.05</f>
        <v>2960.5523809523806</v>
      </c>
      <c r="JR39" s="3583">
        <f>368.59/1.06</f>
        <v>347.72641509433959</v>
      </c>
      <c r="JS39" s="3573">
        <f t="shared" si="28"/>
        <v>5.4569682106375694E-12</v>
      </c>
      <c r="JT39" s="3573">
        <f t="shared" si="35"/>
        <v>0</v>
      </c>
      <c r="JU39" s="3574">
        <f t="shared" si="29"/>
        <v>0</v>
      </c>
      <c r="JV39" s="3574">
        <f t="shared" si="30"/>
        <v>0</v>
      </c>
      <c r="JW39" s="3575"/>
      <c r="JX39" s="3576">
        <f t="shared" si="31"/>
        <v>2537.6190476190473</v>
      </c>
      <c r="JY39" s="3576">
        <f t="shared" si="32"/>
        <v>347.72641509433959</v>
      </c>
      <c r="JZ39" s="3577"/>
      <c r="KA39" s="3573">
        <f t="shared" si="111"/>
        <v>773.9745956873287</v>
      </c>
      <c r="KB39" s="3573"/>
      <c r="KC39" s="3573"/>
      <c r="KD39" s="3573">
        <f t="shared" si="33"/>
        <v>773.9745956873287</v>
      </c>
      <c r="KE39" s="3578" t="s">
        <v>4069</v>
      </c>
      <c r="KF39" s="3579"/>
      <c r="KG39" s="3579"/>
      <c r="KH39" s="3579">
        <f>2885.35/10000*3</f>
        <v>0.86560499999999996</v>
      </c>
      <c r="KI39" s="3579">
        <f>773.97/10000*2</f>
        <v>0.15479400000000001</v>
      </c>
      <c r="KJ39" s="3579"/>
      <c r="KK39" s="3579"/>
      <c r="KL39" s="3579"/>
      <c r="KM39" s="3579"/>
      <c r="KN39" s="3579"/>
      <c r="KO39" s="3579"/>
      <c r="KP39" s="3579"/>
      <c r="KQ39" s="3579">
        <f t="shared" si="34"/>
        <v>1.0203990000000001</v>
      </c>
      <c r="KR39" s="3579">
        <f t="shared" si="88"/>
        <v>-1.3974243813219545E-6</v>
      </c>
      <c r="KS39" s="3577"/>
      <c r="KT39" s="3577"/>
      <c r="KU39" s="3577"/>
      <c r="KV39" s="3577"/>
      <c r="KW39" s="3577"/>
      <c r="KX39" s="3577"/>
      <c r="KY39" s="3577"/>
      <c r="KZ39" s="3577"/>
      <c r="LA39" s="3577"/>
      <c r="LB39" s="3577"/>
      <c r="LC39" s="3577"/>
      <c r="LD39" s="3577"/>
      <c r="LE39" s="3577"/>
      <c r="LF39" s="3577"/>
      <c r="LG39" s="3577"/>
      <c r="LH39" s="3577"/>
      <c r="LJ39" s="3575"/>
      <c r="LK39" s="3626">
        <v>12</v>
      </c>
      <c r="LL39" s="3627">
        <v>3450.53</v>
      </c>
      <c r="LM39" s="3580" t="s">
        <v>3972</v>
      </c>
    </row>
    <row r="40" spans="1:325" s="3580" customFormat="1" ht="18" customHeight="1">
      <c r="A40" s="3545">
        <v>37</v>
      </c>
      <c r="B40" s="3546" t="s">
        <v>3937</v>
      </c>
      <c r="C40" s="3546" t="s">
        <v>4107</v>
      </c>
      <c r="D40" s="3547">
        <v>41.2</v>
      </c>
      <c r="E40" s="3608" t="s">
        <v>4022</v>
      </c>
      <c r="F40" s="3546" t="s">
        <v>3790</v>
      </c>
      <c r="G40" s="3546" t="s">
        <v>4108</v>
      </c>
      <c r="H40" s="3546" t="s">
        <v>4109</v>
      </c>
      <c r="I40" s="3594" t="s">
        <v>4025</v>
      </c>
      <c r="J40" s="3594" t="s">
        <v>4110</v>
      </c>
      <c r="K40" s="3545" t="s">
        <v>4005</v>
      </c>
      <c r="L40" s="3555"/>
      <c r="M40" s="3551">
        <v>16165.86</v>
      </c>
      <c r="N40" s="3551">
        <v>16165.86</v>
      </c>
      <c r="O40" s="3551">
        <f t="shared" si="13"/>
        <v>0</v>
      </c>
      <c r="P40" s="3547">
        <v>3120.39</v>
      </c>
      <c r="Q40" s="3547">
        <v>3120.39</v>
      </c>
      <c r="R40" s="3547">
        <f t="shared" si="112"/>
        <v>0</v>
      </c>
      <c r="S40" s="3547">
        <f t="shared" si="125"/>
        <v>4.3000026599281815</v>
      </c>
      <c r="T40" s="3552">
        <v>5388.62</v>
      </c>
      <c r="U40" s="3553">
        <f t="shared" si="15"/>
        <v>64663.44</v>
      </c>
      <c r="V40" s="3547">
        <f>T40*12*2</f>
        <v>129326.88</v>
      </c>
      <c r="W40" s="3547">
        <f t="shared" si="126"/>
        <v>0.83000132996409093</v>
      </c>
      <c r="X40" s="3654">
        <v>1040.1300000000001</v>
      </c>
      <c r="Y40" s="3547">
        <f t="shared" si="17"/>
        <v>12481.560000000001</v>
      </c>
      <c r="Z40" s="3554"/>
      <c r="AA40" s="3555"/>
      <c r="AB40" s="3552" t="s">
        <v>3804</v>
      </c>
      <c r="AC40" s="3556">
        <f t="shared" si="18"/>
        <v>72708.78</v>
      </c>
      <c r="AD40" s="3556">
        <f t="shared" si="121"/>
        <v>56542.92</v>
      </c>
      <c r="AE40" s="3556">
        <f t="shared" si="121"/>
        <v>56542.92</v>
      </c>
      <c r="AF40" s="3556">
        <f t="shared" si="20"/>
        <v>0</v>
      </c>
      <c r="AG40" s="3556"/>
      <c r="AH40" s="3557">
        <f t="shared" si="21"/>
        <v>12481.560000000001</v>
      </c>
      <c r="AI40" s="3558">
        <f t="shared" si="122"/>
        <v>9361.1700000000019</v>
      </c>
      <c r="AJ40" s="3558">
        <f t="shared" si="122"/>
        <v>9361.17</v>
      </c>
      <c r="AK40" s="3557">
        <f t="shared" si="43"/>
        <v>0</v>
      </c>
      <c r="AL40" s="3557"/>
      <c r="AM40" s="3547" t="s">
        <v>4111</v>
      </c>
      <c r="AN40" s="3609">
        <f>6729.51*3</f>
        <v>20188.53</v>
      </c>
      <c r="AO40" s="3562">
        <v>20188.53</v>
      </c>
      <c r="AP40" s="3561">
        <f t="shared" si="113"/>
        <v>0</v>
      </c>
      <c r="AQ40" s="3559">
        <f>1040.13*3</f>
        <v>3120.3900000000003</v>
      </c>
      <c r="AR40" s="3562">
        <v>3120.39</v>
      </c>
      <c r="AS40" s="3561">
        <f t="shared" si="127"/>
        <v>0</v>
      </c>
      <c r="AT40" s="3563" t="s">
        <v>4112</v>
      </c>
      <c r="AU40" s="3547"/>
      <c r="AV40" s="3609"/>
      <c r="AW40" s="3562"/>
      <c r="AX40" s="3561">
        <f t="shared" si="114"/>
        <v>0</v>
      </c>
      <c r="AY40" s="3559"/>
      <c r="AZ40" s="3562"/>
      <c r="BA40" s="3561">
        <f t="shared" ref="BA40:BA93" si="128">AZ40-AY40</f>
        <v>0</v>
      </c>
      <c r="BB40" s="3563" t="s">
        <v>4112</v>
      </c>
      <c r="BC40" s="3547"/>
      <c r="BD40" s="3609"/>
      <c r="BE40" s="3562"/>
      <c r="BF40" s="3561">
        <f t="shared" si="115"/>
        <v>0</v>
      </c>
      <c r="BG40" s="3559"/>
      <c r="BH40" s="3562"/>
      <c r="BI40" s="3561">
        <f t="shared" si="116"/>
        <v>0</v>
      </c>
      <c r="BJ40" s="3563" t="s">
        <v>4112</v>
      </c>
      <c r="BK40" s="3547" t="s">
        <v>4113</v>
      </c>
      <c r="BL40" s="3609">
        <f>3*6729.51</f>
        <v>20188.53</v>
      </c>
      <c r="BM40" s="3562">
        <v>20188.53</v>
      </c>
      <c r="BN40" s="3561">
        <f t="shared" si="48"/>
        <v>0</v>
      </c>
      <c r="BO40" s="3559">
        <f>3*1040.13</f>
        <v>3120.3900000000003</v>
      </c>
      <c r="BP40" s="3603">
        <v>3120.39</v>
      </c>
      <c r="BQ40" s="3602">
        <f t="shared" si="49"/>
        <v>0</v>
      </c>
      <c r="BR40" s="3630" t="s">
        <v>4114</v>
      </c>
      <c r="BS40" s="3547"/>
      <c r="BT40" s="3559"/>
      <c r="BU40" s="3562"/>
      <c r="BV40" s="3561">
        <f t="shared" si="50"/>
        <v>0</v>
      </c>
      <c r="BW40" s="3559"/>
      <c r="BX40" s="3562"/>
      <c r="BY40" s="3561">
        <f t="shared" si="51"/>
        <v>0</v>
      </c>
      <c r="BZ40" s="3630" t="s">
        <v>4114</v>
      </c>
      <c r="CA40" s="3547"/>
      <c r="CB40" s="3609"/>
      <c r="CC40" s="3562"/>
      <c r="CD40" s="3561">
        <f t="shared" si="52"/>
        <v>0</v>
      </c>
      <c r="CE40" s="3559"/>
      <c r="CF40" s="3562"/>
      <c r="CG40" s="3561">
        <f t="shared" si="53"/>
        <v>0</v>
      </c>
      <c r="CH40" s="3630" t="s">
        <v>4114</v>
      </c>
      <c r="CI40" s="3547"/>
      <c r="CJ40" s="3609"/>
      <c r="CK40" s="3562"/>
      <c r="CL40" s="3561">
        <f t="shared" si="5"/>
        <v>0</v>
      </c>
      <c r="CM40" s="3559"/>
      <c r="CN40" s="3562"/>
      <c r="CO40" s="3561">
        <f t="shared" si="54"/>
        <v>0</v>
      </c>
      <c r="CP40" s="3630" t="s">
        <v>4114</v>
      </c>
      <c r="CQ40" s="3547" t="s">
        <v>4104</v>
      </c>
      <c r="CR40" s="3609">
        <f>5388.62*3</f>
        <v>16165.86</v>
      </c>
      <c r="CS40" s="3603">
        <v>16165.86</v>
      </c>
      <c r="CT40" s="3561">
        <f t="shared" si="55"/>
        <v>0</v>
      </c>
      <c r="CU40" s="3559">
        <f>1040.13*3</f>
        <v>3120.3900000000003</v>
      </c>
      <c r="CV40" s="3603">
        <v>3120.39</v>
      </c>
      <c r="CW40" s="3561">
        <f t="shared" si="56"/>
        <v>0</v>
      </c>
      <c r="CX40" s="3630" t="s">
        <v>4115</v>
      </c>
      <c r="CY40" s="3547"/>
      <c r="CZ40" s="3609"/>
      <c r="DA40" s="3562"/>
      <c r="DB40" s="3561">
        <f t="shared" si="57"/>
        <v>0</v>
      </c>
      <c r="DC40" s="3559"/>
      <c r="DD40" s="3562"/>
      <c r="DE40" s="3561">
        <f t="shared" si="58"/>
        <v>0</v>
      </c>
      <c r="DF40" s="3630" t="s">
        <v>4115</v>
      </c>
      <c r="DG40" s="3547" t="s">
        <v>4106</v>
      </c>
      <c r="DH40" s="3609">
        <f>5388.62*3</f>
        <v>16165.86</v>
      </c>
      <c r="DI40" s="3562"/>
      <c r="DJ40" s="3561">
        <f t="shared" si="59"/>
        <v>-16165.86</v>
      </c>
      <c r="DK40" s="3559">
        <f>1040.13*3</f>
        <v>3120.3900000000003</v>
      </c>
      <c r="DL40" s="3562"/>
      <c r="DM40" s="3561">
        <f t="shared" si="60"/>
        <v>-3120.3900000000003</v>
      </c>
      <c r="DN40" s="3563"/>
      <c r="DO40" s="3547"/>
      <c r="DP40" s="3609"/>
      <c r="DQ40" s="3562"/>
      <c r="DR40" s="3561">
        <f t="shared" si="61"/>
        <v>0</v>
      </c>
      <c r="DS40" s="3559"/>
      <c r="DT40" s="3562"/>
      <c r="DU40" s="3561">
        <f t="shared" si="62"/>
        <v>0</v>
      </c>
      <c r="DV40" s="3563"/>
      <c r="DW40" s="3547"/>
      <c r="DX40" s="3609"/>
      <c r="DY40" s="3562"/>
      <c r="DZ40" s="3561">
        <f t="shared" si="63"/>
        <v>0</v>
      </c>
      <c r="EA40" s="3559"/>
      <c r="EB40" s="3562"/>
      <c r="EC40" s="3561">
        <f t="shared" si="64"/>
        <v>0</v>
      </c>
      <c r="ED40" s="3563"/>
      <c r="EE40" s="3564"/>
      <c r="EF40" s="3565">
        <f t="shared" si="37"/>
        <v>54817.123809523786</v>
      </c>
      <c r="EG40" s="3565">
        <f t="shared" si="123"/>
        <v>44863.399999999987</v>
      </c>
      <c r="EH40" s="3565">
        <f t="shared" si="123"/>
        <v>55127.438095238096</v>
      </c>
      <c r="EI40" s="3565">
        <f t="shared" si="123"/>
        <v>55127.438095238089</v>
      </c>
      <c r="EJ40" s="3565">
        <f t="shared" si="38"/>
        <v>10264.038095238102</v>
      </c>
      <c r="EK40" s="3566">
        <f t="shared" si="39"/>
        <v>0</v>
      </c>
      <c r="EL40" s="3610"/>
      <c r="EM40" s="3567">
        <f t="shared" si="40"/>
        <v>8831.2893081761013</v>
      </c>
      <c r="EN40" s="3557">
        <f t="shared" si="124"/>
        <v>6868.7830188679245</v>
      </c>
      <c r="EO40" s="3557">
        <f t="shared" si="124"/>
        <v>8831.2924528301901</v>
      </c>
      <c r="EP40" s="3557">
        <f t="shared" si="124"/>
        <v>8831.2924528301846</v>
      </c>
      <c r="EQ40" s="3557">
        <f t="shared" si="41"/>
        <v>1962.5094339622601</v>
      </c>
      <c r="ER40" s="3557">
        <f t="shared" si="42"/>
        <v>0</v>
      </c>
      <c r="ES40" s="3557"/>
      <c r="ET40" s="3568">
        <v>6409.0571428571402</v>
      </c>
      <c r="EU40" s="3569">
        <f>6729.51/1.05</f>
        <v>6409.0571428571429</v>
      </c>
      <c r="EV40" s="3562">
        <f>20188.53/3/1.05</f>
        <v>6409.057142857142</v>
      </c>
      <c r="EW40" s="3547">
        <f t="shared" ref="EW40:EW93" si="129">EV40-ET40</f>
        <v>0</v>
      </c>
      <c r="EX40" s="3568">
        <v>981.25471698113199</v>
      </c>
      <c r="EY40" s="3569">
        <f>1040.13/1.06</f>
        <v>981.25471698113211</v>
      </c>
      <c r="EZ40" s="3562">
        <f>3120.39/3/1.06</f>
        <v>981.25471698113188</v>
      </c>
      <c r="FA40" s="3547">
        <f t="shared" ref="FA40:FA93" si="130">EZ40-EX40</f>
        <v>0</v>
      </c>
      <c r="FB40" s="3568">
        <v>6409.0571428571402</v>
      </c>
      <c r="FC40" s="3569">
        <f>6729.51/1.05</f>
        <v>6409.0571428571429</v>
      </c>
      <c r="FD40" s="3562">
        <f>20188.53/3/1.05</f>
        <v>6409.057142857142</v>
      </c>
      <c r="FE40" s="3547">
        <f t="shared" si="117"/>
        <v>0</v>
      </c>
      <c r="FF40" s="3568">
        <v>981.25471698113199</v>
      </c>
      <c r="FG40" s="3569">
        <f>1040.13/1.06</f>
        <v>981.25471698113211</v>
      </c>
      <c r="FH40" s="3562">
        <f>3120.39/3/1.06</f>
        <v>981.25471698113188</v>
      </c>
      <c r="FI40" s="3547">
        <f t="shared" si="118"/>
        <v>0</v>
      </c>
      <c r="FJ40" s="3568">
        <v>6409.0571428571402</v>
      </c>
      <c r="FK40" s="3569">
        <f>6729.51/1.05</f>
        <v>6409.0571428571429</v>
      </c>
      <c r="FL40" s="3562">
        <f>20188.53/3/1.05</f>
        <v>6409.057142857142</v>
      </c>
      <c r="FM40" s="3547">
        <f t="shared" si="119"/>
        <v>0</v>
      </c>
      <c r="FN40" s="3568">
        <v>981.25471698113199</v>
      </c>
      <c r="FO40" s="3559">
        <f>1040.13/1.06</f>
        <v>981.25471698113211</v>
      </c>
      <c r="FP40" s="3562">
        <f>3120.39/3/1.06</f>
        <v>981.25471698113188</v>
      </c>
      <c r="FQ40" s="3547">
        <f t="shared" si="120"/>
        <v>0</v>
      </c>
      <c r="FR40" s="3568">
        <v>6409.0571428571402</v>
      </c>
      <c r="FS40" s="3569">
        <f>6729.51/1.05</f>
        <v>6409.0571428571429</v>
      </c>
      <c r="FT40" s="3560">
        <f>20188.53/3/1.05</f>
        <v>6409.057142857142</v>
      </c>
      <c r="FU40" s="3547">
        <f t="shared" si="69"/>
        <v>0</v>
      </c>
      <c r="FV40" s="3568">
        <v>981.25471698113199</v>
      </c>
      <c r="FW40" s="3559">
        <f>1040.13/1.06</f>
        <v>981.25471698113211</v>
      </c>
      <c r="FX40" s="3560">
        <f>3120.39/3/1.06</f>
        <v>981.25471698113188</v>
      </c>
      <c r="FY40" s="3547">
        <f t="shared" si="70"/>
        <v>0</v>
      </c>
      <c r="FZ40" s="3568">
        <v>6409.0571428571402</v>
      </c>
      <c r="GA40" s="3569">
        <f>6729.51/1.05</f>
        <v>6409.0571428571429</v>
      </c>
      <c r="GB40" s="3560">
        <f>20188.53/3/1.05</f>
        <v>6409.057142857142</v>
      </c>
      <c r="GC40" s="3547">
        <f t="shared" si="71"/>
        <v>0</v>
      </c>
      <c r="GD40" s="3568">
        <v>981.25471698113199</v>
      </c>
      <c r="GE40" s="3569">
        <f>1040.13/1.06</f>
        <v>981.25471698113211</v>
      </c>
      <c r="GF40" s="3560">
        <f>3120.39/3/1.06</f>
        <v>981.25471698113188</v>
      </c>
      <c r="GG40" s="3547">
        <f t="shared" si="72"/>
        <v>0</v>
      </c>
      <c r="GH40" s="3568">
        <v>6409.0571428571402</v>
      </c>
      <c r="GI40" s="3569">
        <f>6729.51/1.05</f>
        <v>6409.0571428571429</v>
      </c>
      <c r="GJ40" s="3560">
        <f>20188.53/3/1.05</f>
        <v>6409.057142857142</v>
      </c>
      <c r="GK40" s="3547">
        <f t="shared" si="73"/>
        <v>0</v>
      </c>
      <c r="GL40" s="3568">
        <v>981.25471698113199</v>
      </c>
      <c r="GM40" s="3569">
        <f>1040.13/1.06</f>
        <v>981.25471698113211</v>
      </c>
      <c r="GN40" s="3560">
        <f>3120.39/3/1.06</f>
        <v>981.25471698113188</v>
      </c>
      <c r="GO40" s="3547">
        <f t="shared" si="74"/>
        <v>0</v>
      </c>
      <c r="GP40" s="3568">
        <v>6409.0571428571402</v>
      </c>
      <c r="GQ40" s="3569">
        <f>6729.51/1.05</f>
        <v>6409.0571428571429</v>
      </c>
      <c r="GR40" s="3560">
        <f>20188.53/3/1.05</f>
        <v>6409.057142857142</v>
      </c>
      <c r="GS40" s="3547">
        <f t="shared" si="75"/>
        <v>0</v>
      </c>
      <c r="GT40" s="3568">
        <v>981.25471698113199</v>
      </c>
      <c r="GU40" s="3569">
        <f>1040.13/1.06</f>
        <v>981.25471698113211</v>
      </c>
      <c r="GV40" s="3560">
        <f>3120.39/3/1.06</f>
        <v>981.25471698113188</v>
      </c>
      <c r="GW40" s="3547">
        <f t="shared" si="76"/>
        <v>0</v>
      </c>
      <c r="GX40" s="3568"/>
      <c r="GY40" s="3569">
        <f>5388.62/1.05</f>
        <v>5132.0190476190473</v>
      </c>
      <c r="GZ40" s="3562">
        <f>16165.86/3/1.05</f>
        <v>5132.0190476190473</v>
      </c>
      <c r="HA40" s="3547">
        <f t="shared" si="77"/>
        <v>5132.0190476190473</v>
      </c>
      <c r="HB40" s="3568"/>
      <c r="HC40" s="3569">
        <f>1040.13/1.06</f>
        <v>981.25471698113211</v>
      </c>
      <c r="HD40" s="3562">
        <f>3120.39/3/1.06</f>
        <v>981.25471698113188</v>
      </c>
      <c r="HE40" s="3547">
        <f t="shared" si="78"/>
        <v>981.25471698113188</v>
      </c>
      <c r="HF40" s="3568"/>
      <c r="HG40" s="3569">
        <f>5388.62/1.05</f>
        <v>5132.0190476190473</v>
      </c>
      <c r="HH40" s="3562">
        <f>16165.86/3/1.05</f>
        <v>5132.0190476190473</v>
      </c>
      <c r="HI40" s="3547">
        <f t="shared" si="79"/>
        <v>5132.0190476190473</v>
      </c>
      <c r="HJ40" s="3568"/>
      <c r="HK40" s="3569">
        <f>1040.13/1.06</f>
        <v>981.25471698113211</v>
      </c>
      <c r="HL40" s="3562">
        <f>3120.39/3/1.06</f>
        <v>981.25471698113188</v>
      </c>
      <c r="HM40" s="3547">
        <f t="shared" si="80"/>
        <v>981.25471698113188</v>
      </c>
      <c r="HN40" s="3568"/>
      <c r="HO40" s="3569">
        <f>5388.62/1.05</f>
        <v>5132.0190476190473</v>
      </c>
      <c r="HP40" s="3562">
        <f>16165.86/3/1.05</f>
        <v>5132.0190476190473</v>
      </c>
      <c r="HQ40" s="3547">
        <f t="shared" si="81"/>
        <v>5132.0190476190473</v>
      </c>
      <c r="HR40" s="3568"/>
      <c r="HS40" s="3569">
        <f>1040.13/1.06</f>
        <v>981.25471698113211</v>
      </c>
      <c r="HT40" s="3562">
        <f>3120.39/3/1.06</f>
        <v>981.25471698113188</v>
      </c>
      <c r="HU40" s="3547">
        <f t="shared" si="82"/>
        <v>981.25471698113188</v>
      </c>
      <c r="HV40" s="3568">
        <v>4976.8619047619004</v>
      </c>
      <c r="HW40" s="3569">
        <f>5388.62/1.05</f>
        <v>5132.0190476190473</v>
      </c>
      <c r="HX40" s="3562"/>
      <c r="HY40" s="3547">
        <f t="shared" si="83"/>
        <v>-4976.8619047619004</v>
      </c>
      <c r="HZ40" s="3568">
        <v>981.25314465408803</v>
      </c>
      <c r="IA40" s="3569">
        <f>1040.13/1.06</f>
        <v>981.25471698113211</v>
      </c>
      <c r="IB40" s="3562"/>
      <c r="IC40" s="3547">
        <f t="shared" si="84"/>
        <v>-981.25314465408803</v>
      </c>
      <c r="ID40" s="3568">
        <v>4976.8619047619004</v>
      </c>
      <c r="IE40" s="3569">
        <f>5388.62/1.05</f>
        <v>5132.0190476190473</v>
      </c>
      <c r="IF40" s="3562"/>
      <c r="IG40" s="3547">
        <f t="shared" si="85"/>
        <v>-4976.8619047619004</v>
      </c>
      <c r="IH40" s="3568">
        <v>981.25314465408803</v>
      </c>
      <c r="II40" s="3569">
        <f>1040.13/1.06</f>
        <v>981.25471698113211</v>
      </c>
      <c r="IJ40" s="3562"/>
      <c r="IK40" s="3547">
        <f t="shared" si="86"/>
        <v>-981.25314465408803</v>
      </c>
      <c r="IL40" s="3547" t="s">
        <v>3970</v>
      </c>
      <c r="IM40" s="3569">
        <f>5388.62/1.05</f>
        <v>5132.0190476190473</v>
      </c>
      <c r="IN40" s="3569">
        <f>1040.13/1.06</f>
        <v>981.25471698113211</v>
      </c>
      <c r="IO40" s="3547"/>
      <c r="IP40" s="3560">
        <f t="shared" si="87"/>
        <v>0</v>
      </c>
      <c r="IQ40" s="3568"/>
      <c r="IR40" s="3568"/>
      <c r="IS40" s="3568"/>
      <c r="IT40" s="3568"/>
      <c r="IU40" s="3568"/>
      <c r="IV40" s="3568"/>
      <c r="IW40" s="3568"/>
      <c r="IX40" s="3568"/>
      <c r="IY40" s="3568"/>
      <c r="IZ40" s="3562"/>
      <c r="JA40" s="3562"/>
      <c r="JB40" s="3562"/>
      <c r="JC40" s="3560">
        <f t="shared" si="11"/>
        <v>0</v>
      </c>
      <c r="JD40" s="3547"/>
      <c r="JE40" s="3568"/>
      <c r="JF40" s="3568"/>
      <c r="JG40" s="3568"/>
      <c r="JH40" s="3568"/>
      <c r="JI40" s="3568"/>
      <c r="JJ40" s="3568"/>
      <c r="JK40" s="3568"/>
      <c r="JL40" s="3568"/>
      <c r="JM40" s="3568"/>
      <c r="JN40" s="3562"/>
      <c r="JO40" s="3562"/>
      <c r="JP40" s="3547" t="s">
        <v>3837</v>
      </c>
      <c r="JQ40" s="3583">
        <f>6729.51/1.05</f>
        <v>6409.0571428571429</v>
      </c>
      <c r="JR40" s="3583">
        <f>1040.13/1.06</f>
        <v>981.25471698113211</v>
      </c>
      <c r="JS40" s="3573">
        <f t="shared" si="28"/>
        <v>0</v>
      </c>
      <c r="JT40" s="3573">
        <f t="shared" si="35"/>
        <v>1.1368683772161603E-12</v>
      </c>
      <c r="JU40" s="3574">
        <f t="shared" si="29"/>
        <v>0</v>
      </c>
      <c r="JV40" s="3574">
        <f t="shared" si="30"/>
        <v>3.1832314562052488E-12</v>
      </c>
      <c r="JW40" s="3575"/>
      <c r="JX40" s="3576">
        <f t="shared" si="31"/>
        <v>5132.0190476190473</v>
      </c>
      <c r="JY40" s="3576">
        <f t="shared" si="32"/>
        <v>981.25471698113188</v>
      </c>
      <c r="JZ40" s="3577"/>
      <c r="KA40" s="3573">
        <f t="shared" si="111"/>
        <v>6113.2737646001788</v>
      </c>
      <c r="KB40" s="3573"/>
      <c r="KC40" s="3573"/>
      <c r="KD40" s="3573">
        <f t="shared" si="33"/>
        <v>6113.2737646001788</v>
      </c>
      <c r="KE40" s="3578" t="s">
        <v>3761</v>
      </c>
      <c r="KF40" s="3579"/>
      <c r="KG40" s="3579"/>
      <c r="KH40" s="3579">
        <f>6113.27/10000*2</f>
        <v>1.2226540000000001</v>
      </c>
      <c r="KI40" s="3579"/>
      <c r="KJ40" s="3579"/>
      <c r="KK40" s="3579"/>
      <c r="KL40" s="3579"/>
      <c r="KM40" s="3579"/>
      <c r="KN40" s="3579"/>
      <c r="KO40" s="3579"/>
      <c r="KP40" s="3579"/>
      <c r="KQ40" s="3579">
        <f t="shared" si="34"/>
        <v>1.2226540000000001</v>
      </c>
      <c r="KR40" s="3579">
        <f t="shared" si="88"/>
        <v>7.5292003609561675E-7</v>
      </c>
      <c r="KS40" s="3577"/>
      <c r="KT40" s="3577"/>
      <c r="KU40" s="3577"/>
      <c r="KV40" s="3577"/>
      <c r="KW40" s="3577"/>
      <c r="KX40" s="3577"/>
      <c r="KY40" s="3577"/>
      <c r="KZ40" s="3577"/>
      <c r="LA40" s="3577"/>
      <c r="LB40" s="3577"/>
      <c r="LC40" s="3577"/>
      <c r="LD40" s="3577"/>
      <c r="LE40" s="3577"/>
      <c r="LF40" s="3577"/>
      <c r="LG40" s="3577"/>
      <c r="LH40" s="3577"/>
      <c r="LJ40" s="3575"/>
      <c r="LK40" s="3571"/>
      <c r="LL40" s="3576"/>
    </row>
    <row r="41" spans="1:325" s="3580" customFormat="1" ht="18" customHeight="1">
      <c r="A41" s="3545">
        <v>38</v>
      </c>
      <c r="B41" s="3546" t="s">
        <v>4116</v>
      </c>
      <c r="C41" s="3546">
        <v>1000</v>
      </c>
      <c r="D41" s="3547">
        <v>58.82</v>
      </c>
      <c r="E41" s="3548" t="s">
        <v>3799</v>
      </c>
      <c r="F41" s="3546" t="s">
        <v>3790</v>
      </c>
      <c r="G41" s="3549" t="s">
        <v>4117</v>
      </c>
      <c r="H41" s="3546" t="s">
        <v>4118</v>
      </c>
      <c r="I41" s="3594" t="s">
        <v>4119</v>
      </c>
      <c r="J41" s="3594" t="s">
        <v>4120</v>
      </c>
      <c r="K41" s="3545" t="s">
        <v>4121</v>
      </c>
      <c r="L41" s="3555"/>
      <c r="M41" s="3551">
        <v>25065.42</v>
      </c>
      <c r="N41" s="3551">
        <v>25602.15</v>
      </c>
      <c r="O41" s="3551">
        <f t="shared" si="13"/>
        <v>536.7300000000032</v>
      </c>
      <c r="P41" s="3547">
        <v>4454.88</v>
      </c>
      <c r="Q41" s="3547">
        <v>4454.88</v>
      </c>
      <c r="R41" s="3547">
        <f t="shared" si="112"/>
        <v>0</v>
      </c>
      <c r="S41" s="3547">
        <f t="shared" si="125"/>
        <v>4.6700022823287197</v>
      </c>
      <c r="T41" s="3552">
        <v>8355.14</v>
      </c>
      <c r="U41" s="3553">
        <f t="shared" si="15"/>
        <v>100261.68</v>
      </c>
      <c r="V41" s="3547">
        <f>8355.14*12*2</f>
        <v>200523.36</v>
      </c>
      <c r="W41" s="3547">
        <f t="shared" si="126"/>
        <v>0.8300000465781372</v>
      </c>
      <c r="X41" s="3648">
        <v>1484.96</v>
      </c>
      <c r="Y41" s="3547">
        <f t="shared" si="17"/>
        <v>17819.52</v>
      </c>
      <c r="Z41" s="3554"/>
      <c r="AA41" s="3555"/>
      <c r="AB41" s="3552" t="s">
        <v>3804</v>
      </c>
      <c r="AC41" s="3556">
        <f t="shared" si="18"/>
        <v>97595.21863013698</v>
      </c>
      <c r="AD41" s="3556">
        <f t="shared" si="121"/>
        <v>72529.798630136982</v>
      </c>
      <c r="AE41" s="3556">
        <f t="shared" si="121"/>
        <v>72529.799999999988</v>
      </c>
      <c r="AF41" s="3556">
        <f t="shared" si="20"/>
        <v>1.3698630064027384E-3</v>
      </c>
      <c r="AG41" s="3556"/>
      <c r="AH41" s="3557">
        <f t="shared" si="21"/>
        <v>17262.151452054797</v>
      </c>
      <c r="AI41" s="3558">
        <f t="shared" si="122"/>
        <v>12807.271452054796</v>
      </c>
      <c r="AJ41" s="3558">
        <f t="shared" si="122"/>
        <v>12807.27</v>
      </c>
      <c r="AK41" s="3557">
        <f t="shared" si="43"/>
        <v>-1.452054795663571E-3</v>
      </c>
      <c r="AL41" s="3557"/>
      <c r="AM41" s="3547"/>
      <c r="AN41" s="3609"/>
      <c r="AO41" s="3562"/>
      <c r="AP41" s="3561">
        <f t="shared" si="113"/>
        <v>0</v>
      </c>
      <c r="AQ41" s="3559"/>
      <c r="AR41" s="3562"/>
      <c r="AS41" s="3561">
        <f t="shared" si="127"/>
        <v>0</v>
      </c>
      <c r="AT41" s="3563" t="s">
        <v>4122</v>
      </c>
      <c r="AU41" s="3547"/>
      <c r="AV41" s="3609"/>
      <c r="AW41" s="3562"/>
      <c r="AX41" s="3561">
        <f t="shared" si="114"/>
        <v>0</v>
      </c>
      <c r="AY41" s="3559"/>
      <c r="AZ41" s="3562"/>
      <c r="BA41" s="3561">
        <f t="shared" si="128"/>
        <v>0</v>
      </c>
      <c r="BB41" s="3563" t="s">
        <v>4122</v>
      </c>
      <c r="BC41" s="3547" t="s">
        <v>4123</v>
      </c>
      <c r="BD41" s="3614">
        <f>8534.05+8534.05+8534.05*12/365*19</f>
        <v>22398.958630136985</v>
      </c>
      <c r="BE41" s="3562">
        <v>22398.959999999999</v>
      </c>
      <c r="BF41" s="3561">
        <f t="shared" si="115"/>
        <v>1.369863013678696E-3</v>
      </c>
      <c r="BG41" s="3559">
        <f>1484.96+1484.96+1484.96*12/365*19</f>
        <v>3897.5114520547945</v>
      </c>
      <c r="BH41" s="3562">
        <f>3897.51</f>
        <v>3897.51</v>
      </c>
      <c r="BI41" s="3561">
        <f t="shared" si="116"/>
        <v>-1.4520547942993289E-3</v>
      </c>
      <c r="BJ41" s="3563" t="s">
        <v>4124</v>
      </c>
      <c r="BK41" s="3547"/>
      <c r="BL41" s="3609"/>
      <c r="BM41" s="3562"/>
      <c r="BN41" s="3561">
        <f t="shared" si="48"/>
        <v>0</v>
      </c>
      <c r="BO41" s="3559"/>
      <c r="BP41" s="3562"/>
      <c r="BQ41" s="3561">
        <f t="shared" si="49"/>
        <v>0</v>
      </c>
      <c r="BR41" s="3563" t="s">
        <v>4124</v>
      </c>
      <c r="BS41" s="3547"/>
      <c r="BT41" s="3559"/>
      <c r="BU41" s="3562"/>
      <c r="BV41" s="3561">
        <f t="shared" si="50"/>
        <v>0</v>
      </c>
      <c r="BW41" s="3559"/>
      <c r="BX41" s="3562"/>
      <c r="BY41" s="3561">
        <f t="shared" si="51"/>
        <v>0</v>
      </c>
      <c r="BZ41" s="3563" t="s">
        <v>4124</v>
      </c>
      <c r="CA41" s="3547" t="s">
        <v>4125</v>
      </c>
      <c r="CB41" s="3609">
        <v>25065.42</v>
      </c>
      <c r="CC41" s="3603">
        <v>25065.42</v>
      </c>
      <c r="CD41" s="3561">
        <f t="shared" si="52"/>
        <v>0</v>
      </c>
      <c r="CE41" s="3559">
        <v>4454.88</v>
      </c>
      <c r="CF41" s="3562">
        <v>4454.88</v>
      </c>
      <c r="CG41" s="3561">
        <f t="shared" si="53"/>
        <v>0</v>
      </c>
      <c r="CH41" s="3563" t="s">
        <v>4126</v>
      </c>
      <c r="CI41" s="3547"/>
      <c r="CJ41" s="3609"/>
      <c r="CK41" s="3562"/>
      <c r="CL41" s="3561">
        <f t="shared" si="5"/>
        <v>0</v>
      </c>
      <c r="CM41" s="3559"/>
      <c r="CN41" s="3562"/>
      <c r="CO41" s="3561">
        <f t="shared" si="54"/>
        <v>0</v>
      </c>
      <c r="CP41" s="3563" t="s">
        <v>4126</v>
      </c>
      <c r="CQ41" s="3547" t="s">
        <v>4127</v>
      </c>
      <c r="CR41" s="3609">
        <f>8355.14*3</f>
        <v>25065.42</v>
      </c>
      <c r="CS41" s="3603">
        <v>25065.42</v>
      </c>
      <c r="CT41" s="3561">
        <f t="shared" si="55"/>
        <v>0</v>
      </c>
      <c r="CU41" s="3559">
        <f>1484.96*3</f>
        <v>4454.88</v>
      </c>
      <c r="CV41" s="3603">
        <v>4454.88</v>
      </c>
      <c r="CW41" s="3561">
        <f t="shared" si="56"/>
        <v>0</v>
      </c>
      <c r="CX41" s="3563" t="s">
        <v>4128</v>
      </c>
      <c r="CY41" s="3547"/>
      <c r="CZ41" s="3609"/>
      <c r="DA41" s="3562"/>
      <c r="DB41" s="3561">
        <f t="shared" si="57"/>
        <v>0</v>
      </c>
      <c r="DC41" s="3559"/>
      <c r="DD41" s="3562"/>
      <c r="DE41" s="3561">
        <f t="shared" si="58"/>
        <v>0</v>
      </c>
      <c r="DF41" s="3563" t="s">
        <v>4128</v>
      </c>
      <c r="DG41" s="3547"/>
      <c r="DH41" s="3609"/>
      <c r="DI41" s="3562"/>
      <c r="DJ41" s="3561">
        <f t="shared" si="59"/>
        <v>0</v>
      </c>
      <c r="DK41" s="3559"/>
      <c r="DL41" s="3562"/>
      <c r="DM41" s="3561">
        <f t="shared" si="60"/>
        <v>0</v>
      </c>
      <c r="DN41" s="3563"/>
      <c r="DO41" s="3547" t="s">
        <v>4129</v>
      </c>
      <c r="DP41" s="3609">
        <f>8355.14*3</f>
        <v>25065.42</v>
      </c>
      <c r="DQ41" s="3562"/>
      <c r="DR41" s="3561">
        <f t="shared" si="61"/>
        <v>-25065.42</v>
      </c>
      <c r="DS41" s="3559">
        <f>1484.96*3</f>
        <v>4454.88</v>
      </c>
      <c r="DT41" s="3562"/>
      <c r="DU41" s="3561">
        <f t="shared" si="62"/>
        <v>-4454.88</v>
      </c>
      <c r="DV41" s="3563"/>
      <c r="DW41" s="3547"/>
      <c r="DX41" s="3609"/>
      <c r="DY41" s="3562"/>
      <c r="DZ41" s="3561">
        <f t="shared" si="63"/>
        <v>0</v>
      </c>
      <c r="EA41" s="3559"/>
      <c r="EB41" s="3562"/>
      <c r="EC41" s="3561">
        <f t="shared" si="64"/>
        <v>0</v>
      </c>
      <c r="ED41" s="3563"/>
      <c r="EE41" s="3564"/>
      <c r="EF41" s="3565">
        <f t="shared" si="37"/>
        <v>67031.271553598592</v>
      </c>
      <c r="EG41" s="3565">
        <f t="shared" si="123"/>
        <v>45715.323696455736</v>
      </c>
      <c r="EH41" s="3565">
        <f t="shared" si="123"/>
        <v>72573.873789954319</v>
      </c>
      <c r="EI41" s="3565">
        <f t="shared" si="123"/>
        <v>72573.873789954319</v>
      </c>
      <c r="EJ41" s="3565">
        <f t="shared" si="38"/>
        <v>26858.550093498583</v>
      </c>
      <c r="EK41" s="3566">
        <f t="shared" si="39"/>
        <v>0</v>
      </c>
      <c r="EL41" s="3610"/>
      <c r="EM41" s="3567">
        <f t="shared" si="40"/>
        <v>12082.33132269322</v>
      </c>
      <c r="EN41" s="3557">
        <f t="shared" si="124"/>
        <v>7879.6145774101906</v>
      </c>
      <c r="EO41" s="3557">
        <f t="shared" si="124"/>
        <v>12608.150943396227</v>
      </c>
      <c r="EP41" s="3557">
        <f t="shared" si="124"/>
        <v>12608.150943396227</v>
      </c>
      <c r="EQ41" s="3557">
        <f t="shared" si="41"/>
        <v>4728.5363659860368</v>
      </c>
      <c r="ER41" s="3557">
        <f t="shared" si="42"/>
        <v>0</v>
      </c>
      <c r="ES41" s="3557"/>
      <c r="ET41" s="3568">
        <v>8127.6634920634897</v>
      </c>
      <c r="EU41" s="3569">
        <f>8534.05/1.05</f>
        <v>8127.6666666666661</v>
      </c>
      <c r="EV41" s="3562">
        <f>25602.15/3/1.05</f>
        <v>8127.666666666667</v>
      </c>
      <c r="EW41" s="3547">
        <f t="shared" si="129"/>
        <v>3.1746031772854622E-3</v>
      </c>
      <c r="EX41" s="3568">
        <v>1400.9056603773599</v>
      </c>
      <c r="EY41" s="3569">
        <f>1484.96/1.06</f>
        <v>1400.9056603773583</v>
      </c>
      <c r="EZ41" s="3562">
        <f>4454.88/3/1.06</f>
        <v>1400.9056603773583</v>
      </c>
      <c r="FA41" s="3547">
        <f t="shared" si="130"/>
        <v>0</v>
      </c>
      <c r="FB41" s="3568">
        <v>8127.6634920634897</v>
      </c>
      <c r="FC41" s="3569">
        <f>8534.05/1.05</f>
        <v>8127.6666666666661</v>
      </c>
      <c r="FD41" s="3562">
        <f>25602.15/3/1.05</f>
        <v>8127.666666666667</v>
      </c>
      <c r="FE41" s="3547">
        <f t="shared" si="117"/>
        <v>3.1746031772854622E-3</v>
      </c>
      <c r="FF41" s="3568">
        <v>1400.9056603773599</v>
      </c>
      <c r="FG41" s="3569">
        <f>1484.96/1.06</f>
        <v>1400.9056603773583</v>
      </c>
      <c r="FH41" s="3562">
        <f>4454.88/3/1.06</f>
        <v>1400.9056603773583</v>
      </c>
      <c r="FI41" s="3547">
        <f t="shared" si="118"/>
        <v>0</v>
      </c>
      <c r="FJ41" s="3568">
        <v>8127.6634920634897</v>
      </c>
      <c r="FK41" s="3559">
        <f>8534.05/1.05</f>
        <v>8127.6666666666661</v>
      </c>
      <c r="FL41" s="3562">
        <f>25602.15/3/1.05</f>
        <v>8127.666666666667</v>
      </c>
      <c r="FM41" s="3547">
        <f t="shared" si="119"/>
        <v>3.1746031772854622E-3</v>
      </c>
      <c r="FN41" s="3568">
        <v>1400.9056603773599</v>
      </c>
      <c r="FO41" s="3559">
        <f>1484.96/1.06</f>
        <v>1400.9056603773583</v>
      </c>
      <c r="FP41" s="3562">
        <f>4454.88/3/1.06</f>
        <v>1400.9056603773583</v>
      </c>
      <c r="FQ41" s="3547">
        <f t="shared" si="120"/>
        <v>0</v>
      </c>
      <c r="FR41" s="3568">
        <v>8127.6634920634897</v>
      </c>
      <c r="FS41" s="3559">
        <f>8534.05/1.05</f>
        <v>8127.6666666666661</v>
      </c>
      <c r="FT41" s="3560">
        <f>8534.05/1.05</f>
        <v>8127.6666666666661</v>
      </c>
      <c r="FU41" s="3547">
        <f t="shared" si="69"/>
        <v>3.1746031763759675E-3</v>
      </c>
      <c r="FV41" s="3568">
        <v>1400.9056603773599</v>
      </c>
      <c r="FW41" s="3559">
        <f>1484.96/1.06</f>
        <v>1400.9056603773583</v>
      </c>
      <c r="FX41" s="3560">
        <f>1484.96/1.06</f>
        <v>1400.9056603773583</v>
      </c>
      <c r="FY41" s="3547">
        <f t="shared" si="70"/>
        <v>0</v>
      </c>
      <c r="FZ41" s="3568">
        <v>8127.6634920634897</v>
      </c>
      <c r="GA41" s="3569">
        <f>8534.05/1.05</f>
        <v>8127.6666666666661</v>
      </c>
      <c r="GB41" s="3560">
        <f>8534.05/1.05</f>
        <v>8127.6666666666661</v>
      </c>
      <c r="GC41" s="3547">
        <f t="shared" si="71"/>
        <v>3.1746031763759675E-3</v>
      </c>
      <c r="GD41" s="3568">
        <v>1400.9056603773599</v>
      </c>
      <c r="GE41" s="3569">
        <f>1484.96/1.06</f>
        <v>1400.9056603773583</v>
      </c>
      <c r="GF41" s="3560">
        <f>1484.96/1.06</f>
        <v>1400.9056603773583</v>
      </c>
      <c r="GG41" s="3547">
        <f t="shared" si="72"/>
        <v>0</v>
      </c>
      <c r="GH41" s="3568">
        <v>5077.0062361382898</v>
      </c>
      <c r="GI41" s="3592">
        <f>8534.05/1.05*12/365*19+8355.14/1.05-8355.14/1.05*12/365*19</f>
        <v>8063.7118851924342</v>
      </c>
      <c r="GJ41" s="3605">
        <f>8534.05*12/365*19/1.05+25065.42/3/1.05-25065.42/3/1.05*12/365*19</f>
        <v>8063.7118851924324</v>
      </c>
      <c r="GK41" s="3547">
        <f t="shared" si="73"/>
        <v>2986.7056490541427</v>
      </c>
      <c r="GL41" s="3568">
        <v>875.08627552339101</v>
      </c>
      <c r="GM41" s="3592">
        <f>1484.96/1.06*12/365*19+1484.96/1.06-1484.96/1.06*12/365*19</f>
        <v>1400.9056603773581</v>
      </c>
      <c r="GN41" s="3560">
        <f>1484.96*12/365*19/1.06+4454.88/3/1.06-4454.88/3/1.06*12/365*19</f>
        <v>1400.9056603773586</v>
      </c>
      <c r="GO41" s="3547">
        <f t="shared" si="74"/>
        <v>525.81938485396756</v>
      </c>
      <c r="GP41" s="3568"/>
      <c r="GQ41" s="3569">
        <f>8355.14/1.05</f>
        <v>7957.2761904761892</v>
      </c>
      <c r="GR41" s="3562">
        <f>25065.42/3/1.05</f>
        <v>7957.2761904761892</v>
      </c>
      <c r="GS41" s="3547">
        <f t="shared" si="75"/>
        <v>7957.2761904761892</v>
      </c>
      <c r="GT41" s="3568"/>
      <c r="GU41" s="3569">
        <f>1484.96/1.06</f>
        <v>1400.9056603773583</v>
      </c>
      <c r="GV41" s="3562">
        <f>4454.88/3/1.06</f>
        <v>1400.9056603773583</v>
      </c>
      <c r="GW41" s="3547">
        <f t="shared" si="76"/>
        <v>1400.9056603773583</v>
      </c>
      <c r="GX41" s="3568"/>
      <c r="GY41" s="3569">
        <f>8355.14/1.05</f>
        <v>7957.2761904761892</v>
      </c>
      <c r="GZ41" s="3562">
        <f>25065.42/3/1.05</f>
        <v>7957.2761904761892</v>
      </c>
      <c r="HA41" s="3547">
        <f t="shared" si="77"/>
        <v>7957.2761904761892</v>
      </c>
      <c r="HB41" s="3568"/>
      <c r="HC41" s="3569">
        <f>1484.96/1.06</f>
        <v>1400.9056603773583</v>
      </c>
      <c r="HD41" s="3562">
        <f>4454.88/3/1.06</f>
        <v>1400.9056603773583</v>
      </c>
      <c r="HE41" s="3547">
        <f t="shared" si="78"/>
        <v>1400.9056603773583</v>
      </c>
      <c r="HF41" s="3568"/>
      <c r="HG41" s="3569">
        <f>8355.14/1.05</f>
        <v>7957.2761904761892</v>
      </c>
      <c r="HH41" s="3562">
        <f>25065.42/3/1.05*12/365*19+25065.42/3/1.05-25065.42/3/1.05*12/365*19</f>
        <v>7957.2761904761892</v>
      </c>
      <c r="HI41" s="3547">
        <f t="shared" si="79"/>
        <v>7957.2761904761892</v>
      </c>
      <c r="HJ41" s="3568"/>
      <c r="HK41" s="3569">
        <f>1484.96/1.06</f>
        <v>1400.9056603773583</v>
      </c>
      <c r="HL41" s="3562">
        <f>4454.88/3/1.06*12/365*19+4454.88/3/1.06-4454.88/3/1.06*12/365*19</f>
        <v>1400.9056603773581</v>
      </c>
      <c r="HM41" s="3547">
        <f t="shared" si="80"/>
        <v>1400.9056603773581</v>
      </c>
      <c r="HN41" s="3568">
        <v>7105.31595238095</v>
      </c>
      <c r="HO41" s="3569">
        <f>8355.14/1.05</f>
        <v>7957.2761904761892</v>
      </c>
      <c r="HP41" s="3562">
        <f>25065.42/3/1.05</f>
        <v>7957.2761904761892</v>
      </c>
      <c r="HQ41" s="3547">
        <f t="shared" si="81"/>
        <v>851.96023809523922</v>
      </c>
      <c r="HR41" s="3568">
        <v>1400.9055817610099</v>
      </c>
      <c r="HS41" s="3569">
        <f>1484.96/1.06</f>
        <v>1400.9056603773583</v>
      </c>
      <c r="HT41" s="3562">
        <f>4454.88/3/1.06</f>
        <v>1400.9056603773583</v>
      </c>
      <c r="HU41" s="3547">
        <f t="shared" si="82"/>
        <v>7.8616348446303164E-5</v>
      </c>
      <c r="HV41" s="3568">
        <v>7105.31595238095</v>
      </c>
      <c r="HW41" s="3569">
        <f>8355.14/1.05</f>
        <v>7957.2761904761892</v>
      </c>
      <c r="HX41" s="3562">
        <f>25065.42/3/1.05</f>
        <v>7957.2761904761892</v>
      </c>
      <c r="HY41" s="3547">
        <f t="shared" si="83"/>
        <v>851.96023809523922</v>
      </c>
      <c r="HZ41" s="3568">
        <v>1400.9055817610099</v>
      </c>
      <c r="IA41" s="3569">
        <f>1484.96/1.06</f>
        <v>1400.9056603773583</v>
      </c>
      <c r="IB41" s="3562">
        <f>4454.88/3/1.06</f>
        <v>1400.9056603773583</v>
      </c>
      <c r="IC41" s="3547">
        <f t="shared" si="84"/>
        <v>7.8616348446303164E-5</v>
      </c>
      <c r="ID41" s="3568">
        <v>7105.31595238095</v>
      </c>
      <c r="IE41" s="3569">
        <f>8355.14/1.05</f>
        <v>7957.2761904761892</v>
      </c>
      <c r="IF41" s="3562">
        <f>25065.42/3/1.05*12/365*19</f>
        <v>4970.5725244618379</v>
      </c>
      <c r="IG41" s="3547">
        <f t="shared" si="85"/>
        <v>-2134.743427919112</v>
      </c>
      <c r="IH41" s="3568">
        <v>1400.9055817610099</v>
      </c>
      <c r="II41" s="3569">
        <f>1484.96/1.06</f>
        <v>1400.9056603773583</v>
      </c>
      <c r="IJ41" s="3562">
        <f>4454.88/3/1.06*12/365*19</f>
        <v>875.0862755233909</v>
      </c>
      <c r="IK41" s="3547">
        <f t="shared" si="86"/>
        <v>-525.819306237619</v>
      </c>
      <c r="IL41" s="3547" t="s">
        <v>4130</v>
      </c>
      <c r="IM41" s="3569">
        <f>8355.14/1.05*2+8355.14/1.05*12/365*19</f>
        <v>20885.124905414217</v>
      </c>
      <c r="IN41" s="3569">
        <f>1484.96/1.06*2+1484.96/1.06*12/365*19</f>
        <v>3676.8975962781078</v>
      </c>
      <c r="IO41" s="3547"/>
      <c r="IP41" s="3560">
        <f t="shared" si="87"/>
        <v>0</v>
      </c>
      <c r="IQ41" s="3568"/>
      <c r="IR41" s="3568"/>
      <c r="IS41" s="3568"/>
      <c r="IT41" s="3568"/>
      <c r="IU41" s="3568"/>
      <c r="IV41" s="3568"/>
      <c r="IW41" s="3568"/>
      <c r="IX41" s="3568"/>
      <c r="IY41" s="3568"/>
      <c r="IZ41" s="3560"/>
      <c r="JA41" s="3560"/>
      <c r="JB41" s="3560"/>
      <c r="JC41" s="3560">
        <f t="shared" si="11"/>
        <v>0</v>
      </c>
      <c r="JD41" s="3547"/>
      <c r="JE41" s="3568"/>
      <c r="JF41" s="3568"/>
      <c r="JG41" s="3568"/>
      <c r="JH41" s="3568"/>
      <c r="JI41" s="3568"/>
      <c r="JJ41" s="3568"/>
      <c r="JK41" s="3568"/>
      <c r="JL41" s="3568"/>
      <c r="JM41" s="3568"/>
      <c r="JN41" s="3560"/>
      <c r="JO41" s="3560"/>
      <c r="JP41" s="3547" t="s">
        <v>4094</v>
      </c>
      <c r="JQ41" s="3583">
        <f>8534.05/1.05*3</f>
        <v>24383</v>
      </c>
      <c r="JR41" s="3583">
        <f>1484.96/1.06*3</f>
        <v>4202.7169811320746</v>
      </c>
      <c r="JS41" s="3573">
        <f t="shared" si="28"/>
        <v>0</v>
      </c>
      <c r="JT41" s="3573">
        <f t="shared" si="35"/>
        <v>0</v>
      </c>
      <c r="JU41" s="3574">
        <f t="shared" si="29"/>
        <v>1.3046314488747157E-3</v>
      </c>
      <c r="JV41" s="3574">
        <f t="shared" si="30"/>
        <v>-1.3698630154976854E-3</v>
      </c>
      <c r="JW41" s="3575"/>
      <c r="JX41" s="3576">
        <f t="shared" si="31"/>
        <v>20885.124905414217</v>
      </c>
      <c r="JY41" s="3576">
        <f t="shared" si="32"/>
        <v>3676.8975962781078</v>
      </c>
      <c r="JZ41" s="3577"/>
      <c r="KA41" s="3573">
        <f t="shared" si="111"/>
        <v>9358.1818508535471</v>
      </c>
      <c r="KB41" s="3573"/>
      <c r="KC41" s="3573"/>
      <c r="KD41" s="3573">
        <f t="shared" si="33"/>
        <v>9358.1818508535471</v>
      </c>
      <c r="KE41" s="3578" t="s">
        <v>3761</v>
      </c>
      <c r="KF41" s="3579"/>
      <c r="KG41" s="3579"/>
      <c r="KH41" s="3579">
        <f>3512.53/10000+9358.18/10000*3</f>
        <v>3.1587069999999997</v>
      </c>
      <c r="KI41" s="3579"/>
      <c r="KJ41" s="3579"/>
      <c r="KK41" s="3579"/>
      <c r="KL41" s="3579"/>
      <c r="KM41" s="3579"/>
      <c r="KN41" s="3579"/>
      <c r="KO41" s="3579"/>
      <c r="KP41" s="3579"/>
      <c r="KQ41" s="3579">
        <f t="shared" si="34"/>
        <v>3.1587069999999997</v>
      </c>
      <c r="KR41" s="3579">
        <f t="shared" si="88"/>
        <v>1.6459484624142817E-6</v>
      </c>
      <c r="KS41" s="3577"/>
      <c r="KT41" s="3577"/>
      <c r="KU41" s="3577"/>
      <c r="KV41" s="3577"/>
      <c r="KW41" s="3577"/>
      <c r="KX41" s="3577"/>
      <c r="KY41" s="3577"/>
      <c r="KZ41" s="3577"/>
      <c r="LA41" s="3577"/>
      <c r="LB41" s="3577"/>
      <c r="LC41" s="3577"/>
      <c r="LD41" s="3577"/>
      <c r="LE41" s="3577"/>
      <c r="LF41" s="3577"/>
      <c r="LG41" s="3577"/>
      <c r="LH41" s="3577"/>
      <c r="LJ41" s="3575"/>
      <c r="LK41" s="3571"/>
      <c r="LL41" s="3576"/>
    </row>
    <row r="42" spans="1:325" s="3580" customFormat="1" ht="18" customHeight="1">
      <c r="A42" s="3545">
        <v>39</v>
      </c>
      <c r="B42" s="3546" t="s">
        <v>4116</v>
      </c>
      <c r="C42" s="3546" t="s">
        <v>4131</v>
      </c>
      <c r="D42" s="3547">
        <v>49.25</v>
      </c>
      <c r="E42" s="3548" t="s">
        <v>3799</v>
      </c>
      <c r="F42" s="3546" t="s">
        <v>3790</v>
      </c>
      <c r="G42" s="3613" t="s">
        <v>4132</v>
      </c>
      <c r="H42" s="3546" t="s">
        <v>4133</v>
      </c>
      <c r="I42" s="3594" t="s">
        <v>4134</v>
      </c>
      <c r="J42" s="3653" t="s">
        <v>4135</v>
      </c>
      <c r="K42" s="3545"/>
      <c r="L42" s="3555"/>
      <c r="M42" s="3551">
        <v>89392.98</v>
      </c>
      <c r="N42" s="3551">
        <v>89392.98</v>
      </c>
      <c r="O42" s="3551">
        <f t="shared" si="13"/>
        <v>0</v>
      </c>
      <c r="P42" s="3547">
        <v>18230.009999999998</v>
      </c>
      <c r="Q42" s="3547">
        <v>18230.009999999998</v>
      </c>
      <c r="R42" s="3547"/>
      <c r="S42" s="3547">
        <f t="shared" si="125"/>
        <v>19.891352200820524</v>
      </c>
      <c r="T42" s="3598">
        <v>29797.66</v>
      </c>
      <c r="U42" s="3553">
        <f t="shared" si="15"/>
        <v>357571.92</v>
      </c>
      <c r="V42" s="3547">
        <v>1003456.3</v>
      </c>
      <c r="W42" s="3547">
        <f t="shared" si="126"/>
        <v>4.0564656143522706</v>
      </c>
      <c r="X42" s="3648">
        <v>6076.67</v>
      </c>
      <c r="Y42" s="3547">
        <f t="shared" si="17"/>
        <v>72920.040000000008</v>
      </c>
      <c r="Z42" s="3554"/>
      <c r="AA42" s="3555"/>
      <c r="AB42" s="3552" t="s">
        <v>3804</v>
      </c>
      <c r="AC42" s="3556">
        <f t="shared" si="18"/>
        <v>327774.26</v>
      </c>
      <c r="AD42" s="3556">
        <f t="shared" si="121"/>
        <v>268178.94</v>
      </c>
      <c r="AE42" s="3556">
        <f t="shared" si="121"/>
        <v>268178.94</v>
      </c>
      <c r="AF42" s="3556">
        <f t="shared" si="20"/>
        <v>0</v>
      </c>
      <c r="AG42" s="3556"/>
      <c r="AH42" s="3557">
        <f t="shared" si="21"/>
        <v>72920.040000000008</v>
      </c>
      <c r="AI42" s="3558">
        <f t="shared" si="122"/>
        <v>54690.030000000006</v>
      </c>
      <c r="AJ42" s="3558">
        <f t="shared" si="122"/>
        <v>54690.03</v>
      </c>
      <c r="AK42" s="3557">
        <f t="shared" si="43"/>
        <v>0</v>
      </c>
      <c r="AL42" s="3557"/>
      <c r="AM42" s="3547"/>
      <c r="AN42" s="3609"/>
      <c r="AO42" s="3562"/>
      <c r="AP42" s="3561">
        <f t="shared" si="113"/>
        <v>0</v>
      </c>
      <c r="AQ42" s="3559"/>
      <c r="AR42" s="3562"/>
      <c r="AS42" s="3561">
        <f t="shared" si="127"/>
        <v>0</v>
      </c>
      <c r="AT42" s="3563" t="s">
        <v>4136</v>
      </c>
      <c r="AU42" s="3547" t="s">
        <v>4137</v>
      </c>
      <c r="AV42" s="3609">
        <f>3*29797.66</f>
        <v>89392.98</v>
      </c>
      <c r="AW42" s="3562">
        <v>89392.98</v>
      </c>
      <c r="AX42" s="3561">
        <f t="shared" si="114"/>
        <v>0</v>
      </c>
      <c r="AY42" s="3559">
        <f>3*6076.67</f>
        <v>18230.010000000002</v>
      </c>
      <c r="AZ42" s="3562">
        <v>18230.009999999998</v>
      </c>
      <c r="BA42" s="3561">
        <f t="shared" si="128"/>
        <v>0</v>
      </c>
      <c r="BB42" s="3656" t="s">
        <v>4138</v>
      </c>
      <c r="BC42" s="3547"/>
      <c r="BD42" s="3609"/>
      <c r="BE42" s="3562"/>
      <c r="BF42" s="3561">
        <f t="shared" si="115"/>
        <v>0</v>
      </c>
      <c r="BG42" s="3559"/>
      <c r="BH42" s="3562"/>
      <c r="BI42" s="3561">
        <f t="shared" si="116"/>
        <v>0</v>
      </c>
      <c r="BJ42" s="3563" t="s">
        <v>4138</v>
      </c>
      <c r="BK42" s="3547"/>
      <c r="BL42" s="3609"/>
      <c r="BM42" s="3562"/>
      <c r="BN42" s="3561">
        <f t="shared" si="48"/>
        <v>0</v>
      </c>
      <c r="BO42" s="3559"/>
      <c r="BP42" s="3562"/>
      <c r="BQ42" s="3561">
        <f t="shared" si="49"/>
        <v>0</v>
      </c>
      <c r="BR42" s="3563" t="s">
        <v>4138</v>
      </c>
      <c r="BS42" s="3547" t="s">
        <v>4139</v>
      </c>
      <c r="BT42" s="3559">
        <f>3*29797.66</f>
        <v>89392.98</v>
      </c>
      <c r="BU42" s="3562">
        <f>89392.98</f>
        <v>89392.98</v>
      </c>
      <c r="BV42" s="3561">
        <f t="shared" si="50"/>
        <v>0</v>
      </c>
      <c r="BW42" s="3559">
        <f>3*6076.67</f>
        <v>18230.010000000002</v>
      </c>
      <c r="BX42" s="3562">
        <f>18230.01</f>
        <v>18230.009999999998</v>
      </c>
      <c r="BY42" s="3561">
        <f t="shared" si="51"/>
        <v>0</v>
      </c>
      <c r="BZ42" s="3563" t="s">
        <v>4140</v>
      </c>
      <c r="CA42" s="3547"/>
      <c r="CB42" s="3609"/>
      <c r="CC42" s="3562"/>
      <c r="CD42" s="3561">
        <f t="shared" si="52"/>
        <v>0</v>
      </c>
      <c r="CE42" s="3559"/>
      <c r="CF42" s="3562"/>
      <c r="CG42" s="3561">
        <f t="shared" si="53"/>
        <v>0</v>
      </c>
      <c r="CH42" s="3563" t="s">
        <v>4140</v>
      </c>
      <c r="CI42" s="3547"/>
      <c r="CJ42" s="3609"/>
      <c r="CK42" s="3562"/>
      <c r="CL42" s="3561">
        <f t="shared" si="5"/>
        <v>0</v>
      </c>
      <c r="CM42" s="3559"/>
      <c r="CN42" s="3562"/>
      <c r="CO42" s="3561">
        <f t="shared" si="54"/>
        <v>0</v>
      </c>
      <c r="CP42" s="3563" t="s">
        <v>4140</v>
      </c>
      <c r="CQ42" s="3547" t="s">
        <v>4141</v>
      </c>
      <c r="CR42" s="3609">
        <f>3*29797.66</f>
        <v>89392.98</v>
      </c>
      <c r="CS42" s="3603">
        <v>89392.98</v>
      </c>
      <c r="CT42" s="3561">
        <f t="shared" si="55"/>
        <v>0</v>
      </c>
      <c r="CU42" s="3559">
        <f>3*6076.67</f>
        <v>18230.010000000002</v>
      </c>
      <c r="CV42" s="3603">
        <v>18230.009999999998</v>
      </c>
      <c r="CW42" s="3561">
        <f t="shared" si="56"/>
        <v>0</v>
      </c>
      <c r="CX42" s="3563" t="s">
        <v>4142</v>
      </c>
      <c r="CY42" s="3547"/>
      <c r="CZ42" s="3609"/>
      <c r="DA42" s="3562"/>
      <c r="DB42" s="3561">
        <f t="shared" si="57"/>
        <v>0</v>
      </c>
      <c r="DC42" s="3559"/>
      <c r="DD42" s="3562"/>
      <c r="DE42" s="3561">
        <f t="shared" si="58"/>
        <v>0</v>
      </c>
      <c r="DF42" s="3563" t="s">
        <v>4142</v>
      </c>
      <c r="DG42" s="3547"/>
      <c r="DH42" s="3609"/>
      <c r="DI42" s="3562"/>
      <c r="DJ42" s="3561">
        <f t="shared" si="59"/>
        <v>0</v>
      </c>
      <c r="DK42" s="3559"/>
      <c r="DL42" s="3562"/>
      <c r="DM42" s="3561">
        <f t="shared" si="60"/>
        <v>0</v>
      </c>
      <c r="DN42" s="3563"/>
      <c r="DO42" s="3584" t="s">
        <v>4143</v>
      </c>
      <c r="DP42" s="3601">
        <f>2*29797.66</f>
        <v>59595.32</v>
      </c>
      <c r="DQ42" s="3562"/>
      <c r="DR42" s="3561">
        <f t="shared" si="61"/>
        <v>-59595.32</v>
      </c>
      <c r="DS42" s="3559">
        <f>3*6076.67</f>
        <v>18230.010000000002</v>
      </c>
      <c r="DT42" s="3562"/>
      <c r="DU42" s="3561">
        <f t="shared" si="62"/>
        <v>-18230.010000000002</v>
      </c>
      <c r="DV42" s="3563"/>
      <c r="DW42" s="3547"/>
      <c r="DX42" s="3609"/>
      <c r="DY42" s="3562"/>
      <c r="DZ42" s="3561">
        <f t="shared" si="63"/>
        <v>0</v>
      </c>
      <c r="EA42" s="3559"/>
      <c r="EB42" s="3562"/>
      <c r="EC42" s="3561">
        <f t="shared" si="64"/>
        <v>0</v>
      </c>
      <c r="ED42" s="3563"/>
      <c r="EE42" s="3564"/>
      <c r="EF42" s="3565">
        <f t="shared" si="37"/>
        <v>47594.261904761923</v>
      </c>
      <c r="EG42" s="3565">
        <f t="shared" si="123"/>
        <v>29746.413690476202</v>
      </c>
      <c r="EH42" s="3565">
        <f t="shared" si="123"/>
        <v>232083.53581213305</v>
      </c>
      <c r="EI42" s="3565">
        <f t="shared" si="123"/>
        <v>232083.53581213305</v>
      </c>
      <c r="EJ42" s="3565">
        <f t="shared" si="38"/>
        <v>202337.12212165684</v>
      </c>
      <c r="EK42" s="3566">
        <f t="shared" si="39"/>
        <v>0</v>
      </c>
      <c r="EL42" s="3610"/>
      <c r="EM42" s="3567">
        <f t="shared" si="40"/>
        <v>10556.80719339618</v>
      </c>
      <c r="EN42" s="3557">
        <f t="shared" si="124"/>
        <v>7037.871462264121</v>
      </c>
      <c r="EO42" s="3557">
        <f t="shared" si="124"/>
        <v>51594.367924528298</v>
      </c>
      <c r="EP42" s="3557">
        <f t="shared" si="124"/>
        <v>51594.367924528298</v>
      </c>
      <c r="EQ42" s="3557">
        <f t="shared" si="41"/>
        <v>44556.496462264178</v>
      </c>
      <c r="ER42" s="3557">
        <f t="shared" si="42"/>
        <v>0</v>
      </c>
      <c r="ES42" s="3557"/>
      <c r="ET42" s="3568"/>
      <c r="EU42" s="3592">
        <f>59595.32/1.05-29797.66/1.05-29797.66/1.05*12/365*25</f>
        <v>5053.7453359425999</v>
      </c>
      <c r="EV42" s="3605">
        <f>59595.32/1.05-29797.66/1.05-29797.66/1.05*12/365*25</f>
        <v>5053.7453359425999</v>
      </c>
      <c r="EW42" s="3547">
        <f t="shared" si="129"/>
        <v>5053.7453359425999</v>
      </c>
      <c r="EX42" s="3568"/>
      <c r="EY42" s="3569">
        <f>6076.67/1.06</f>
        <v>5732.7075471698108</v>
      </c>
      <c r="EZ42" s="3562">
        <f>6076.67/1.06</f>
        <v>5732.7075471698108</v>
      </c>
      <c r="FA42" s="3547">
        <f t="shared" si="130"/>
        <v>5732.7075471698108</v>
      </c>
      <c r="FB42" s="3568"/>
      <c r="FC42" s="3569">
        <f>29797.66/1.05</f>
        <v>28378.72380952381</v>
      </c>
      <c r="FD42" s="3562">
        <f>29797.66/1.05</f>
        <v>28378.72380952381</v>
      </c>
      <c r="FE42" s="3547">
        <f t="shared" si="117"/>
        <v>28378.72380952381</v>
      </c>
      <c r="FF42" s="3568"/>
      <c r="FG42" s="3569">
        <f>6076.67/1.06</f>
        <v>5732.7075471698108</v>
      </c>
      <c r="FH42" s="3562">
        <f>6076.67/1.06</f>
        <v>5732.7075471698108</v>
      </c>
      <c r="FI42" s="3547">
        <f t="shared" si="118"/>
        <v>5732.7075471698108</v>
      </c>
      <c r="FJ42" s="3568"/>
      <c r="FK42" s="3559">
        <f>29797.66/1.05</f>
        <v>28378.72380952381</v>
      </c>
      <c r="FL42" s="3562">
        <f>29797.66/1.05*12/365*25+29797.66/1.05-29797.66/1.05*12/365*25</f>
        <v>28378.72380952381</v>
      </c>
      <c r="FM42" s="3547">
        <f t="shared" si="119"/>
        <v>28378.72380952381</v>
      </c>
      <c r="FN42" s="3568"/>
      <c r="FO42" s="3559">
        <f>6076.67/1.06</f>
        <v>5732.7075471698108</v>
      </c>
      <c r="FP42" s="3562">
        <f>6076.67/1.06*12/365*25+6076.67/1.06-6076.67/1.06*12/365*25</f>
        <v>5732.7075471698108</v>
      </c>
      <c r="FQ42" s="3547">
        <f t="shared" si="120"/>
        <v>5732.7075471698108</v>
      </c>
      <c r="FR42" s="3568"/>
      <c r="FS42" s="3559">
        <f>29797.66/1.05</f>
        <v>28378.72380952381</v>
      </c>
      <c r="FT42" s="3560">
        <f>89392.98/3/1.05</f>
        <v>28378.72380952381</v>
      </c>
      <c r="FU42" s="3547">
        <f t="shared" si="69"/>
        <v>28378.72380952381</v>
      </c>
      <c r="FV42" s="3568">
        <v>1172.9785770440201</v>
      </c>
      <c r="FW42" s="3559">
        <f>6076.67/1.06</f>
        <v>5732.7075471698108</v>
      </c>
      <c r="FX42" s="3560">
        <f>18230.01/3/1.06</f>
        <v>5732.7075471698099</v>
      </c>
      <c r="FY42" s="3547">
        <f t="shared" si="70"/>
        <v>4559.7289701257896</v>
      </c>
      <c r="FZ42" s="3568">
        <v>5949.2827380952403</v>
      </c>
      <c r="GA42" s="3569">
        <f>29797.66/1.05</f>
        <v>28378.72380952381</v>
      </c>
      <c r="GB42" s="3560">
        <f>89392.98/3/1.05</f>
        <v>28378.72380952381</v>
      </c>
      <c r="GC42" s="3547">
        <f t="shared" si="71"/>
        <v>22429.44107142857</v>
      </c>
      <c r="GD42" s="3568">
        <v>1172.9785770440201</v>
      </c>
      <c r="GE42" s="3569">
        <f>6076.67/1.06</f>
        <v>5732.7075471698108</v>
      </c>
      <c r="GF42" s="3560">
        <f>18230.01/3/1.06</f>
        <v>5732.7075471698099</v>
      </c>
      <c r="GG42" s="3547">
        <f t="shared" si="72"/>
        <v>4559.7289701257896</v>
      </c>
      <c r="GH42" s="3568">
        <v>5949.2827380952403</v>
      </c>
      <c r="GI42" s="3569">
        <f>29797.66/1.05</f>
        <v>28378.72380952381</v>
      </c>
      <c r="GJ42" s="3562">
        <f>89392.98/3/1.05*12/365*25+89392.98/3/1.05-89392.98/3/1.05*12/365*25</f>
        <v>28378.72380952381</v>
      </c>
      <c r="GK42" s="3547">
        <f t="shared" si="73"/>
        <v>22429.44107142857</v>
      </c>
      <c r="GL42" s="3568">
        <v>1172.9785770440201</v>
      </c>
      <c r="GM42" s="3569">
        <f>6076.67/1.06</f>
        <v>5732.7075471698108</v>
      </c>
      <c r="GN42" s="3562">
        <f>18230.01/3/1.06*12/365*25+18230.01/3/1.06-18230.01/3/1.06*12/365*25</f>
        <v>5732.7075471698099</v>
      </c>
      <c r="GO42" s="3547">
        <f t="shared" si="74"/>
        <v>4559.7289701257896</v>
      </c>
      <c r="GP42" s="3568">
        <v>5949.2827380952403</v>
      </c>
      <c r="GQ42" s="3569">
        <f>29797.66/1.05</f>
        <v>28378.72380952381</v>
      </c>
      <c r="GR42" s="3562">
        <f>89392.98/3/1.05</f>
        <v>28378.72380952381</v>
      </c>
      <c r="GS42" s="3547">
        <f t="shared" si="75"/>
        <v>22429.44107142857</v>
      </c>
      <c r="GT42" s="3568">
        <v>1172.9785770440201</v>
      </c>
      <c r="GU42" s="3569">
        <f>6076.67/1.06</f>
        <v>5732.7075471698108</v>
      </c>
      <c r="GV42" s="3560">
        <f>18230.01/3/1.06</f>
        <v>5732.7075471698099</v>
      </c>
      <c r="GW42" s="3547">
        <f t="shared" si="76"/>
        <v>4559.7289701257896</v>
      </c>
      <c r="GX42" s="3568">
        <v>5949.2827380952403</v>
      </c>
      <c r="GY42" s="3569">
        <f>29797.66/1.05</f>
        <v>28378.72380952381</v>
      </c>
      <c r="GZ42" s="3562">
        <f>89392.98/3/1.05</f>
        <v>28378.72380952381</v>
      </c>
      <c r="HA42" s="3547">
        <f t="shared" si="77"/>
        <v>22429.44107142857</v>
      </c>
      <c r="HB42" s="3568">
        <v>1172.9785770440201</v>
      </c>
      <c r="HC42" s="3569">
        <f>6076.67/1.06</f>
        <v>5732.7075471698108</v>
      </c>
      <c r="HD42" s="3562">
        <f>18230.01/3/1.06</f>
        <v>5732.7075471698099</v>
      </c>
      <c r="HE42" s="3547">
        <f t="shared" si="78"/>
        <v>4559.7289701257896</v>
      </c>
      <c r="HF42" s="3568">
        <v>5949.2827380952403</v>
      </c>
      <c r="HG42" s="3569">
        <f>29797.66/1.05</f>
        <v>28378.72380952381</v>
      </c>
      <c r="HH42" s="3562">
        <f>89392.98/3/1.05*12/365*25+89392.98/3/1.05-89392.98/3/1.05*12/365*25</f>
        <v>28378.72380952381</v>
      </c>
      <c r="HI42" s="3547">
        <f t="shared" si="79"/>
        <v>22429.44107142857</v>
      </c>
      <c r="HJ42" s="3568">
        <v>1172.9785770440201</v>
      </c>
      <c r="HK42" s="3569">
        <f>6076.67/1.06</f>
        <v>5732.7075471698108</v>
      </c>
      <c r="HL42" s="3562">
        <f>18230.01/3/1.06*12/365*25+18230.01/3/1.06-18230.01/3/1.06*12/365*25</f>
        <v>5732.7075471698099</v>
      </c>
      <c r="HM42" s="3547">
        <f t="shared" si="80"/>
        <v>4559.7289701257896</v>
      </c>
      <c r="HN42" s="3568">
        <v>5949.2827380952403</v>
      </c>
      <c r="HO42" s="3569">
        <f>29797.66/1.05</f>
        <v>28378.72380952381</v>
      </c>
      <c r="HP42" s="3562">
        <f>89392.98/3/1.05</f>
        <v>28378.72380952381</v>
      </c>
      <c r="HQ42" s="3547">
        <f t="shared" si="81"/>
        <v>22429.44107142857</v>
      </c>
      <c r="HR42" s="3568">
        <v>1172.9785770440201</v>
      </c>
      <c r="HS42" s="3569">
        <f>6076.67/1.06</f>
        <v>5732.7075471698108</v>
      </c>
      <c r="HT42" s="3562">
        <f>18230.01/3/1.06</f>
        <v>5732.7075471698099</v>
      </c>
      <c r="HU42" s="3547">
        <f t="shared" si="82"/>
        <v>4559.7289701257896</v>
      </c>
      <c r="HV42" s="3568">
        <v>5949.2827380952403</v>
      </c>
      <c r="HW42" s="3569">
        <f>29797.66/1.05</f>
        <v>28378.72380952381</v>
      </c>
      <c r="HX42" s="3562">
        <f>89392.98/3/1.05</f>
        <v>28378.72380952381</v>
      </c>
      <c r="HY42" s="3547">
        <f t="shared" si="83"/>
        <v>22429.44107142857</v>
      </c>
      <c r="HZ42" s="3568">
        <v>1172.9785770440201</v>
      </c>
      <c r="IA42" s="3569">
        <f>6076.67/1.06</f>
        <v>5732.7075471698108</v>
      </c>
      <c r="IB42" s="3562">
        <f>18230.01/3/1.06</f>
        <v>5732.7075471698099</v>
      </c>
      <c r="IC42" s="3547">
        <f t="shared" si="84"/>
        <v>4559.7289701257896</v>
      </c>
      <c r="ID42" s="3568">
        <v>5949.2827380952403</v>
      </c>
      <c r="IE42" s="3592">
        <f>29797.66/1.05*12/365*25</f>
        <v>23324.97847358121</v>
      </c>
      <c r="IF42" s="3605">
        <f>89392.98/3/1.05*12/365*25</f>
        <v>23324.97847358121</v>
      </c>
      <c r="IG42" s="3547">
        <f t="shared" si="85"/>
        <v>17375.69573548597</v>
      </c>
      <c r="IH42" s="3568">
        <v>1172.9785770440201</v>
      </c>
      <c r="II42" s="3569">
        <f>6076.67/1.06</f>
        <v>5732.7075471698108</v>
      </c>
      <c r="IJ42" s="3562">
        <f>18230.01/3/1.06*12/365*25</f>
        <v>4711.8144223313502</v>
      </c>
      <c r="IK42" s="3547">
        <f t="shared" si="86"/>
        <v>3538.8358452873299</v>
      </c>
      <c r="IL42" s="3584" t="s">
        <v>4144</v>
      </c>
      <c r="IM42" s="3646">
        <f>29797.66/1.05*2</f>
        <v>56757.44761904762</v>
      </c>
      <c r="IN42" s="3569">
        <f>6076.67/1.06*2+6076.67/1.06*12/365*25</f>
        <v>16177.229516670974</v>
      </c>
      <c r="IO42" s="3547"/>
      <c r="IP42" s="3560">
        <f t="shared" si="87"/>
        <v>0</v>
      </c>
      <c r="IQ42" s="3568"/>
      <c r="IR42" s="3568"/>
      <c r="IS42" s="3568"/>
      <c r="IT42" s="3568"/>
      <c r="IU42" s="3568"/>
      <c r="IV42" s="3568"/>
      <c r="IW42" s="3568"/>
      <c r="IX42" s="3568"/>
      <c r="IY42" s="3568"/>
      <c r="IZ42" s="3560"/>
      <c r="JA42" s="3560"/>
      <c r="JB42" s="3560"/>
      <c r="JC42" s="3560">
        <f t="shared" si="11"/>
        <v>0</v>
      </c>
      <c r="JD42" s="3547"/>
      <c r="JE42" s="3568"/>
      <c r="JF42" s="3568"/>
      <c r="JG42" s="3568"/>
      <c r="JH42" s="3568"/>
      <c r="JI42" s="3568"/>
      <c r="JJ42" s="3568"/>
      <c r="JK42" s="3568"/>
      <c r="JL42" s="3568"/>
      <c r="JM42" s="3568"/>
      <c r="JN42" s="3560"/>
      <c r="JO42" s="3560"/>
      <c r="JP42" s="3547" t="s">
        <v>4145</v>
      </c>
      <c r="JQ42" s="3583">
        <f>(59595.32/2-29797.66*12/365*25)/1.05+29797.66/1.05+29797.66/1.05*12/365*25</f>
        <v>56757.447619047613</v>
      </c>
      <c r="JR42" s="3583">
        <f>6076.67/1.06+6076.67/1.06+6076.67/1.06*12/365*25</f>
        <v>16177.229516670974</v>
      </c>
      <c r="JS42" s="3573">
        <f t="shared" si="28"/>
        <v>0</v>
      </c>
      <c r="JT42" s="3573">
        <f t="shared" si="35"/>
        <v>2.1827872842550278E-11</v>
      </c>
      <c r="JU42" s="3574">
        <f t="shared" si="29"/>
        <v>0</v>
      </c>
      <c r="JV42" s="3574">
        <f t="shared" si="30"/>
        <v>0</v>
      </c>
      <c r="JW42" s="3575"/>
      <c r="JX42" s="3576">
        <f t="shared" si="31"/>
        <v>80082.426092628826</v>
      </c>
      <c r="JY42" s="3576">
        <f t="shared" si="32"/>
        <v>16177.22951667097</v>
      </c>
      <c r="JZ42" s="3577"/>
      <c r="KA42" s="3573">
        <f>HI42+HI43</f>
        <v>-697.26309523812961</v>
      </c>
      <c r="KB42" s="3573"/>
      <c r="KC42" s="3573"/>
      <c r="KD42" s="3573">
        <f t="shared" si="33"/>
        <v>-697.26309523812961</v>
      </c>
      <c r="KE42" s="3578" t="s">
        <v>3815</v>
      </c>
      <c r="KF42" s="3579"/>
      <c r="KG42" s="3579"/>
      <c r="KH42" s="3579">
        <f>10786.45/10000+34111.43/10000*2+32938.45/10000</f>
        <v>11.194775999999999</v>
      </c>
      <c r="KI42" s="3579"/>
      <c r="KJ42" s="3579"/>
      <c r="KK42" s="3579"/>
      <c r="KL42" s="3579"/>
      <c r="KM42" s="3579">
        <f>-697.26/10000*5</f>
        <v>-0.34863</v>
      </c>
      <c r="KN42" s="3579"/>
      <c r="KO42" s="3579"/>
      <c r="KP42" s="3579"/>
      <c r="KQ42" s="3579">
        <f t="shared" si="34"/>
        <v>10.846145999999999</v>
      </c>
      <c r="KR42" s="3657">
        <f t="shared" si="88"/>
        <v>13.843215858392105</v>
      </c>
      <c r="KS42" s="3577"/>
      <c r="KT42" s="3577"/>
      <c r="KU42" s="3577"/>
      <c r="KV42" s="3577"/>
      <c r="KW42" s="3577"/>
      <c r="KX42" s="3577"/>
      <c r="KY42" s="3577"/>
      <c r="KZ42" s="3577"/>
      <c r="LA42" s="3577"/>
      <c r="LB42" s="3577"/>
      <c r="LC42" s="3577"/>
      <c r="LD42" s="3577"/>
      <c r="LE42" s="3577"/>
      <c r="LF42" s="3577"/>
      <c r="LG42" s="3577"/>
      <c r="LH42" s="3577"/>
      <c r="LJ42" s="3575"/>
      <c r="LK42" s="3571"/>
      <c r="LL42" s="3576"/>
    </row>
    <row r="43" spans="1:325" s="3580" customFormat="1" ht="18" customHeight="1">
      <c r="A43" s="3545">
        <v>40</v>
      </c>
      <c r="B43" s="3546" t="s">
        <v>4116</v>
      </c>
      <c r="C43" s="3546" t="s">
        <v>4146</v>
      </c>
      <c r="D43" s="3547">
        <v>191.45</v>
      </c>
      <c r="E43" s="3548" t="s">
        <v>3799</v>
      </c>
      <c r="F43" s="3546" t="s">
        <v>3790</v>
      </c>
      <c r="G43" s="3613" t="s">
        <v>4132</v>
      </c>
      <c r="H43" s="3546" t="s">
        <v>4133</v>
      </c>
      <c r="I43" s="3594" t="s">
        <v>4134</v>
      </c>
      <c r="J43" s="3594" t="s">
        <v>4135</v>
      </c>
      <c r="K43" s="3545"/>
      <c r="L43" s="3555"/>
      <c r="M43" s="3551"/>
      <c r="N43" s="3551"/>
      <c r="O43" s="3551">
        <f t="shared" si="13"/>
        <v>0</v>
      </c>
      <c r="P43" s="3547"/>
      <c r="Q43" s="3547"/>
      <c r="R43" s="3547"/>
      <c r="S43" s="3547">
        <f t="shared" si="125"/>
        <v>0</v>
      </c>
      <c r="T43" s="3552"/>
      <c r="U43" s="3553">
        <f t="shared" si="15"/>
        <v>0</v>
      </c>
      <c r="V43" s="3547"/>
      <c r="W43" s="3547">
        <f t="shared" si="126"/>
        <v>0</v>
      </c>
      <c r="X43" s="3648"/>
      <c r="Y43" s="3547">
        <f t="shared" si="17"/>
        <v>0</v>
      </c>
      <c r="Z43" s="3554"/>
      <c r="AA43" s="3555"/>
      <c r="AB43" s="3552"/>
      <c r="AC43" s="3556">
        <f t="shared" si="18"/>
        <v>0</v>
      </c>
      <c r="AD43" s="3556">
        <f t="shared" si="121"/>
        <v>0</v>
      </c>
      <c r="AE43" s="3556">
        <f t="shared" si="121"/>
        <v>0</v>
      </c>
      <c r="AF43" s="3556">
        <f t="shared" si="20"/>
        <v>0</v>
      </c>
      <c r="AG43" s="3556"/>
      <c r="AH43" s="3557">
        <f t="shared" si="21"/>
        <v>0</v>
      </c>
      <c r="AI43" s="3558">
        <f t="shared" si="122"/>
        <v>0</v>
      </c>
      <c r="AJ43" s="3558">
        <f t="shared" si="122"/>
        <v>0</v>
      </c>
      <c r="AK43" s="3557">
        <f t="shared" si="43"/>
        <v>0</v>
      </c>
      <c r="AL43" s="3557"/>
      <c r="AM43" s="3547"/>
      <c r="AN43" s="3609"/>
      <c r="AO43" s="3562"/>
      <c r="AP43" s="3561">
        <f t="shared" si="113"/>
        <v>0</v>
      </c>
      <c r="AQ43" s="3559"/>
      <c r="AR43" s="3562"/>
      <c r="AS43" s="3561">
        <f t="shared" si="127"/>
        <v>0</v>
      </c>
      <c r="AT43" s="3563"/>
      <c r="AU43" s="3547"/>
      <c r="AV43" s="3609"/>
      <c r="AW43" s="3562"/>
      <c r="AX43" s="3561">
        <f t="shared" si="114"/>
        <v>0</v>
      </c>
      <c r="AY43" s="3559"/>
      <c r="AZ43" s="3562"/>
      <c r="BA43" s="3561">
        <f t="shared" si="128"/>
        <v>0</v>
      </c>
      <c r="BB43" s="3563"/>
      <c r="BC43" s="3547"/>
      <c r="BD43" s="3609"/>
      <c r="BE43" s="3562"/>
      <c r="BF43" s="3561">
        <f t="shared" si="115"/>
        <v>0</v>
      </c>
      <c r="BG43" s="3559"/>
      <c r="BH43" s="3562"/>
      <c r="BI43" s="3561">
        <f t="shared" si="116"/>
        <v>0</v>
      </c>
      <c r="BJ43" s="3563"/>
      <c r="BK43" s="3547"/>
      <c r="BL43" s="3609"/>
      <c r="BM43" s="3562"/>
      <c r="BN43" s="3561">
        <f t="shared" si="48"/>
        <v>0</v>
      </c>
      <c r="BO43" s="3559"/>
      <c r="BP43" s="3562"/>
      <c r="BQ43" s="3561">
        <f t="shared" si="49"/>
        <v>0</v>
      </c>
      <c r="BR43" s="3563"/>
      <c r="BS43" s="3547"/>
      <c r="BT43" s="3559"/>
      <c r="BU43" s="3562"/>
      <c r="BV43" s="3561">
        <f t="shared" si="50"/>
        <v>0</v>
      </c>
      <c r="BW43" s="3559"/>
      <c r="BX43" s="3562"/>
      <c r="BY43" s="3561">
        <f t="shared" si="51"/>
        <v>0</v>
      </c>
      <c r="BZ43" s="3563"/>
      <c r="CA43" s="3547"/>
      <c r="CB43" s="3609"/>
      <c r="CC43" s="3562"/>
      <c r="CD43" s="3561">
        <f t="shared" si="52"/>
        <v>0</v>
      </c>
      <c r="CE43" s="3559"/>
      <c r="CF43" s="3562"/>
      <c r="CG43" s="3561">
        <f t="shared" si="53"/>
        <v>0</v>
      </c>
      <c r="CH43" s="3563"/>
      <c r="CI43" s="3547"/>
      <c r="CJ43" s="3609"/>
      <c r="CK43" s="3562"/>
      <c r="CL43" s="3561">
        <f t="shared" si="5"/>
        <v>0</v>
      </c>
      <c r="CM43" s="3559"/>
      <c r="CN43" s="3562"/>
      <c r="CO43" s="3561">
        <f t="shared" si="54"/>
        <v>0</v>
      </c>
      <c r="CP43" s="3563"/>
      <c r="CQ43" s="3547"/>
      <c r="CR43" s="3609"/>
      <c r="CS43" s="3603"/>
      <c r="CT43" s="3561">
        <f t="shared" si="55"/>
        <v>0</v>
      </c>
      <c r="CU43" s="3559"/>
      <c r="CV43" s="3603"/>
      <c r="CW43" s="3561">
        <f t="shared" si="56"/>
        <v>0</v>
      </c>
      <c r="CX43" s="3563"/>
      <c r="CY43" s="3547"/>
      <c r="CZ43" s="3609"/>
      <c r="DA43" s="3562"/>
      <c r="DB43" s="3561">
        <f t="shared" si="57"/>
        <v>0</v>
      </c>
      <c r="DC43" s="3559"/>
      <c r="DD43" s="3562"/>
      <c r="DE43" s="3561">
        <f t="shared" si="58"/>
        <v>0</v>
      </c>
      <c r="DF43" s="3563"/>
      <c r="DG43" s="3547"/>
      <c r="DH43" s="3609"/>
      <c r="DI43" s="3562"/>
      <c r="DJ43" s="3561">
        <f t="shared" si="59"/>
        <v>0</v>
      </c>
      <c r="DK43" s="3559"/>
      <c r="DL43" s="3562"/>
      <c r="DM43" s="3561">
        <f t="shared" si="60"/>
        <v>0</v>
      </c>
      <c r="DN43" s="3563"/>
      <c r="DO43" s="3547"/>
      <c r="DP43" s="3609"/>
      <c r="DQ43" s="3562"/>
      <c r="DR43" s="3561">
        <f t="shared" si="61"/>
        <v>0</v>
      </c>
      <c r="DS43" s="3559"/>
      <c r="DT43" s="3562"/>
      <c r="DU43" s="3561">
        <f t="shared" si="62"/>
        <v>0</v>
      </c>
      <c r="DV43" s="3563"/>
      <c r="DW43" s="3547"/>
      <c r="DX43" s="3609"/>
      <c r="DY43" s="3562"/>
      <c r="DZ43" s="3561">
        <f t="shared" si="63"/>
        <v>0</v>
      </c>
      <c r="EA43" s="3559"/>
      <c r="EB43" s="3562"/>
      <c r="EC43" s="3561">
        <f t="shared" si="64"/>
        <v>0</v>
      </c>
      <c r="ED43" s="3563"/>
      <c r="EE43" s="3564"/>
      <c r="EF43" s="3565">
        <f t="shared" si="37"/>
        <v>185013.63333333356</v>
      </c>
      <c r="EG43" s="3565">
        <f t="shared" si="123"/>
        <v>115633.52083333349</v>
      </c>
      <c r="EH43" s="3565">
        <f t="shared" si="123"/>
        <v>0</v>
      </c>
      <c r="EI43" s="3565">
        <f t="shared" si="123"/>
        <v>0</v>
      </c>
      <c r="EJ43" s="3565">
        <f t="shared" si="38"/>
        <v>-115633.52083333349</v>
      </c>
      <c r="EK43" s="3566">
        <f t="shared" si="39"/>
        <v>0</v>
      </c>
      <c r="EL43" s="3610"/>
      <c r="EM43" s="3567">
        <f t="shared" si="40"/>
        <v>41037.578419811311</v>
      </c>
      <c r="EN43" s="3557">
        <f t="shared" si="124"/>
        <v>27358.385613207538</v>
      </c>
      <c r="EO43" s="3557">
        <f t="shared" si="124"/>
        <v>0</v>
      </c>
      <c r="EP43" s="3557">
        <f t="shared" si="124"/>
        <v>0</v>
      </c>
      <c r="EQ43" s="3557">
        <f t="shared" si="41"/>
        <v>-27358.385613207538</v>
      </c>
      <c r="ER43" s="3557">
        <f t="shared" si="42"/>
        <v>0</v>
      </c>
      <c r="ES43" s="3557"/>
      <c r="ET43" s="3568"/>
      <c r="EU43" s="3569"/>
      <c r="EV43" s="3562"/>
      <c r="EW43" s="3547">
        <f t="shared" si="129"/>
        <v>0</v>
      </c>
      <c r="EX43" s="3568"/>
      <c r="EY43" s="3569"/>
      <c r="EZ43" s="3562"/>
      <c r="FA43" s="3547">
        <f t="shared" si="130"/>
        <v>0</v>
      </c>
      <c r="FB43" s="3568"/>
      <c r="FC43" s="3569"/>
      <c r="FD43" s="3562"/>
      <c r="FE43" s="3547">
        <f t="shared" si="117"/>
        <v>0</v>
      </c>
      <c r="FF43" s="3568"/>
      <c r="FG43" s="3569"/>
      <c r="FH43" s="3562"/>
      <c r="FI43" s="3547">
        <f t="shared" si="118"/>
        <v>0</v>
      </c>
      <c r="FJ43" s="3568"/>
      <c r="FK43" s="3559"/>
      <c r="FL43" s="3562"/>
      <c r="FM43" s="3547">
        <f t="shared" si="119"/>
        <v>0</v>
      </c>
      <c r="FN43" s="3568"/>
      <c r="FO43" s="3559"/>
      <c r="FP43" s="3562"/>
      <c r="FQ43" s="3547">
        <f t="shared" si="120"/>
        <v>0</v>
      </c>
      <c r="FR43" s="3568"/>
      <c r="FS43" s="3559"/>
      <c r="FT43" s="3560"/>
      <c r="FU43" s="3547">
        <f t="shared" si="69"/>
        <v>0</v>
      </c>
      <c r="FV43" s="3568">
        <v>4559.7309355345897</v>
      </c>
      <c r="FW43" s="3559"/>
      <c r="FX43" s="3560"/>
      <c r="FY43" s="3547">
        <f t="shared" si="70"/>
        <v>-4559.7309355345897</v>
      </c>
      <c r="FZ43" s="3568">
        <v>23126.704166666699</v>
      </c>
      <c r="GA43" s="3569"/>
      <c r="GB43" s="3560"/>
      <c r="GC43" s="3547">
        <f t="shared" si="71"/>
        <v>-23126.704166666699</v>
      </c>
      <c r="GD43" s="3568">
        <v>4559.7309355345897</v>
      </c>
      <c r="GE43" s="3569"/>
      <c r="GF43" s="3560"/>
      <c r="GG43" s="3547">
        <f t="shared" si="72"/>
        <v>-4559.7309355345897</v>
      </c>
      <c r="GH43" s="3568">
        <v>23126.704166666699</v>
      </c>
      <c r="GI43" s="3569"/>
      <c r="GJ43" s="3562"/>
      <c r="GK43" s="3547">
        <f t="shared" si="73"/>
        <v>-23126.704166666699</v>
      </c>
      <c r="GL43" s="3568">
        <v>4559.7309355345897</v>
      </c>
      <c r="GM43" s="3569"/>
      <c r="GN43" s="3560"/>
      <c r="GO43" s="3547">
        <f t="shared" si="74"/>
        <v>-4559.7309355345897</v>
      </c>
      <c r="GP43" s="3568">
        <v>23126.704166666699</v>
      </c>
      <c r="GQ43" s="3569"/>
      <c r="GR43" s="3562"/>
      <c r="GS43" s="3547">
        <f t="shared" si="75"/>
        <v>-23126.704166666699</v>
      </c>
      <c r="GT43" s="3568">
        <v>4559.7309355345897</v>
      </c>
      <c r="GU43" s="3569"/>
      <c r="GV43" s="3560"/>
      <c r="GW43" s="3547">
        <f t="shared" si="76"/>
        <v>-4559.7309355345897</v>
      </c>
      <c r="GX43" s="3568">
        <v>23126.704166666699</v>
      </c>
      <c r="GY43" s="3569"/>
      <c r="GZ43" s="3562"/>
      <c r="HA43" s="3547">
        <f t="shared" si="77"/>
        <v>-23126.704166666699</v>
      </c>
      <c r="HB43" s="3568">
        <v>4559.7309355345897</v>
      </c>
      <c r="HC43" s="3569"/>
      <c r="HD43" s="3562"/>
      <c r="HE43" s="3547">
        <f t="shared" si="78"/>
        <v>-4559.7309355345897</v>
      </c>
      <c r="HF43" s="3568">
        <v>23126.704166666699</v>
      </c>
      <c r="HG43" s="3569"/>
      <c r="HH43" s="3562"/>
      <c r="HI43" s="3547">
        <f t="shared" si="79"/>
        <v>-23126.704166666699</v>
      </c>
      <c r="HJ43" s="3568">
        <v>4559.7309355345897</v>
      </c>
      <c r="HK43" s="3569"/>
      <c r="HL43" s="3562"/>
      <c r="HM43" s="3547">
        <f t="shared" si="80"/>
        <v>-4559.7309355345897</v>
      </c>
      <c r="HN43" s="3568">
        <v>23126.704166666699</v>
      </c>
      <c r="HO43" s="3569"/>
      <c r="HP43" s="3562"/>
      <c r="HQ43" s="3547">
        <f t="shared" si="81"/>
        <v>-23126.704166666699</v>
      </c>
      <c r="HR43" s="3568">
        <v>4559.7309355345897</v>
      </c>
      <c r="HS43" s="3569"/>
      <c r="HT43" s="3562"/>
      <c r="HU43" s="3547">
        <f t="shared" si="82"/>
        <v>-4559.7309355345897</v>
      </c>
      <c r="HV43" s="3568">
        <v>23126.704166666699</v>
      </c>
      <c r="HW43" s="3569"/>
      <c r="HX43" s="3562"/>
      <c r="HY43" s="3547">
        <f t="shared" si="83"/>
        <v>-23126.704166666699</v>
      </c>
      <c r="HZ43" s="3568">
        <v>4559.7309355345897</v>
      </c>
      <c r="IA43" s="3569"/>
      <c r="IB43" s="3562"/>
      <c r="IC43" s="3547">
        <f t="shared" si="84"/>
        <v>-4559.7309355345897</v>
      </c>
      <c r="ID43" s="3568">
        <v>23126.704166666699</v>
      </c>
      <c r="IE43" s="3569"/>
      <c r="IF43" s="3562"/>
      <c r="IG43" s="3547">
        <f t="shared" si="85"/>
        <v>-23126.704166666699</v>
      </c>
      <c r="IH43" s="3568">
        <v>4559.7309355345897</v>
      </c>
      <c r="II43" s="3569"/>
      <c r="IJ43" s="3562"/>
      <c r="IK43" s="3547">
        <f t="shared" si="86"/>
        <v>-4559.7309355345897</v>
      </c>
      <c r="IL43" s="3547"/>
      <c r="IM43" s="3569"/>
      <c r="IN43" s="3569"/>
      <c r="IO43" s="3547"/>
      <c r="IP43" s="3560">
        <f t="shared" si="87"/>
        <v>0</v>
      </c>
      <c r="IQ43" s="3568"/>
      <c r="IR43" s="3568"/>
      <c r="IS43" s="3568"/>
      <c r="IT43" s="3568"/>
      <c r="IU43" s="3568"/>
      <c r="IV43" s="3568"/>
      <c r="IW43" s="3568"/>
      <c r="IX43" s="3568"/>
      <c r="IY43" s="3568"/>
      <c r="IZ43" s="3560"/>
      <c r="JA43" s="3560"/>
      <c r="JB43" s="3560"/>
      <c r="JC43" s="3560">
        <f t="shared" si="11"/>
        <v>0</v>
      </c>
      <c r="JD43" s="3547"/>
      <c r="JE43" s="3568"/>
      <c r="JF43" s="3568"/>
      <c r="JG43" s="3568"/>
      <c r="JH43" s="3568"/>
      <c r="JI43" s="3568"/>
      <c r="JJ43" s="3568"/>
      <c r="JK43" s="3568"/>
      <c r="JL43" s="3568"/>
      <c r="JM43" s="3568"/>
      <c r="JN43" s="3560"/>
      <c r="JO43" s="3560"/>
      <c r="JP43" s="3547"/>
      <c r="JQ43" s="3583"/>
      <c r="JR43" s="3583"/>
      <c r="JS43" s="3573">
        <f t="shared" si="28"/>
        <v>0</v>
      </c>
      <c r="JT43" s="3573">
        <f t="shared" si="35"/>
        <v>0</v>
      </c>
      <c r="JU43" s="3574">
        <f t="shared" si="29"/>
        <v>0</v>
      </c>
      <c r="JV43" s="3574">
        <f t="shared" si="30"/>
        <v>0</v>
      </c>
      <c r="JW43" s="3575"/>
      <c r="JX43" s="3576">
        <f t="shared" si="31"/>
        <v>0</v>
      </c>
      <c r="JY43" s="3576">
        <f t="shared" si="32"/>
        <v>0</v>
      </c>
      <c r="JZ43" s="3577"/>
      <c r="KA43" s="3573"/>
      <c r="KB43" s="3573"/>
      <c r="KC43" s="3573"/>
      <c r="KD43" s="3573">
        <f t="shared" si="33"/>
        <v>0</v>
      </c>
      <c r="KE43" s="3587"/>
      <c r="KF43" s="3579"/>
      <c r="KG43" s="3579"/>
      <c r="KH43" s="3579">
        <f>-4559.73/10000</f>
        <v>-0.45597299999999996</v>
      </c>
      <c r="KI43" s="3579"/>
      <c r="KJ43" s="3579"/>
      <c r="KK43" s="3579"/>
      <c r="KL43" s="3579"/>
      <c r="KM43" s="3579"/>
      <c r="KN43" s="3579"/>
      <c r="KO43" s="3579"/>
      <c r="KP43" s="3579"/>
      <c r="KQ43" s="3579">
        <f t="shared" si="34"/>
        <v>-0.45597299999999996</v>
      </c>
      <c r="KR43" s="3657">
        <f t="shared" si="88"/>
        <v>-13.843217644654102</v>
      </c>
      <c r="KS43" s="3577"/>
      <c r="KT43" s="3577"/>
      <c r="KU43" s="3577"/>
      <c r="KV43" s="3577"/>
      <c r="KW43" s="3577"/>
      <c r="KX43" s="3577"/>
      <c r="KY43" s="3577"/>
      <c r="KZ43" s="3577"/>
      <c r="LA43" s="3577"/>
      <c r="LB43" s="3577"/>
      <c r="LC43" s="3577"/>
      <c r="LD43" s="3577"/>
      <c r="LE43" s="3577"/>
      <c r="LF43" s="3577"/>
      <c r="LG43" s="3577"/>
      <c r="LH43" s="3577"/>
      <c r="LJ43" s="3575"/>
      <c r="LK43" s="3571"/>
      <c r="LL43" s="3576"/>
    </row>
    <row r="44" spans="1:325" s="3580" customFormat="1" ht="18" customHeight="1">
      <c r="A44" s="3545">
        <v>41</v>
      </c>
      <c r="B44" s="3546" t="s">
        <v>4116</v>
      </c>
      <c r="C44" s="3546" t="s">
        <v>4147</v>
      </c>
      <c r="D44" s="3547">
        <v>317.36</v>
      </c>
      <c r="E44" s="3608" t="s">
        <v>4022</v>
      </c>
      <c r="F44" s="3546" t="s">
        <v>3790</v>
      </c>
      <c r="G44" s="3546" t="s">
        <v>4148</v>
      </c>
      <c r="H44" s="3546" t="s">
        <v>4149</v>
      </c>
      <c r="I44" s="3594" t="s">
        <v>4150</v>
      </c>
      <c r="J44" s="3594" t="s">
        <v>4151</v>
      </c>
      <c r="K44" s="3545" t="s">
        <v>4152</v>
      </c>
      <c r="L44" s="3555"/>
      <c r="M44" s="3551">
        <v>126551.28</v>
      </c>
      <c r="N44" s="3551"/>
      <c r="O44" s="3551">
        <f t="shared" si="13"/>
        <v>-126551.28</v>
      </c>
      <c r="P44" s="3547">
        <v>24036.06</v>
      </c>
      <c r="Q44" s="3547"/>
      <c r="R44" s="3547">
        <f>Q44-P44</f>
        <v>-24036.06</v>
      </c>
      <c r="S44" s="3547">
        <f t="shared" si="125"/>
        <v>4.3700004489089785</v>
      </c>
      <c r="T44" s="3552">
        <v>42183.76</v>
      </c>
      <c r="U44" s="3553">
        <f t="shared" si="15"/>
        <v>506205.12</v>
      </c>
      <c r="V44" s="3547">
        <f>42183.76*9+42183.76*12/365*11</f>
        <v>394909.33676712331</v>
      </c>
      <c r="W44" s="3547">
        <f t="shared" si="126"/>
        <v>0.83000024172021925</v>
      </c>
      <c r="X44" s="3658">
        <v>8012.02</v>
      </c>
      <c r="Y44" s="3547">
        <f t="shared" si="17"/>
        <v>96144.24</v>
      </c>
      <c r="Z44" s="3554"/>
      <c r="AA44" s="3555"/>
      <c r="AB44" s="3659" t="s">
        <v>3804</v>
      </c>
      <c r="AC44" s="3556">
        <f t="shared" si="18"/>
        <v>532227.83000000007</v>
      </c>
      <c r="AD44" s="3556">
        <f t="shared" si="121"/>
        <v>405676.55000000005</v>
      </c>
      <c r="AE44" s="3556">
        <f t="shared" si="121"/>
        <v>405676.55000000005</v>
      </c>
      <c r="AF44" s="3556">
        <f t="shared" si="20"/>
        <v>0</v>
      </c>
      <c r="AG44" s="3556"/>
      <c r="AH44" s="3557">
        <f t="shared" si="21"/>
        <v>91666.290000000008</v>
      </c>
      <c r="AI44" s="3558">
        <f t="shared" si="122"/>
        <v>67630.23000000001</v>
      </c>
      <c r="AJ44" s="3558">
        <f t="shared" si="122"/>
        <v>67630.23000000001</v>
      </c>
      <c r="AK44" s="3557">
        <f t="shared" si="43"/>
        <v>0</v>
      </c>
      <c r="AL44" s="3557"/>
      <c r="AM44" s="3547" t="s">
        <v>3822</v>
      </c>
      <c r="AN44" s="3609">
        <v>40253.15</v>
      </c>
      <c r="AO44" s="3562">
        <v>40253.15</v>
      </c>
      <c r="AP44" s="3561">
        <f t="shared" si="113"/>
        <v>0</v>
      </c>
      <c r="AQ44" s="3559">
        <v>8012.02</v>
      </c>
      <c r="AR44" s="3562">
        <v>8012.02</v>
      </c>
      <c r="AS44" s="3561">
        <f t="shared" si="127"/>
        <v>0</v>
      </c>
      <c r="AT44" s="3563" t="s">
        <v>3871</v>
      </c>
      <c r="AU44" s="3547" t="s">
        <v>3824</v>
      </c>
      <c r="AV44" s="3609">
        <v>40253.15</v>
      </c>
      <c r="AW44" s="3562">
        <v>40253.15</v>
      </c>
      <c r="AX44" s="3561">
        <f t="shared" si="114"/>
        <v>0</v>
      </c>
      <c r="AY44" s="3559">
        <v>8012.02</v>
      </c>
      <c r="AZ44" s="3562">
        <v>8012.02</v>
      </c>
      <c r="BA44" s="3561">
        <f t="shared" si="128"/>
        <v>0</v>
      </c>
      <c r="BB44" s="3563" t="s">
        <v>3825</v>
      </c>
      <c r="BC44" s="3547" t="s">
        <v>3826</v>
      </c>
      <c r="BD44" s="3609">
        <v>40253.15</v>
      </c>
      <c r="BE44" s="3562">
        <v>40253.15</v>
      </c>
      <c r="BF44" s="3561">
        <f t="shared" si="115"/>
        <v>0</v>
      </c>
      <c r="BG44" s="3559">
        <v>8012.02</v>
      </c>
      <c r="BH44" s="3562">
        <v>8012.02</v>
      </c>
      <c r="BI44" s="3561">
        <f t="shared" si="116"/>
        <v>0</v>
      </c>
      <c r="BJ44" s="3563" t="s">
        <v>4012</v>
      </c>
      <c r="BK44" s="3547" t="s">
        <v>3873</v>
      </c>
      <c r="BL44" s="3609">
        <v>40253.15</v>
      </c>
      <c r="BM44" s="3562">
        <v>40253.15</v>
      </c>
      <c r="BN44" s="3561">
        <f t="shared" si="48"/>
        <v>0</v>
      </c>
      <c r="BO44" s="3559">
        <v>8012.02</v>
      </c>
      <c r="BP44" s="3603">
        <v>8012.02</v>
      </c>
      <c r="BQ44" s="3602">
        <f t="shared" si="49"/>
        <v>0</v>
      </c>
      <c r="BR44" s="3630" t="s">
        <v>4153</v>
      </c>
      <c r="BS44" s="3547" t="s">
        <v>3875</v>
      </c>
      <c r="BT44" s="3559">
        <v>40253.15</v>
      </c>
      <c r="BU44" s="3603">
        <v>40253.15</v>
      </c>
      <c r="BV44" s="3602">
        <f t="shared" si="50"/>
        <v>0</v>
      </c>
      <c r="BW44" s="3604">
        <v>8012.02</v>
      </c>
      <c r="BX44" s="3603">
        <v>8012.02</v>
      </c>
      <c r="BY44" s="3561">
        <f t="shared" si="51"/>
        <v>0</v>
      </c>
      <c r="BZ44" s="3630" t="s">
        <v>4154</v>
      </c>
      <c r="CA44" s="3547" t="s">
        <v>3877</v>
      </c>
      <c r="CB44" s="3609">
        <v>40253.15</v>
      </c>
      <c r="CC44" s="3562">
        <v>40253.15</v>
      </c>
      <c r="CD44" s="3561">
        <f t="shared" si="52"/>
        <v>0</v>
      </c>
      <c r="CE44" s="3559">
        <v>8012.02</v>
      </c>
      <c r="CF44" s="3562">
        <v>8012.02</v>
      </c>
      <c r="CG44" s="3561">
        <f t="shared" si="53"/>
        <v>0</v>
      </c>
      <c r="CH44" s="3630" t="s">
        <v>4155</v>
      </c>
      <c r="CI44" s="3547" t="s">
        <v>4156</v>
      </c>
      <c r="CJ44" s="3609">
        <f>60104.02-22497.65</f>
        <v>37606.369999999995</v>
      </c>
      <c r="CK44" s="3603">
        <f>-40253.15+17755.5+60104.02</f>
        <v>37606.369999999995</v>
      </c>
      <c r="CL44" s="3561">
        <f t="shared" si="5"/>
        <v>0</v>
      </c>
      <c r="CM44" s="3559">
        <f>-4477.95</f>
        <v>-4477.95</v>
      </c>
      <c r="CN44" s="3603">
        <f>3534.07-8012.02</f>
        <v>-4477.9500000000007</v>
      </c>
      <c r="CO44" s="3602">
        <f t="shared" si="54"/>
        <v>0</v>
      </c>
      <c r="CP44" s="3630" t="s">
        <v>4157</v>
      </c>
      <c r="CQ44" s="3547"/>
      <c r="CR44" s="3609"/>
      <c r="CS44" s="3603"/>
      <c r="CT44" s="3561">
        <f t="shared" si="55"/>
        <v>0</v>
      </c>
      <c r="CU44" s="3559"/>
      <c r="CV44" s="3603"/>
      <c r="CW44" s="3561">
        <f t="shared" si="56"/>
        <v>0</v>
      </c>
      <c r="CX44" s="3630" t="s">
        <v>4157</v>
      </c>
      <c r="CY44" s="3660" t="s">
        <v>4158</v>
      </c>
      <c r="CZ44" s="3609">
        <f>42183.76*3</f>
        <v>126551.28</v>
      </c>
      <c r="DA44" s="3661">
        <v>126551.28</v>
      </c>
      <c r="DB44" s="3561">
        <f t="shared" si="57"/>
        <v>0</v>
      </c>
      <c r="DC44" s="3559">
        <f>8012.02*3</f>
        <v>24036.06</v>
      </c>
      <c r="DD44" s="3603">
        <v>24036.06</v>
      </c>
      <c r="DE44" s="3561">
        <f t="shared" si="58"/>
        <v>0</v>
      </c>
      <c r="DF44" s="3630" t="s">
        <v>4159</v>
      </c>
      <c r="DG44" s="3547" t="s">
        <v>4160</v>
      </c>
      <c r="DH44" s="3609">
        <f>42183.76*3</f>
        <v>126551.28</v>
      </c>
      <c r="DI44" s="3562"/>
      <c r="DJ44" s="3561">
        <f t="shared" si="59"/>
        <v>-126551.28</v>
      </c>
      <c r="DK44" s="3559">
        <f>8012.02*3</f>
        <v>24036.06</v>
      </c>
      <c r="DL44" s="3562"/>
      <c r="DM44" s="3561">
        <f t="shared" si="60"/>
        <v>-24036.06</v>
      </c>
      <c r="DN44" s="3563"/>
      <c r="DO44" s="3547"/>
      <c r="DP44" s="3609"/>
      <c r="DQ44" s="3562"/>
      <c r="DR44" s="3561">
        <f t="shared" si="61"/>
        <v>0</v>
      </c>
      <c r="DS44" s="3559"/>
      <c r="DT44" s="3562"/>
      <c r="DU44" s="3561">
        <f t="shared" si="62"/>
        <v>0</v>
      </c>
      <c r="DV44" s="3563"/>
      <c r="DW44" s="3547"/>
      <c r="DX44" s="3609"/>
      <c r="DY44" s="3562"/>
      <c r="DZ44" s="3561">
        <f t="shared" si="63"/>
        <v>0</v>
      </c>
      <c r="EA44" s="3559"/>
      <c r="EB44" s="3562"/>
      <c r="EC44" s="3561">
        <f t="shared" si="64"/>
        <v>0</v>
      </c>
      <c r="ED44" s="3563"/>
      <c r="EE44" s="3564"/>
      <c r="EF44" s="3565">
        <f t="shared" si="37"/>
        <v>460035.98857142893</v>
      </c>
      <c r="EG44" s="3565">
        <f t="shared" si="123"/>
        <v>345026.99142857164</v>
      </c>
      <c r="EH44" s="3565">
        <f t="shared" si="123"/>
        <v>358103.49823874753</v>
      </c>
      <c r="EI44" s="3565">
        <f t="shared" si="123"/>
        <v>358103.49823874753</v>
      </c>
      <c r="EJ44" s="3565">
        <f t="shared" si="38"/>
        <v>13076.506810175895</v>
      </c>
      <c r="EK44" s="3565">
        <f t="shared" si="39"/>
        <v>0</v>
      </c>
      <c r="EL44" s="3556"/>
      <c r="EM44" s="3557">
        <f t="shared" si="40"/>
        <v>90702.086792452828</v>
      </c>
      <c r="EN44" s="3557">
        <f t="shared" si="124"/>
        <v>68026.565094339618</v>
      </c>
      <c r="EO44" s="3557">
        <f t="shared" si="124"/>
        <v>58832.124967691911</v>
      </c>
      <c r="EP44" s="3557">
        <f t="shared" si="124"/>
        <v>58832.124967691911</v>
      </c>
      <c r="EQ44" s="3557">
        <f t="shared" si="41"/>
        <v>-9194.4401266477071</v>
      </c>
      <c r="ER44" s="3557">
        <f t="shared" si="42"/>
        <v>0</v>
      </c>
      <c r="ES44" s="3557"/>
      <c r="ET44" s="3568">
        <v>38336.332380952401</v>
      </c>
      <c r="EU44" s="3569">
        <f>40253.15/1.05</f>
        <v>38336.333333333336</v>
      </c>
      <c r="EV44" s="3562">
        <f>40253.15/1.05</f>
        <v>38336.333333333336</v>
      </c>
      <c r="EW44" s="3547">
        <f t="shared" si="129"/>
        <v>9.5238093490479514E-4</v>
      </c>
      <c r="EX44" s="3568">
        <v>7558.5072327043999</v>
      </c>
      <c r="EY44" s="3569">
        <f>8012.02/1.06</f>
        <v>7558.5094339622638</v>
      </c>
      <c r="EZ44" s="3562">
        <f>8012.02/1.06</f>
        <v>7558.5094339622638</v>
      </c>
      <c r="FA44" s="3547">
        <f t="shared" si="130"/>
        <v>2.2012578638168634E-3</v>
      </c>
      <c r="FB44" s="3568">
        <v>38336.332380952401</v>
      </c>
      <c r="FC44" s="3569">
        <f>40253.15/1.05</f>
        <v>38336.333333333336</v>
      </c>
      <c r="FD44" s="3562">
        <f>40253.15/1.05</f>
        <v>38336.333333333336</v>
      </c>
      <c r="FE44" s="3547">
        <f t="shared" si="117"/>
        <v>9.5238093490479514E-4</v>
      </c>
      <c r="FF44" s="3568">
        <v>7558.5072327043999</v>
      </c>
      <c r="FG44" s="3569">
        <f>8012.02/1.06</f>
        <v>7558.5094339622638</v>
      </c>
      <c r="FH44" s="3562">
        <f>8012.02/1.06</f>
        <v>7558.5094339622638</v>
      </c>
      <c r="FI44" s="3547">
        <f t="shared" si="118"/>
        <v>2.2012578638168634E-3</v>
      </c>
      <c r="FJ44" s="3568">
        <v>38336.332380952401</v>
      </c>
      <c r="FK44" s="3559">
        <f>40253.15/1.05</f>
        <v>38336.333333333336</v>
      </c>
      <c r="FL44" s="3562">
        <f>40253.15/1.05</f>
        <v>38336.333333333336</v>
      </c>
      <c r="FM44" s="3547">
        <f t="shared" si="119"/>
        <v>9.5238093490479514E-4</v>
      </c>
      <c r="FN44" s="3568">
        <v>7558.5072327043999</v>
      </c>
      <c r="FO44" s="3559">
        <f>8012.02/1.06</f>
        <v>7558.5094339622638</v>
      </c>
      <c r="FP44" s="3562">
        <f>8012.02/1.06</f>
        <v>7558.5094339622638</v>
      </c>
      <c r="FQ44" s="3547">
        <f t="shared" si="120"/>
        <v>2.2012578638168634E-3</v>
      </c>
      <c r="FR44" s="3568">
        <v>38336.332380952401</v>
      </c>
      <c r="FS44" s="3559">
        <f>40253.15/1.05</f>
        <v>38336.333333333336</v>
      </c>
      <c r="FT44" s="3560">
        <f>40253.15/1.05</f>
        <v>38336.333333333336</v>
      </c>
      <c r="FU44" s="3547">
        <f t="shared" si="69"/>
        <v>9.5238093490479514E-4</v>
      </c>
      <c r="FV44" s="3568">
        <v>7558.5072327043999</v>
      </c>
      <c r="FW44" s="3559">
        <f>8012.02/1.06</f>
        <v>7558.5094339622638</v>
      </c>
      <c r="FX44" s="3560">
        <f>8012.02/1.06</f>
        <v>7558.5094339622638</v>
      </c>
      <c r="FY44" s="3547">
        <f t="shared" si="70"/>
        <v>2.2012578638168634E-3</v>
      </c>
      <c r="FZ44" s="3568">
        <v>38336.332380952401</v>
      </c>
      <c r="GA44" s="3569">
        <f>40253.15/1.05</f>
        <v>38336.333333333336</v>
      </c>
      <c r="GB44" s="3560">
        <f>40253.15/1.05</f>
        <v>38336.333333333336</v>
      </c>
      <c r="GC44" s="3547">
        <f t="shared" si="71"/>
        <v>9.5238093490479514E-4</v>
      </c>
      <c r="GD44" s="3568">
        <v>7558.5072327043999</v>
      </c>
      <c r="GE44" s="3569">
        <f>8012.02/1.06</f>
        <v>7558.5094339622638</v>
      </c>
      <c r="GF44" s="3560">
        <f>8012.02/1.06</f>
        <v>7558.5094339622638</v>
      </c>
      <c r="GG44" s="3547">
        <f t="shared" si="72"/>
        <v>2.2012578638168634E-3</v>
      </c>
      <c r="GH44" s="3568">
        <v>38336.332380952401</v>
      </c>
      <c r="GI44" s="3569">
        <f>40253.15/1.05</f>
        <v>38336.333333333336</v>
      </c>
      <c r="GJ44" s="3562">
        <f>40253.15/1.05</f>
        <v>38336.333333333336</v>
      </c>
      <c r="GK44" s="3547">
        <f t="shared" si="73"/>
        <v>9.5238093490479514E-4</v>
      </c>
      <c r="GL44" s="3568">
        <v>7558.5072327043999</v>
      </c>
      <c r="GM44" s="3569">
        <f>8012.02/1.06</f>
        <v>7558.5094339622638</v>
      </c>
      <c r="GN44" s="3562">
        <f>8012.02/1.06</f>
        <v>7558.5094339622638</v>
      </c>
      <c r="GO44" s="3547">
        <f t="shared" si="74"/>
        <v>2.2012578638168634E-3</v>
      </c>
      <c r="GP44" s="3568">
        <v>38336.332380952401</v>
      </c>
      <c r="GQ44" s="3569">
        <f>40253.15/1.05-22497.65/1.05+60104.02/1.05</f>
        <v>74151.923809523811</v>
      </c>
      <c r="GR44" s="3562">
        <f>40253.15/1.05-40253.15/1.05+17755.5/1.05+60104.02/1.05</f>
        <v>74151.923809523811</v>
      </c>
      <c r="GS44" s="3547">
        <f t="shared" si="75"/>
        <v>35815.59142857141</v>
      </c>
      <c r="GT44" s="3568">
        <v>7558.5072327043999</v>
      </c>
      <c r="GU44" s="3569">
        <f>8012.02/1.06-4477.95/1.06</f>
        <v>3334.0283018867922</v>
      </c>
      <c r="GV44" s="3562">
        <f>8012.02/1.06-8012.02/1.06+3534.07/1.06</f>
        <v>3334.0283018867926</v>
      </c>
      <c r="GW44" s="3547">
        <f t="shared" si="76"/>
        <v>-4224.4789308176078</v>
      </c>
      <c r="GX44" s="3568">
        <v>38336.332380952401</v>
      </c>
      <c r="GY44" s="3569"/>
      <c r="GZ44" s="3569"/>
      <c r="HA44" s="3547">
        <f t="shared" si="77"/>
        <v>-38336.332380952401</v>
      </c>
      <c r="HB44" s="3568">
        <v>7558.5072327043999</v>
      </c>
      <c r="HC44" s="3569"/>
      <c r="HD44" s="3569"/>
      <c r="HE44" s="3547">
        <f t="shared" si="78"/>
        <v>-7558.5072327043999</v>
      </c>
      <c r="HF44" s="3568">
        <v>38336.332380952401</v>
      </c>
      <c r="HG44" s="3569">
        <f>42183.76/1.05-42183.76/1.05*12/365*20+42183.76/1.05</f>
        <v>53933.574429223743</v>
      </c>
      <c r="HH44" s="3562">
        <f>126551.28/1.05-126551.28/3/1.05-126551.28/3/1.05*12/365*20</f>
        <v>53933.574429223743</v>
      </c>
      <c r="HI44" s="3547">
        <f t="shared" si="79"/>
        <v>15597.242048271342</v>
      </c>
      <c r="HJ44" s="3568">
        <v>7558.5072327043999</v>
      </c>
      <c r="HK44" s="3569">
        <f>8012.02/1.06-8012.02/1.06*12/365*20+8012.02/1.06</f>
        <v>10147.040062031532</v>
      </c>
      <c r="HL44" s="3562">
        <f>24036.06/1.06-24036.06/3/1.06-24036.06/3/1.06*12/365*20</f>
        <v>10147.040062031534</v>
      </c>
      <c r="HM44" s="3547">
        <f t="shared" si="80"/>
        <v>2588.5328293271341</v>
      </c>
      <c r="HN44" s="3568">
        <v>38336.332380952401</v>
      </c>
      <c r="HO44" s="3569">
        <f>42183.76/1.05</f>
        <v>40175.009523809524</v>
      </c>
      <c r="HP44" s="3562">
        <f>126551.28/3/1.05</f>
        <v>40175.009523809524</v>
      </c>
      <c r="HQ44" s="3547">
        <f t="shared" si="81"/>
        <v>1838.6771428571228</v>
      </c>
      <c r="HR44" s="3568">
        <v>7558.5072327043999</v>
      </c>
      <c r="HS44" s="3569">
        <f>8012.02/1.06</f>
        <v>7558.5094339622638</v>
      </c>
      <c r="HT44" s="3562">
        <f>24036.06/3/1.06</f>
        <v>7558.5094339622638</v>
      </c>
      <c r="HU44" s="3547">
        <f t="shared" si="82"/>
        <v>2.2012578638168634E-3</v>
      </c>
      <c r="HV44" s="3568">
        <v>38336.332380952401</v>
      </c>
      <c r="HW44" s="3569">
        <f>42183.76/1.05</f>
        <v>40175.009523809524</v>
      </c>
      <c r="HX44" s="3562">
        <f>126551.28/3/1.05*12/365*20</f>
        <v>26416.444618395304</v>
      </c>
      <c r="HY44" s="3547">
        <f t="shared" si="83"/>
        <v>-11919.887762557097</v>
      </c>
      <c r="HZ44" s="3568">
        <v>7558.5072327043999</v>
      </c>
      <c r="IA44" s="3569">
        <f>8012.02/1.06</f>
        <v>7558.5094339622638</v>
      </c>
      <c r="IB44" s="3562">
        <f>24036.06/3/1.06*12/365*20</f>
        <v>4969.9788058929953</v>
      </c>
      <c r="IC44" s="3547">
        <f t="shared" si="84"/>
        <v>-2588.5284268114046</v>
      </c>
      <c r="ID44" s="3568">
        <v>38336.332380952401</v>
      </c>
      <c r="IE44" s="3569">
        <f>42183.76/1.05</f>
        <v>40175.009523809524</v>
      </c>
      <c r="IF44" s="3562"/>
      <c r="IG44" s="3547">
        <f t="shared" si="85"/>
        <v>-38336.332380952401</v>
      </c>
      <c r="IH44" s="3568">
        <v>7558.5072327043999</v>
      </c>
      <c r="II44" s="3569">
        <f>8012.02/1.06</f>
        <v>7558.5094339622638</v>
      </c>
      <c r="IJ44" s="3562"/>
      <c r="IK44" s="3547">
        <f t="shared" si="86"/>
        <v>-7558.5072327043999</v>
      </c>
      <c r="IL44" s="3547" t="s">
        <v>4161</v>
      </c>
      <c r="IM44" s="3569">
        <f>42183.76/1.05+42183.76/1.05*12/365*20</f>
        <v>66591.454142204835</v>
      </c>
      <c r="IN44" s="3569">
        <f>8012.02/1.06+8012.02/1.06*12/365*20</f>
        <v>12528.488239855258</v>
      </c>
      <c r="IO44" s="3547"/>
      <c r="IP44" s="3560">
        <f t="shared" si="87"/>
        <v>0</v>
      </c>
      <c r="IQ44" s="3569"/>
      <c r="IR44" s="3568"/>
      <c r="IS44" s="3568"/>
      <c r="IT44" s="3568"/>
      <c r="IU44" s="3568"/>
      <c r="IV44" s="3568"/>
      <c r="IW44" s="3568"/>
      <c r="IX44" s="3568"/>
      <c r="IY44" s="3568"/>
      <c r="IZ44" s="3562"/>
      <c r="JA44" s="3562"/>
      <c r="JB44" s="3562"/>
      <c r="JC44" s="3560">
        <f t="shared" si="11"/>
        <v>0</v>
      </c>
      <c r="JD44" s="3547"/>
      <c r="JE44" s="3569"/>
      <c r="JF44" s="3568"/>
      <c r="JG44" s="3568"/>
      <c r="JH44" s="3568"/>
      <c r="JI44" s="3568"/>
      <c r="JJ44" s="3568"/>
      <c r="JK44" s="3568"/>
      <c r="JL44" s="3568"/>
      <c r="JM44" s="3568"/>
      <c r="JN44" s="3562"/>
      <c r="JO44" s="3562"/>
      <c r="JP44" s="3547" t="s">
        <v>3837</v>
      </c>
      <c r="JQ44" s="3583">
        <f>40253.15/1.05</f>
        <v>38336.333333333336</v>
      </c>
      <c r="JR44" s="3583">
        <f>8012.02/1.06</f>
        <v>7558.5094339622638</v>
      </c>
      <c r="JS44" s="3573">
        <f t="shared" si="28"/>
        <v>0</v>
      </c>
      <c r="JT44" s="3573">
        <f t="shared" si="35"/>
        <v>1.4551915228366852E-11</v>
      </c>
      <c r="JU44" s="3574">
        <f t="shared" si="29"/>
        <v>0</v>
      </c>
      <c r="JV44" s="3574">
        <f t="shared" si="30"/>
        <v>0</v>
      </c>
      <c r="JW44" s="3575"/>
      <c r="JX44" s="3576">
        <f t="shared" si="31"/>
        <v>66591.454142204835</v>
      </c>
      <c r="JY44" s="3576">
        <f t="shared" si="32"/>
        <v>12528.488239855258</v>
      </c>
      <c r="JZ44" s="3577"/>
      <c r="KA44" s="3573">
        <f>HI44+HM44-KB44</f>
        <v>1838.6793441149894</v>
      </c>
      <c r="KB44" s="3573">
        <f>126551.28/3/1.05-126551.28/3/1.05*12/365*20+24036.06/3/1.06-24036.06/3/1.06*12/365*20</f>
        <v>16347.095533483487</v>
      </c>
      <c r="KC44" s="3573"/>
      <c r="KD44" s="3573">
        <f t="shared" si="33"/>
        <v>18185.774877598476</v>
      </c>
      <c r="KE44" s="3662" t="s">
        <v>4162</v>
      </c>
      <c r="KF44" s="3579"/>
      <c r="KG44" s="3579"/>
      <c r="KH44" s="3579"/>
      <c r="KI44" s="3579">
        <f>1838.68/10000</f>
        <v>0.183868</v>
      </c>
      <c r="KJ44" s="3579"/>
      <c r="KK44" s="3579"/>
      <c r="KL44" s="3579">
        <f>-25650.81/10000-45894.84/10000+16347.1/10000</f>
        <v>-5.5198549999999997</v>
      </c>
      <c r="KM44" s="3579"/>
      <c r="KN44" s="3579"/>
      <c r="KO44" s="3579"/>
      <c r="KP44" s="3579">
        <f>57241.92/10000</f>
        <v>5.7241919999999995</v>
      </c>
      <c r="KQ44" s="3579">
        <f t="shared" si="34"/>
        <v>0.38820500000000013</v>
      </c>
      <c r="KR44" s="3579">
        <f t="shared" si="88"/>
        <v>1.6683528186733909E-6</v>
      </c>
      <c r="KS44" s="3577"/>
      <c r="KT44" s="3577"/>
      <c r="KU44" s="3577"/>
      <c r="KV44" s="3577"/>
      <c r="KW44" s="3577"/>
      <c r="KX44" s="3577"/>
      <c r="KY44" s="3577"/>
      <c r="KZ44" s="3577"/>
      <c r="LA44" s="3577"/>
      <c r="LB44" s="3577"/>
      <c r="LC44" s="3577"/>
      <c r="LD44" s="3577"/>
      <c r="LE44" s="3577"/>
      <c r="LF44" s="3577"/>
      <c r="LG44" s="3577"/>
      <c r="LH44" s="3577"/>
      <c r="LJ44" s="3575"/>
      <c r="LK44" s="3571"/>
      <c r="LL44" s="3576"/>
    </row>
    <row r="45" spans="1:325" s="3580" customFormat="1" ht="18" customHeight="1">
      <c r="A45" s="3545">
        <v>42</v>
      </c>
      <c r="B45" s="3546" t="s">
        <v>4116</v>
      </c>
      <c r="C45" s="3546" t="s">
        <v>4163</v>
      </c>
      <c r="D45" s="3547">
        <v>164.92</v>
      </c>
      <c r="E45" s="3548" t="s">
        <v>3799</v>
      </c>
      <c r="F45" s="3546" t="s">
        <v>3790</v>
      </c>
      <c r="G45" s="3546" t="s">
        <v>4164</v>
      </c>
      <c r="H45" s="3546" t="s">
        <v>4165</v>
      </c>
      <c r="I45" s="3594" t="s">
        <v>4166</v>
      </c>
      <c r="J45" s="3594" t="s">
        <v>4099</v>
      </c>
      <c r="K45" s="3545" t="s">
        <v>4167</v>
      </c>
      <c r="L45" s="3555"/>
      <c r="M45" s="3547">
        <v>70278.600000000006</v>
      </c>
      <c r="N45" s="3551">
        <v>70278.600000000006</v>
      </c>
      <c r="O45" s="3551">
        <f t="shared" si="13"/>
        <v>0</v>
      </c>
      <c r="P45" s="3547">
        <v>12490.62</v>
      </c>
      <c r="Q45" s="3547">
        <v>12490.62</v>
      </c>
      <c r="R45" s="3547">
        <f>Q45-P45</f>
        <v>0</v>
      </c>
      <c r="S45" s="3547">
        <f t="shared" si="125"/>
        <v>4.6700002325743668</v>
      </c>
      <c r="T45" s="3552">
        <v>23426.2</v>
      </c>
      <c r="U45" s="3553">
        <f t="shared" si="15"/>
        <v>281114.40000000002</v>
      </c>
      <c r="V45" s="3547">
        <f>23426.2*12*2</f>
        <v>562228.80000000005</v>
      </c>
      <c r="W45" s="3547">
        <f t="shared" si="126"/>
        <v>0.82999943517654062</v>
      </c>
      <c r="X45" s="3663">
        <v>4163.54</v>
      </c>
      <c r="Y45" s="3547">
        <f t="shared" si="17"/>
        <v>49962.479999999996</v>
      </c>
      <c r="Z45" s="3554"/>
      <c r="AA45" s="3555"/>
      <c r="AB45" s="3643" t="s">
        <v>3804</v>
      </c>
      <c r="AC45" s="3556">
        <f t="shared" si="18"/>
        <v>281114.40000000002</v>
      </c>
      <c r="AD45" s="3556">
        <f t="shared" si="121"/>
        <v>210835.80000000002</v>
      </c>
      <c r="AE45" s="3556">
        <f t="shared" si="121"/>
        <v>210835.80000000002</v>
      </c>
      <c r="AF45" s="3556">
        <f t="shared" si="20"/>
        <v>0</v>
      </c>
      <c r="AG45" s="3556"/>
      <c r="AH45" s="3557">
        <f t="shared" si="21"/>
        <v>49962.479999999996</v>
      </c>
      <c r="AI45" s="3558">
        <f t="shared" si="122"/>
        <v>37471.86</v>
      </c>
      <c r="AJ45" s="3558">
        <f t="shared" si="122"/>
        <v>37471.86</v>
      </c>
      <c r="AK45" s="3557">
        <f t="shared" si="43"/>
        <v>0</v>
      </c>
      <c r="AL45" s="3557"/>
      <c r="AM45" s="3547" t="s">
        <v>4111</v>
      </c>
      <c r="AN45" s="3609">
        <f>23426.2*3</f>
        <v>70278.600000000006</v>
      </c>
      <c r="AO45" s="3562">
        <v>70278.600000000006</v>
      </c>
      <c r="AP45" s="3561">
        <f t="shared" si="113"/>
        <v>0</v>
      </c>
      <c r="AQ45" s="3559">
        <f>4163.54*3</f>
        <v>12490.619999999999</v>
      </c>
      <c r="AR45" s="3562">
        <v>12490.62</v>
      </c>
      <c r="AS45" s="3561">
        <f t="shared" si="127"/>
        <v>0</v>
      </c>
      <c r="AT45" s="3563" t="s">
        <v>4168</v>
      </c>
      <c r="AU45" s="3547"/>
      <c r="AV45" s="3609"/>
      <c r="AW45" s="3562"/>
      <c r="AX45" s="3561">
        <f t="shared" si="114"/>
        <v>0</v>
      </c>
      <c r="AY45" s="3559"/>
      <c r="AZ45" s="3562"/>
      <c r="BA45" s="3561">
        <f t="shared" si="128"/>
        <v>0</v>
      </c>
      <c r="BB45" s="3563" t="s">
        <v>4168</v>
      </c>
      <c r="BC45" s="3547"/>
      <c r="BD45" s="3609"/>
      <c r="BE45" s="3562"/>
      <c r="BF45" s="3561">
        <f t="shared" si="115"/>
        <v>0</v>
      </c>
      <c r="BG45" s="3559"/>
      <c r="BH45" s="3562"/>
      <c r="BI45" s="3561">
        <f t="shared" si="116"/>
        <v>0</v>
      </c>
      <c r="BJ45" s="3563" t="s">
        <v>4168</v>
      </c>
      <c r="BK45" s="3547" t="s">
        <v>4102</v>
      </c>
      <c r="BL45" s="3609">
        <f>3*23426.2</f>
        <v>70278.600000000006</v>
      </c>
      <c r="BM45" s="3603">
        <v>70278.600000000006</v>
      </c>
      <c r="BN45" s="3602">
        <f t="shared" si="48"/>
        <v>0</v>
      </c>
      <c r="BO45" s="3604">
        <f>3*4163.54</f>
        <v>12490.619999999999</v>
      </c>
      <c r="BP45" s="3603">
        <v>12490.62</v>
      </c>
      <c r="BQ45" s="3561">
        <f t="shared" si="49"/>
        <v>0</v>
      </c>
      <c r="BR45" s="3563" t="s">
        <v>4169</v>
      </c>
      <c r="BS45" s="3547"/>
      <c r="BT45" s="3559"/>
      <c r="BU45" s="3562"/>
      <c r="BV45" s="3561">
        <f t="shared" si="50"/>
        <v>0</v>
      </c>
      <c r="BW45" s="3559"/>
      <c r="BX45" s="3562"/>
      <c r="BY45" s="3561">
        <f t="shared" si="51"/>
        <v>0</v>
      </c>
      <c r="BZ45" s="3563" t="s">
        <v>4169</v>
      </c>
      <c r="CA45" s="3547"/>
      <c r="CB45" s="3609"/>
      <c r="CC45" s="3562"/>
      <c r="CD45" s="3561">
        <f t="shared" si="52"/>
        <v>0</v>
      </c>
      <c r="CE45" s="3559"/>
      <c r="CF45" s="3562"/>
      <c r="CG45" s="3561">
        <f t="shared" si="53"/>
        <v>0</v>
      </c>
      <c r="CH45" s="3563" t="s">
        <v>4169</v>
      </c>
      <c r="CI45" s="3547" t="s">
        <v>4104</v>
      </c>
      <c r="CJ45" s="3609">
        <f>3*23426.2</f>
        <v>70278.600000000006</v>
      </c>
      <c r="CK45" s="3603">
        <v>70278.600000000006</v>
      </c>
      <c r="CL45" s="3561">
        <f t="shared" si="5"/>
        <v>0</v>
      </c>
      <c r="CM45" s="3559">
        <f>3*4163.54</f>
        <v>12490.619999999999</v>
      </c>
      <c r="CN45" s="3603">
        <v>12490.62</v>
      </c>
      <c r="CO45" s="3561">
        <f t="shared" si="54"/>
        <v>0</v>
      </c>
      <c r="CP45" s="3563" t="s">
        <v>4170</v>
      </c>
      <c r="CQ45" s="3547"/>
      <c r="CR45" s="3609"/>
      <c r="CS45" s="3603"/>
      <c r="CT45" s="3561">
        <f t="shared" si="55"/>
        <v>0</v>
      </c>
      <c r="CU45" s="3559"/>
      <c r="CV45" s="3603"/>
      <c r="CW45" s="3561">
        <f t="shared" si="56"/>
        <v>0</v>
      </c>
      <c r="CX45" s="3563" t="s">
        <v>4170</v>
      </c>
      <c r="CY45" s="3547"/>
      <c r="CZ45" s="3609"/>
      <c r="DA45" s="3562"/>
      <c r="DB45" s="3561">
        <f t="shared" si="57"/>
        <v>0</v>
      </c>
      <c r="DC45" s="3559"/>
      <c r="DD45" s="3603"/>
      <c r="DE45" s="3561">
        <f t="shared" si="58"/>
        <v>0</v>
      </c>
      <c r="DF45" s="3563" t="s">
        <v>4170</v>
      </c>
      <c r="DG45" s="3547" t="s">
        <v>4106</v>
      </c>
      <c r="DH45" s="3609">
        <f>3*23426.2</f>
        <v>70278.600000000006</v>
      </c>
      <c r="DI45" s="3562"/>
      <c r="DJ45" s="3561">
        <f t="shared" si="59"/>
        <v>-70278.600000000006</v>
      </c>
      <c r="DK45" s="3559">
        <f>3*4163.54</f>
        <v>12490.619999999999</v>
      </c>
      <c r="DL45" s="3562"/>
      <c r="DM45" s="3561">
        <f t="shared" si="60"/>
        <v>-12490.619999999999</v>
      </c>
      <c r="DN45" s="3563"/>
      <c r="DO45" s="3547"/>
      <c r="DP45" s="3609"/>
      <c r="DQ45" s="3562"/>
      <c r="DR45" s="3561">
        <f t="shared" si="61"/>
        <v>0</v>
      </c>
      <c r="DS45" s="3559"/>
      <c r="DT45" s="3562"/>
      <c r="DU45" s="3561">
        <f t="shared" si="62"/>
        <v>0</v>
      </c>
      <c r="DV45" s="3563"/>
      <c r="DW45" s="3547"/>
      <c r="DX45" s="3609"/>
      <c r="DY45" s="3562"/>
      <c r="DZ45" s="3561">
        <f t="shared" si="63"/>
        <v>0</v>
      </c>
      <c r="EA45" s="3559"/>
      <c r="EB45" s="3562"/>
      <c r="EC45" s="3561">
        <f t="shared" si="64"/>
        <v>0</v>
      </c>
      <c r="ED45" s="3563"/>
      <c r="EE45" s="3564"/>
      <c r="EF45" s="3565">
        <f t="shared" si="37"/>
        <v>267727.98666666722</v>
      </c>
      <c r="EG45" s="3565">
        <f t="shared" si="123"/>
        <v>200795.99000000043</v>
      </c>
      <c r="EH45" s="3565">
        <f t="shared" si="123"/>
        <v>200795.99999999997</v>
      </c>
      <c r="EI45" s="3565">
        <f t="shared" si="123"/>
        <v>200795.99999999997</v>
      </c>
      <c r="EJ45" s="3565">
        <f t="shared" si="38"/>
        <v>9.9999995436519384E-3</v>
      </c>
      <c r="EK45" s="3565">
        <f t="shared" si="39"/>
        <v>0</v>
      </c>
      <c r="EL45" s="3556"/>
      <c r="EM45" s="3557">
        <f t="shared" si="40"/>
        <v>47134.44716981137</v>
      </c>
      <c r="EN45" s="3557">
        <f t="shared" si="124"/>
        <v>35350.835377358526</v>
      </c>
      <c r="EO45" s="3557">
        <f t="shared" si="124"/>
        <v>35350.811320754714</v>
      </c>
      <c r="EP45" s="3557">
        <f t="shared" si="124"/>
        <v>35350.811320754714</v>
      </c>
      <c r="EQ45" s="3557">
        <f t="shared" si="41"/>
        <v>-2.4056603811914101E-2</v>
      </c>
      <c r="ER45" s="3557">
        <f t="shared" si="42"/>
        <v>0</v>
      </c>
      <c r="ES45" s="3557"/>
      <c r="ET45" s="3568">
        <v>22310.665555555599</v>
      </c>
      <c r="EU45" s="3569">
        <f>23426.2/1.05</f>
        <v>22310.666666666668</v>
      </c>
      <c r="EV45" s="3562">
        <f>70278.6/3/1.05</f>
        <v>22310.666666666668</v>
      </c>
      <c r="EW45" s="3547">
        <f t="shared" si="129"/>
        <v>1.1111110688943882E-3</v>
      </c>
      <c r="EX45" s="3568">
        <v>3927.8705974842801</v>
      </c>
      <c r="EY45" s="3569">
        <f>4163.54/1.06</f>
        <v>3927.8679245283015</v>
      </c>
      <c r="EZ45" s="3562">
        <f>12490.62/3/1.06</f>
        <v>3927.8679245283015</v>
      </c>
      <c r="FA45" s="3547">
        <f t="shared" si="130"/>
        <v>-2.672955978596292E-3</v>
      </c>
      <c r="FB45" s="3568">
        <v>22310.665555555599</v>
      </c>
      <c r="FC45" s="3569">
        <f>23426.2/1.05</f>
        <v>22310.666666666668</v>
      </c>
      <c r="FD45" s="3562">
        <f>70278.6/3/1.05</f>
        <v>22310.666666666668</v>
      </c>
      <c r="FE45" s="3547">
        <f t="shared" si="117"/>
        <v>1.1111110688943882E-3</v>
      </c>
      <c r="FF45" s="3568">
        <v>3927.8705974842801</v>
      </c>
      <c r="FG45" s="3569">
        <f>4163.54/1.06</f>
        <v>3927.8679245283015</v>
      </c>
      <c r="FH45" s="3562">
        <f>12490.62/3/1.06</f>
        <v>3927.8679245283015</v>
      </c>
      <c r="FI45" s="3547">
        <f t="shared" si="118"/>
        <v>-2.672955978596292E-3</v>
      </c>
      <c r="FJ45" s="3568">
        <v>22310.665555555599</v>
      </c>
      <c r="FK45" s="3559">
        <f>23426.2/1.05</f>
        <v>22310.666666666668</v>
      </c>
      <c r="FL45" s="3562">
        <f>70278.6/3/1.05</f>
        <v>22310.666666666668</v>
      </c>
      <c r="FM45" s="3547">
        <f t="shared" si="119"/>
        <v>1.1111110688943882E-3</v>
      </c>
      <c r="FN45" s="3568">
        <v>3927.8705974842801</v>
      </c>
      <c r="FO45" s="3559">
        <f>4163.54/1.06</f>
        <v>3927.8679245283015</v>
      </c>
      <c r="FP45" s="3562">
        <f>12490.62/3/1.06</f>
        <v>3927.8679245283015</v>
      </c>
      <c r="FQ45" s="3547">
        <f t="shared" si="120"/>
        <v>-2.672955978596292E-3</v>
      </c>
      <c r="FR45" s="3568">
        <v>22310.665555555599</v>
      </c>
      <c r="FS45" s="3559">
        <f>23426.2/1.05</f>
        <v>22310.666666666668</v>
      </c>
      <c r="FT45" s="3560">
        <f>70278.6/3/1.05</f>
        <v>22310.666666666668</v>
      </c>
      <c r="FU45" s="3547">
        <f t="shared" si="69"/>
        <v>1.1111110688943882E-3</v>
      </c>
      <c r="FV45" s="3568">
        <v>3927.8705974842801</v>
      </c>
      <c r="FW45" s="3559">
        <f>4163.54/1.06</f>
        <v>3927.8679245283015</v>
      </c>
      <c r="FX45" s="3560">
        <f>12490.62/3/1.06</f>
        <v>3927.8679245283015</v>
      </c>
      <c r="FY45" s="3547">
        <f t="shared" si="70"/>
        <v>-2.672955978596292E-3</v>
      </c>
      <c r="FZ45" s="3568">
        <v>22310.665555555599</v>
      </c>
      <c r="GA45" s="3569">
        <f>23426.2/1.05</f>
        <v>22310.666666666668</v>
      </c>
      <c r="GB45" s="3560">
        <f>70278.6/3/1.05</f>
        <v>22310.666666666668</v>
      </c>
      <c r="GC45" s="3547">
        <f t="shared" si="71"/>
        <v>1.1111110688943882E-3</v>
      </c>
      <c r="GD45" s="3568">
        <v>3927.8705974842801</v>
      </c>
      <c r="GE45" s="3569">
        <f>4163.54/1.06</f>
        <v>3927.8679245283015</v>
      </c>
      <c r="GF45" s="3560">
        <f>12490.62/3/1.06</f>
        <v>3927.8679245283015</v>
      </c>
      <c r="GG45" s="3547">
        <f t="shared" si="72"/>
        <v>-2.672955978596292E-3</v>
      </c>
      <c r="GH45" s="3568">
        <v>22310.665555555599</v>
      </c>
      <c r="GI45" s="3569">
        <f>23426.2/1.05</f>
        <v>22310.666666666668</v>
      </c>
      <c r="GJ45" s="3560">
        <f>70278.6/3/1.05</f>
        <v>22310.666666666668</v>
      </c>
      <c r="GK45" s="3547">
        <f t="shared" si="73"/>
        <v>1.1111110688943882E-3</v>
      </c>
      <c r="GL45" s="3568">
        <v>3927.8705974842801</v>
      </c>
      <c r="GM45" s="3569">
        <f>4163.54/1.06</f>
        <v>3927.8679245283015</v>
      </c>
      <c r="GN45" s="3560">
        <f>12490.62/3/1.06</f>
        <v>3927.8679245283015</v>
      </c>
      <c r="GO45" s="3547">
        <f t="shared" si="74"/>
        <v>-2.672955978596292E-3</v>
      </c>
      <c r="GP45" s="3568">
        <v>22310.665555555599</v>
      </c>
      <c r="GQ45" s="3569">
        <f>23426.2/1.05</f>
        <v>22310.666666666668</v>
      </c>
      <c r="GR45" s="3560">
        <f>70278.6/3/1.05</f>
        <v>22310.666666666668</v>
      </c>
      <c r="GS45" s="3547">
        <f t="shared" si="75"/>
        <v>1.1111110688943882E-3</v>
      </c>
      <c r="GT45" s="3568">
        <v>3927.8705974842801</v>
      </c>
      <c r="GU45" s="3569">
        <f>4163.54/1.06</f>
        <v>3927.8679245283015</v>
      </c>
      <c r="GV45" s="3560">
        <f>12490.62/3/1.06</f>
        <v>3927.8679245283015</v>
      </c>
      <c r="GW45" s="3547">
        <f t="shared" si="76"/>
        <v>-2.672955978596292E-3</v>
      </c>
      <c r="GX45" s="3568">
        <v>22310.665555555599</v>
      </c>
      <c r="GY45" s="3569">
        <f>23426.2/1.05</f>
        <v>22310.666666666668</v>
      </c>
      <c r="GZ45" s="3562">
        <f>70278.6/3/1.05</f>
        <v>22310.666666666668</v>
      </c>
      <c r="HA45" s="3547">
        <f t="shared" si="77"/>
        <v>1.1111110688943882E-3</v>
      </c>
      <c r="HB45" s="3568">
        <v>3927.8705974842801</v>
      </c>
      <c r="HC45" s="3569">
        <f>4163.54/1.06</f>
        <v>3927.8679245283015</v>
      </c>
      <c r="HD45" s="3562">
        <f>12490.62/3/1.06</f>
        <v>3927.8679245283015</v>
      </c>
      <c r="HE45" s="3547">
        <f t="shared" si="78"/>
        <v>-2.672955978596292E-3</v>
      </c>
      <c r="HF45" s="3568">
        <v>22310.665555555599</v>
      </c>
      <c r="HG45" s="3569">
        <f>23426.2/1.05</f>
        <v>22310.666666666668</v>
      </c>
      <c r="HH45" s="3562">
        <f>70278.6/3/1.05</f>
        <v>22310.666666666668</v>
      </c>
      <c r="HI45" s="3547">
        <f t="shared" si="79"/>
        <v>1.1111110688943882E-3</v>
      </c>
      <c r="HJ45" s="3568">
        <v>3927.8705974842801</v>
      </c>
      <c r="HK45" s="3569">
        <f>4163.54/1.06</f>
        <v>3927.8679245283015</v>
      </c>
      <c r="HL45" s="3562">
        <f>12490.62/3/1.06</f>
        <v>3927.8679245283015</v>
      </c>
      <c r="HM45" s="3547">
        <f t="shared" si="80"/>
        <v>-2.672955978596292E-3</v>
      </c>
      <c r="HN45" s="3568">
        <v>22310.665555555599</v>
      </c>
      <c r="HO45" s="3569">
        <f>23426.2/1.05</f>
        <v>22310.666666666668</v>
      </c>
      <c r="HP45" s="3562">
        <f>70278.6/3/1.05</f>
        <v>22310.666666666668</v>
      </c>
      <c r="HQ45" s="3547">
        <f t="shared" si="81"/>
        <v>1.1111110688943882E-3</v>
      </c>
      <c r="HR45" s="3568">
        <v>3927.8705974842801</v>
      </c>
      <c r="HS45" s="3569">
        <f>4163.54/1.06</f>
        <v>3927.8679245283015</v>
      </c>
      <c r="HT45" s="3562">
        <f>12490.62/3/1.06</f>
        <v>3927.8679245283015</v>
      </c>
      <c r="HU45" s="3547">
        <f t="shared" si="82"/>
        <v>-2.672955978596292E-3</v>
      </c>
      <c r="HV45" s="3568">
        <v>22310.665555555599</v>
      </c>
      <c r="HW45" s="3569">
        <f>23426.2/1.05</f>
        <v>22310.666666666668</v>
      </c>
      <c r="HX45" s="3562"/>
      <c r="HY45" s="3547">
        <f t="shared" si="83"/>
        <v>-22310.665555555599</v>
      </c>
      <c r="HZ45" s="3568">
        <v>3927.8705974842801</v>
      </c>
      <c r="IA45" s="3569">
        <f>4163.54/1.06</f>
        <v>3927.8679245283015</v>
      </c>
      <c r="IB45" s="3562"/>
      <c r="IC45" s="3547">
        <f t="shared" si="84"/>
        <v>-3927.8705974842801</v>
      </c>
      <c r="ID45" s="3568">
        <v>22310.665555555599</v>
      </c>
      <c r="IE45" s="3569">
        <f>23426.2/1.05</f>
        <v>22310.666666666668</v>
      </c>
      <c r="IF45" s="3562"/>
      <c r="IG45" s="3547">
        <f t="shared" si="85"/>
        <v>-22310.665555555599</v>
      </c>
      <c r="IH45" s="3568">
        <v>3927.8705974842801</v>
      </c>
      <c r="II45" s="3569">
        <f>4163.54/1.06</f>
        <v>3927.8679245283015</v>
      </c>
      <c r="IJ45" s="3562"/>
      <c r="IK45" s="3547">
        <f t="shared" si="86"/>
        <v>-3927.8705974842801</v>
      </c>
      <c r="IL45" s="3547" t="s">
        <v>3970</v>
      </c>
      <c r="IM45" s="3569">
        <f>23426.2/1.05</f>
        <v>22310.666666666668</v>
      </c>
      <c r="IN45" s="3569">
        <f>4163.54/1.06</f>
        <v>3927.8679245283015</v>
      </c>
      <c r="IO45" s="3547"/>
      <c r="IP45" s="3560">
        <f t="shared" si="87"/>
        <v>0</v>
      </c>
      <c r="IQ45" s="3568"/>
      <c r="IR45" s="3568"/>
      <c r="IS45" s="3568"/>
      <c r="IT45" s="3568"/>
      <c r="IU45" s="3568"/>
      <c r="IV45" s="3568"/>
      <c r="IW45" s="3568"/>
      <c r="IX45" s="3568"/>
      <c r="IY45" s="3568"/>
      <c r="IZ45" s="3560"/>
      <c r="JA45" s="3560"/>
      <c r="JB45" s="3560"/>
      <c r="JC45" s="3560">
        <f t="shared" si="11"/>
        <v>0</v>
      </c>
      <c r="JD45" s="3547"/>
      <c r="JE45" s="3568"/>
      <c r="JF45" s="3568"/>
      <c r="JG45" s="3568"/>
      <c r="JH45" s="3568"/>
      <c r="JI45" s="3568"/>
      <c r="JJ45" s="3568"/>
      <c r="JK45" s="3568"/>
      <c r="JL45" s="3568"/>
      <c r="JM45" s="3568"/>
      <c r="JN45" s="3560"/>
      <c r="JO45" s="3560"/>
      <c r="JP45" s="3547" t="s">
        <v>3837</v>
      </c>
      <c r="JQ45" s="3583">
        <f>23426.2/1.05</f>
        <v>22310.666666666668</v>
      </c>
      <c r="JR45" s="3583">
        <f>4163.54/1.06</f>
        <v>3927.8679245283015</v>
      </c>
      <c r="JS45" s="3573">
        <f t="shared" si="28"/>
        <v>7.6397554948925972E-11</v>
      </c>
      <c r="JT45" s="3573">
        <f t="shared" si="35"/>
        <v>4.0927261579781771E-12</v>
      </c>
      <c r="JU45" s="3574">
        <f t="shared" si="29"/>
        <v>0</v>
      </c>
      <c r="JV45" s="3574">
        <f t="shared" si="30"/>
        <v>0</v>
      </c>
      <c r="JW45" s="3575"/>
      <c r="JX45" s="3576">
        <f t="shared" si="31"/>
        <v>22310.666666666668</v>
      </c>
      <c r="JY45" s="3576">
        <f t="shared" si="32"/>
        <v>3927.8679245283015</v>
      </c>
      <c r="JZ45" s="3577"/>
      <c r="KA45" s="3573">
        <f t="shared" ref="KA45:KA89" si="131">HI45+HM45</f>
        <v>-1.5618449097019038E-3</v>
      </c>
      <c r="KB45" s="3573"/>
      <c r="KC45" s="3573"/>
      <c r="KD45" s="3573">
        <f t="shared" si="33"/>
        <v>-1.5618449097019038E-3</v>
      </c>
      <c r="KE45" s="3664"/>
      <c r="KF45" s="3579"/>
      <c r="KG45" s="3579"/>
      <c r="KH45" s="3579"/>
      <c r="KI45" s="3579"/>
      <c r="KJ45" s="3579"/>
      <c r="KK45" s="3579"/>
      <c r="KL45" s="3579"/>
      <c r="KM45" s="3579"/>
      <c r="KN45" s="3579"/>
      <c r="KO45" s="3579"/>
      <c r="KP45" s="3579"/>
      <c r="KQ45" s="3579">
        <f t="shared" si="34"/>
        <v>0</v>
      </c>
      <c r="KR45" s="3579">
        <f t="shared" si="88"/>
        <v>-1.4056604268262162E-6</v>
      </c>
      <c r="KS45" s="3577"/>
      <c r="KT45" s="3577"/>
      <c r="KU45" s="3577"/>
      <c r="KV45" s="3577"/>
      <c r="KW45" s="3577"/>
      <c r="KX45" s="3577"/>
      <c r="KY45" s="3577"/>
      <c r="KZ45" s="3577"/>
      <c r="LA45" s="3577"/>
      <c r="LB45" s="3577"/>
      <c r="LC45" s="3577"/>
      <c r="LD45" s="3577"/>
      <c r="LE45" s="3577"/>
      <c r="LF45" s="3577"/>
      <c r="LG45" s="3577"/>
      <c r="LH45" s="3577"/>
      <c r="LJ45" s="3575"/>
      <c r="LK45" s="3571"/>
      <c r="LL45" s="3576"/>
    </row>
    <row r="46" spans="1:325" s="3580" customFormat="1" ht="18" customHeight="1">
      <c r="A46" s="3545">
        <v>43</v>
      </c>
      <c r="B46" s="3546" t="s">
        <v>4116</v>
      </c>
      <c r="C46" s="3546" t="s">
        <v>4171</v>
      </c>
      <c r="D46" s="3547">
        <v>305.89</v>
      </c>
      <c r="E46" s="3548" t="s">
        <v>3799</v>
      </c>
      <c r="F46" s="3546" t="s">
        <v>3790</v>
      </c>
      <c r="G46" s="3549" t="s">
        <v>4172</v>
      </c>
      <c r="H46" s="3546" t="s">
        <v>4173</v>
      </c>
      <c r="I46" s="3594" t="s">
        <v>3883</v>
      </c>
      <c r="J46" s="3594" t="s">
        <v>4174</v>
      </c>
      <c r="K46" s="3545"/>
      <c r="L46" s="3555"/>
      <c r="M46" s="3551">
        <v>77596.639999999999</v>
      </c>
      <c r="N46" s="3551">
        <f>40659.15+36937.49</f>
        <v>77596.639999999999</v>
      </c>
      <c r="O46" s="3551">
        <f t="shared" si="13"/>
        <v>0</v>
      </c>
      <c r="P46" s="3547">
        <v>15444.9</v>
      </c>
      <c r="Q46" s="3547">
        <f>7722.45+7722.45</f>
        <v>15444.9</v>
      </c>
      <c r="R46" s="3547">
        <f>Q46-P46</f>
        <v>0</v>
      </c>
      <c r="S46" s="3547">
        <f t="shared" si="125"/>
        <v>4.1699996909982415</v>
      </c>
      <c r="T46" s="3552">
        <v>38798.32</v>
      </c>
      <c r="U46" s="3553">
        <f t="shared" si="15"/>
        <v>465579.83999999997</v>
      </c>
      <c r="V46" s="3547">
        <f>T46*12*2</f>
        <v>931159.67999999993</v>
      </c>
      <c r="W46" s="3547">
        <f t="shared" si="126"/>
        <v>0.83000021943603153</v>
      </c>
      <c r="X46" s="3658">
        <v>7722.45</v>
      </c>
      <c r="Y46" s="3547">
        <f t="shared" si="17"/>
        <v>92669.4</v>
      </c>
      <c r="Z46" s="3554"/>
      <c r="AA46" s="3555"/>
      <c r="AB46" s="3665" t="s">
        <v>3979</v>
      </c>
      <c r="AC46" s="3556">
        <f t="shared" si="18"/>
        <v>465579.83999999997</v>
      </c>
      <c r="AD46" s="3556">
        <f t="shared" si="121"/>
        <v>232789.91999999998</v>
      </c>
      <c r="AE46" s="3556">
        <f t="shared" si="121"/>
        <v>232789.92</v>
      </c>
      <c r="AF46" s="3556">
        <f t="shared" si="20"/>
        <v>0</v>
      </c>
      <c r="AG46" s="3556"/>
      <c r="AH46" s="3557">
        <f t="shared" si="21"/>
        <v>92669.4</v>
      </c>
      <c r="AI46" s="3558">
        <f t="shared" si="122"/>
        <v>46334.7</v>
      </c>
      <c r="AJ46" s="3558">
        <f t="shared" si="122"/>
        <v>46334.7</v>
      </c>
      <c r="AK46" s="3557">
        <f t="shared" si="43"/>
        <v>0</v>
      </c>
      <c r="AL46" s="3557"/>
      <c r="AM46" s="3547" t="s">
        <v>3796</v>
      </c>
      <c r="AN46" s="3609"/>
      <c r="AO46" s="3562"/>
      <c r="AP46" s="3561">
        <f t="shared" si="113"/>
        <v>0</v>
      </c>
      <c r="AQ46" s="3559"/>
      <c r="AR46" s="3562"/>
      <c r="AS46" s="3561">
        <f t="shared" si="127"/>
        <v>0</v>
      </c>
      <c r="AT46" s="3563" t="s">
        <v>4175</v>
      </c>
      <c r="AU46" s="3547"/>
      <c r="AV46" s="3609"/>
      <c r="AW46" s="3562"/>
      <c r="AX46" s="3561">
        <f t="shared" si="114"/>
        <v>0</v>
      </c>
      <c r="AY46" s="3559"/>
      <c r="AZ46" s="3562"/>
      <c r="BA46" s="3561">
        <f t="shared" si="128"/>
        <v>0</v>
      </c>
      <c r="BB46" s="3563" t="s">
        <v>4175</v>
      </c>
      <c r="BC46" s="3547"/>
      <c r="BD46" s="3609"/>
      <c r="BE46" s="3562"/>
      <c r="BF46" s="3561">
        <f t="shared" si="115"/>
        <v>0</v>
      </c>
      <c r="BG46" s="3559"/>
      <c r="BH46" s="3562"/>
      <c r="BI46" s="3561">
        <f t="shared" si="116"/>
        <v>0</v>
      </c>
      <c r="BJ46" s="3563" t="s">
        <v>4175</v>
      </c>
      <c r="BK46" s="3547"/>
      <c r="BL46" s="3609"/>
      <c r="BM46" s="3562"/>
      <c r="BN46" s="3561">
        <f t="shared" si="48"/>
        <v>0</v>
      </c>
      <c r="BO46" s="3559"/>
      <c r="BP46" s="3562"/>
      <c r="BQ46" s="3561">
        <f t="shared" si="49"/>
        <v>0</v>
      </c>
      <c r="BR46" s="3563" t="s">
        <v>4175</v>
      </c>
      <c r="BS46" s="3547"/>
      <c r="BT46" s="3559"/>
      <c r="BU46" s="3603"/>
      <c r="BV46" s="3561">
        <f t="shared" si="50"/>
        <v>0</v>
      </c>
      <c r="BW46" s="3559"/>
      <c r="BX46" s="3603"/>
      <c r="BY46" s="3561">
        <f t="shared" si="51"/>
        <v>0</v>
      </c>
      <c r="BZ46" s="3563" t="s">
        <v>4175</v>
      </c>
      <c r="CA46" s="3547"/>
      <c r="CB46" s="3609"/>
      <c r="CC46" s="3562"/>
      <c r="CD46" s="3561">
        <f t="shared" si="52"/>
        <v>0</v>
      </c>
      <c r="CE46" s="3559"/>
      <c r="CF46" s="3562"/>
      <c r="CG46" s="3561">
        <f t="shared" si="53"/>
        <v>0</v>
      </c>
      <c r="CH46" s="3563" t="s">
        <v>4175</v>
      </c>
      <c r="CI46" s="3547" t="s">
        <v>4176</v>
      </c>
      <c r="CJ46" s="3609">
        <f>38798.32*6</f>
        <v>232789.91999999998</v>
      </c>
      <c r="CK46" s="3562">
        <v>232789.92</v>
      </c>
      <c r="CL46" s="3561">
        <f t="shared" si="5"/>
        <v>0</v>
      </c>
      <c r="CM46" s="3559">
        <f>7722.45*6</f>
        <v>46334.7</v>
      </c>
      <c r="CN46" s="3562">
        <v>46334.7</v>
      </c>
      <c r="CO46" s="3561">
        <f t="shared" si="54"/>
        <v>0</v>
      </c>
      <c r="CP46" s="3563" t="s">
        <v>4177</v>
      </c>
      <c r="CQ46" s="3547"/>
      <c r="CR46" s="3609"/>
      <c r="CS46" s="3603"/>
      <c r="CT46" s="3561">
        <f t="shared" si="55"/>
        <v>0</v>
      </c>
      <c r="CU46" s="3559"/>
      <c r="CV46" s="3603"/>
      <c r="CW46" s="3561">
        <f t="shared" si="56"/>
        <v>0</v>
      </c>
      <c r="CX46" s="3563" t="s">
        <v>4177</v>
      </c>
      <c r="CY46" s="3547"/>
      <c r="CZ46" s="3609"/>
      <c r="DA46" s="3562"/>
      <c r="DB46" s="3561">
        <f t="shared" si="57"/>
        <v>0</v>
      </c>
      <c r="DC46" s="3559"/>
      <c r="DD46" s="3603"/>
      <c r="DE46" s="3561">
        <f t="shared" si="58"/>
        <v>0</v>
      </c>
      <c r="DF46" s="3563" t="s">
        <v>4177</v>
      </c>
      <c r="DG46" s="3547"/>
      <c r="DH46" s="3609"/>
      <c r="DI46" s="3562"/>
      <c r="DJ46" s="3561">
        <f t="shared" si="59"/>
        <v>0</v>
      </c>
      <c r="DK46" s="3559"/>
      <c r="DL46" s="3562"/>
      <c r="DM46" s="3561">
        <f t="shared" si="60"/>
        <v>0</v>
      </c>
      <c r="DN46" s="3563"/>
      <c r="DO46" s="3547"/>
      <c r="DP46" s="3609"/>
      <c r="DQ46" s="3562"/>
      <c r="DR46" s="3561">
        <f t="shared" si="61"/>
        <v>0</v>
      </c>
      <c r="DS46" s="3559"/>
      <c r="DT46" s="3562"/>
      <c r="DU46" s="3561">
        <f t="shared" si="62"/>
        <v>0</v>
      </c>
      <c r="DV46" s="3563"/>
      <c r="DW46" s="3547" t="s">
        <v>4178</v>
      </c>
      <c r="DX46" s="3609">
        <f>38798.32*6</f>
        <v>232789.91999999998</v>
      </c>
      <c r="DY46" s="3562"/>
      <c r="DZ46" s="3561">
        <f t="shared" si="63"/>
        <v>-232789.91999999998</v>
      </c>
      <c r="EA46" s="3559">
        <f>7722.45*6</f>
        <v>46334.7</v>
      </c>
      <c r="EB46" s="3562"/>
      <c r="EC46" s="3561">
        <f t="shared" si="64"/>
        <v>-46334.7</v>
      </c>
      <c r="ED46" s="3563"/>
      <c r="EF46" s="3565">
        <f t="shared" si="37"/>
        <v>324062.75642204832</v>
      </c>
      <c r="EG46" s="3565">
        <f t="shared" si="123"/>
        <v>250161.1890410959</v>
      </c>
      <c r="EH46" s="3565">
        <f t="shared" si="123"/>
        <v>344006.04915851273</v>
      </c>
      <c r="EI46" s="3565">
        <f t="shared" si="123"/>
        <v>344006.04915851273</v>
      </c>
      <c r="EJ46" s="3565">
        <f t="shared" si="38"/>
        <v>93844.860117416829</v>
      </c>
      <c r="EK46" s="3566">
        <f t="shared" si="39"/>
        <v>0</v>
      </c>
      <c r="EL46" s="3556"/>
      <c r="EM46" s="3567">
        <f t="shared" si="40"/>
        <v>61635.885524898797</v>
      </c>
      <c r="EN46" s="3557">
        <f t="shared" si="124"/>
        <v>47065.228999741557</v>
      </c>
      <c r="EO46" s="3557">
        <f t="shared" si="124"/>
        <v>65567.971698113208</v>
      </c>
      <c r="EP46" s="3557">
        <f t="shared" si="124"/>
        <v>65567.971698113208</v>
      </c>
      <c r="EQ46" s="3557">
        <f t="shared" si="41"/>
        <v>18502.74269837165</v>
      </c>
      <c r="ER46" s="3557">
        <f t="shared" si="42"/>
        <v>0</v>
      </c>
      <c r="ES46" s="3557"/>
      <c r="ET46" s="3568">
        <v>38723</v>
      </c>
      <c r="EU46" s="3569">
        <f>40659.15/1.05</f>
        <v>38723</v>
      </c>
      <c r="EV46" s="3562">
        <f>203295.75/5/1.05*12/365*14+243954.9/6/1.05-243954.9/6/1.05*12/365*14</f>
        <v>38723</v>
      </c>
      <c r="EW46" s="3547">
        <f t="shared" si="129"/>
        <v>0</v>
      </c>
      <c r="EX46" s="3568">
        <v>7285.3301886792497</v>
      </c>
      <c r="EY46" s="3569">
        <f>7722.45/1.06</f>
        <v>7285.3301886792451</v>
      </c>
      <c r="EZ46" s="3562">
        <f>46334.7/6/1.06*12/365*14+46334.7/6/1.06-46334.7/6/1.06*12/365*14</f>
        <v>7285.3301886792451</v>
      </c>
      <c r="FA46" s="3547">
        <f t="shared" si="130"/>
        <v>0</v>
      </c>
      <c r="FB46" s="3568">
        <v>38723</v>
      </c>
      <c r="FC46" s="3569">
        <f>40659.15/1.05</f>
        <v>38723</v>
      </c>
      <c r="FD46" s="3562">
        <f>243954.9/6/1.05</f>
        <v>38723</v>
      </c>
      <c r="FE46" s="3547">
        <f t="shared" si="117"/>
        <v>0</v>
      </c>
      <c r="FF46" s="3568">
        <v>7285.3301886792497</v>
      </c>
      <c r="FG46" s="3569">
        <f>7722.45/1.06</f>
        <v>7285.3301886792451</v>
      </c>
      <c r="FH46" s="3562">
        <f>46334.7/6/1.06</f>
        <v>7285.3301886792451</v>
      </c>
      <c r="FI46" s="3547">
        <f t="shared" si="118"/>
        <v>0</v>
      </c>
      <c r="FJ46" s="3568">
        <v>38723</v>
      </c>
      <c r="FK46" s="3559">
        <f>40659.15/1.05</f>
        <v>38723</v>
      </c>
      <c r="FL46" s="3562">
        <f>243954.9/6/1.05</f>
        <v>38723</v>
      </c>
      <c r="FM46" s="3547">
        <f t="shared" si="119"/>
        <v>0</v>
      </c>
      <c r="FN46" s="3568">
        <v>7285.3301886792497</v>
      </c>
      <c r="FO46" s="3559">
        <f>7722.45/1.06</f>
        <v>7285.3301886792451</v>
      </c>
      <c r="FP46" s="3562">
        <f>46334.7/6/1.06</f>
        <v>7285.3301886792451</v>
      </c>
      <c r="FQ46" s="3547">
        <f t="shared" si="120"/>
        <v>0</v>
      </c>
      <c r="FR46" s="3568">
        <v>38723</v>
      </c>
      <c r="FS46" s="3559">
        <f>40659.15/1.05</f>
        <v>38723</v>
      </c>
      <c r="FT46" s="3560">
        <f>243954.9/6/1.05</f>
        <v>38723</v>
      </c>
      <c r="FU46" s="3547">
        <f t="shared" si="69"/>
        <v>0</v>
      </c>
      <c r="FV46" s="3568">
        <v>7285.3301886792497</v>
      </c>
      <c r="FW46" s="3559">
        <f>7722.45/1.06</f>
        <v>7285.3301886792451</v>
      </c>
      <c r="FX46" s="3560">
        <f>46334.7/6/1.06</f>
        <v>7285.3301886792451</v>
      </c>
      <c r="FY46" s="3547">
        <f t="shared" si="70"/>
        <v>0</v>
      </c>
      <c r="FZ46" s="3568">
        <v>38723</v>
      </c>
      <c r="GA46" s="3569">
        <f>40659.15/1.05</f>
        <v>38723</v>
      </c>
      <c r="GB46" s="3560">
        <f>243954.9/6/1.05</f>
        <v>38723</v>
      </c>
      <c r="GC46" s="3547">
        <f t="shared" si="71"/>
        <v>0</v>
      </c>
      <c r="GD46" s="3568">
        <v>7285.3301886792497</v>
      </c>
      <c r="GE46" s="3569">
        <f>7722.45/1.06</f>
        <v>7285.3301886792451</v>
      </c>
      <c r="GF46" s="3560">
        <f>46334.7/6/1.06</f>
        <v>7285.3301886792451</v>
      </c>
      <c r="GG46" s="3547">
        <f t="shared" si="72"/>
        <v>0</v>
      </c>
      <c r="GH46" s="3568">
        <v>38723</v>
      </c>
      <c r="GI46" s="3569">
        <f>40659.15/1.05</f>
        <v>38723</v>
      </c>
      <c r="GJ46" s="3562">
        <f>243954.9/6/1.05</f>
        <v>38723</v>
      </c>
      <c r="GK46" s="3547">
        <f t="shared" si="73"/>
        <v>0</v>
      </c>
      <c r="GL46" s="3568">
        <v>7285.3301886792497</v>
      </c>
      <c r="GM46" s="3569">
        <f>7722.45/1.06</f>
        <v>7285.3301886792451</v>
      </c>
      <c r="GN46" s="3562">
        <f>46334.7/6/1.06</f>
        <v>7285.3301886792451</v>
      </c>
      <c r="GO46" s="3547">
        <f t="shared" si="74"/>
        <v>0</v>
      </c>
      <c r="GP46" s="3568">
        <v>17823.189041095899</v>
      </c>
      <c r="GQ46" s="3592">
        <f>40659.15/1.05*12/365*14+38798.32/1.05-38798.32/1.05*12/365*14</f>
        <v>37766.487253750805</v>
      </c>
      <c r="GR46" s="3562">
        <f>243954.9/6/1.05*12/365*14+232789.92/6/1.05-232789.92/6/1.05*12/365*14</f>
        <v>37766.487253750805</v>
      </c>
      <c r="GS46" s="3547">
        <f t="shared" si="75"/>
        <v>19943.298212654907</v>
      </c>
      <c r="GT46" s="3568">
        <v>3353.2478676660598</v>
      </c>
      <c r="GU46" s="3592">
        <f>7722.45/1.06*12/365*14+7722.45/1.06-7722.45/1.06*12/365*14</f>
        <v>7285.3301886792451</v>
      </c>
      <c r="GV46" s="3562">
        <f>46334.7/6/1.06*12/365*14+46334.7/6/1.06-46334.7/6/1.06*12/365*14</f>
        <v>7285.3301886792451</v>
      </c>
      <c r="GW46" s="3547">
        <f t="shared" si="76"/>
        <v>3932.0823210131853</v>
      </c>
      <c r="GX46" s="3568"/>
      <c r="GY46" s="3569">
        <f>38798.32/1.05</f>
        <v>36950.780952380948</v>
      </c>
      <c r="GZ46" s="3562">
        <f>232789.92/6/1.05</f>
        <v>36950.780952380948</v>
      </c>
      <c r="HA46" s="3547">
        <f t="shared" si="77"/>
        <v>36950.780952380948</v>
      </c>
      <c r="HB46" s="3568"/>
      <c r="HC46" s="3569">
        <f>7722.45/1.06</f>
        <v>7285.3301886792451</v>
      </c>
      <c r="HD46" s="3562">
        <f>46334.7/6/1.06</f>
        <v>7285.3301886792451</v>
      </c>
      <c r="HE46" s="3547">
        <f t="shared" si="78"/>
        <v>7285.3301886792451</v>
      </c>
      <c r="HF46" s="3568"/>
      <c r="HG46" s="3569">
        <f>38798.32/1.05</f>
        <v>36950.780952380948</v>
      </c>
      <c r="HH46" s="3562">
        <f>232789.92/6/1.05</f>
        <v>36950.780952380948</v>
      </c>
      <c r="HI46" s="3547">
        <f t="shared" si="79"/>
        <v>36950.780952380948</v>
      </c>
      <c r="HJ46" s="3568"/>
      <c r="HK46" s="3569">
        <f>7722.45/1.06</f>
        <v>7285.3301886792451</v>
      </c>
      <c r="HL46" s="3562">
        <f>46334.7/6/1.06</f>
        <v>7285.3301886792451</v>
      </c>
      <c r="HM46" s="3547">
        <f t="shared" si="80"/>
        <v>7285.3301886792451</v>
      </c>
      <c r="HN46" s="3568"/>
      <c r="HO46" s="3569">
        <f>38798.32/1.05</f>
        <v>36950.780952380948</v>
      </c>
      <c r="HP46" s="3562">
        <f>232789.92/6/1.05</f>
        <v>36950.780952380948</v>
      </c>
      <c r="HQ46" s="3547">
        <f t="shared" si="81"/>
        <v>36950.780952380948</v>
      </c>
      <c r="HR46" s="3568"/>
      <c r="HS46" s="3569">
        <f>7722.45/1.06</f>
        <v>7285.3301886792451</v>
      </c>
      <c r="HT46" s="3562">
        <f>46334.7/6/1.06</f>
        <v>7285.3301886792451</v>
      </c>
      <c r="HU46" s="3547">
        <f t="shared" si="82"/>
        <v>7285.3301886792451</v>
      </c>
      <c r="HV46" s="3568">
        <v>36950.783690476201</v>
      </c>
      <c r="HW46" s="3569">
        <f>38798.32/1.05</f>
        <v>36950.780952380948</v>
      </c>
      <c r="HX46" s="3562">
        <f>232789.92/6/1.05</f>
        <v>36950.780952380948</v>
      </c>
      <c r="HY46" s="3547">
        <f t="shared" si="83"/>
        <v>-2.7380952524254099E-3</v>
      </c>
      <c r="HZ46" s="3568">
        <v>7285.3282625786196</v>
      </c>
      <c r="IA46" s="3569">
        <f>7722.45/1.06</f>
        <v>7285.3301886792451</v>
      </c>
      <c r="IB46" s="3562">
        <f>46334.7/6/1.06</f>
        <v>7285.3301886792451</v>
      </c>
      <c r="IC46" s="3547">
        <f t="shared" si="84"/>
        <v>1.9261006254964741E-3</v>
      </c>
      <c r="ID46" s="3568">
        <v>36950.783690476201</v>
      </c>
      <c r="IE46" s="3569">
        <f>38798.32/1.05</f>
        <v>36950.780952380948</v>
      </c>
      <c r="IF46" s="3562">
        <f>232789.92/6/1.05</f>
        <v>36950.780952380948</v>
      </c>
      <c r="IG46" s="3547">
        <f t="shared" si="85"/>
        <v>-2.7380952524254099E-3</v>
      </c>
      <c r="IH46" s="3568">
        <v>7285.3282625786196</v>
      </c>
      <c r="II46" s="3569">
        <f>7722.45/1.06</f>
        <v>7285.3301886792451</v>
      </c>
      <c r="IJ46" s="3562">
        <f>46334.7/6/1.06</f>
        <v>7285.3301886792451</v>
      </c>
      <c r="IK46" s="3547">
        <f t="shared" si="86"/>
        <v>1.9261006254964741E-3</v>
      </c>
      <c r="IL46" s="3547" t="s">
        <v>4179</v>
      </c>
      <c r="IM46" s="3569">
        <f>38798.32*6/1.05+38798.32/1.05*12/365*14</f>
        <v>238712.1684540117</v>
      </c>
      <c r="IN46" s="3569">
        <f>7722.45*6/1.06+7722.45/1.06*12/365*14</f>
        <v>47065.228999741528</v>
      </c>
      <c r="IO46" s="3547" t="s">
        <v>4180</v>
      </c>
      <c r="IP46" s="3560">
        <f t="shared" si="87"/>
        <v>17007.482739726027</v>
      </c>
      <c r="IQ46" s="3562">
        <f>232789.92/6/1.05*12/365*14</f>
        <v>17007.482739726027</v>
      </c>
      <c r="IR46" s="3568"/>
      <c r="IS46" s="3568"/>
      <c r="IT46" s="3568"/>
      <c r="IU46" s="3568"/>
      <c r="IV46" s="3568"/>
      <c r="IW46" s="3568"/>
      <c r="IX46" s="3568"/>
      <c r="IY46" s="3568"/>
      <c r="IZ46" s="3560"/>
      <c r="JA46" s="3560"/>
      <c r="JB46" s="3560"/>
      <c r="JC46" s="3560">
        <f t="shared" si="11"/>
        <v>3353.247867666063</v>
      </c>
      <c r="JD46" s="3562">
        <f>46334.7/6/1.06*12/365*14</f>
        <v>3353.247867666063</v>
      </c>
      <c r="JE46" s="3568"/>
      <c r="JF46" s="3568"/>
      <c r="JG46" s="3568"/>
      <c r="JH46" s="3568"/>
      <c r="JI46" s="3568"/>
      <c r="JJ46" s="3568"/>
      <c r="JK46" s="3568"/>
      <c r="JL46" s="3568"/>
      <c r="JM46" s="3568"/>
      <c r="JN46" s="3560"/>
      <c r="JO46" s="3560"/>
      <c r="JP46" s="3547" t="s">
        <v>4181</v>
      </c>
      <c r="JQ46" s="3583">
        <f>40659.15/1.05*6+40659.15/1.05*12/365*14</f>
        <v>250161.1890410959</v>
      </c>
      <c r="JR46" s="3583">
        <f>7722.45/1.06*6+7722.45/1.06*12/365*14</f>
        <v>47065.228999741528</v>
      </c>
      <c r="JS46" s="3573">
        <f t="shared" si="28"/>
        <v>0</v>
      </c>
      <c r="JT46" s="3573">
        <f t="shared" si="35"/>
        <v>0</v>
      </c>
      <c r="JU46" s="3574">
        <f t="shared" si="29"/>
        <v>0</v>
      </c>
      <c r="JV46" s="3574">
        <f t="shared" si="30"/>
        <v>0</v>
      </c>
      <c r="JW46" s="3575"/>
      <c r="JX46" s="3576">
        <f t="shared" si="31"/>
        <v>127859.82559686888</v>
      </c>
      <c r="JY46" s="3576">
        <f t="shared" si="32"/>
        <v>25209.238433703795</v>
      </c>
      <c r="JZ46" s="3577"/>
      <c r="KA46" s="3573">
        <f t="shared" si="131"/>
        <v>44236.111141060195</v>
      </c>
      <c r="KB46" s="3573"/>
      <c r="KC46" s="3573"/>
      <c r="KD46" s="3573">
        <f t="shared" si="33"/>
        <v>44236.111141060195</v>
      </c>
      <c r="KE46" s="3664" t="s">
        <v>3761</v>
      </c>
      <c r="KF46" s="3579"/>
      <c r="KG46" s="3579"/>
      <c r="KH46" s="3579">
        <f>23875.38/10000+44236.11/10000*2</f>
        <v>11.234760000000001</v>
      </c>
      <c r="KI46" s="3579"/>
      <c r="KJ46" s="3579"/>
      <c r="KK46" s="3579"/>
      <c r="KL46" s="3579"/>
      <c r="KM46" s="3579"/>
      <c r="KN46" s="3579"/>
      <c r="KO46" s="3579"/>
      <c r="KP46" s="3579"/>
      <c r="KQ46" s="3579">
        <f t="shared" si="34"/>
        <v>11.234760000000001</v>
      </c>
      <c r="KR46" s="3579">
        <f t="shared" si="88"/>
        <v>2.8157884557344914E-7</v>
      </c>
      <c r="KS46" s="3577"/>
      <c r="KT46" s="3577"/>
      <c r="KU46" s="3577"/>
      <c r="KV46" s="3577"/>
      <c r="KW46" s="3577"/>
      <c r="KX46" s="3577"/>
      <c r="KY46" s="3577"/>
      <c r="KZ46" s="3577"/>
      <c r="LA46" s="3577"/>
      <c r="LB46" s="3577"/>
      <c r="LC46" s="3577"/>
      <c r="LD46" s="3577"/>
      <c r="LE46" s="3577"/>
      <c r="LF46" s="3577"/>
      <c r="LG46" s="3577"/>
      <c r="LH46" s="3577"/>
      <c r="LJ46" s="3575"/>
      <c r="LK46" s="3571"/>
      <c r="LL46" s="3576"/>
    </row>
    <row r="47" spans="1:325" s="3580" customFormat="1" ht="18" customHeight="1">
      <c r="A47" s="3545">
        <v>44</v>
      </c>
      <c r="B47" s="3546" t="s">
        <v>4116</v>
      </c>
      <c r="C47" s="3546" t="s">
        <v>4182</v>
      </c>
      <c r="D47" s="3547">
        <v>554.87</v>
      </c>
      <c r="E47" s="3548" t="s">
        <v>3799</v>
      </c>
      <c r="F47" s="3546" t="s">
        <v>3790</v>
      </c>
      <c r="G47" s="3666" t="s">
        <v>4183</v>
      </c>
      <c r="H47" s="3546" t="s">
        <v>4184</v>
      </c>
      <c r="I47" s="3634" t="s">
        <v>4185</v>
      </c>
      <c r="J47" s="3635" t="s">
        <v>4186</v>
      </c>
      <c r="K47" s="3545" t="s">
        <v>4005</v>
      </c>
      <c r="L47" s="3545"/>
      <c r="M47" s="3551">
        <v>270541.92</v>
      </c>
      <c r="N47" s="3551">
        <v>270541.92</v>
      </c>
      <c r="O47" s="3551">
        <f t="shared" si="13"/>
        <v>0</v>
      </c>
      <c r="P47" s="3547">
        <v>48083.46</v>
      </c>
      <c r="Q47" s="3547">
        <v>48083.46</v>
      </c>
      <c r="R47" s="3547">
        <f>Q47-P47</f>
        <v>0</v>
      </c>
      <c r="S47" s="3547">
        <f t="shared" si="125"/>
        <v>5.3433109717665568</v>
      </c>
      <c r="T47" s="3598">
        <v>90180.64</v>
      </c>
      <c r="U47" s="3553">
        <f t="shared" si="15"/>
        <v>1082167.68</v>
      </c>
      <c r="V47" s="3547">
        <v>4003950.62</v>
      </c>
      <c r="W47" s="3547">
        <f t="shared" si="126"/>
        <v>0.9496675390582664</v>
      </c>
      <c r="X47" s="3658">
        <v>16027.82</v>
      </c>
      <c r="Y47" s="3547">
        <f t="shared" si="17"/>
        <v>192333.84</v>
      </c>
      <c r="Z47" s="3554"/>
      <c r="AA47" s="3555"/>
      <c r="AB47" s="3663" t="s">
        <v>4187</v>
      </c>
      <c r="AC47" s="3556">
        <f t="shared" si="18"/>
        <v>991987.04</v>
      </c>
      <c r="AD47" s="3556">
        <f t="shared" si="121"/>
        <v>721445.12</v>
      </c>
      <c r="AE47" s="3556">
        <f t="shared" si="121"/>
        <v>721445.12</v>
      </c>
      <c r="AF47" s="3556">
        <f t="shared" si="20"/>
        <v>0</v>
      </c>
      <c r="AG47" s="3556"/>
      <c r="AH47" s="3557">
        <f t="shared" si="21"/>
        <v>192333.84000000005</v>
      </c>
      <c r="AI47" s="3558">
        <f t="shared" si="122"/>
        <v>144250.38000000003</v>
      </c>
      <c r="AJ47" s="3558">
        <f t="shared" si="122"/>
        <v>144250.38000000003</v>
      </c>
      <c r="AK47" s="3557">
        <f t="shared" si="43"/>
        <v>0</v>
      </c>
      <c r="AL47" s="3557"/>
      <c r="AM47" s="3547" t="s">
        <v>3822</v>
      </c>
      <c r="AN47" s="3609">
        <v>90180.64</v>
      </c>
      <c r="AO47" s="3562">
        <f>90000+180.64</f>
        <v>90180.64</v>
      </c>
      <c r="AP47" s="3561">
        <f t="shared" si="113"/>
        <v>0</v>
      </c>
      <c r="AQ47" s="3559">
        <v>16027.82</v>
      </c>
      <c r="AR47" s="3562">
        <v>16027.82</v>
      </c>
      <c r="AS47" s="3561">
        <f t="shared" si="127"/>
        <v>0</v>
      </c>
      <c r="AT47" s="3563" t="s">
        <v>3871</v>
      </c>
      <c r="AU47" s="3547" t="s">
        <v>3824</v>
      </c>
      <c r="AV47" s="3609">
        <v>90180.64</v>
      </c>
      <c r="AW47" s="3562">
        <f>180.64+90000</f>
        <v>90180.64</v>
      </c>
      <c r="AX47" s="3561">
        <f t="shared" si="114"/>
        <v>0</v>
      </c>
      <c r="AY47" s="3559">
        <v>16027.82</v>
      </c>
      <c r="AZ47" s="3562">
        <v>16027.82</v>
      </c>
      <c r="BA47" s="3561">
        <f t="shared" si="128"/>
        <v>0</v>
      </c>
      <c r="BB47" s="3563" t="s">
        <v>3944</v>
      </c>
      <c r="BC47" s="3547" t="s">
        <v>3826</v>
      </c>
      <c r="BD47" s="3609">
        <v>90180.64</v>
      </c>
      <c r="BE47" s="3562">
        <f>90000+180.64</f>
        <v>90180.64</v>
      </c>
      <c r="BF47" s="3561">
        <f t="shared" si="115"/>
        <v>0</v>
      </c>
      <c r="BG47" s="3559">
        <v>16027.82</v>
      </c>
      <c r="BH47" s="3562">
        <f>16027.82</f>
        <v>16027.82</v>
      </c>
      <c r="BI47" s="3561">
        <f t="shared" si="116"/>
        <v>0</v>
      </c>
      <c r="BJ47" s="3563" t="s">
        <v>4012</v>
      </c>
      <c r="BK47" s="3547" t="s">
        <v>3873</v>
      </c>
      <c r="BL47" s="3609">
        <v>90180.64</v>
      </c>
      <c r="BM47" s="3562">
        <v>90180.64</v>
      </c>
      <c r="BN47" s="3561">
        <f t="shared" si="48"/>
        <v>0</v>
      </c>
      <c r="BO47" s="3559">
        <v>16027.82</v>
      </c>
      <c r="BP47" s="3603">
        <v>16027.82</v>
      </c>
      <c r="BQ47" s="3602">
        <f t="shared" si="49"/>
        <v>0</v>
      </c>
      <c r="BR47" s="3630" t="s">
        <v>4188</v>
      </c>
      <c r="BS47" s="3584" t="s">
        <v>3875</v>
      </c>
      <c r="BT47" s="3590"/>
      <c r="BU47" s="3601"/>
      <c r="BV47" s="3561">
        <f t="shared" si="50"/>
        <v>0</v>
      </c>
      <c r="BW47" s="3559">
        <v>16027.82</v>
      </c>
      <c r="BX47" s="3603">
        <v>16027.82</v>
      </c>
      <c r="BY47" s="3561">
        <f t="shared" si="51"/>
        <v>0</v>
      </c>
      <c r="BZ47" s="3563" t="s">
        <v>4189</v>
      </c>
      <c r="CA47" s="3547" t="s">
        <v>3877</v>
      </c>
      <c r="CB47" s="3609">
        <v>90180.64</v>
      </c>
      <c r="CC47" s="3603">
        <f>90180.64</f>
        <v>90180.64</v>
      </c>
      <c r="CD47" s="3561">
        <f t="shared" si="52"/>
        <v>0</v>
      </c>
      <c r="CE47" s="3559">
        <v>16027.82</v>
      </c>
      <c r="CF47" s="3562">
        <v>16027.82</v>
      </c>
      <c r="CG47" s="3561">
        <f t="shared" si="53"/>
        <v>0</v>
      </c>
      <c r="CH47" s="3630" t="s">
        <v>4155</v>
      </c>
      <c r="CI47" s="3547" t="s">
        <v>3948</v>
      </c>
      <c r="CJ47" s="3609">
        <v>90180.64</v>
      </c>
      <c r="CK47" s="3603">
        <v>90180.64</v>
      </c>
      <c r="CL47" s="3561">
        <f t="shared" si="5"/>
        <v>0</v>
      </c>
      <c r="CM47" s="3559">
        <v>16027.82</v>
      </c>
      <c r="CN47" s="3562">
        <v>16027.82</v>
      </c>
      <c r="CO47" s="3561">
        <f t="shared" si="54"/>
        <v>0</v>
      </c>
      <c r="CP47" s="3563" t="s">
        <v>3949</v>
      </c>
      <c r="CQ47" s="3547" t="s">
        <v>3950</v>
      </c>
      <c r="CR47" s="3609">
        <v>90180.64</v>
      </c>
      <c r="CS47" s="3603">
        <v>90180.64</v>
      </c>
      <c r="CT47" s="3561">
        <f t="shared" si="55"/>
        <v>0</v>
      </c>
      <c r="CU47" s="3559">
        <v>16027.82</v>
      </c>
      <c r="CV47" s="3603">
        <v>16027.82</v>
      </c>
      <c r="CW47" s="3561">
        <f t="shared" si="56"/>
        <v>0</v>
      </c>
      <c r="CX47" s="3563" t="s">
        <v>4190</v>
      </c>
      <c r="CY47" s="3547" t="s">
        <v>3966</v>
      </c>
      <c r="CZ47" s="3609">
        <v>90180.64</v>
      </c>
      <c r="DA47" s="3562">
        <v>90180.64</v>
      </c>
      <c r="DB47" s="3561">
        <f t="shared" si="57"/>
        <v>0</v>
      </c>
      <c r="DC47" s="3559">
        <v>16027.82</v>
      </c>
      <c r="DD47" s="3603">
        <v>16027.82</v>
      </c>
      <c r="DE47" s="3561">
        <f t="shared" si="58"/>
        <v>0</v>
      </c>
      <c r="DF47" s="3563" t="s">
        <v>4191</v>
      </c>
      <c r="DG47" s="3547" t="s">
        <v>3968</v>
      </c>
      <c r="DH47" s="3609">
        <v>90180.64</v>
      </c>
      <c r="DI47" s="3562"/>
      <c r="DJ47" s="3561">
        <f t="shared" si="59"/>
        <v>-90180.64</v>
      </c>
      <c r="DK47" s="3559">
        <v>16027.82</v>
      </c>
      <c r="DL47" s="3562"/>
      <c r="DM47" s="3561">
        <f t="shared" si="60"/>
        <v>-16027.82</v>
      </c>
      <c r="DN47" s="3563"/>
      <c r="DO47" s="3547" t="s">
        <v>3969</v>
      </c>
      <c r="DP47" s="3609">
        <v>90180.64</v>
      </c>
      <c r="DQ47" s="3562"/>
      <c r="DR47" s="3561">
        <f t="shared" si="61"/>
        <v>-90180.64</v>
      </c>
      <c r="DS47" s="3559">
        <v>16027.82</v>
      </c>
      <c r="DT47" s="3562"/>
      <c r="DU47" s="3561">
        <f t="shared" si="62"/>
        <v>-16027.82</v>
      </c>
      <c r="DV47" s="3563"/>
      <c r="DW47" s="3547" t="s">
        <v>3970</v>
      </c>
      <c r="DX47" s="3609">
        <v>90180.64</v>
      </c>
      <c r="DY47" s="3562"/>
      <c r="DZ47" s="3561">
        <f t="shared" si="63"/>
        <v>-90180.64</v>
      </c>
      <c r="EA47" s="3559">
        <v>16027.82</v>
      </c>
      <c r="EB47" s="3562"/>
      <c r="EC47" s="3561">
        <f t="shared" si="64"/>
        <v>-16027.82</v>
      </c>
      <c r="ED47" s="3563"/>
      <c r="EF47" s="3565">
        <f t="shared" si="37"/>
        <v>825701.60662698373</v>
      </c>
      <c r="EG47" s="3565">
        <f t="shared" si="123"/>
        <v>600510.25936507911</v>
      </c>
      <c r="EH47" s="3565">
        <f t="shared" si="123"/>
        <v>687090.59047619055</v>
      </c>
      <c r="EI47" s="3565">
        <f t="shared" si="123"/>
        <v>687090.59047619055</v>
      </c>
      <c r="EJ47" s="3565">
        <f t="shared" si="38"/>
        <v>86580.331111111445</v>
      </c>
      <c r="EK47" s="3565">
        <f t="shared" si="39"/>
        <v>0</v>
      </c>
      <c r="EL47" s="3556"/>
      <c r="EM47" s="3557">
        <f t="shared" si="40"/>
        <v>158582.89292452799</v>
      </c>
      <c r="EN47" s="3557">
        <f t="shared" si="124"/>
        <v>118937.16969339602</v>
      </c>
      <c r="EO47" s="3557">
        <f t="shared" si="124"/>
        <v>136085.26415094337</v>
      </c>
      <c r="EP47" s="3557">
        <f t="shared" si="124"/>
        <v>136085.26415094337</v>
      </c>
      <c r="EQ47" s="3557">
        <f t="shared" si="41"/>
        <v>17148.094457547355</v>
      </c>
      <c r="ER47" s="3557">
        <f t="shared" si="42"/>
        <v>0</v>
      </c>
      <c r="ES47" s="3557"/>
      <c r="ET47" s="3568">
        <v>75063.782420634903</v>
      </c>
      <c r="EU47" s="3569">
        <f>90180.64/1.05</f>
        <v>85886.323809523805</v>
      </c>
      <c r="EV47" s="3562">
        <f>90180.64/1.05</f>
        <v>85886.323809523805</v>
      </c>
      <c r="EW47" s="3547">
        <f t="shared" si="129"/>
        <v>10822.541388888902</v>
      </c>
      <c r="EX47" s="3568">
        <v>13215.241077044</v>
      </c>
      <c r="EY47" s="3569">
        <f>16027.82/1.06</f>
        <v>15120.584905660377</v>
      </c>
      <c r="EZ47" s="3562">
        <f>16027.82/1.06</f>
        <v>15120.584905660377</v>
      </c>
      <c r="FA47" s="3547">
        <f t="shared" si="130"/>
        <v>1905.3438286163764</v>
      </c>
      <c r="FB47" s="3568">
        <v>75063.782420634903</v>
      </c>
      <c r="FC47" s="3569">
        <f>90180.64/1.05</f>
        <v>85886.323809523805</v>
      </c>
      <c r="FD47" s="3562">
        <f>90180.64/1.05</f>
        <v>85886.323809523805</v>
      </c>
      <c r="FE47" s="3547">
        <f t="shared" si="117"/>
        <v>10822.541388888902</v>
      </c>
      <c r="FF47" s="3568">
        <v>13215.241077044</v>
      </c>
      <c r="FG47" s="3569">
        <f>16027.82/1.06</f>
        <v>15120.584905660377</v>
      </c>
      <c r="FH47" s="3562">
        <f>16027.82/1.06</f>
        <v>15120.584905660377</v>
      </c>
      <c r="FI47" s="3547">
        <f t="shared" si="118"/>
        <v>1905.3438286163764</v>
      </c>
      <c r="FJ47" s="3568">
        <v>75063.782420634903</v>
      </c>
      <c r="FK47" s="3559">
        <f>90180.64/1.05</f>
        <v>85886.323809523805</v>
      </c>
      <c r="FL47" s="3562">
        <f>90180.64/1.05</f>
        <v>85886.323809523805</v>
      </c>
      <c r="FM47" s="3547">
        <f t="shared" si="119"/>
        <v>10822.541388888902</v>
      </c>
      <c r="FN47" s="3568">
        <v>13215.241077044</v>
      </c>
      <c r="FO47" s="3559">
        <f>16027.82/1.06</f>
        <v>15120.584905660377</v>
      </c>
      <c r="FP47" s="3562">
        <f>16027.82/1.06</f>
        <v>15120.584905660377</v>
      </c>
      <c r="FQ47" s="3547">
        <f t="shared" si="120"/>
        <v>1905.3438286163764</v>
      </c>
      <c r="FR47" s="3568">
        <v>75063.782420634903</v>
      </c>
      <c r="FS47" s="3559">
        <f>90180.64/1.05</f>
        <v>85886.323809523805</v>
      </c>
      <c r="FT47" s="3560">
        <f>90180.64/1.05</f>
        <v>85886.323809523805</v>
      </c>
      <c r="FU47" s="3547">
        <f t="shared" si="69"/>
        <v>10822.541388888902</v>
      </c>
      <c r="FV47" s="3568">
        <v>13215.241077044</v>
      </c>
      <c r="FW47" s="3559">
        <f>16027.82/1.06</f>
        <v>15120.584905660377</v>
      </c>
      <c r="FX47" s="3560">
        <f>16027.82/1.06</f>
        <v>15120.584905660377</v>
      </c>
      <c r="FY47" s="3547">
        <f t="shared" si="70"/>
        <v>1905.3438286163764</v>
      </c>
      <c r="FZ47" s="3568">
        <v>75063.782420634903</v>
      </c>
      <c r="GA47" s="3569">
        <f>90180.64/1.05</f>
        <v>85886.323809523805</v>
      </c>
      <c r="GB47" s="3560">
        <f>90180.64/1.05</f>
        <v>85886.323809523805</v>
      </c>
      <c r="GC47" s="3547">
        <f t="shared" si="71"/>
        <v>10822.541388888902</v>
      </c>
      <c r="GD47" s="3568">
        <v>13215.241077044</v>
      </c>
      <c r="GE47" s="3569">
        <f>16027.82/1.06</f>
        <v>15120.584905660377</v>
      </c>
      <c r="GF47" s="3560">
        <f>16027.82/1.06</f>
        <v>15120.584905660377</v>
      </c>
      <c r="GG47" s="3547">
        <f t="shared" si="72"/>
        <v>1905.3438286163764</v>
      </c>
      <c r="GH47" s="3568"/>
      <c r="GI47" s="3592"/>
      <c r="GJ47" s="3605"/>
      <c r="GK47" s="3547">
        <f t="shared" si="73"/>
        <v>0</v>
      </c>
      <c r="GL47" s="3568">
        <v>13215.241077044</v>
      </c>
      <c r="GM47" s="3569">
        <f>16027.82/1.06</f>
        <v>15120.584905660377</v>
      </c>
      <c r="GN47" s="3560">
        <f>16027.82/1.06</f>
        <v>15120.584905660377</v>
      </c>
      <c r="GO47" s="3547">
        <f t="shared" si="74"/>
        <v>1905.3438286163764</v>
      </c>
      <c r="GP47" s="3568">
        <v>75063.782420634903</v>
      </c>
      <c r="GQ47" s="3569">
        <f>90180.64/1.05</f>
        <v>85886.323809523805</v>
      </c>
      <c r="GR47" s="3562">
        <f>90180.64/1.05</f>
        <v>85886.323809523805</v>
      </c>
      <c r="GS47" s="3547">
        <f t="shared" si="75"/>
        <v>10822.541388888902</v>
      </c>
      <c r="GT47" s="3568">
        <v>13215.241077044</v>
      </c>
      <c r="GU47" s="3569">
        <f>16027.82/1.06</f>
        <v>15120.584905660377</v>
      </c>
      <c r="GV47" s="3560">
        <f>16027.82/1.06</f>
        <v>15120.584905660377</v>
      </c>
      <c r="GW47" s="3547">
        <f t="shared" si="76"/>
        <v>1905.3438286163764</v>
      </c>
      <c r="GX47" s="3568">
        <v>75063.782420634903</v>
      </c>
      <c r="GY47" s="3569">
        <f>90180.64/1.05</f>
        <v>85886.323809523805</v>
      </c>
      <c r="GZ47" s="3562">
        <f>90180.64/1.05</f>
        <v>85886.323809523805</v>
      </c>
      <c r="HA47" s="3547">
        <f t="shared" si="77"/>
        <v>10822.541388888902</v>
      </c>
      <c r="HB47" s="3568">
        <v>13215.241077044</v>
      </c>
      <c r="HC47" s="3569">
        <f>16027.82/1.06</f>
        <v>15120.584905660377</v>
      </c>
      <c r="HD47" s="3562">
        <f>16027.82/1.06</f>
        <v>15120.584905660377</v>
      </c>
      <c r="HE47" s="3547">
        <f t="shared" si="78"/>
        <v>1905.3438286163764</v>
      </c>
      <c r="HF47" s="3568">
        <v>75063.782420634903</v>
      </c>
      <c r="HG47" s="3569">
        <f>90180.64/1.05</f>
        <v>85886.323809523805</v>
      </c>
      <c r="HH47" s="3562">
        <f>90180.64/1.05</f>
        <v>85886.323809523805</v>
      </c>
      <c r="HI47" s="3547">
        <f t="shared" si="79"/>
        <v>10822.541388888902</v>
      </c>
      <c r="HJ47" s="3568">
        <v>13215.241077044</v>
      </c>
      <c r="HK47" s="3569">
        <f>16027.82/1.06</f>
        <v>15120.584905660377</v>
      </c>
      <c r="HL47" s="3562">
        <f>16027.82/1.06</f>
        <v>15120.584905660377</v>
      </c>
      <c r="HM47" s="3547">
        <f t="shared" si="80"/>
        <v>1905.3438286163764</v>
      </c>
      <c r="HN47" s="3568">
        <v>75063.782420634903</v>
      </c>
      <c r="HO47" s="3569">
        <f>90180.64/1.05</f>
        <v>85886.323809523805</v>
      </c>
      <c r="HP47" s="3562">
        <f>90180.64/1.05</f>
        <v>85886.323809523805</v>
      </c>
      <c r="HQ47" s="3547">
        <f t="shared" si="81"/>
        <v>10822.541388888902</v>
      </c>
      <c r="HR47" s="3568">
        <v>13215.241077044</v>
      </c>
      <c r="HS47" s="3569">
        <f>16027.82/1.06</f>
        <v>15120.584905660377</v>
      </c>
      <c r="HT47" s="3562">
        <f>16027.82/1.06</f>
        <v>15120.584905660377</v>
      </c>
      <c r="HU47" s="3547">
        <f t="shared" si="82"/>
        <v>1905.3438286163764</v>
      </c>
      <c r="HV47" s="3568">
        <v>75063.782420634903</v>
      </c>
      <c r="HW47" s="3569">
        <f>90180.64/1.05</f>
        <v>85886.323809523805</v>
      </c>
      <c r="HX47" s="3562"/>
      <c r="HY47" s="3547">
        <f t="shared" si="83"/>
        <v>-75063.782420634903</v>
      </c>
      <c r="HZ47" s="3568">
        <v>13215.241077044</v>
      </c>
      <c r="IA47" s="3569">
        <f>16027.82/1.06</f>
        <v>15120.584905660377</v>
      </c>
      <c r="IB47" s="3562"/>
      <c r="IC47" s="3547">
        <f t="shared" si="84"/>
        <v>-13215.241077044</v>
      </c>
      <c r="ID47" s="3568">
        <v>75063.782420634903</v>
      </c>
      <c r="IE47" s="3569">
        <f>90180.64/1.05</f>
        <v>85886.323809523805</v>
      </c>
      <c r="IF47" s="3562"/>
      <c r="IG47" s="3547">
        <f t="shared" si="85"/>
        <v>-75063.782420634903</v>
      </c>
      <c r="IH47" s="3568">
        <v>13215.241077044</v>
      </c>
      <c r="II47" s="3569">
        <f>16027.82/1.06</f>
        <v>15120.584905660377</v>
      </c>
      <c r="IJ47" s="3562"/>
      <c r="IK47" s="3547">
        <f t="shared" si="86"/>
        <v>-13215.241077044</v>
      </c>
      <c r="IL47" s="3547" t="s">
        <v>3970</v>
      </c>
      <c r="IM47" s="3569">
        <f>90180.64/1.05</f>
        <v>85886.323809523805</v>
      </c>
      <c r="IN47" s="3569">
        <f>16027.82/1.06</f>
        <v>15120.584905660377</v>
      </c>
      <c r="IO47" s="3547"/>
      <c r="IP47" s="3560">
        <f t="shared" si="87"/>
        <v>0</v>
      </c>
      <c r="IQ47" s="3569"/>
      <c r="IR47" s="3568"/>
      <c r="IS47" s="3568"/>
      <c r="IT47" s="3568"/>
      <c r="IU47" s="3568"/>
      <c r="IV47" s="3568"/>
      <c r="IW47" s="3568"/>
      <c r="IX47" s="3568"/>
      <c r="IY47" s="3568"/>
      <c r="IZ47" s="3560"/>
      <c r="JA47" s="3560"/>
      <c r="JB47" s="3560"/>
      <c r="JC47" s="3560">
        <f t="shared" si="11"/>
        <v>0</v>
      </c>
      <c r="JD47" s="3547"/>
      <c r="JE47" s="3569"/>
      <c r="JF47" s="3568"/>
      <c r="JG47" s="3568"/>
      <c r="JH47" s="3568"/>
      <c r="JI47" s="3568"/>
      <c r="JJ47" s="3568"/>
      <c r="JK47" s="3568"/>
      <c r="JL47" s="3568"/>
      <c r="JM47" s="3568"/>
      <c r="JN47" s="3560"/>
      <c r="JO47" s="3560"/>
      <c r="JP47" s="3607" t="s">
        <v>3837</v>
      </c>
      <c r="JQ47" s="3583">
        <f>90180.64/1.05</f>
        <v>85886.323809523805</v>
      </c>
      <c r="JR47" s="3583">
        <f>16027.82/1.06</f>
        <v>15120.584905660377</v>
      </c>
      <c r="JS47" s="3573">
        <f t="shared" si="28"/>
        <v>0</v>
      </c>
      <c r="JT47" s="3573">
        <f t="shared" si="35"/>
        <v>1.0186340659856796E-10</v>
      </c>
      <c r="JU47" s="3574">
        <f t="shared" si="29"/>
        <v>0</v>
      </c>
      <c r="JV47" s="3574">
        <f t="shared" si="30"/>
        <v>4.3655745685100555E-11</v>
      </c>
      <c r="JW47" s="3575"/>
      <c r="JX47" s="3576">
        <f t="shared" si="31"/>
        <v>85886.323809523805</v>
      </c>
      <c r="JY47" s="3576">
        <f t="shared" si="32"/>
        <v>15120.584905660377</v>
      </c>
      <c r="JZ47" s="3577"/>
      <c r="KA47" s="3573">
        <f t="shared" si="131"/>
        <v>12727.885217505278</v>
      </c>
      <c r="KB47" s="3573"/>
      <c r="KC47" s="3573"/>
      <c r="KD47" s="3573">
        <f t="shared" si="33"/>
        <v>12727.885217505278</v>
      </c>
      <c r="KE47" s="3587" t="s">
        <v>3971</v>
      </c>
      <c r="KF47" s="3579"/>
      <c r="KG47" s="3579"/>
      <c r="KH47" s="3579"/>
      <c r="KI47" s="3579"/>
      <c r="KJ47" s="3579"/>
      <c r="KK47" s="3579"/>
      <c r="KL47" s="3579"/>
      <c r="KM47" s="3579"/>
      <c r="KN47" s="3579"/>
      <c r="KO47" s="3579"/>
      <c r="KP47" s="3579"/>
      <c r="KQ47" s="3579">
        <f t="shared" si="34"/>
        <v>0</v>
      </c>
      <c r="KR47" s="3632">
        <f t="shared" si="88"/>
        <v>10.37284255686588</v>
      </c>
      <c r="KS47" s="3577"/>
      <c r="KT47" s="3577"/>
      <c r="KU47" s="3577"/>
      <c r="KV47" s="3577"/>
      <c r="KW47" s="3577"/>
      <c r="KX47" s="3577"/>
      <c r="KY47" s="3577"/>
      <c r="KZ47" s="3577"/>
      <c r="LA47" s="3577"/>
      <c r="LB47" s="3577"/>
      <c r="LC47" s="3577"/>
      <c r="LD47" s="3577"/>
      <c r="LE47" s="3577"/>
      <c r="LF47" s="3577"/>
      <c r="LG47" s="3577"/>
      <c r="LH47" s="3577"/>
      <c r="LJ47" s="3575"/>
      <c r="LK47" s="3571"/>
      <c r="LL47" s="3576"/>
    </row>
    <row r="48" spans="1:325" s="3580" customFormat="1" ht="18" customHeight="1">
      <c r="A48" s="3545">
        <v>45</v>
      </c>
      <c r="B48" s="3546" t="s">
        <v>4116</v>
      </c>
      <c r="C48" s="3546" t="s">
        <v>4192</v>
      </c>
      <c r="D48" s="3547">
        <v>80</v>
      </c>
      <c r="E48" s="3548" t="s">
        <v>3799</v>
      </c>
      <c r="F48" s="3546" t="s">
        <v>3790</v>
      </c>
      <c r="G48" s="3666" t="s">
        <v>4183</v>
      </c>
      <c r="H48" s="3546" t="s">
        <v>4184</v>
      </c>
      <c r="I48" s="3634" t="s">
        <v>4185</v>
      </c>
      <c r="J48" s="3634" t="s">
        <v>4186</v>
      </c>
      <c r="K48" s="3545"/>
      <c r="L48" s="3545"/>
      <c r="M48" s="3551"/>
      <c r="N48" s="3551"/>
      <c r="O48" s="3551">
        <f t="shared" si="13"/>
        <v>0</v>
      </c>
      <c r="P48" s="3547"/>
      <c r="Q48" s="3547"/>
      <c r="R48" s="3547"/>
      <c r="S48" s="3547">
        <f t="shared" si="125"/>
        <v>0</v>
      </c>
      <c r="T48" s="3552"/>
      <c r="U48" s="3553">
        <f t="shared" si="15"/>
        <v>0</v>
      </c>
      <c r="V48" s="3547"/>
      <c r="W48" s="3547">
        <f t="shared" si="126"/>
        <v>0</v>
      </c>
      <c r="X48" s="3658"/>
      <c r="Y48" s="3547">
        <f t="shared" si="17"/>
        <v>0</v>
      </c>
      <c r="Z48" s="3554"/>
      <c r="AA48" s="3555"/>
      <c r="AB48" s="3663"/>
      <c r="AC48" s="3556">
        <f t="shared" si="18"/>
        <v>0</v>
      </c>
      <c r="AD48" s="3556">
        <f t="shared" si="121"/>
        <v>0</v>
      </c>
      <c r="AE48" s="3556">
        <f t="shared" si="121"/>
        <v>0</v>
      </c>
      <c r="AF48" s="3556">
        <f t="shared" si="20"/>
        <v>0</v>
      </c>
      <c r="AG48" s="3556"/>
      <c r="AH48" s="3557">
        <f t="shared" si="21"/>
        <v>0</v>
      </c>
      <c r="AI48" s="3558">
        <f t="shared" si="122"/>
        <v>0</v>
      </c>
      <c r="AJ48" s="3558">
        <f t="shared" si="122"/>
        <v>0</v>
      </c>
      <c r="AK48" s="3557">
        <f t="shared" si="43"/>
        <v>0</v>
      </c>
      <c r="AL48" s="3557"/>
      <c r="AM48" s="3547"/>
      <c r="AN48" s="3609"/>
      <c r="AO48" s="3562"/>
      <c r="AP48" s="3561">
        <f t="shared" si="113"/>
        <v>0</v>
      </c>
      <c r="AQ48" s="3559"/>
      <c r="AR48" s="3562"/>
      <c r="AS48" s="3561">
        <f t="shared" si="127"/>
        <v>0</v>
      </c>
      <c r="AT48" s="3563"/>
      <c r="AU48" s="3547"/>
      <c r="AV48" s="3609"/>
      <c r="AW48" s="3562"/>
      <c r="AX48" s="3561">
        <f t="shared" si="114"/>
        <v>0</v>
      </c>
      <c r="AY48" s="3559"/>
      <c r="AZ48" s="3562"/>
      <c r="BA48" s="3561">
        <f t="shared" si="128"/>
        <v>0</v>
      </c>
      <c r="BB48" s="3563"/>
      <c r="BC48" s="3547"/>
      <c r="BD48" s="3609"/>
      <c r="BE48" s="3562"/>
      <c r="BF48" s="3561">
        <f t="shared" si="115"/>
        <v>0</v>
      </c>
      <c r="BG48" s="3559"/>
      <c r="BH48" s="3562"/>
      <c r="BI48" s="3561">
        <f t="shared" si="116"/>
        <v>0</v>
      </c>
      <c r="BJ48" s="3563"/>
      <c r="BK48" s="3547"/>
      <c r="BL48" s="3609"/>
      <c r="BM48" s="3562"/>
      <c r="BN48" s="3561">
        <f t="shared" si="48"/>
        <v>0</v>
      </c>
      <c r="BO48" s="3559"/>
      <c r="BP48" s="3562"/>
      <c r="BQ48" s="3561">
        <f t="shared" si="49"/>
        <v>0</v>
      </c>
      <c r="BR48" s="3563"/>
      <c r="BS48" s="3547"/>
      <c r="BT48" s="3559"/>
      <c r="BU48" s="3603"/>
      <c r="BV48" s="3561">
        <f t="shared" si="50"/>
        <v>0</v>
      </c>
      <c r="BW48" s="3559"/>
      <c r="BX48" s="3603"/>
      <c r="BY48" s="3561">
        <f t="shared" si="51"/>
        <v>0</v>
      </c>
      <c r="BZ48" s="3563"/>
      <c r="CA48" s="3547"/>
      <c r="CB48" s="3609"/>
      <c r="CC48" s="3562"/>
      <c r="CD48" s="3561">
        <f t="shared" si="52"/>
        <v>0</v>
      </c>
      <c r="CE48" s="3559"/>
      <c r="CF48" s="3562"/>
      <c r="CG48" s="3561">
        <f t="shared" si="53"/>
        <v>0</v>
      </c>
      <c r="CH48" s="3563"/>
      <c r="CI48" s="3547"/>
      <c r="CJ48" s="3609"/>
      <c r="CK48" s="3562"/>
      <c r="CL48" s="3561">
        <f t="shared" si="5"/>
        <v>0</v>
      </c>
      <c r="CM48" s="3559"/>
      <c r="CN48" s="3562"/>
      <c r="CO48" s="3561">
        <f t="shared" si="54"/>
        <v>0</v>
      </c>
      <c r="CP48" s="3563"/>
      <c r="CQ48" s="3547"/>
      <c r="CR48" s="3609"/>
      <c r="CS48" s="3603"/>
      <c r="CT48" s="3561">
        <f t="shared" si="55"/>
        <v>0</v>
      </c>
      <c r="CU48" s="3559"/>
      <c r="CV48" s="3603"/>
      <c r="CW48" s="3561">
        <f t="shared" si="56"/>
        <v>0</v>
      </c>
      <c r="CX48" s="3563"/>
      <c r="CY48" s="3547"/>
      <c r="CZ48" s="3609"/>
      <c r="DA48" s="3562"/>
      <c r="DB48" s="3561">
        <f t="shared" si="57"/>
        <v>0</v>
      </c>
      <c r="DC48" s="3559"/>
      <c r="DD48" s="3603"/>
      <c r="DE48" s="3561">
        <f t="shared" si="58"/>
        <v>0</v>
      </c>
      <c r="DF48" s="3563"/>
      <c r="DG48" s="3547"/>
      <c r="DH48" s="3609"/>
      <c r="DI48" s="3562"/>
      <c r="DJ48" s="3561">
        <f t="shared" si="59"/>
        <v>0</v>
      </c>
      <c r="DK48" s="3559"/>
      <c r="DL48" s="3562"/>
      <c r="DM48" s="3561">
        <f t="shared" si="60"/>
        <v>0</v>
      </c>
      <c r="DN48" s="3563"/>
      <c r="DO48" s="3547"/>
      <c r="DP48" s="3609"/>
      <c r="DQ48" s="3562"/>
      <c r="DR48" s="3561">
        <f t="shared" si="61"/>
        <v>0</v>
      </c>
      <c r="DS48" s="3559"/>
      <c r="DT48" s="3562"/>
      <c r="DU48" s="3561">
        <f t="shared" si="62"/>
        <v>0</v>
      </c>
      <c r="DV48" s="3563"/>
      <c r="DW48" s="3547"/>
      <c r="DX48" s="3609"/>
      <c r="DY48" s="3562"/>
      <c r="DZ48" s="3561">
        <f t="shared" si="63"/>
        <v>0</v>
      </c>
      <c r="EA48" s="3559"/>
      <c r="EB48" s="3562"/>
      <c r="EC48" s="3561">
        <f t="shared" si="64"/>
        <v>0</v>
      </c>
      <c r="ED48" s="3563"/>
      <c r="EF48" s="3565">
        <f t="shared" si="37"/>
        <v>119047.93650793673</v>
      </c>
      <c r="EG48" s="3565">
        <f t="shared" si="123"/>
        <v>86580.317460317616</v>
      </c>
      <c r="EH48" s="3565">
        <f t="shared" si="123"/>
        <v>0</v>
      </c>
      <c r="EI48" s="3565">
        <f t="shared" si="123"/>
        <v>0</v>
      </c>
      <c r="EJ48" s="3565">
        <f t="shared" si="38"/>
        <v>-86580.317460317616</v>
      </c>
      <c r="EK48" s="3566">
        <f t="shared" si="39"/>
        <v>0</v>
      </c>
      <c r="EL48" s="3556"/>
      <c r="EM48" s="3567">
        <f t="shared" si="40"/>
        <v>22864.150943396282</v>
      </c>
      <c r="EN48" s="3557">
        <f t="shared" si="124"/>
        <v>17148.113207547209</v>
      </c>
      <c r="EO48" s="3557">
        <f t="shared" si="124"/>
        <v>0</v>
      </c>
      <c r="EP48" s="3557">
        <f t="shared" si="124"/>
        <v>0</v>
      </c>
      <c r="EQ48" s="3557">
        <f t="shared" si="41"/>
        <v>-17148.113207547209</v>
      </c>
      <c r="ER48" s="3557">
        <f t="shared" si="42"/>
        <v>0</v>
      </c>
      <c r="ES48" s="3557"/>
      <c r="ET48" s="3568">
        <v>10822.5396825397</v>
      </c>
      <c r="EU48" s="3569"/>
      <c r="EV48" s="3562"/>
      <c r="EW48" s="3547">
        <f t="shared" si="129"/>
        <v>-10822.5396825397</v>
      </c>
      <c r="EX48" s="3568">
        <v>1905.3459119496899</v>
      </c>
      <c r="EY48" s="3569"/>
      <c r="EZ48" s="3562"/>
      <c r="FA48" s="3547">
        <f t="shared" si="130"/>
        <v>-1905.3459119496899</v>
      </c>
      <c r="FB48" s="3568">
        <v>10822.5396825397</v>
      </c>
      <c r="FC48" s="3569"/>
      <c r="FD48" s="3562"/>
      <c r="FE48" s="3547">
        <f t="shared" si="117"/>
        <v>-10822.5396825397</v>
      </c>
      <c r="FF48" s="3568">
        <v>1905.3459119496899</v>
      </c>
      <c r="FG48" s="3569"/>
      <c r="FH48" s="3562"/>
      <c r="FI48" s="3547">
        <f t="shared" si="118"/>
        <v>-1905.3459119496899</v>
      </c>
      <c r="FJ48" s="3568">
        <v>10822.5396825397</v>
      </c>
      <c r="FK48" s="3559"/>
      <c r="FL48" s="3562"/>
      <c r="FM48" s="3547">
        <f t="shared" si="119"/>
        <v>-10822.5396825397</v>
      </c>
      <c r="FN48" s="3568">
        <v>1905.3459119496899</v>
      </c>
      <c r="FO48" s="3559"/>
      <c r="FP48" s="3562"/>
      <c r="FQ48" s="3547">
        <f t="shared" si="120"/>
        <v>-1905.3459119496899</v>
      </c>
      <c r="FR48" s="3568">
        <v>10822.5396825397</v>
      </c>
      <c r="FS48" s="3559"/>
      <c r="FT48" s="3560"/>
      <c r="FU48" s="3547">
        <f t="shared" si="69"/>
        <v>-10822.5396825397</v>
      </c>
      <c r="FV48" s="3568">
        <v>1905.3459119496899</v>
      </c>
      <c r="FW48" s="3559"/>
      <c r="FX48" s="3560"/>
      <c r="FY48" s="3547">
        <f t="shared" si="70"/>
        <v>-1905.3459119496899</v>
      </c>
      <c r="FZ48" s="3568">
        <v>10822.5396825397</v>
      </c>
      <c r="GA48" s="3569"/>
      <c r="GB48" s="3560"/>
      <c r="GC48" s="3547">
        <f t="shared" si="71"/>
        <v>-10822.5396825397</v>
      </c>
      <c r="GD48" s="3568">
        <v>1905.3459119496899</v>
      </c>
      <c r="GE48" s="3569"/>
      <c r="GF48" s="3560"/>
      <c r="GG48" s="3547">
        <f t="shared" si="72"/>
        <v>-1905.3459119496899</v>
      </c>
      <c r="GH48" s="3568"/>
      <c r="GI48" s="3569"/>
      <c r="GJ48" s="3562"/>
      <c r="GK48" s="3547">
        <f t="shared" si="73"/>
        <v>0</v>
      </c>
      <c r="GL48" s="3568">
        <v>1905.3459119496899</v>
      </c>
      <c r="GM48" s="3569"/>
      <c r="GN48" s="3560"/>
      <c r="GO48" s="3547">
        <f t="shared" si="74"/>
        <v>-1905.3459119496899</v>
      </c>
      <c r="GP48" s="3568">
        <v>10822.5396825397</v>
      </c>
      <c r="GQ48" s="3569"/>
      <c r="GR48" s="3562"/>
      <c r="GS48" s="3547">
        <f t="shared" si="75"/>
        <v>-10822.5396825397</v>
      </c>
      <c r="GT48" s="3568">
        <v>1905.3459119496899</v>
      </c>
      <c r="GU48" s="3569"/>
      <c r="GV48" s="3560"/>
      <c r="GW48" s="3547">
        <f t="shared" si="76"/>
        <v>-1905.3459119496899</v>
      </c>
      <c r="GX48" s="3568">
        <v>10822.5396825397</v>
      </c>
      <c r="GY48" s="3569"/>
      <c r="GZ48" s="3562"/>
      <c r="HA48" s="3547">
        <f t="shared" si="77"/>
        <v>-10822.5396825397</v>
      </c>
      <c r="HB48" s="3568">
        <v>1905.3459119496899</v>
      </c>
      <c r="HC48" s="3569"/>
      <c r="HD48" s="3562"/>
      <c r="HE48" s="3547">
        <f t="shared" si="78"/>
        <v>-1905.3459119496899</v>
      </c>
      <c r="HF48" s="3568">
        <v>10822.5396825397</v>
      </c>
      <c r="HG48" s="3569"/>
      <c r="HH48" s="3562"/>
      <c r="HI48" s="3547">
        <f t="shared" si="79"/>
        <v>-10822.5396825397</v>
      </c>
      <c r="HJ48" s="3568">
        <v>1905.3459119496899</v>
      </c>
      <c r="HK48" s="3569"/>
      <c r="HL48" s="3562"/>
      <c r="HM48" s="3547">
        <f t="shared" si="80"/>
        <v>-1905.3459119496899</v>
      </c>
      <c r="HN48" s="3568">
        <v>10822.5396825397</v>
      </c>
      <c r="HO48" s="3569"/>
      <c r="HP48" s="3562"/>
      <c r="HQ48" s="3547">
        <f t="shared" si="81"/>
        <v>-10822.5396825397</v>
      </c>
      <c r="HR48" s="3568">
        <v>1905.3459119496899</v>
      </c>
      <c r="HS48" s="3569"/>
      <c r="HT48" s="3562"/>
      <c r="HU48" s="3547">
        <f t="shared" si="82"/>
        <v>-1905.3459119496899</v>
      </c>
      <c r="HV48" s="3568">
        <v>10822.5396825397</v>
      </c>
      <c r="HW48" s="3569"/>
      <c r="HX48" s="3562"/>
      <c r="HY48" s="3547">
        <f t="shared" si="83"/>
        <v>-10822.5396825397</v>
      </c>
      <c r="HZ48" s="3568">
        <v>1905.3459119496899</v>
      </c>
      <c r="IA48" s="3569"/>
      <c r="IB48" s="3562"/>
      <c r="IC48" s="3547">
        <f t="shared" si="84"/>
        <v>-1905.3459119496899</v>
      </c>
      <c r="ID48" s="3568">
        <v>10822.5396825397</v>
      </c>
      <c r="IE48" s="3569"/>
      <c r="IF48" s="3562"/>
      <c r="IG48" s="3547">
        <f t="shared" si="85"/>
        <v>-10822.5396825397</v>
      </c>
      <c r="IH48" s="3568">
        <v>1905.3459119496899</v>
      </c>
      <c r="II48" s="3569"/>
      <c r="IJ48" s="3562"/>
      <c r="IK48" s="3547">
        <f t="shared" si="86"/>
        <v>-1905.3459119496899</v>
      </c>
      <c r="IL48" s="3570"/>
      <c r="IM48" s="3569"/>
      <c r="IN48" s="3569"/>
      <c r="IO48" s="3547"/>
      <c r="IP48" s="3560">
        <f t="shared" si="87"/>
        <v>0</v>
      </c>
      <c r="IQ48" s="3568"/>
      <c r="IR48" s="3568"/>
      <c r="IS48" s="3568"/>
      <c r="IT48" s="3568"/>
      <c r="IU48" s="3568"/>
      <c r="IV48" s="3568"/>
      <c r="IW48" s="3568"/>
      <c r="IX48" s="3568"/>
      <c r="IY48" s="3568"/>
      <c r="IZ48" s="3560"/>
      <c r="JA48" s="3560"/>
      <c r="JB48" s="3560"/>
      <c r="JC48" s="3560">
        <f t="shared" si="11"/>
        <v>0</v>
      </c>
      <c r="JD48" s="3547"/>
      <c r="JE48" s="3568"/>
      <c r="JF48" s="3568"/>
      <c r="JG48" s="3568"/>
      <c r="JH48" s="3568"/>
      <c r="JI48" s="3568"/>
      <c r="JJ48" s="3568"/>
      <c r="JK48" s="3568"/>
      <c r="JL48" s="3568"/>
      <c r="JM48" s="3568"/>
      <c r="JN48" s="3560"/>
      <c r="JO48" s="3560"/>
      <c r="JP48" s="3570"/>
      <c r="JQ48" s="3583"/>
      <c r="JR48" s="3583"/>
      <c r="JS48" s="3573">
        <f t="shared" si="28"/>
        <v>0</v>
      </c>
      <c r="JT48" s="3573">
        <f t="shared" si="35"/>
        <v>0</v>
      </c>
      <c r="JU48" s="3574">
        <f t="shared" si="29"/>
        <v>0</v>
      </c>
      <c r="JV48" s="3574">
        <f t="shared" si="30"/>
        <v>0</v>
      </c>
      <c r="JW48" s="3575"/>
      <c r="JX48" s="3576">
        <f t="shared" si="31"/>
        <v>0</v>
      </c>
      <c r="JY48" s="3576">
        <f t="shared" si="32"/>
        <v>0</v>
      </c>
      <c r="JZ48" s="3577"/>
      <c r="KA48" s="3573">
        <f t="shared" si="131"/>
        <v>-12727.885594489389</v>
      </c>
      <c r="KB48" s="3573"/>
      <c r="KC48" s="3573"/>
      <c r="KD48" s="3573">
        <f t="shared" si="33"/>
        <v>-12727.885594489389</v>
      </c>
      <c r="KE48" s="3587" t="s">
        <v>3971</v>
      </c>
      <c r="KF48" s="3579"/>
      <c r="KG48" s="3579"/>
      <c r="KH48" s="3579"/>
      <c r="KI48" s="3579"/>
      <c r="KJ48" s="3579"/>
      <c r="KK48" s="3579"/>
      <c r="KL48" s="3579"/>
      <c r="KM48" s="3579"/>
      <c r="KN48" s="3579"/>
      <c r="KO48" s="3579"/>
      <c r="KP48" s="3579"/>
      <c r="KQ48" s="3579">
        <f t="shared" si="34"/>
        <v>0</v>
      </c>
      <c r="KR48" s="3632">
        <f t="shared" si="88"/>
        <v>-10.372843066786483</v>
      </c>
      <c r="KS48" s="3577"/>
      <c r="KT48" s="3577"/>
      <c r="KU48" s="3577"/>
      <c r="KV48" s="3577"/>
      <c r="KW48" s="3577"/>
      <c r="KX48" s="3577"/>
      <c r="KY48" s="3577"/>
      <c r="KZ48" s="3577"/>
      <c r="LA48" s="3577"/>
      <c r="LB48" s="3577"/>
      <c r="LC48" s="3577"/>
      <c r="LD48" s="3577"/>
      <c r="LE48" s="3577"/>
      <c r="LF48" s="3577"/>
      <c r="LG48" s="3577"/>
      <c r="LH48" s="3577"/>
      <c r="LJ48" s="3575"/>
      <c r="LK48" s="3571"/>
      <c r="LL48" s="3576"/>
    </row>
    <row r="49" spans="1:325" s="3580" customFormat="1" ht="18" customHeight="1">
      <c r="A49" s="3545">
        <v>46</v>
      </c>
      <c r="B49" s="3546" t="s">
        <v>4116</v>
      </c>
      <c r="C49" s="3546" t="s">
        <v>4193</v>
      </c>
      <c r="D49" s="3547">
        <v>221.83</v>
      </c>
      <c r="E49" s="3548" t="s">
        <v>3799</v>
      </c>
      <c r="F49" s="3546" t="s">
        <v>3790</v>
      </c>
      <c r="G49" s="3546" t="s">
        <v>4194</v>
      </c>
      <c r="H49" s="3546" t="s">
        <v>4195</v>
      </c>
      <c r="I49" s="3594" t="s">
        <v>3794</v>
      </c>
      <c r="J49" s="3594" t="s">
        <v>4196</v>
      </c>
      <c r="K49" s="3545"/>
      <c r="L49" s="3555"/>
      <c r="M49" s="3551">
        <v>82384.89</v>
      </c>
      <c r="N49" s="3551">
        <v>82384.89</v>
      </c>
      <c r="O49" s="3551">
        <f t="shared" si="13"/>
        <v>0</v>
      </c>
      <c r="P49" s="3547">
        <v>16800.84</v>
      </c>
      <c r="Q49" s="3547">
        <v>16800.84</v>
      </c>
      <c r="R49" s="3547">
        <f>Q49-P49</f>
        <v>0</v>
      </c>
      <c r="S49" s="3547">
        <f t="shared" si="125"/>
        <v>4.0700000432269805</v>
      </c>
      <c r="T49" s="3552">
        <v>27461.63</v>
      </c>
      <c r="U49" s="3553">
        <f t="shared" si="15"/>
        <v>329539.56</v>
      </c>
      <c r="V49" s="3547">
        <f>T49*11</f>
        <v>302077.93</v>
      </c>
      <c r="W49" s="3547">
        <f t="shared" si="126"/>
        <v>0.82999952450321379</v>
      </c>
      <c r="X49" s="3658">
        <v>5600.28</v>
      </c>
      <c r="Y49" s="3547">
        <f t="shared" si="17"/>
        <v>67203.360000000001</v>
      </c>
      <c r="Z49" s="3554"/>
      <c r="AA49" s="3555"/>
      <c r="AB49" s="3552" t="s">
        <v>3899</v>
      </c>
      <c r="AC49" s="3556">
        <f t="shared" si="18"/>
        <v>274240.11328767124</v>
      </c>
      <c r="AD49" s="3556">
        <f t="shared" si="121"/>
        <v>219693.04</v>
      </c>
      <c r="AE49" s="3556">
        <f t="shared" si="121"/>
        <v>219693.04</v>
      </c>
      <c r="AF49" s="3556">
        <f t="shared" si="20"/>
        <v>0</v>
      </c>
      <c r="AG49" s="3556"/>
      <c r="AH49" s="3557">
        <f t="shared" si="21"/>
        <v>55926.083835616431</v>
      </c>
      <c r="AI49" s="3558">
        <f t="shared" si="122"/>
        <v>44802.239999999998</v>
      </c>
      <c r="AJ49" s="3558">
        <f t="shared" si="122"/>
        <v>44802.239999999998</v>
      </c>
      <c r="AK49" s="3557">
        <f t="shared" si="43"/>
        <v>0</v>
      </c>
      <c r="AL49" s="3557"/>
      <c r="AM49" s="3547"/>
      <c r="AN49" s="3609"/>
      <c r="AO49" s="3562"/>
      <c r="AP49" s="3561">
        <f t="shared" si="113"/>
        <v>0</v>
      </c>
      <c r="AQ49" s="3559"/>
      <c r="AR49" s="3562"/>
      <c r="AS49" s="3561">
        <f t="shared" si="127"/>
        <v>0</v>
      </c>
      <c r="AT49" s="3563" t="s">
        <v>4197</v>
      </c>
      <c r="AU49" s="3547" t="s">
        <v>3824</v>
      </c>
      <c r="AV49" s="3609">
        <v>27461.63</v>
      </c>
      <c r="AW49" s="3562">
        <v>27461.63</v>
      </c>
      <c r="AX49" s="3561">
        <f t="shared" si="114"/>
        <v>0</v>
      </c>
      <c r="AY49" s="3559">
        <v>5600.28</v>
      </c>
      <c r="AZ49" s="3562">
        <v>5600.28</v>
      </c>
      <c r="BA49" s="3561">
        <f t="shared" si="128"/>
        <v>0</v>
      </c>
      <c r="BB49" s="3563" t="s">
        <v>4198</v>
      </c>
      <c r="BC49" s="3547" t="s">
        <v>3826</v>
      </c>
      <c r="BD49" s="3609">
        <v>27461.63</v>
      </c>
      <c r="BE49" s="3562">
        <v>27461.63</v>
      </c>
      <c r="BF49" s="3561">
        <f t="shared" si="115"/>
        <v>0</v>
      </c>
      <c r="BG49" s="3559">
        <v>5600.28</v>
      </c>
      <c r="BH49" s="3562">
        <v>5600.28</v>
      </c>
      <c r="BI49" s="3561">
        <f t="shared" si="116"/>
        <v>0</v>
      </c>
      <c r="BJ49" s="3563" t="s">
        <v>4199</v>
      </c>
      <c r="BK49" s="3547" t="s">
        <v>3873</v>
      </c>
      <c r="BL49" s="3609">
        <v>27461.63</v>
      </c>
      <c r="BM49" s="3603">
        <v>27461.63</v>
      </c>
      <c r="BN49" s="3602">
        <f t="shared" si="48"/>
        <v>0</v>
      </c>
      <c r="BO49" s="3604">
        <v>5600.28</v>
      </c>
      <c r="BP49" s="3603">
        <v>5600.28</v>
      </c>
      <c r="BQ49" s="3561">
        <f t="shared" si="49"/>
        <v>0</v>
      </c>
      <c r="BR49" s="3563" t="s">
        <v>3962</v>
      </c>
      <c r="BS49" s="3547" t="s">
        <v>3875</v>
      </c>
      <c r="BT49" s="3559">
        <v>27461.63</v>
      </c>
      <c r="BU49" s="3603">
        <v>27461.63</v>
      </c>
      <c r="BV49" s="3602">
        <f t="shared" si="50"/>
        <v>0</v>
      </c>
      <c r="BW49" s="3604">
        <v>5600.28</v>
      </c>
      <c r="BX49" s="3603">
        <v>5600.28</v>
      </c>
      <c r="BY49" s="3561">
        <f t="shared" si="51"/>
        <v>0</v>
      </c>
      <c r="BZ49" s="3563" t="s">
        <v>3963</v>
      </c>
      <c r="CA49" s="3547" t="s">
        <v>3877</v>
      </c>
      <c r="CB49" s="3609">
        <v>27461.63</v>
      </c>
      <c r="CC49" s="3603">
        <v>27461.63</v>
      </c>
      <c r="CD49" s="3561">
        <f t="shared" si="52"/>
        <v>0</v>
      </c>
      <c r="CE49" s="3559">
        <v>5600.28</v>
      </c>
      <c r="CF49" s="3562">
        <v>5600.28</v>
      </c>
      <c r="CG49" s="3561">
        <f t="shared" si="53"/>
        <v>0</v>
      </c>
      <c r="CH49" s="3563" t="s">
        <v>4200</v>
      </c>
      <c r="CI49" s="3547" t="s">
        <v>3948</v>
      </c>
      <c r="CJ49" s="3609">
        <v>27461.63</v>
      </c>
      <c r="CK49" s="3603">
        <v>27461.63</v>
      </c>
      <c r="CL49" s="3561">
        <f t="shared" si="5"/>
        <v>0</v>
      </c>
      <c r="CM49" s="3559">
        <v>5600.28</v>
      </c>
      <c r="CN49" s="3562">
        <v>5600.28</v>
      </c>
      <c r="CO49" s="3561">
        <f t="shared" si="54"/>
        <v>0</v>
      </c>
      <c r="CP49" s="3563" t="s">
        <v>4201</v>
      </c>
      <c r="CQ49" s="3547" t="s">
        <v>3950</v>
      </c>
      <c r="CR49" s="3609">
        <v>27461.63</v>
      </c>
      <c r="CS49" s="3603">
        <v>27461.63</v>
      </c>
      <c r="CT49" s="3561">
        <f t="shared" si="55"/>
        <v>0</v>
      </c>
      <c r="CU49" s="3559">
        <v>5600.28</v>
      </c>
      <c r="CV49" s="3603">
        <v>5600.28</v>
      </c>
      <c r="CW49" s="3561">
        <f t="shared" si="56"/>
        <v>0</v>
      </c>
      <c r="CX49" s="3563" t="s">
        <v>4202</v>
      </c>
      <c r="CY49" s="3547" t="s">
        <v>3966</v>
      </c>
      <c r="CZ49" s="3609">
        <v>27461.63</v>
      </c>
      <c r="DA49" s="3603">
        <v>27461.63</v>
      </c>
      <c r="DB49" s="3561">
        <f t="shared" si="57"/>
        <v>0</v>
      </c>
      <c r="DC49" s="3559">
        <v>5600.28</v>
      </c>
      <c r="DD49" s="3603">
        <v>5600.28</v>
      </c>
      <c r="DE49" s="3561">
        <f t="shared" si="58"/>
        <v>0</v>
      </c>
      <c r="DF49" s="3630" t="s">
        <v>3967</v>
      </c>
      <c r="DG49" s="3547" t="s">
        <v>3968</v>
      </c>
      <c r="DH49" s="3609">
        <v>27461.63</v>
      </c>
      <c r="DI49" s="3562"/>
      <c r="DJ49" s="3561">
        <f t="shared" si="59"/>
        <v>-27461.63</v>
      </c>
      <c r="DK49" s="3559">
        <v>5600.28</v>
      </c>
      <c r="DL49" s="3562"/>
      <c r="DM49" s="3561">
        <f t="shared" si="60"/>
        <v>-5600.28</v>
      </c>
      <c r="DN49" s="3563"/>
      <c r="DO49" s="3584" t="s">
        <v>4203</v>
      </c>
      <c r="DP49" s="3614">
        <f>27461.63*12/365*30</f>
        <v>27085.443287671231</v>
      </c>
      <c r="DQ49" s="3562"/>
      <c r="DR49" s="3561">
        <f t="shared" si="61"/>
        <v>-27085.443287671231</v>
      </c>
      <c r="DS49" s="3559">
        <f>5600.28*12/365*30</f>
        <v>5523.5638356164382</v>
      </c>
      <c r="DT49" s="3562"/>
      <c r="DU49" s="3561">
        <f t="shared" si="62"/>
        <v>-5523.5638356164382</v>
      </c>
      <c r="DV49" s="3563"/>
      <c r="DW49" s="3547"/>
      <c r="DX49" s="3609"/>
      <c r="DY49" s="3562"/>
      <c r="DZ49" s="3561">
        <f t="shared" si="63"/>
        <v>0</v>
      </c>
      <c r="EA49" s="3559"/>
      <c r="EB49" s="3562"/>
      <c r="EC49" s="3561">
        <f t="shared" si="64"/>
        <v>0</v>
      </c>
      <c r="ED49" s="3563"/>
      <c r="EF49" s="3565">
        <f t="shared" si="37"/>
        <v>235385.39750000037</v>
      </c>
      <c r="EG49" s="3565">
        <f t="shared" si="123"/>
        <v>156923.59833333359</v>
      </c>
      <c r="EH49" s="3565">
        <f t="shared" si="123"/>
        <v>210091.32380952383</v>
      </c>
      <c r="EI49" s="3565">
        <f t="shared" si="123"/>
        <v>210091.32380952383</v>
      </c>
      <c r="EJ49" s="3565">
        <f t="shared" si="38"/>
        <v>53167.725476190244</v>
      </c>
      <c r="EK49" s="3566">
        <f t="shared" si="39"/>
        <v>0</v>
      </c>
      <c r="EL49" s="3556"/>
      <c r="EM49" s="3567">
        <f t="shared" si="40"/>
        <v>47549.574410377318</v>
      </c>
      <c r="EN49" s="3557">
        <f t="shared" si="124"/>
        <v>31699.71627358488</v>
      </c>
      <c r="EO49" s="3557">
        <f t="shared" si="124"/>
        <v>47549.547169811303</v>
      </c>
      <c r="EP49" s="3557">
        <f t="shared" si="124"/>
        <v>47549.547169811303</v>
      </c>
      <c r="EQ49" s="3557">
        <f t="shared" si="41"/>
        <v>15849.830896226424</v>
      </c>
      <c r="ER49" s="3557">
        <f t="shared" si="42"/>
        <v>0</v>
      </c>
      <c r="ES49" s="3557"/>
      <c r="ET49" s="3568"/>
      <c r="EU49" s="3592">
        <f>(28364.48-27461.63)/1.05</f>
        <v>859.85714285714141</v>
      </c>
      <c r="EV49" s="3605">
        <f>(28364.48-27461.63)/1.05</f>
        <v>859.85714285714141</v>
      </c>
      <c r="EW49" s="3547">
        <f t="shared" si="129"/>
        <v>859.85714285714141</v>
      </c>
      <c r="EX49" s="3568"/>
      <c r="EY49" s="3569">
        <f>5600.28/1.06</f>
        <v>5283.2830188679236</v>
      </c>
      <c r="EZ49" s="3562">
        <f>5600.28/1.06</f>
        <v>5283.2830188679236</v>
      </c>
      <c r="FA49" s="3547">
        <f t="shared" si="130"/>
        <v>5283.2830188679236</v>
      </c>
      <c r="FB49" s="3568"/>
      <c r="FC49" s="3569">
        <f>27461.63/1.05</f>
        <v>26153.933333333334</v>
      </c>
      <c r="FD49" s="3562">
        <f>27461.63/1.05</f>
        <v>26153.933333333334</v>
      </c>
      <c r="FE49" s="3547">
        <f t="shared" si="117"/>
        <v>26153.933333333334</v>
      </c>
      <c r="FF49" s="3568"/>
      <c r="FG49" s="3569">
        <f>5600.28/1.06</f>
        <v>5283.2830188679236</v>
      </c>
      <c r="FH49" s="3562">
        <f>5600.28/1.06</f>
        <v>5283.2830188679236</v>
      </c>
      <c r="FI49" s="3547">
        <f t="shared" si="118"/>
        <v>5283.2830188679236</v>
      </c>
      <c r="FJ49" s="3568"/>
      <c r="FK49" s="3559">
        <f>27461.63/1.05</f>
        <v>26153.933333333334</v>
      </c>
      <c r="FL49" s="3562">
        <f>27461.63/1.05</f>
        <v>26153.933333333334</v>
      </c>
      <c r="FM49" s="3547">
        <f t="shared" si="119"/>
        <v>26153.933333333334</v>
      </c>
      <c r="FN49" s="3568"/>
      <c r="FO49" s="3559">
        <f>5600.28/1.06</f>
        <v>5283.2830188679236</v>
      </c>
      <c r="FP49" s="3562">
        <f>5600.28/1.06</f>
        <v>5283.2830188679236</v>
      </c>
      <c r="FQ49" s="3547">
        <f t="shared" si="120"/>
        <v>5283.2830188679236</v>
      </c>
      <c r="FR49" s="3568">
        <v>26153.933055555601</v>
      </c>
      <c r="FS49" s="3559">
        <f>27461.63/1.05</f>
        <v>26153.933333333334</v>
      </c>
      <c r="FT49" s="3560">
        <f>27461.63/1.05</f>
        <v>26153.933333333334</v>
      </c>
      <c r="FU49" s="3547">
        <f t="shared" si="69"/>
        <v>2.7777773357229307E-4</v>
      </c>
      <c r="FV49" s="3568">
        <v>5283.2860455974796</v>
      </c>
      <c r="FW49" s="3559">
        <f>5600.28/1.06</f>
        <v>5283.2830188679236</v>
      </c>
      <c r="FX49" s="3560">
        <f>5600.28/1.06</f>
        <v>5283.2830188679236</v>
      </c>
      <c r="FY49" s="3547">
        <f t="shared" si="70"/>
        <v>-3.0267295560406637E-3</v>
      </c>
      <c r="FZ49" s="3568">
        <v>26153.933055555601</v>
      </c>
      <c r="GA49" s="3569">
        <f>27461.63/1.05</f>
        <v>26153.933333333334</v>
      </c>
      <c r="GB49" s="3560">
        <f>27461.63/1.05</f>
        <v>26153.933333333334</v>
      </c>
      <c r="GC49" s="3547">
        <f t="shared" si="71"/>
        <v>2.7777773357229307E-4</v>
      </c>
      <c r="GD49" s="3568">
        <v>5283.2860455974796</v>
      </c>
      <c r="GE49" s="3569">
        <f>5600.28/1.06</f>
        <v>5283.2830188679236</v>
      </c>
      <c r="GF49" s="3560">
        <f>5600.28/1.06</f>
        <v>5283.2830188679236</v>
      </c>
      <c r="GG49" s="3547">
        <f t="shared" si="72"/>
        <v>-3.0267295560406637E-3</v>
      </c>
      <c r="GH49" s="3568">
        <v>26153.933055555601</v>
      </c>
      <c r="GI49" s="3569">
        <f>27461.63/1.05</f>
        <v>26153.933333333334</v>
      </c>
      <c r="GJ49" s="3562">
        <f>27461.63/1.05</f>
        <v>26153.933333333334</v>
      </c>
      <c r="GK49" s="3547">
        <f t="shared" si="73"/>
        <v>2.7777773357229307E-4</v>
      </c>
      <c r="GL49" s="3568">
        <v>5283.2860455974796</v>
      </c>
      <c r="GM49" s="3569">
        <f>5600.28/1.06</f>
        <v>5283.2830188679236</v>
      </c>
      <c r="GN49" s="3562">
        <f>5600.28/1.06</f>
        <v>5283.2830188679236</v>
      </c>
      <c r="GO49" s="3547">
        <f t="shared" si="74"/>
        <v>-3.0267295560406637E-3</v>
      </c>
      <c r="GP49" s="3568">
        <v>26153.933055555601</v>
      </c>
      <c r="GQ49" s="3569">
        <f>27461.63/1.05</f>
        <v>26153.933333333334</v>
      </c>
      <c r="GR49" s="3562">
        <f>27461.63/1.05</f>
        <v>26153.933333333334</v>
      </c>
      <c r="GS49" s="3547">
        <f t="shared" si="75"/>
        <v>2.7777773357229307E-4</v>
      </c>
      <c r="GT49" s="3568">
        <v>5283.2860455974796</v>
      </c>
      <c r="GU49" s="3569">
        <f>5600.28/1.06</f>
        <v>5283.2830188679236</v>
      </c>
      <c r="GV49" s="3562">
        <f>5600.28/1.06</f>
        <v>5283.2830188679236</v>
      </c>
      <c r="GW49" s="3547">
        <f t="shared" si="76"/>
        <v>-3.0267295560406637E-3</v>
      </c>
      <c r="GX49" s="3568">
        <v>26153.933055555601</v>
      </c>
      <c r="GY49" s="3569">
        <f>27461.63/1.05</f>
        <v>26153.933333333334</v>
      </c>
      <c r="GZ49" s="3562">
        <f>27461.63/1.05</f>
        <v>26153.933333333334</v>
      </c>
      <c r="HA49" s="3547">
        <f t="shared" si="77"/>
        <v>2.7777773357229307E-4</v>
      </c>
      <c r="HB49" s="3568">
        <v>5283.2860455974796</v>
      </c>
      <c r="HC49" s="3569">
        <f>5600.28/1.06</f>
        <v>5283.2830188679236</v>
      </c>
      <c r="HD49" s="3562">
        <f>5600.28/1.06</f>
        <v>5283.2830188679236</v>
      </c>
      <c r="HE49" s="3547">
        <f t="shared" si="78"/>
        <v>-3.0267295560406637E-3</v>
      </c>
      <c r="HF49" s="3568">
        <v>26153.933055555601</v>
      </c>
      <c r="HG49" s="3569">
        <f>27461.63/1.05</f>
        <v>26153.933333333334</v>
      </c>
      <c r="HH49" s="3562">
        <f>27461.63/1.05</f>
        <v>26153.933333333334</v>
      </c>
      <c r="HI49" s="3547">
        <f t="shared" si="79"/>
        <v>2.7777773357229307E-4</v>
      </c>
      <c r="HJ49" s="3568">
        <v>5283.2860455974796</v>
      </c>
      <c r="HK49" s="3569">
        <f>5600.28/1.06</f>
        <v>5283.2830188679236</v>
      </c>
      <c r="HL49" s="3562">
        <f>5600.28/1.06</f>
        <v>5283.2830188679236</v>
      </c>
      <c r="HM49" s="3547">
        <f t="shared" si="80"/>
        <v>-3.0267295560406637E-3</v>
      </c>
      <c r="HN49" s="3568">
        <v>26153.933055555601</v>
      </c>
      <c r="HO49" s="3569">
        <f>27461.63/1.05</f>
        <v>26153.933333333334</v>
      </c>
      <c r="HP49" s="3562">
        <f>27461.63/1.05</f>
        <v>26153.933333333334</v>
      </c>
      <c r="HQ49" s="3547">
        <f t="shared" si="81"/>
        <v>2.7777773357229307E-4</v>
      </c>
      <c r="HR49" s="3568">
        <v>5283.2860455974796</v>
      </c>
      <c r="HS49" s="3569">
        <f>5600.28/1.06</f>
        <v>5283.2830188679236</v>
      </c>
      <c r="HT49" s="3562">
        <f>5600.28/1.06</f>
        <v>5283.2830188679236</v>
      </c>
      <c r="HU49" s="3547">
        <f t="shared" si="82"/>
        <v>-3.0267295560406637E-3</v>
      </c>
      <c r="HV49" s="3568">
        <v>26153.933055555601</v>
      </c>
      <c r="HW49" s="3569">
        <f>27461.63/1.05</f>
        <v>26153.933333333334</v>
      </c>
      <c r="HX49" s="3562"/>
      <c r="HY49" s="3547">
        <f t="shared" si="83"/>
        <v>-26153.933055555601</v>
      </c>
      <c r="HZ49" s="3568">
        <v>5283.2860455974796</v>
      </c>
      <c r="IA49" s="3569">
        <f>5600.28/1.06</f>
        <v>5283.2830188679236</v>
      </c>
      <c r="IB49" s="3562"/>
      <c r="IC49" s="3547">
        <f t="shared" si="84"/>
        <v>-5283.2860455974796</v>
      </c>
      <c r="ID49" s="3568">
        <v>26153.933055555601</v>
      </c>
      <c r="IE49" s="3569">
        <f>27461.63/1.05*12/365*30</f>
        <v>25795.660273972604</v>
      </c>
      <c r="IF49" s="3562"/>
      <c r="IG49" s="3547">
        <f t="shared" si="85"/>
        <v>-26153.933055555601</v>
      </c>
      <c r="IH49" s="3568">
        <v>5283.2860455974796</v>
      </c>
      <c r="II49" s="3569">
        <f>5600.28/1.06*12/365*30</f>
        <v>5210.9092788834314</v>
      </c>
      <c r="IJ49" s="3562"/>
      <c r="IK49" s="3547">
        <f t="shared" si="86"/>
        <v>-5283.2860455974796</v>
      </c>
      <c r="IL49" s="3607"/>
      <c r="IM49" s="3569"/>
      <c r="IN49" s="3569"/>
      <c r="IO49" s="3607"/>
      <c r="IP49" s="3560">
        <f t="shared" si="87"/>
        <v>0</v>
      </c>
      <c r="IQ49" s="3568"/>
      <c r="IR49" s="3568"/>
      <c r="IS49" s="3568"/>
      <c r="IT49" s="3568"/>
      <c r="IU49" s="3568"/>
      <c r="IV49" s="3568"/>
      <c r="IW49" s="3568"/>
      <c r="IX49" s="3568"/>
      <c r="IY49" s="3568"/>
      <c r="IZ49" s="3560"/>
      <c r="JA49" s="3560"/>
      <c r="JB49" s="3560"/>
      <c r="JC49" s="3560">
        <f t="shared" si="11"/>
        <v>0</v>
      </c>
      <c r="JD49" s="3607"/>
      <c r="JE49" s="3568"/>
      <c r="JF49" s="3568"/>
      <c r="JG49" s="3568"/>
      <c r="JH49" s="3568"/>
      <c r="JI49" s="3568"/>
      <c r="JJ49" s="3568"/>
      <c r="JK49" s="3568"/>
      <c r="JL49" s="3568"/>
      <c r="JM49" s="3568"/>
      <c r="JN49" s="3560"/>
      <c r="JO49" s="3560"/>
      <c r="JP49" s="3607" t="s">
        <v>4204</v>
      </c>
      <c r="JQ49" s="3583">
        <f>(28364.48-27461.63)/1.05+27461.63/1.05</f>
        <v>27013.790476190476</v>
      </c>
      <c r="JR49" s="3583">
        <f>5600.28*2/1.06</f>
        <v>10566.566037735847</v>
      </c>
      <c r="JS49" s="3573">
        <f t="shared" si="28"/>
        <v>-5.8207660913467407E-11</v>
      </c>
      <c r="JT49" s="3573">
        <f t="shared" si="35"/>
        <v>1.4551915228366852E-11</v>
      </c>
      <c r="JU49" s="3574">
        <f t="shared" si="29"/>
        <v>0</v>
      </c>
      <c r="JV49" s="3574">
        <f t="shared" si="30"/>
        <v>0</v>
      </c>
      <c r="JW49" s="3575"/>
      <c r="JX49" s="3576">
        <f t="shared" si="31"/>
        <v>26153.933333333334</v>
      </c>
      <c r="JY49" s="3576">
        <f t="shared" si="32"/>
        <v>5283.2830188679236</v>
      </c>
      <c r="JZ49" s="3577"/>
      <c r="KA49" s="3573">
        <f t="shared" si="131"/>
        <v>-2.7489518224683707E-3</v>
      </c>
      <c r="KB49" s="3573"/>
      <c r="KC49" s="3573"/>
      <c r="KD49" s="3573">
        <f t="shared" si="33"/>
        <v>-2.7489518224683707E-3</v>
      </c>
      <c r="KE49" s="3587"/>
      <c r="KF49" s="3579"/>
      <c r="KG49" s="3579"/>
      <c r="KH49" s="3579">
        <f>6143.14/10000+31437.22/10000*2</f>
        <v>6.9017580000000001</v>
      </c>
      <c r="KI49" s="3579"/>
      <c r="KJ49" s="3579"/>
      <c r="KK49" s="3579"/>
      <c r="KL49" s="3579"/>
      <c r="KM49" s="3579"/>
      <c r="KN49" s="3579"/>
      <c r="KO49" s="3579"/>
      <c r="KP49" s="3579"/>
      <c r="KQ49" s="3579">
        <f t="shared" si="34"/>
        <v>6.9017580000000001</v>
      </c>
      <c r="KR49" s="3579">
        <f t="shared" si="88"/>
        <v>-2.3627583329854929E-6</v>
      </c>
      <c r="KS49" s="3577"/>
      <c r="KT49" s="3577"/>
      <c r="KU49" s="3577"/>
      <c r="KV49" s="3577"/>
      <c r="KW49" s="3577"/>
      <c r="KX49" s="3577"/>
      <c r="KY49" s="3577"/>
      <c r="KZ49" s="3577"/>
      <c r="LA49" s="3577"/>
      <c r="LB49" s="3577"/>
      <c r="LC49" s="3577"/>
      <c r="LD49" s="3577"/>
      <c r="LE49" s="3577"/>
      <c r="LF49" s="3577"/>
      <c r="LG49" s="3577"/>
      <c r="LH49" s="3577"/>
      <c r="LJ49" s="3575"/>
      <c r="LK49" s="3571"/>
      <c r="LL49" s="3576"/>
    </row>
    <row r="50" spans="1:325" s="3580" customFormat="1" ht="18" customHeight="1">
      <c r="A50" s="3545">
        <v>47</v>
      </c>
      <c r="B50" s="3546" t="s">
        <v>4116</v>
      </c>
      <c r="C50" s="3667" t="s">
        <v>4205</v>
      </c>
      <c r="D50" s="3562">
        <v>221.83</v>
      </c>
      <c r="E50" s="3596" t="s">
        <v>3845</v>
      </c>
      <c r="F50" s="3546" t="s">
        <v>3790</v>
      </c>
      <c r="G50" s="3595" t="s">
        <v>4206</v>
      </c>
      <c r="H50" s="3546" t="s">
        <v>4207</v>
      </c>
      <c r="I50" s="3594" t="s">
        <v>4208</v>
      </c>
      <c r="J50" s="3594" t="s">
        <v>4209</v>
      </c>
      <c r="K50" s="3545"/>
      <c r="L50" s="3555"/>
      <c r="M50" s="3551"/>
      <c r="N50" s="3551"/>
      <c r="O50" s="3551">
        <f t="shared" si="13"/>
        <v>0</v>
      </c>
      <c r="P50" s="3547"/>
      <c r="Q50" s="3547"/>
      <c r="R50" s="3547">
        <f>Q50-P50</f>
        <v>0</v>
      </c>
      <c r="S50" s="3547">
        <f t="shared" si="125"/>
        <v>0</v>
      </c>
      <c r="T50" s="3552"/>
      <c r="U50" s="3553">
        <f t="shared" si="15"/>
        <v>0</v>
      </c>
      <c r="V50" s="3547"/>
      <c r="W50" s="3547">
        <f t="shared" si="126"/>
        <v>0</v>
      </c>
      <c r="X50" s="3547"/>
      <c r="Y50" s="3547">
        <f t="shared" si="17"/>
        <v>0</v>
      </c>
      <c r="Z50" s="3554"/>
      <c r="AA50" s="3555"/>
      <c r="AB50" s="3547"/>
      <c r="AC50" s="3556">
        <f t="shared" si="18"/>
        <v>0</v>
      </c>
      <c r="AD50" s="3556">
        <f t="shared" si="121"/>
        <v>0</v>
      </c>
      <c r="AE50" s="3556">
        <f t="shared" si="121"/>
        <v>0</v>
      </c>
      <c r="AF50" s="3556">
        <f t="shared" si="20"/>
        <v>0</v>
      </c>
      <c r="AG50" s="3556"/>
      <c r="AH50" s="3557">
        <f t="shared" si="21"/>
        <v>0</v>
      </c>
      <c r="AI50" s="3558">
        <f t="shared" si="122"/>
        <v>0</v>
      </c>
      <c r="AJ50" s="3558">
        <f t="shared" si="122"/>
        <v>0</v>
      </c>
      <c r="AK50" s="3557">
        <f t="shared" si="43"/>
        <v>0</v>
      </c>
      <c r="AL50" s="3557"/>
      <c r="AM50" s="3668" t="s">
        <v>4210</v>
      </c>
      <c r="AN50" s="3609"/>
      <c r="AO50" s="3562"/>
      <c r="AP50" s="3561">
        <f t="shared" si="113"/>
        <v>0</v>
      </c>
      <c r="AQ50" s="3609"/>
      <c r="AR50" s="3609"/>
      <c r="AS50" s="3561">
        <f t="shared" si="127"/>
        <v>0</v>
      </c>
      <c r="AT50" s="3563" t="s">
        <v>4211</v>
      </c>
      <c r="AU50" s="3547"/>
      <c r="AV50" s="3609"/>
      <c r="AW50" s="3562"/>
      <c r="AX50" s="3561">
        <f t="shared" si="114"/>
        <v>0</v>
      </c>
      <c r="AY50" s="3559"/>
      <c r="AZ50" s="3562"/>
      <c r="BA50" s="3561">
        <f t="shared" si="128"/>
        <v>0</v>
      </c>
      <c r="BB50" s="3563" t="s">
        <v>4211</v>
      </c>
      <c r="BC50" s="3547"/>
      <c r="BD50" s="3609"/>
      <c r="BE50" s="3562"/>
      <c r="BF50" s="3561">
        <f t="shared" si="115"/>
        <v>0</v>
      </c>
      <c r="BG50" s="3559"/>
      <c r="BH50" s="3562"/>
      <c r="BI50" s="3561">
        <f t="shared" si="116"/>
        <v>0</v>
      </c>
      <c r="BJ50" s="3563" t="s">
        <v>4211</v>
      </c>
      <c r="BK50" s="3547"/>
      <c r="BL50" s="3609"/>
      <c r="BM50" s="3562"/>
      <c r="BN50" s="3561">
        <f t="shared" si="48"/>
        <v>0</v>
      </c>
      <c r="BO50" s="3559"/>
      <c r="BP50" s="3562"/>
      <c r="BQ50" s="3561">
        <f t="shared" si="49"/>
        <v>0</v>
      </c>
      <c r="BR50" s="3563" t="s">
        <v>4211</v>
      </c>
      <c r="BS50" s="3547"/>
      <c r="BT50" s="3559"/>
      <c r="BU50" s="3562"/>
      <c r="BV50" s="3561">
        <f t="shared" si="50"/>
        <v>0</v>
      </c>
      <c r="BW50" s="3559"/>
      <c r="BX50" s="3562"/>
      <c r="BY50" s="3561">
        <f t="shared" si="51"/>
        <v>0</v>
      </c>
      <c r="BZ50" s="3563" t="s">
        <v>4211</v>
      </c>
      <c r="CA50" s="3547"/>
      <c r="CB50" s="3609"/>
      <c r="CC50" s="3562"/>
      <c r="CD50" s="3561">
        <f t="shared" si="52"/>
        <v>0</v>
      </c>
      <c r="CE50" s="3559"/>
      <c r="CF50" s="3562"/>
      <c r="CG50" s="3561">
        <f t="shared" si="53"/>
        <v>0</v>
      </c>
      <c r="CH50" s="3563" t="s">
        <v>4211</v>
      </c>
      <c r="CI50" s="3547"/>
      <c r="CJ50" s="3609"/>
      <c r="CK50" s="3562"/>
      <c r="CL50" s="3561">
        <f t="shared" si="5"/>
        <v>0</v>
      </c>
      <c r="CM50" s="3559"/>
      <c r="CN50" s="3562"/>
      <c r="CO50" s="3561">
        <f t="shared" si="54"/>
        <v>0</v>
      </c>
      <c r="CP50" s="3563" t="s">
        <v>4211</v>
      </c>
      <c r="CQ50" s="3547"/>
      <c r="CR50" s="3609"/>
      <c r="CS50" s="3603"/>
      <c r="CT50" s="3561">
        <f t="shared" si="55"/>
        <v>0</v>
      </c>
      <c r="CU50" s="3559"/>
      <c r="CV50" s="3603"/>
      <c r="CW50" s="3561">
        <f t="shared" si="56"/>
        <v>0</v>
      </c>
      <c r="CX50" s="3563" t="s">
        <v>4211</v>
      </c>
      <c r="CY50" s="3547"/>
      <c r="CZ50" s="3609"/>
      <c r="DA50" s="3562"/>
      <c r="DB50" s="3561">
        <f t="shared" si="57"/>
        <v>0</v>
      </c>
      <c r="DC50" s="3559"/>
      <c r="DD50" s="3603"/>
      <c r="DE50" s="3561">
        <f t="shared" si="58"/>
        <v>0</v>
      </c>
      <c r="DF50" s="3563" t="s">
        <v>4211</v>
      </c>
      <c r="DG50" s="3547"/>
      <c r="DH50" s="3609"/>
      <c r="DI50" s="3562"/>
      <c r="DJ50" s="3561">
        <f t="shared" si="59"/>
        <v>0</v>
      </c>
      <c r="DK50" s="3559"/>
      <c r="DL50" s="3562"/>
      <c r="DM50" s="3561">
        <f t="shared" si="60"/>
        <v>0</v>
      </c>
      <c r="DN50" s="3563"/>
      <c r="DO50" s="3547"/>
      <c r="DP50" s="3609"/>
      <c r="DQ50" s="3562"/>
      <c r="DR50" s="3561">
        <f t="shared" si="61"/>
        <v>0</v>
      </c>
      <c r="DS50" s="3559"/>
      <c r="DT50" s="3562"/>
      <c r="DU50" s="3561">
        <f t="shared" si="62"/>
        <v>0</v>
      </c>
      <c r="DV50" s="3563"/>
      <c r="DW50" s="3547"/>
      <c r="DX50" s="3609"/>
      <c r="DY50" s="3562"/>
      <c r="DZ50" s="3561">
        <f t="shared" si="63"/>
        <v>0</v>
      </c>
      <c r="EA50" s="3559"/>
      <c r="EB50" s="3562"/>
      <c r="EC50" s="3561">
        <f t="shared" si="64"/>
        <v>0</v>
      </c>
      <c r="ED50" s="3563"/>
      <c r="EE50" s="3564"/>
      <c r="EF50" s="3565">
        <f t="shared" si="37"/>
        <v>299201.11191454623</v>
      </c>
      <c r="EG50" s="3565">
        <f t="shared" si="123"/>
        <v>218811.50441454639</v>
      </c>
      <c r="EH50" s="3565">
        <f t="shared" si="123"/>
        <v>16156.424266144812</v>
      </c>
      <c r="EI50" s="3565">
        <f t="shared" si="123"/>
        <v>16156.424266144812</v>
      </c>
      <c r="EJ50" s="3565">
        <f t="shared" si="38"/>
        <v>-202655.08014840158</v>
      </c>
      <c r="EK50" s="3566">
        <f t="shared" si="39"/>
        <v>0</v>
      </c>
      <c r="EL50" s="3610"/>
      <c r="EM50" s="3567">
        <f t="shared" si="40"/>
        <v>63399.432547169759</v>
      </c>
      <c r="EN50" s="3557">
        <f t="shared" si="124"/>
        <v>47549.574410377318</v>
      </c>
      <c r="EO50" s="3557">
        <f t="shared" si="124"/>
        <v>2605.4546394417157</v>
      </c>
      <c r="EP50" s="3557">
        <f t="shared" si="124"/>
        <v>2605.4546394417157</v>
      </c>
      <c r="EQ50" s="3557">
        <f t="shared" si="41"/>
        <v>-44944.119770935606</v>
      </c>
      <c r="ER50" s="3557">
        <f t="shared" si="42"/>
        <v>0</v>
      </c>
      <c r="ES50" s="3557"/>
      <c r="ET50" s="3568">
        <v>16156.424266144801</v>
      </c>
      <c r="EU50" s="3592">
        <f>34399.72/1.05*12/365*15</f>
        <v>16156.424266144812</v>
      </c>
      <c r="EV50" s="3605">
        <f>103199.16/3/1.05*12/365*15</f>
        <v>16156.424266144812</v>
      </c>
      <c r="EW50" s="3547">
        <f t="shared" si="129"/>
        <v>0</v>
      </c>
      <c r="EX50" s="3568">
        <v>5283.2860455974796</v>
      </c>
      <c r="EY50" s="3592">
        <f>16800.84/3/1.06*12/365*15</f>
        <v>2605.4546394417157</v>
      </c>
      <c r="EZ50" s="3605">
        <f>16800.84/3/1.06*12/365*15</f>
        <v>2605.4546394417157</v>
      </c>
      <c r="FA50" s="3547">
        <f t="shared" si="130"/>
        <v>-2677.8314061557639</v>
      </c>
      <c r="FB50" s="3568">
        <v>15079.3293150685</v>
      </c>
      <c r="FC50" s="3592"/>
      <c r="FD50" s="3562"/>
      <c r="FE50" s="3547">
        <f t="shared" si="117"/>
        <v>-15079.3293150685</v>
      </c>
      <c r="FF50" s="3568">
        <v>5283.2860455974796</v>
      </c>
      <c r="FG50" s="3562"/>
      <c r="FH50" s="3562"/>
      <c r="FI50" s="3547">
        <f t="shared" si="118"/>
        <v>-5283.2860455974796</v>
      </c>
      <c r="FJ50" s="3568">
        <v>26796.535833333299</v>
      </c>
      <c r="FK50" s="3559"/>
      <c r="FL50" s="3562"/>
      <c r="FM50" s="3547">
        <f t="shared" si="119"/>
        <v>-26796.535833333299</v>
      </c>
      <c r="FN50" s="3568">
        <v>5283.2860455974796</v>
      </c>
      <c r="FO50" s="3559"/>
      <c r="FP50" s="3562"/>
      <c r="FQ50" s="3547">
        <f t="shared" si="120"/>
        <v>-5283.2860455974796</v>
      </c>
      <c r="FR50" s="3568">
        <v>26796.535833333299</v>
      </c>
      <c r="FS50" s="3559"/>
      <c r="FT50" s="3560"/>
      <c r="FU50" s="3547">
        <f t="shared" si="69"/>
        <v>-26796.535833333299</v>
      </c>
      <c r="FV50" s="3568">
        <v>5283.2860455974796</v>
      </c>
      <c r="FW50" s="3559"/>
      <c r="FX50" s="3560"/>
      <c r="FY50" s="3547">
        <f t="shared" si="70"/>
        <v>-5283.2860455974796</v>
      </c>
      <c r="FZ50" s="3568">
        <v>26796.535833333299</v>
      </c>
      <c r="GA50" s="3569"/>
      <c r="GB50" s="3560"/>
      <c r="GC50" s="3547">
        <f t="shared" si="71"/>
        <v>-26796.535833333299</v>
      </c>
      <c r="GD50" s="3568">
        <v>5283.2860455974796</v>
      </c>
      <c r="GE50" s="3569"/>
      <c r="GF50" s="3560"/>
      <c r="GG50" s="3547">
        <f t="shared" si="72"/>
        <v>-5283.2860455974796</v>
      </c>
      <c r="GH50" s="3568">
        <v>26796.535833333299</v>
      </c>
      <c r="GI50" s="3569"/>
      <c r="GJ50" s="3562"/>
      <c r="GK50" s="3547">
        <f t="shared" si="73"/>
        <v>-26796.535833333299</v>
      </c>
      <c r="GL50" s="3568">
        <v>5283.2860455974796</v>
      </c>
      <c r="GM50" s="3569"/>
      <c r="GN50" s="3560"/>
      <c r="GO50" s="3547">
        <f t="shared" si="74"/>
        <v>-5283.2860455974796</v>
      </c>
      <c r="GP50" s="3568">
        <v>26796.535833333299</v>
      </c>
      <c r="GQ50" s="3569"/>
      <c r="GR50" s="3562"/>
      <c r="GS50" s="3547">
        <f t="shared" si="75"/>
        <v>-26796.535833333299</v>
      </c>
      <c r="GT50" s="3568">
        <v>5283.2860455974796</v>
      </c>
      <c r="GU50" s="3569"/>
      <c r="GV50" s="3560"/>
      <c r="GW50" s="3547">
        <f t="shared" si="76"/>
        <v>-5283.2860455974796</v>
      </c>
      <c r="GX50" s="3568">
        <v>26796.535833333299</v>
      </c>
      <c r="GY50" s="3569"/>
      <c r="GZ50" s="3562"/>
      <c r="HA50" s="3547">
        <f t="shared" si="77"/>
        <v>-26796.535833333299</v>
      </c>
      <c r="HB50" s="3568">
        <v>5283.2860455974796</v>
      </c>
      <c r="HC50" s="3569"/>
      <c r="HD50" s="3562"/>
      <c r="HE50" s="3547">
        <f t="shared" si="78"/>
        <v>-5283.2860455974796</v>
      </c>
      <c r="HF50" s="3568">
        <v>26796.535833333299</v>
      </c>
      <c r="HG50" s="3569"/>
      <c r="HH50" s="3562"/>
      <c r="HI50" s="3547">
        <f t="shared" si="79"/>
        <v>-26796.535833333299</v>
      </c>
      <c r="HJ50" s="3568">
        <v>5283.2860455974796</v>
      </c>
      <c r="HK50" s="3569"/>
      <c r="HL50" s="3562"/>
      <c r="HM50" s="3547">
        <f t="shared" si="80"/>
        <v>-5283.2860455974796</v>
      </c>
      <c r="HN50" s="3568">
        <v>26796.535833333299</v>
      </c>
      <c r="HO50" s="3569"/>
      <c r="HP50" s="3562"/>
      <c r="HQ50" s="3547">
        <f t="shared" si="81"/>
        <v>-26796.535833333299</v>
      </c>
      <c r="HR50" s="3568">
        <v>5283.2860455974796</v>
      </c>
      <c r="HS50" s="3569"/>
      <c r="HT50" s="3562"/>
      <c r="HU50" s="3547">
        <f t="shared" si="82"/>
        <v>-5283.2860455974796</v>
      </c>
      <c r="HV50" s="3568">
        <v>26796.535833333299</v>
      </c>
      <c r="HW50" s="3569"/>
      <c r="HX50" s="3562"/>
      <c r="HY50" s="3547">
        <f t="shared" si="83"/>
        <v>-26796.535833333299</v>
      </c>
      <c r="HZ50" s="3568">
        <v>5283.2860455974796</v>
      </c>
      <c r="IA50" s="3569"/>
      <c r="IB50" s="3562"/>
      <c r="IC50" s="3547">
        <f t="shared" si="84"/>
        <v>-5283.2860455974796</v>
      </c>
      <c r="ID50" s="3568">
        <v>26796.535833333299</v>
      </c>
      <c r="IE50" s="3569"/>
      <c r="IF50" s="3562"/>
      <c r="IG50" s="3547">
        <f t="shared" si="85"/>
        <v>-26796.535833333299</v>
      </c>
      <c r="IH50" s="3568">
        <v>5283.2860455974796</v>
      </c>
      <c r="II50" s="3569"/>
      <c r="IJ50" s="3562"/>
      <c r="IK50" s="3547">
        <f t="shared" si="86"/>
        <v>-5283.2860455974796</v>
      </c>
      <c r="IL50" s="3547"/>
      <c r="IM50" s="3569"/>
      <c r="IN50" s="3569"/>
      <c r="IO50" s="3547"/>
      <c r="IP50" s="3560">
        <f t="shared" si="87"/>
        <v>0</v>
      </c>
      <c r="IQ50" s="3568"/>
      <c r="IR50" s="3568"/>
      <c r="IS50" s="3568"/>
      <c r="IT50" s="3568"/>
      <c r="IU50" s="3568"/>
      <c r="IV50" s="3568"/>
      <c r="IW50" s="3568"/>
      <c r="IX50" s="3568"/>
      <c r="IY50" s="3568"/>
      <c r="IZ50" s="3560"/>
      <c r="JA50" s="3560"/>
      <c r="JB50" s="3560"/>
      <c r="JC50" s="3560">
        <f t="shared" si="11"/>
        <v>0</v>
      </c>
      <c r="JD50" s="3547"/>
      <c r="JE50" s="3568"/>
      <c r="JF50" s="3568"/>
      <c r="JG50" s="3568"/>
      <c r="JH50" s="3568"/>
      <c r="JI50" s="3568"/>
      <c r="JJ50" s="3568"/>
      <c r="JK50" s="3568"/>
      <c r="JL50" s="3568"/>
      <c r="JM50" s="3568"/>
      <c r="JN50" s="3560"/>
      <c r="JO50" s="3560"/>
      <c r="JP50" s="3584" t="s">
        <v>3814</v>
      </c>
      <c r="JQ50" s="3583">
        <f>34399.72*12/365*15/1.05</f>
        <v>16156.424266144812</v>
      </c>
      <c r="JR50" s="3583">
        <f>5600.28*12/365*15/1.06</f>
        <v>2605.4546394417162</v>
      </c>
      <c r="JS50" s="3573">
        <f t="shared" si="28"/>
        <v>0</v>
      </c>
      <c r="JT50" s="3573">
        <f t="shared" si="35"/>
        <v>4.5474735088646412E-13</v>
      </c>
      <c r="JU50" s="3574">
        <f t="shared" si="29"/>
        <v>0</v>
      </c>
      <c r="JV50" s="3574">
        <f t="shared" si="30"/>
        <v>4.5474735088646412E-13</v>
      </c>
      <c r="JW50" s="3575"/>
      <c r="JX50" s="3576">
        <f t="shared" si="31"/>
        <v>0</v>
      </c>
      <c r="JY50" s="3576">
        <f t="shared" si="32"/>
        <v>0</v>
      </c>
      <c r="JZ50" s="3577"/>
      <c r="KA50" s="3573">
        <f t="shared" si="131"/>
        <v>-32079.821878930779</v>
      </c>
      <c r="KB50" s="3573"/>
      <c r="KC50" s="3573"/>
      <c r="KD50" s="3573">
        <f t="shared" si="33"/>
        <v>-32079.821878930779</v>
      </c>
      <c r="KE50" s="3587" t="s">
        <v>3765</v>
      </c>
      <c r="KF50" s="3579"/>
      <c r="KG50" s="3579"/>
      <c r="KH50" s="3579"/>
      <c r="KI50" s="3579"/>
      <c r="KJ50" s="3579"/>
      <c r="KK50" s="3579"/>
      <c r="KL50" s="3579">
        <f>-17757.16/10000-32079.82/10000*7</f>
        <v>-24.231589999999997</v>
      </c>
      <c r="KM50" s="3579"/>
      <c r="KN50" s="3579">
        <f>-2677.83/10000-2605.46/10000</f>
        <v>-0.52832900000000005</v>
      </c>
      <c r="KO50" s="3579"/>
      <c r="KP50" s="3579"/>
      <c r="KQ50" s="3579">
        <f t="shared" si="34"/>
        <v>-24.759918999999996</v>
      </c>
      <c r="KR50" s="3579">
        <f t="shared" si="88"/>
        <v>-9.9193372093964172E-7</v>
      </c>
      <c r="KS50" s="3577"/>
      <c r="KT50" s="3577"/>
      <c r="KU50" s="3577"/>
      <c r="KV50" s="3577"/>
      <c r="KW50" s="3577"/>
      <c r="KX50" s="3577"/>
      <c r="KY50" s="3577"/>
      <c r="KZ50" s="3577"/>
      <c r="LA50" s="3577"/>
      <c r="LB50" s="3577"/>
      <c r="LC50" s="3577"/>
      <c r="LD50" s="3577"/>
      <c r="LE50" s="3577"/>
      <c r="LF50" s="3577"/>
      <c r="LG50" s="3577"/>
      <c r="LH50" s="3577"/>
      <c r="LJ50" s="3575"/>
      <c r="LK50" s="3571"/>
      <c r="LL50" s="3576"/>
    </row>
    <row r="51" spans="1:325" s="3580" customFormat="1" ht="18" customHeight="1">
      <c r="A51" s="3545">
        <v>48</v>
      </c>
      <c r="B51" s="3546" t="s">
        <v>4116</v>
      </c>
      <c r="C51" s="3546" t="s">
        <v>4212</v>
      </c>
      <c r="D51" s="3547">
        <v>448.32</v>
      </c>
      <c r="E51" s="3548" t="s">
        <v>3799</v>
      </c>
      <c r="F51" s="3546" t="s">
        <v>3790</v>
      </c>
      <c r="G51" s="3546" t="s">
        <v>4213</v>
      </c>
      <c r="H51" s="3546" t="s">
        <v>4214</v>
      </c>
      <c r="I51" s="3594" t="s">
        <v>3868</v>
      </c>
      <c r="J51" s="3594" t="s">
        <v>4215</v>
      </c>
      <c r="K51" s="3545"/>
      <c r="L51" s="3545"/>
      <c r="M51" s="3551">
        <v>231955.17</v>
      </c>
      <c r="N51" s="3551">
        <v>231955.17</v>
      </c>
      <c r="O51" s="3551">
        <f t="shared" si="13"/>
        <v>0</v>
      </c>
      <c r="P51" s="3547">
        <v>33954.629999999997</v>
      </c>
      <c r="Q51" s="3547">
        <v>33954.629999999997</v>
      </c>
      <c r="R51" s="3547">
        <f>Q51-P51</f>
        <v>0</v>
      </c>
      <c r="S51" s="3547">
        <f t="shared" si="125"/>
        <v>5.6700001466662746</v>
      </c>
      <c r="T51" s="3552">
        <v>77318.39</v>
      </c>
      <c r="U51" s="3553">
        <f t="shared" si="15"/>
        <v>927820.67999999993</v>
      </c>
      <c r="V51" s="3547">
        <f>77318.39*12*2</f>
        <v>1855641.3599999999</v>
      </c>
      <c r="W51" s="3547">
        <f t="shared" si="126"/>
        <v>0.82999985333372439</v>
      </c>
      <c r="X51" s="3663">
        <v>11318.21</v>
      </c>
      <c r="Y51" s="3547">
        <f t="shared" si="17"/>
        <v>135818.51999999999</v>
      </c>
      <c r="Z51" s="3554"/>
      <c r="AA51" s="3555"/>
      <c r="AB51" s="3643" t="s">
        <v>3804</v>
      </c>
      <c r="AC51" s="3556">
        <f t="shared" si="18"/>
        <v>927820.67999999993</v>
      </c>
      <c r="AD51" s="3556">
        <f t="shared" si="121"/>
        <v>695865.51</v>
      </c>
      <c r="AE51" s="3556">
        <f t="shared" si="121"/>
        <v>695865.51</v>
      </c>
      <c r="AF51" s="3556">
        <f t="shared" si="20"/>
        <v>0</v>
      </c>
      <c r="AG51" s="3556"/>
      <c r="AH51" s="3557">
        <f t="shared" si="21"/>
        <v>135818.51999999999</v>
      </c>
      <c r="AI51" s="3558">
        <f t="shared" si="122"/>
        <v>101863.88999999998</v>
      </c>
      <c r="AJ51" s="3558">
        <f t="shared" si="122"/>
        <v>101863.88999999998</v>
      </c>
      <c r="AK51" s="3557">
        <f t="shared" si="43"/>
        <v>0</v>
      </c>
      <c r="AL51" s="3557"/>
      <c r="AM51" s="3547"/>
      <c r="AN51" s="3609"/>
      <c r="AO51" s="3562"/>
      <c r="AP51" s="3561">
        <f t="shared" si="113"/>
        <v>0</v>
      </c>
      <c r="AQ51" s="3559"/>
      <c r="AR51" s="3562"/>
      <c r="AS51" s="3561">
        <f t="shared" si="127"/>
        <v>0</v>
      </c>
      <c r="AT51" s="3563" t="s">
        <v>4216</v>
      </c>
      <c r="AU51" s="3547" t="s">
        <v>4217</v>
      </c>
      <c r="AV51" s="3609">
        <f>3*77318.39</f>
        <v>231955.16999999998</v>
      </c>
      <c r="AW51" s="3562">
        <f>51955.17+90000+90000</f>
        <v>231955.16999999998</v>
      </c>
      <c r="AX51" s="3561">
        <f t="shared" si="114"/>
        <v>0</v>
      </c>
      <c r="AY51" s="3559">
        <f>3*11318.21</f>
        <v>33954.629999999997</v>
      </c>
      <c r="AZ51" s="3562">
        <v>33954.629999999997</v>
      </c>
      <c r="BA51" s="3561">
        <f t="shared" si="128"/>
        <v>0</v>
      </c>
      <c r="BB51" s="3563" t="s">
        <v>4218</v>
      </c>
      <c r="BC51" s="3547"/>
      <c r="BD51" s="3609"/>
      <c r="BE51" s="3562"/>
      <c r="BF51" s="3561">
        <f t="shared" si="115"/>
        <v>0</v>
      </c>
      <c r="BG51" s="3559"/>
      <c r="BH51" s="3562"/>
      <c r="BI51" s="3561">
        <f t="shared" si="116"/>
        <v>0</v>
      </c>
      <c r="BJ51" s="3563" t="s">
        <v>4218</v>
      </c>
      <c r="BK51" s="3547"/>
      <c r="BL51" s="3609"/>
      <c r="BM51" s="3562"/>
      <c r="BN51" s="3561">
        <f t="shared" si="48"/>
        <v>0</v>
      </c>
      <c r="BO51" s="3559"/>
      <c r="BP51" s="3562"/>
      <c r="BQ51" s="3561">
        <f t="shared" si="49"/>
        <v>0</v>
      </c>
      <c r="BR51" s="3563" t="s">
        <v>4218</v>
      </c>
      <c r="BS51" s="3547" t="s">
        <v>4219</v>
      </c>
      <c r="BT51" s="3559">
        <f>3*77318.39</f>
        <v>231955.16999999998</v>
      </c>
      <c r="BU51" s="3603">
        <v>231955.17</v>
      </c>
      <c r="BV51" s="3602">
        <f t="shared" si="50"/>
        <v>0</v>
      </c>
      <c r="BW51" s="3604">
        <f>3*11318.21</f>
        <v>33954.629999999997</v>
      </c>
      <c r="BX51" s="3603">
        <v>33954.629999999997</v>
      </c>
      <c r="BY51" s="3561">
        <f t="shared" si="51"/>
        <v>0</v>
      </c>
      <c r="BZ51" s="3630" t="s">
        <v>4220</v>
      </c>
      <c r="CA51" s="3547"/>
      <c r="CB51" s="3609"/>
      <c r="CC51" s="3562"/>
      <c r="CD51" s="3561">
        <f t="shared" si="52"/>
        <v>0</v>
      </c>
      <c r="CE51" s="3559"/>
      <c r="CF51" s="3562"/>
      <c r="CG51" s="3561">
        <f t="shared" si="53"/>
        <v>0</v>
      </c>
      <c r="CH51" s="3630" t="s">
        <v>4220</v>
      </c>
      <c r="CI51" s="3547"/>
      <c r="CJ51" s="3609"/>
      <c r="CK51" s="3562"/>
      <c r="CL51" s="3561">
        <f t="shared" si="5"/>
        <v>0</v>
      </c>
      <c r="CM51" s="3559"/>
      <c r="CN51" s="3562"/>
      <c r="CO51" s="3561">
        <f t="shared" si="54"/>
        <v>0</v>
      </c>
      <c r="CP51" s="3630" t="s">
        <v>4220</v>
      </c>
      <c r="CQ51" s="3547" t="s">
        <v>4221</v>
      </c>
      <c r="CR51" s="3609">
        <f>3*77318.39</f>
        <v>231955.16999999998</v>
      </c>
      <c r="CS51" s="3603">
        <v>231955.17</v>
      </c>
      <c r="CT51" s="3561">
        <f t="shared" si="55"/>
        <v>0</v>
      </c>
      <c r="CU51" s="3559">
        <f>3*11318.21</f>
        <v>33954.629999999997</v>
      </c>
      <c r="CV51" s="3603">
        <v>33954.629999999997</v>
      </c>
      <c r="CW51" s="3561">
        <f t="shared" si="56"/>
        <v>0</v>
      </c>
      <c r="CX51" s="3563" t="s">
        <v>4222</v>
      </c>
      <c r="CY51" s="3547"/>
      <c r="CZ51" s="3609"/>
      <c r="DA51" s="3562"/>
      <c r="DB51" s="3561">
        <f t="shared" si="57"/>
        <v>0</v>
      </c>
      <c r="DC51" s="3559"/>
      <c r="DD51" s="3603"/>
      <c r="DE51" s="3561">
        <f t="shared" si="58"/>
        <v>0</v>
      </c>
      <c r="DF51" s="3563" t="s">
        <v>4222</v>
      </c>
      <c r="DG51" s="3547"/>
      <c r="DH51" s="3609"/>
      <c r="DI51" s="3562"/>
      <c r="DJ51" s="3561">
        <f t="shared" si="59"/>
        <v>0</v>
      </c>
      <c r="DK51" s="3559"/>
      <c r="DL51" s="3562"/>
      <c r="DM51" s="3561">
        <f t="shared" si="60"/>
        <v>0</v>
      </c>
      <c r="DN51" s="3563"/>
      <c r="DO51" s="3547" t="s">
        <v>4223</v>
      </c>
      <c r="DP51" s="3609">
        <f>3*77318.39</f>
        <v>231955.16999999998</v>
      </c>
      <c r="DQ51" s="3562"/>
      <c r="DR51" s="3561">
        <f t="shared" si="61"/>
        <v>-231955.16999999998</v>
      </c>
      <c r="DS51" s="3559">
        <f>3*11318.21</f>
        <v>33954.629999999997</v>
      </c>
      <c r="DT51" s="3562"/>
      <c r="DU51" s="3561">
        <f t="shared" si="62"/>
        <v>-33954.629999999997</v>
      </c>
      <c r="DV51" s="3563"/>
      <c r="DW51" s="3547"/>
      <c r="DX51" s="3609"/>
      <c r="DY51" s="3562"/>
      <c r="DZ51" s="3561">
        <f t="shared" si="63"/>
        <v>0</v>
      </c>
      <c r="EA51" s="3559"/>
      <c r="EB51" s="3562"/>
      <c r="EC51" s="3561">
        <f t="shared" si="64"/>
        <v>0</v>
      </c>
      <c r="ED51" s="3563"/>
      <c r="EE51" s="3564"/>
      <c r="EF51" s="3565">
        <f t="shared" si="37"/>
        <v>883638.74285714293</v>
      </c>
      <c r="EG51" s="3565">
        <f t="shared" si="123"/>
        <v>662729.05714285711</v>
      </c>
      <c r="EH51" s="3565">
        <f t="shared" si="123"/>
        <v>662729.05714285711</v>
      </c>
      <c r="EI51" s="3565">
        <f t="shared" si="123"/>
        <v>662729.05714285711</v>
      </c>
      <c r="EJ51" s="3565">
        <f t="shared" si="38"/>
        <v>0</v>
      </c>
      <c r="EK51" s="3566">
        <f t="shared" si="39"/>
        <v>0</v>
      </c>
      <c r="EL51" s="3610"/>
      <c r="EM51" s="3567">
        <f t="shared" si="40"/>
        <v>128130.6792452832</v>
      </c>
      <c r="EN51" s="3557">
        <f t="shared" si="124"/>
        <v>96098.009433962405</v>
      </c>
      <c r="EO51" s="3557">
        <f t="shared" si="124"/>
        <v>96098.009433962259</v>
      </c>
      <c r="EP51" s="3557">
        <f t="shared" si="124"/>
        <v>96098.009433962259</v>
      </c>
      <c r="EQ51" s="3557">
        <f t="shared" si="41"/>
        <v>-1.4551915228366852E-10</v>
      </c>
      <c r="ER51" s="3557">
        <f t="shared" si="42"/>
        <v>0</v>
      </c>
      <c r="ES51" s="3557"/>
      <c r="ET51" s="3568">
        <v>73636.561904761897</v>
      </c>
      <c r="EU51" s="3569">
        <f>77318.39/1.05</f>
        <v>73636.561904761897</v>
      </c>
      <c r="EV51" s="3562">
        <f>231955.17/3/1.05</f>
        <v>73636.561904761897</v>
      </c>
      <c r="EW51" s="3547">
        <f t="shared" si="129"/>
        <v>0</v>
      </c>
      <c r="EX51" s="3568">
        <v>10677.556603773601</v>
      </c>
      <c r="EY51" s="3569">
        <f>11318.21/1.06</f>
        <v>10677.556603773584</v>
      </c>
      <c r="EZ51" s="3562">
        <f>33954.63/3/1.06</f>
        <v>10677.556603773584</v>
      </c>
      <c r="FA51" s="3547">
        <f t="shared" si="130"/>
        <v>-1.6370904631912708E-11</v>
      </c>
      <c r="FB51" s="3568">
        <v>73636.561904761897</v>
      </c>
      <c r="FC51" s="3569">
        <f>77318.39/1.05</f>
        <v>73636.561904761897</v>
      </c>
      <c r="FD51" s="3562">
        <f>231955.17/3/1.05</f>
        <v>73636.561904761897</v>
      </c>
      <c r="FE51" s="3547">
        <f t="shared" si="117"/>
        <v>0</v>
      </c>
      <c r="FF51" s="3568">
        <v>10677.556603773601</v>
      </c>
      <c r="FG51" s="3569">
        <f>11318.21/1.06</f>
        <v>10677.556603773584</v>
      </c>
      <c r="FH51" s="3562">
        <f>33954.63/3/1.06</f>
        <v>10677.556603773584</v>
      </c>
      <c r="FI51" s="3547">
        <f t="shared" si="118"/>
        <v>-1.6370904631912708E-11</v>
      </c>
      <c r="FJ51" s="3568">
        <v>73636.561904761897</v>
      </c>
      <c r="FK51" s="3559">
        <f>77318.39/1.05</f>
        <v>73636.561904761897</v>
      </c>
      <c r="FL51" s="3562">
        <f>231955.17/3/1.05</f>
        <v>73636.561904761897</v>
      </c>
      <c r="FM51" s="3547">
        <f t="shared" si="119"/>
        <v>0</v>
      </c>
      <c r="FN51" s="3568">
        <v>10677.556603773601</v>
      </c>
      <c r="FO51" s="3559">
        <f>11318.21/1.06</f>
        <v>10677.556603773584</v>
      </c>
      <c r="FP51" s="3562">
        <f>33954.63/3/1.06</f>
        <v>10677.556603773584</v>
      </c>
      <c r="FQ51" s="3547">
        <f t="shared" si="120"/>
        <v>-1.6370904631912708E-11</v>
      </c>
      <c r="FR51" s="3568">
        <v>73636.561904761897</v>
      </c>
      <c r="FS51" s="3559">
        <f>77318.39/1.05</f>
        <v>73636.561904761897</v>
      </c>
      <c r="FT51" s="3560">
        <f>231955.17/3/1.05</f>
        <v>73636.561904761897</v>
      </c>
      <c r="FU51" s="3547">
        <f t="shared" si="69"/>
        <v>0</v>
      </c>
      <c r="FV51" s="3568">
        <v>10677.556603773601</v>
      </c>
      <c r="FW51" s="3559">
        <f>11318.21/1.06</f>
        <v>10677.556603773584</v>
      </c>
      <c r="FX51" s="3560">
        <f>33954.63/3/1.06</f>
        <v>10677.556603773584</v>
      </c>
      <c r="FY51" s="3547">
        <f t="shared" si="70"/>
        <v>-1.6370904631912708E-11</v>
      </c>
      <c r="FZ51" s="3568">
        <v>73636.561904761897</v>
      </c>
      <c r="GA51" s="3569">
        <f>77318.39/1.05</f>
        <v>73636.561904761897</v>
      </c>
      <c r="GB51" s="3560">
        <f>231955.17/3/1.05</f>
        <v>73636.561904761897</v>
      </c>
      <c r="GC51" s="3547">
        <f t="shared" si="71"/>
        <v>0</v>
      </c>
      <c r="GD51" s="3568">
        <v>10677.556603773601</v>
      </c>
      <c r="GE51" s="3569">
        <f>11318.21/1.06</f>
        <v>10677.556603773584</v>
      </c>
      <c r="GF51" s="3560">
        <f>33954.63/3/1.06</f>
        <v>10677.556603773584</v>
      </c>
      <c r="GG51" s="3547">
        <f t="shared" si="72"/>
        <v>-1.6370904631912708E-11</v>
      </c>
      <c r="GH51" s="3568">
        <v>73636.561904761897</v>
      </c>
      <c r="GI51" s="3569">
        <f>77318.39/1.05</f>
        <v>73636.561904761897</v>
      </c>
      <c r="GJ51" s="3562">
        <f>231955.17/3/1.05</f>
        <v>73636.561904761897</v>
      </c>
      <c r="GK51" s="3547">
        <f t="shared" si="73"/>
        <v>0</v>
      </c>
      <c r="GL51" s="3568">
        <v>10677.556603773601</v>
      </c>
      <c r="GM51" s="3569">
        <f>11318.21/1.06</f>
        <v>10677.556603773584</v>
      </c>
      <c r="GN51" s="3562">
        <f>33954.63/1.06/3</f>
        <v>10677.556603773583</v>
      </c>
      <c r="GO51" s="3547">
        <f t="shared" si="74"/>
        <v>-1.8189894035458565E-11</v>
      </c>
      <c r="GP51" s="3568">
        <v>73636.561904761897</v>
      </c>
      <c r="GQ51" s="3569">
        <f>77318.39/1.05</f>
        <v>73636.561904761897</v>
      </c>
      <c r="GR51" s="3562">
        <f>231955.17/3/1.05</f>
        <v>73636.561904761897</v>
      </c>
      <c r="GS51" s="3547">
        <f t="shared" si="75"/>
        <v>0</v>
      </c>
      <c r="GT51" s="3568">
        <v>10677.556603773601</v>
      </c>
      <c r="GU51" s="3569">
        <f>11318.21/1.06</f>
        <v>10677.556603773584</v>
      </c>
      <c r="GV51" s="3562">
        <f>33954.63/1.06/3</f>
        <v>10677.556603773583</v>
      </c>
      <c r="GW51" s="3547">
        <f t="shared" si="76"/>
        <v>-1.8189894035458565E-11</v>
      </c>
      <c r="GX51" s="3568">
        <v>73636.561904761897</v>
      </c>
      <c r="GY51" s="3569">
        <f>77318.39/1.05</f>
        <v>73636.561904761897</v>
      </c>
      <c r="GZ51" s="3562">
        <f>231955.17/3/1.05</f>
        <v>73636.561904761897</v>
      </c>
      <c r="HA51" s="3547">
        <f t="shared" si="77"/>
        <v>0</v>
      </c>
      <c r="HB51" s="3568">
        <v>10677.556603773601</v>
      </c>
      <c r="HC51" s="3569">
        <f>11318.21/1.06</f>
        <v>10677.556603773584</v>
      </c>
      <c r="HD51" s="3562">
        <f>33954.63/1.06/3</f>
        <v>10677.556603773583</v>
      </c>
      <c r="HE51" s="3547">
        <f t="shared" si="78"/>
        <v>-1.8189894035458565E-11</v>
      </c>
      <c r="HF51" s="3568">
        <v>73636.561904761897</v>
      </c>
      <c r="HG51" s="3569">
        <f>77318.39/1.05</f>
        <v>73636.561904761897</v>
      </c>
      <c r="HH51" s="3562">
        <f>231955.17/3/1.05</f>
        <v>73636.561904761897</v>
      </c>
      <c r="HI51" s="3547">
        <f t="shared" si="79"/>
        <v>0</v>
      </c>
      <c r="HJ51" s="3568">
        <v>10677.556603773601</v>
      </c>
      <c r="HK51" s="3569">
        <f>11318.21/1.06</f>
        <v>10677.556603773584</v>
      </c>
      <c r="HL51" s="3562">
        <f>33954.63/3/1.06</f>
        <v>10677.556603773584</v>
      </c>
      <c r="HM51" s="3547">
        <f t="shared" si="80"/>
        <v>-1.6370904631912708E-11</v>
      </c>
      <c r="HN51" s="3568">
        <v>73636.561904761897</v>
      </c>
      <c r="HO51" s="3569">
        <f>77318.39/1.05</f>
        <v>73636.561904761897</v>
      </c>
      <c r="HP51" s="3562">
        <f>231955.17/3/1.05</f>
        <v>73636.561904761897</v>
      </c>
      <c r="HQ51" s="3547">
        <f t="shared" si="81"/>
        <v>0</v>
      </c>
      <c r="HR51" s="3568">
        <v>10677.556603773601</v>
      </c>
      <c r="HS51" s="3569">
        <f>11318.21/1.06</f>
        <v>10677.556603773584</v>
      </c>
      <c r="HT51" s="3562">
        <f>33954.63/3/1.06</f>
        <v>10677.556603773584</v>
      </c>
      <c r="HU51" s="3547">
        <f t="shared" si="82"/>
        <v>-1.6370904631912708E-11</v>
      </c>
      <c r="HV51" s="3568">
        <v>73636.561904761897</v>
      </c>
      <c r="HW51" s="3569">
        <f>77318.39/1.05</f>
        <v>73636.561904761897</v>
      </c>
      <c r="HX51" s="3562">
        <f>231955.17/3/1.05</f>
        <v>73636.561904761897</v>
      </c>
      <c r="HY51" s="3547">
        <f t="shared" si="83"/>
        <v>0</v>
      </c>
      <c r="HZ51" s="3568">
        <v>10677.556603773601</v>
      </c>
      <c r="IA51" s="3569">
        <f>11318.21/1.06</f>
        <v>10677.556603773584</v>
      </c>
      <c r="IB51" s="3562">
        <f>33954.63/3/1.06</f>
        <v>10677.556603773584</v>
      </c>
      <c r="IC51" s="3547">
        <f t="shared" si="84"/>
        <v>-1.6370904631912708E-11</v>
      </c>
      <c r="ID51" s="3568">
        <v>73636.561904761897</v>
      </c>
      <c r="IE51" s="3569">
        <f>77318.39/1.05</f>
        <v>73636.561904761897</v>
      </c>
      <c r="IF51" s="3562"/>
      <c r="IG51" s="3547">
        <f t="shared" si="85"/>
        <v>-73636.561904761897</v>
      </c>
      <c r="IH51" s="3568">
        <v>10677.556603773601</v>
      </c>
      <c r="II51" s="3569">
        <f>11318.21/1.06</f>
        <v>10677.556603773584</v>
      </c>
      <c r="IJ51" s="3562"/>
      <c r="IK51" s="3547">
        <f t="shared" si="86"/>
        <v>-10677.556603773601</v>
      </c>
      <c r="IL51" s="3547" t="s">
        <v>4224</v>
      </c>
      <c r="IM51" s="3569">
        <f>77318.39/1.05*2</f>
        <v>147273.12380952379</v>
      </c>
      <c r="IN51" s="3569">
        <f>11318.21/1.06*2</f>
        <v>21355.113207547169</v>
      </c>
      <c r="IO51" s="3547"/>
      <c r="IP51" s="3560">
        <f t="shared" si="87"/>
        <v>0</v>
      </c>
      <c r="IQ51" s="3568"/>
      <c r="IR51" s="3568"/>
      <c r="IS51" s="3568"/>
      <c r="IT51" s="3568"/>
      <c r="IU51" s="3568"/>
      <c r="IV51" s="3568"/>
      <c r="IW51" s="3568"/>
      <c r="IX51" s="3568"/>
      <c r="IY51" s="3568"/>
      <c r="IZ51" s="3562"/>
      <c r="JA51" s="3562"/>
      <c r="JB51" s="3562"/>
      <c r="JC51" s="3560">
        <f t="shared" si="11"/>
        <v>0</v>
      </c>
      <c r="JD51" s="3547"/>
      <c r="JE51" s="3568"/>
      <c r="JF51" s="3568"/>
      <c r="JG51" s="3568"/>
      <c r="JH51" s="3568"/>
      <c r="JI51" s="3568"/>
      <c r="JJ51" s="3568"/>
      <c r="JK51" s="3568"/>
      <c r="JL51" s="3568"/>
      <c r="JM51" s="3568"/>
      <c r="JN51" s="3562"/>
      <c r="JO51" s="3562"/>
      <c r="JP51" s="3607" t="s">
        <v>4204</v>
      </c>
      <c r="JQ51" s="3583">
        <f>77318.39*2/1.05</f>
        <v>147273.12380952379</v>
      </c>
      <c r="JR51" s="3583">
        <f>11318.21*2/1.06</f>
        <v>21355.113207547169</v>
      </c>
      <c r="JS51" s="3573">
        <f t="shared" si="28"/>
        <v>-2.6193447411060333E-10</v>
      </c>
      <c r="JT51" s="3573">
        <f t="shared" si="35"/>
        <v>0</v>
      </c>
      <c r="JU51" s="3574">
        <f t="shared" si="29"/>
        <v>0</v>
      </c>
      <c r="JV51" s="3574">
        <f t="shared" si="30"/>
        <v>0</v>
      </c>
      <c r="JW51" s="3575"/>
      <c r="JX51" s="3576">
        <f t="shared" si="31"/>
        <v>147273.12380952379</v>
      </c>
      <c r="JY51" s="3576">
        <f t="shared" si="32"/>
        <v>21355.113207547169</v>
      </c>
      <c r="JZ51" s="3577"/>
      <c r="KA51" s="3573">
        <f t="shared" si="131"/>
        <v>-1.6370904631912708E-11</v>
      </c>
      <c r="KB51" s="3573"/>
      <c r="KC51" s="3573"/>
      <c r="KD51" s="3573">
        <f t="shared" si="33"/>
        <v>-1.6370904631912708E-11</v>
      </c>
      <c r="KE51" s="3664"/>
      <c r="KF51" s="3579"/>
      <c r="KG51" s="3579"/>
      <c r="KH51" s="3579"/>
      <c r="KI51" s="3579"/>
      <c r="KJ51" s="3579"/>
      <c r="KK51" s="3579"/>
      <c r="KL51" s="3579"/>
      <c r="KM51" s="3579"/>
      <c r="KN51" s="3579"/>
      <c r="KO51" s="3579"/>
      <c r="KP51" s="3579"/>
      <c r="KQ51" s="3579">
        <f t="shared" si="34"/>
        <v>0</v>
      </c>
      <c r="KR51" s="3579">
        <f t="shared" si="88"/>
        <v>-1.4551915228366852E-14</v>
      </c>
      <c r="KS51" s="3577"/>
      <c r="KT51" s="3577"/>
      <c r="KU51" s="3577"/>
      <c r="KV51" s="3577"/>
      <c r="KW51" s="3577"/>
      <c r="KX51" s="3577"/>
      <c r="KY51" s="3577"/>
      <c r="KZ51" s="3577"/>
      <c r="LA51" s="3577"/>
      <c r="LB51" s="3577"/>
      <c r="LC51" s="3577"/>
      <c r="LD51" s="3577"/>
      <c r="LE51" s="3577"/>
      <c r="LF51" s="3577"/>
      <c r="LG51" s="3577"/>
      <c r="LH51" s="3577"/>
      <c r="LJ51" s="3575"/>
      <c r="LK51" s="3626">
        <v>12</v>
      </c>
      <c r="LL51" s="3627">
        <v>231553.11</v>
      </c>
      <c r="LM51" s="3580" t="s">
        <v>3954</v>
      </c>
    </row>
    <row r="52" spans="1:325" s="3580" customFormat="1" ht="18" customHeight="1">
      <c r="A52" s="3545">
        <v>49</v>
      </c>
      <c r="B52" s="3546" t="s">
        <v>4116</v>
      </c>
      <c r="C52" s="3546" t="s">
        <v>4225</v>
      </c>
      <c r="D52" s="3547">
        <v>474.36</v>
      </c>
      <c r="E52" s="3548" t="s">
        <v>3799</v>
      </c>
      <c r="F52" s="3546" t="s">
        <v>3790</v>
      </c>
      <c r="G52" s="3546" t="s">
        <v>4226</v>
      </c>
      <c r="H52" s="3546" t="s">
        <v>4227</v>
      </c>
      <c r="I52" s="3594" t="s">
        <v>3868</v>
      </c>
      <c r="J52" s="3594" t="s">
        <v>4215</v>
      </c>
      <c r="K52" s="3545"/>
      <c r="L52" s="3545"/>
      <c r="M52" s="3551">
        <v>245427.93</v>
      </c>
      <c r="N52" s="3551">
        <v>245427.93</v>
      </c>
      <c r="O52" s="3551">
        <f t="shared" si="13"/>
        <v>0</v>
      </c>
      <c r="P52" s="3547">
        <v>35926.83</v>
      </c>
      <c r="Q52" s="3547">
        <v>35926.83</v>
      </c>
      <c r="R52" s="3547"/>
      <c r="S52" s="3547">
        <f t="shared" si="125"/>
        <v>5.6699998960387283</v>
      </c>
      <c r="T52" s="3552">
        <v>81809.31</v>
      </c>
      <c r="U52" s="3553">
        <f t="shared" si="15"/>
        <v>981711.72</v>
      </c>
      <c r="V52" s="3547">
        <f>81809.31*12*2</f>
        <v>1963423.44</v>
      </c>
      <c r="W52" s="3547">
        <f t="shared" si="126"/>
        <v>0.82999975742370113</v>
      </c>
      <c r="X52" s="3663">
        <v>11975.61</v>
      </c>
      <c r="Y52" s="3547">
        <f t="shared" si="17"/>
        <v>143707.32</v>
      </c>
      <c r="Z52" s="3554"/>
      <c r="AA52" s="3555"/>
      <c r="AB52" s="3643" t="s">
        <v>3804</v>
      </c>
      <c r="AC52" s="3556">
        <f t="shared" si="18"/>
        <v>981711.72</v>
      </c>
      <c r="AD52" s="3556">
        <f t="shared" si="121"/>
        <v>736283.79</v>
      </c>
      <c r="AE52" s="3556">
        <f t="shared" si="121"/>
        <v>736283.79</v>
      </c>
      <c r="AF52" s="3556">
        <f t="shared" si="20"/>
        <v>0</v>
      </c>
      <c r="AG52" s="3556"/>
      <c r="AH52" s="3557">
        <f t="shared" si="21"/>
        <v>143707.32</v>
      </c>
      <c r="AI52" s="3558">
        <f t="shared" si="122"/>
        <v>107780.49</v>
      </c>
      <c r="AJ52" s="3558">
        <f t="shared" si="122"/>
        <v>107780.49</v>
      </c>
      <c r="AK52" s="3557">
        <f t="shared" si="43"/>
        <v>0</v>
      </c>
      <c r="AL52" s="3557"/>
      <c r="AM52" s="3547"/>
      <c r="AN52" s="3609"/>
      <c r="AO52" s="3562"/>
      <c r="AP52" s="3561">
        <f t="shared" si="113"/>
        <v>0</v>
      </c>
      <c r="AQ52" s="3559"/>
      <c r="AR52" s="3562"/>
      <c r="AS52" s="3561">
        <f t="shared" si="127"/>
        <v>0</v>
      </c>
      <c r="AT52" s="3563" t="s">
        <v>4216</v>
      </c>
      <c r="AU52" s="3547" t="s">
        <v>4217</v>
      </c>
      <c r="AV52" s="3609">
        <f>3*81809.31</f>
        <v>245427.93</v>
      </c>
      <c r="AW52" s="3562">
        <f>65427.93+90000+90000</f>
        <v>245427.93</v>
      </c>
      <c r="AX52" s="3561">
        <f t="shared" si="114"/>
        <v>0</v>
      </c>
      <c r="AY52" s="3559">
        <f>3*11975.61</f>
        <v>35926.83</v>
      </c>
      <c r="AZ52" s="3562">
        <f>35926.83</f>
        <v>35926.83</v>
      </c>
      <c r="BA52" s="3561">
        <f t="shared" si="128"/>
        <v>0</v>
      </c>
      <c r="BB52" s="3563" t="s">
        <v>4218</v>
      </c>
      <c r="BC52" s="3547"/>
      <c r="BD52" s="3609"/>
      <c r="BE52" s="3562"/>
      <c r="BF52" s="3561">
        <f t="shared" si="115"/>
        <v>0</v>
      </c>
      <c r="BG52" s="3559"/>
      <c r="BH52" s="3562"/>
      <c r="BI52" s="3561">
        <f t="shared" si="116"/>
        <v>0</v>
      </c>
      <c r="BJ52" s="3563" t="s">
        <v>4218</v>
      </c>
      <c r="BK52" s="3547"/>
      <c r="BL52" s="3609"/>
      <c r="BM52" s="3562"/>
      <c r="BN52" s="3561">
        <f t="shared" si="48"/>
        <v>0</v>
      </c>
      <c r="BO52" s="3559"/>
      <c r="BP52" s="3562"/>
      <c r="BQ52" s="3561">
        <f t="shared" si="49"/>
        <v>0</v>
      </c>
      <c r="BR52" s="3563" t="s">
        <v>4218</v>
      </c>
      <c r="BS52" s="3547" t="s">
        <v>4219</v>
      </c>
      <c r="BT52" s="3559">
        <f>3*81809.31</f>
        <v>245427.93</v>
      </c>
      <c r="BU52" s="3603">
        <v>245427.93</v>
      </c>
      <c r="BV52" s="3602">
        <f t="shared" si="50"/>
        <v>0</v>
      </c>
      <c r="BW52" s="3604">
        <f>3*11975.61</f>
        <v>35926.83</v>
      </c>
      <c r="BX52" s="3603">
        <v>35926.83</v>
      </c>
      <c r="BY52" s="3561">
        <f t="shared" si="51"/>
        <v>0</v>
      </c>
      <c r="BZ52" s="3630" t="s">
        <v>4220</v>
      </c>
      <c r="CA52" s="3547"/>
      <c r="CB52" s="3609"/>
      <c r="CC52" s="3562"/>
      <c r="CD52" s="3561">
        <f t="shared" si="52"/>
        <v>0</v>
      </c>
      <c r="CE52" s="3559"/>
      <c r="CF52" s="3562"/>
      <c r="CG52" s="3561">
        <f t="shared" si="53"/>
        <v>0</v>
      </c>
      <c r="CH52" s="3630" t="s">
        <v>4220</v>
      </c>
      <c r="CI52" s="3547"/>
      <c r="CJ52" s="3609"/>
      <c r="CK52" s="3562"/>
      <c r="CL52" s="3561">
        <f t="shared" si="5"/>
        <v>0</v>
      </c>
      <c r="CM52" s="3559"/>
      <c r="CN52" s="3562"/>
      <c r="CO52" s="3561">
        <f t="shared" si="54"/>
        <v>0</v>
      </c>
      <c r="CP52" s="3630" t="s">
        <v>4220</v>
      </c>
      <c r="CQ52" s="3547" t="s">
        <v>4221</v>
      </c>
      <c r="CR52" s="3609">
        <f>3*81809.31</f>
        <v>245427.93</v>
      </c>
      <c r="CS52" s="3603">
        <v>245427.93</v>
      </c>
      <c r="CT52" s="3561">
        <f t="shared" si="55"/>
        <v>0</v>
      </c>
      <c r="CU52" s="3559">
        <f>3*11975.61</f>
        <v>35926.83</v>
      </c>
      <c r="CV52" s="3603">
        <v>35926.83</v>
      </c>
      <c r="CW52" s="3561">
        <f t="shared" si="56"/>
        <v>0</v>
      </c>
      <c r="CX52" s="3563" t="s">
        <v>4222</v>
      </c>
      <c r="CY52" s="3547"/>
      <c r="CZ52" s="3609"/>
      <c r="DA52" s="3562"/>
      <c r="DB52" s="3561">
        <f t="shared" si="57"/>
        <v>0</v>
      </c>
      <c r="DC52" s="3559"/>
      <c r="DD52" s="3603"/>
      <c r="DE52" s="3561">
        <f t="shared" si="58"/>
        <v>0</v>
      </c>
      <c r="DF52" s="3563" t="s">
        <v>4222</v>
      </c>
      <c r="DG52" s="3547"/>
      <c r="DH52" s="3609"/>
      <c r="DI52" s="3562"/>
      <c r="DJ52" s="3561">
        <f t="shared" si="59"/>
        <v>0</v>
      </c>
      <c r="DK52" s="3559"/>
      <c r="DL52" s="3562"/>
      <c r="DM52" s="3561">
        <f t="shared" si="60"/>
        <v>0</v>
      </c>
      <c r="DN52" s="3563"/>
      <c r="DO52" s="3547" t="s">
        <v>4223</v>
      </c>
      <c r="DP52" s="3609">
        <f>3*81809.31</f>
        <v>245427.93</v>
      </c>
      <c r="DQ52" s="3562"/>
      <c r="DR52" s="3561">
        <f t="shared" si="61"/>
        <v>-245427.93</v>
      </c>
      <c r="DS52" s="3559">
        <f>3*11975.61</f>
        <v>35926.83</v>
      </c>
      <c r="DT52" s="3562"/>
      <c r="DU52" s="3561">
        <f t="shared" si="62"/>
        <v>-35926.83</v>
      </c>
      <c r="DV52" s="3563"/>
      <c r="DW52" s="3547"/>
      <c r="DX52" s="3609"/>
      <c r="DY52" s="3562"/>
      <c r="DZ52" s="3561">
        <f t="shared" si="63"/>
        <v>0</v>
      </c>
      <c r="EA52" s="3559"/>
      <c r="EB52" s="3562"/>
      <c r="EC52" s="3561">
        <f t="shared" si="64"/>
        <v>0</v>
      </c>
      <c r="ED52" s="3563"/>
      <c r="EE52" s="3564"/>
      <c r="EF52" s="3565">
        <f t="shared" si="37"/>
        <v>934963.54285714321</v>
      </c>
      <c r="EG52" s="3565">
        <f t="shared" si="123"/>
        <v>701222.65714285744</v>
      </c>
      <c r="EH52" s="3565">
        <f t="shared" si="123"/>
        <v>701222.65714285721</v>
      </c>
      <c r="EI52" s="3565">
        <f t="shared" si="123"/>
        <v>701222.65714285721</v>
      </c>
      <c r="EJ52" s="3565">
        <f t="shared" si="38"/>
        <v>0</v>
      </c>
      <c r="EK52" s="3566">
        <f t="shared" si="39"/>
        <v>0</v>
      </c>
      <c r="EL52" s="3669"/>
      <c r="EM52" s="3567">
        <f t="shared" si="40"/>
        <v>135572.94339622679</v>
      </c>
      <c r="EN52" s="3557">
        <f t="shared" si="124"/>
        <v>101679.7075471701</v>
      </c>
      <c r="EO52" s="3557">
        <f t="shared" si="124"/>
        <v>101679.70754716982</v>
      </c>
      <c r="EP52" s="3557">
        <f t="shared" si="124"/>
        <v>101679.70754716982</v>
      </c>
      <c r="EQ52" s="3557">
        <f t="shared" si="41"/>
        <v>-2.7648638933897018E-10</v>
      </c>
      <c r="ER52" s="3557">
        <f t="shared" si="42"/>
        <v>0</v>
      </c>
      <c r="ES52" s="3557"/>
      <c r="ET52" s="3568">
        <v>77913.628571428606</v>
      </c>
      <c r="EU52" s="3569">
        <f>81809.31/1.05</f>
        <v>77913.628571428562</v>
      </c>
      <c r="EV52" s="3562">
        <f>245427.93/3/1.05</f>
        <v>77913.628571428562</v>
      </c>
      <c r="EW52" s="3547">
        <f t="shared" si="129"/>
        <v>0</v>
      </c>
      <c r="EX52" s="3568">
        <v>11297.745283018899</v>
      </c>
      <c r="EY52" s="3569">
        <f>11975.61/1.06</f>
        <v>11297.745283018869</v>
      </c>
      <c r="EZ52" s="3562">
        <f>35926.83/3/1.06</f>
        <v>11297.745283018869</v>
      </c>
      <c r="FA52" s="3547">
        <f t="shared" si="130"/>
        <v>-3.092281986027956E-11</v>
      </c>
      <c r="FB52" s="3568">
        <v>77913.628571428606</v>
      </c>
      <c r="FC52" s="3569">
        <f>81809.31/1.05</f>
        <v>77913.628571428562</v>
      </c>
      <c r="FD52" s="3562">
        <f>245427.93/3/1.05</f>
        <v>77913.628571428562</v>
      </c>
      <c r="FE52" s="3547">
        <f t="shared" si="117"/>
        <v>0</v>
      </c>
      <c r="FF52" s="3568">
        <v>11297.745283018899</v>
      </c>
      <c r="FG52" s="3569">
        <f>11975.61/1.06</f>
        <v>11297.745283018869</v>
      </c>
      <c r="FH52" s="3562">
        <f>35926.83/3/1.06</f>
        <v>11297.745283018869</v>
      </c>
      <c r="FI52" s="3547">
        <f t="shared" si="118"/>
        <v>-3.092281986027956E-11</v>
      </c>
      <c r="FJ52" s="3568">
        <v>77913.628571428606</v>
      </c>
      <c r="FK52" s="3559">
        <f>81809.31/1.05</f>
        <v>77913.628571428562</v>
      </c>
      <c r="FL52" s="3562">
        <f>245427.93/3/1.05</f>
        <v>77913.628571428562</v>
      </c>
      <c r="FM52" s="3547">
        <f t="shared" si="119"/>
        <v>0</v>
      </c>
      <c r="FN52" s="3568">
        <v>11297.745283018899</v>
      </c>
      <c r="FO52" s="3559">
        <f>11975.61/1.06</f>
        <v>11297.745283018869</v>
      </c>
      <c r="FP52" s="3562">
        <f>35926.83/3/1.06</f>
        <v>11297.745283018869</v>
      </c>
      <c r="FQ52" s="3547">
        <f t="shared" si="120"/>
        <v>-3.092281986027956E-11</v>
      </c>
      <c r="FR52" s="3568">
        <v>77913.628571428606</v>
      </c>
      <c r="FS52" s="3559">
        <f>81809.31/1.05</f>
        <v>77913.628571428562</v>
      </c>
      <c r="FT52" s="3560">
        <f>245427.93/3/1.05</f>
        <v>77913.628571428562</v>
      </c>
      <c r="FU52" s="3547">
        <f t="shared" si="69"/>
        <v>0</v>
      </c>
      <c r="FV52" s="3568">
        <v>11297.745283018899</v>
      </c>
      <c r="FW52" s="3559">
        <f>11975.61/1.06</f>
        <v>11297.745283018869</v>
      </c>
      <c r="FX52" s="3560">
        <f>35926.83/3/1.06</f>
        <v>11297.745283018869</v>
      </c>
      <c r="FY52" s="3547">
        <f t="shared" si="70"/>
        <v>-3.092281986027956E-11</v>
      </c>
      <c r="FZ52" s="3568">
        <v>77913.628571428606</v>
      </c>
      <c r="GA52" s="3569">
        <f>81809.31/1.05</f>
        <v>77913.628571428562</v>
      </c>
      <c r="GB52" s="3560">
        <f>245427.93/3/1.05</f>
        <v>77913.628571428562</v>
      </c>
      <c r="GC52" s="3547">
        <f t="shared" si="71"/>
        <v>0</v>
      </c>
      <c r="GD52" s="3568">
        <v>11297.745283018899</v>
      </c>
      <c r="GE52" s="3569">
        <f>11975.61/1.06</f>
        <v>11297.745283018869</v>
      </c>
      <c r="GF52" s="3560">
        <f>35926.83/3/1.06</f>
        <v>11297.745283018869</v>
      </c>
      <c r="GG52" s="3547">
        <f t="shared" si="72"/>
        <v>-3.092281986027956E-11</v>
      </c>
      <c r="GH52" s="3568">
        <v>77913.628571428606</v>
      </c>
      <c r="GI52" s="3569">
        <f>81809.31/1.05</f>
        <v>77913.628571428562</v>
      </c>
      <c r="GJ52" s="3562">
        <f>245427.93/3/1.05</f>
        <v>77913.628571428562</v>
      </c>
      <c r="GK52" s="3547">
        <f t="shared" si="73"/>
        <v>0</v>
      </c>
      <c r="GL52" s="3568">
        <v>11297.745283018899</v>
      </c>
      <c r="GM52" s="3569">
        <f>11975.61/1.06</f>
        <v>11297.745283018869</v>
      </c>
      <c r="GN52" s="3562">
        <f>35926.83/3/1.06</f>
        <v>11297.745283018869</v>
      </c>
      <c r="GO52" s="3547">
        <f t="shared" si="74"/>
        <v>-3.092281986027956E-11</v>
      </c>
      <c r="GP52" s="3568">
        <v>77913.628571428606</v>
      </c>
      <c r="GQ52" s="3569">
        <f>81809.31/1.05</f>
        <v>77913.628571428562</v>
      </c>
      <c r="GR52" s="3562">
        <f>245427.93/3/1.05</f>
        <v>77913.628571428562</v>
      </c>
      <c r="GS52" s="3547">
        <f t="shared" si="75"/>
        <v>0</v>
      </c>
      <c r="GT52" s="3568">
        <v>11297.745283018899</v>
      </c>
      <c r="GU52" s="3569">
        <f>11975.61/1.06</f>
        <v>11297.745283018869</v>
      </c>
      <c r="GV52" s="3562">
        <f>35926.83/3/1.06</f>
        <v>11297.745283018869</v>
      </c>
      <c r="GW52" s="3547">
        <f t="shared" si="76"/>
        <v>-3.092281986027956E-11</v>
      </c>
      <c r="GX52" s="3568">
        <v>77913.628571428606</v>
      </c>
      <c r="GY52" s="3569">
        <f>81809.31/1.05</f>
        <v>77913.628571428562</v>
      </c>
      <c r="GZ52" s="3562">
        <f>245427.93/3/1.05</f>
        <v>77913.628571428562</v>
      </c>
      <c r="HA52" s="3547">
        <f t="shared" si="77"/>
        <v>0</v>
      </c>
      <c r="HB52" s="3568">
        <v>11297.745283018899</v>
      </c>
      <c r="HC52" s="3569">
        <f>11975.61/1.06</f>
        <v>11297.745283018869</v>
      </c>
      <c r="HD52" s="3562">
        <f>35926.83/3/1.06</f>
        <v>11297.745283018869</v>
      </c>
      <c r="HE52" s="3547">
        <f t="shared" si="78"/>
        <v>-3.092281986027956E-11</v>
      </c>
      <c r="HF52" s="3568">
        <v>77913.628571428606</v>
      </c>
      <c r="HG52" s="3569">
        <f>81809.31/1.05</f>
        <v>77913.628571428562</v>
      </c>
      <c r="HH52" s="3562">
        <f>245427.93/3/1.05</f>
        <v>77913.628571428562</v>
      </c>
      <c r="HI52" s="3547">
        <f t="shared" si="79"/>
        <v>0</v>
      </c>
      <c r="HJ52" s="3568">
        <v>11297.745283018899</v>
      </c>
      <c r="HK52" s="3569">
        <f>11975.61/1.06</f>
        <v>11297.745283018869</v>
      </c>
      <c r="HL52" s="3562">
        <f>35926.83/3/1.06</f>
        <v>11297.745283018869</v>
      </c>
      <c r="HM52" s="3547">
        <f t="shared" si="80"/>
        <v>-3.092281986027956E-11</v>
      </c>
      <c r="HN52" s="3568">
        <v>77913.628571428606</v>
      </c>
      <c r="HO52" s="3569">
        <f>81809.31/1.05</f>
        <v>77913.628571428562</v>
      </c>
      <c r="HP52" s="3562">
        <f>245427.93/3/1.05</f>
        <v>77913.628571428562</v>
      </c>
      <c r="HQ52" s="3547">
        <f t="shared" si="81"/>
        <v>0</v>
      </c>
      <c r="HR52" s="3568">
        <v>11297.745283018899</v>
      </c>
      <c r="HS52" s="3569">
        <f>11975.61/1.06</f>
        <v>11297.745283018869</v>
      </c>
      <c r="HT52" s="3562">
        <f>35926.83/3/1.06</f>
        <v>11297.745283018869</v>
      </c>
      <c r="HU52" s="3547">
        <f t="shared" si="82"/>
        <v>-3.092281986027956E-11</v>
      </c>
      <c r="HV52" s="3568">
        <v>77913.628571428606</v>
      </c>
      <c r="HW52" s="3569">
        <f>81809.31/1.05</f>
        <v>77913.628571428562</v>
      </c>
      <c r="HX52" s="3562">
        <f>245427.93/3/1.05</f>
        <v>77913.628571428562</v>
      </c>
      <c r="HY52" s="3547">
        <f t="shared" si="83"/>
        <v>0</v>
      </c>
      <c r="HZ52" s="3568">
        <v>11297.745283018899</v>
      </c>
      <c r="IA52" s="3569">
        <f>11975.61/1.06</f>
        <v>11297.745283018869</v>
      </c>
      <c r="IB52" s="3562">
        <f>35926.83/3/1.06</f>
        <v>11297.745283018869</v>
      </c>
      <c r="IC52" s="3547">
        <f t="shared" si="84"/>
        <v>-3.092281986027956E-11</v>
      </c>
      <c r="ID52" s="3568">
        <v>77913.628571428606</v>
      </c>
      <c r="IE52" s="3569">
        <f>81809.31/1.05</f>
        <v>77913.628571428562</v>
      </c>
      <c r="IF52" s="3562"/>
      <c r="IG52" s="3547">
        <f t="shared" si="85"/>
        <v>-77913.628571428606</v>
      </c>
      <c r="IH52" s="3568">
        <v>11297.745283018899</v>
      </c>
      <c r="II52" s="3569">
        <f>11975.61/1.06</f>
        <v>11297.745283018869</v>
      </c>
      <c r="IJ52" s="3562"/>
      <c r="IK52" s="3547">
        <f t="shared" si="86"/>
        <v>-11297.745283018899</v>
      </c>
      <c r="IL52" s="3547" t="s">
        <v>4224</v>
      </c>
      <c r="IM52" s="3569">
        <f>81809.31/1.05*2</f>
        <v>155827.25714285712</v>
      </c>
      <c r="IN52" s="3569">
        <f>11975.61/1.06*2</f>
        <v>22595.490566037737</v>
      </c>
      <c r="IO52" s="3547"/>
      <c r="IP52" s="3560">
        <f t="shared" si="87"/>
        <v>0</v>
      </c>
      <c r="IQ52" s="3568"/>
      <c r="IR52" s="3568"/>
      <c r="IS52" s="3568"/>
      <c r="IT52" s="3568"/>
      <c r="IU52" s="3568"/>
      <c r="IV52" s="3568"/>
      <c r="IW52" s="3568"/>
      <c r="IX52" s="3568"/>
      <c r="IY52" s="3568"/>
      <c r="IZ52" s="3562"/>
      <c r="JA52" s="3562"/>
      <c r="JB52" s="3562"/>
      <c r="JC52" s="3560">
        <f t="shared" si="11"/>
        <v>0</v>
      </c>
      <c r="JD52" s="3547"/>
      <c r="JE52" s="3568"/>
      <c r="JF52" s="3568"/>
      <c r="JG52" s="3568"/>
      <c r="JH52" s="3568"/>
      <c r="JI52" s="3568"/>
      <c r="JJ52" s="3568"/>
      <c r="JK52" s="3568"/>
      <c r="JL52" s="3568"/>
      <c r="JM52" s="3568"/>
      <c r="JN52" s="3562"/>
      <c r="JO52" s="3562"/>
      <c r="JP52" s="3607" t="s">
        <v>4204</v>
      </c>
      <c r="JQ52" s="3583">
        <f>81809.31*2/1.05</f>
        <v>155827.25714285712</v>
      </c>
      <c r="JR52" s="3583">
        <f>11975.61*2/1.06</f>
        <v>22595.490566037737</v>
      </c>
      <c r="JS52" s="3573">
        <f t="shared" si="28"/>
        <v>-2.9103830456733704E-10</v>
      </c>
      <c r="JT52" s="3573">
        <f t="shared" si="35"/>
        <v>0</v>
      </c>
      <c r="JU52" s="3574">
        <f t="shared" si="29"/>
        <v>0</v>
      </c>
      <c r="JV52" s="3574">
        <f t="shared" si="30"/>
        <v>0</v>
      </c>
      <c r="JW52" s="3575"/>
      <c r="JX52" s="3576">
        <f t="shared" si="31"/>
        <v>155827.25714285712</v>
      </c>
      <c r="JY52" s="3576">
        <f t="shared" si="32"/>
        <v>22595.490566037737</v>
      </c>
      <c r="JZ52" s="3577"/>
      <c r="KA52" s="3573">
        <f t="shared" si="131"/>
        <v>-3.092281986027956E-11</v>
      </c>
      <c r="KB52" s="3573"/>
      <c r="KC52" s="3573"/>
      <c r="KD52" s="3573">
        <f t="shared" si="33"/>
        <v>-3.092281986027956E-11</v>
      </c>
      <c r="KE52" s="3664"/>
      <c r="KF52" s="3579"/>
      <c r="KG52" s="3579"/>
      <c r="KH52" s="3579"/>
      <c r="KI52" s="3579"/>
      <c r="KJ52" s="3579"/>
      <c r="KK52" s="3579"/>
      <c r="KL52" s="3579"/>
      <c r="KM52" s="3579"/>
      <c r="KN52" s="3579"/>
      <c r="KO52" s="3579"/>
      <c r="KP52" s="3579"/>
      <c r="KQ52" s="3579">
        <f t="shared" si="34"/>
        <v>0</v>
      </c>
      <c r="KR52" s="3579">
        <f t="shared" si="88"/>
        <v>-2.7648638933897018E-14</v>
      </c>
      <c r="KS52" s="3577"/>
      <c r="KT52" s="3577"/>
      <c r="KU52" s="3577"/>
      <c r="KV52" s="3577"/>
      <c r="KW52" s="3577"/>
      <c r="KX52" s="3577"/>
      <c r="KY52" s="3577"/>
      <c r="KZ52" s="3577"/>
      <c r="LA52" s="3577"/>
      <c r="LB52" s="3577"/>
      <c r="LC52" s="3577"/>
      <c r="LD52" s="3577"/>
      <c r="LE52" s="3577"/>
      <c r="LF52" s="3577"/>
      <c r="LG52" s="3577"/>
      <c r="LH52" s="3577"/>
      <c r="LJ52" s="3575"/>
      <c r="LK52" s="3626"/>
      <c r="LL52" s="3627"/>
    </row>
    <row r="53" spans="1:325" s="3580" customFormat="1" ht="18" customHeight="1">
      <c r="A53" s="3545">
        <v>50</v>
      </c>
      <c r="B53" s="3546" t="s">
        <v>4116</v>
      </c>
      <c r="C53" s="3546" t="s">
        <v>4228</v>
      </c>
      <c r="D53" s="3547">
        <v>388.17</v>
      </c>
      <c r="E53" s="3548" t="s">
        <v>3799</v>
      </c>
      <c r="F53" s="3546" t="s">
        <v>3790</v>
      </c>
      <c r="G53" s="3546" t="s">
        <v>4229</v>
      </c>
      <c r="H53" s="3546" t="s">
        <v>4230</v>
      </c>
      <c r="I53" s="3594" t="s">
        <v>3868</v>
      </c>
      <c r="J53" s="3594" t="s">
        <v>4215</v>
      </c>
      <c r="K53" s="3545"/>
      <c r="L53" s="3545"/>
      <c r="M53" s="3551">
        <v>200834.31</v>
      </c>
      <c r="N53" s="3551">
        <v>200834.31</v>
      </c>
      <c r="O53" s="3551">
        <f t="shared" si="13"/>
        <v>0</v>
      </c>
      <c r="P53" s="3547">
        <v>29399.040000000001</v>
      </c>
      <c r="Q53" s="3547">
        <v>29399.040000000001</v>
      </c>
      <c r="R53" s="3547"/>
      <c r="S53" s="3547">
        <f t="shared" si="125"/>
        <v>5.6700001164579419</v>
      </c>
      <c r="T53" s="3552">
        <v>66944.77</v>
      </c>
      <c r="U53" s="3553">
        <f t="shared" si="15"/>
        <v>803337.24</v>
      </c>
      <c r="V53" s="3547">
        <f>66944.77*2*12</f>
        <v>1606674.48</v>
      </c>
      <c r="W53" s="3547">
        <f t="shared" si="126"/>
        <v>0.83000041289634074</v>
      </c>
      <c r="X53" s="3663">
        <v>9799.68</v>
      </c>
      <c r="Y53" s="3547">
        <f t="shared" si="17"/>
        <v>117596.16</v>
      </c>
      <c r="Z53" s="3554"/>
      <c r="AA53" s="3555"/>
      <c r="AB53" s="3643" t="s">
        <v>3804</v>
      </c>
      <c r="AC53" s="3556">
        <f t="shared" si="18"/>
        <v>803337.24</v>
      </c>
      <c r="AD53" s="3556">
        <f t="shared" si="121"/>
        <v>602502.92999999993</v>
      </c>
      <c r="AE53" s="3556">
        <f t="shared" si="121"/>
        <v>602502.92999999993</v>
      </c>
      <c r="AF53" s="3556">
        <f t="shared" si="20"/>
        <v>0</v>
      </c>
      <c r="AG53" s="3556"/>
      <c r="AH53" s="3557">
        <f t="shared" si="21"/>
        <v>117596.16</v>
      </c>
      <c r="AI53" s="3558">
        <f t="shared" si="122"/>
        <v>88197.119999999995</v>
      </c>
      <c r="AJ53" s="3558">
        <f t="shared" si="122"/>
        <v>88197.119999999995</v>
      </c>
      <c r="AK53" s="3557">
        <f t="shared" si="43"/>
        <v>0</v>
      </c>
      <c r="AL53" s="3557"/>
      <c r="AM53" s="3547"/>
      <c r="AN53" s="3609"/>
      <c r="AO53" s="3562"/>
      <c r="AP53" s="3561">
        <f t="shared" si="113"/>
        <v>0</v>
      </c>
      <c r="AQ53" s="3559"/>
      <c r="AR53" s="3562"/>
      <c r="AS53" s="3561">
        <f t="shared" si="127"/>
        <v>0</v>
      </c>
      <c r="AT53" s="3563" t="s">
        <v>4216</v>
      </c>
      <c r="AU53" s="3547" t="s">
        <v>4217</v>
      </c>
      <c r="AV53" s="3609">
        <f>3*66944.77</f>
        <v>200834.31</v>
      </c>
      <c r="AW53" s="3562">
        <f>90000+90000+20834.31</f>
        <v>200834.31</v>
      </c>
      <c r="AX53" s="3561">
        <f t="shared" si="114"/>
        <v>0</v>
      </c>
      <c r="AY53" s="3559">
        <f>3*9799.68</f>
        <v>29399.040000000001</v>
      </c>
      <c r="AZ53" s="3562">
        <v>29399.040000000001</v>
      </c>
      <c r="BA53" s="3561">
        <f t="shared" si="128"/>
        <v>0</v>
      </c>
      <c r="BB53" s="3563" t="s">
        <v>4218</v>
      </c>
      <c r="BC53" s="3547"/>
      <c r="BD53" s="3609"/>
      <c r="BE53" s="3562"/>
      <c r="BF53" s="3561">
        <f t="shared" si="115"/>
        <v>0</v>
      </c>
      <c r="BG53" s="3559"/>
      <c r="BH53" s="3562"/>
      <c r="BI53" s="3561">
        <f t="shared" si="116"/>
        <v>0</v>
      </c>
      <c r="BJ53" s="3563" t="s">
        <v>4218</v>
      </c>
      <c r="BK53" s="3547"/>
      <c r="BL53" s="3609"/>
      <c r="BM53" s="3562"/>
      <c r="BN53" s="3561">
        <f t="shared" si="48"/>
        <v>0</v>
      </c>
      <c r="BO53" s="3559"/>
      <c r="BP53" s="3562"/>
      <c r="BQ53" s="3561">
        <f t="shared" si="49"/>
        <v>0</v>
      </c>
      <c r="BR53" s="3563" t="s">
        <v>4218</v>
      </c>
      <c r="BS53" s="3547" t="s">
        <v>4219</v>
      </c>
      <c r="BT53" s="3559">
        <f>3*66944.77</f>
        <v>200834.31</v>
      </c>
      <c r="BU53" s="3603">
        <v>200834.31</v>
      </c>
      <c r="BV53" s="3602">
        <f t="shared" si="50"/>
        <v>0</v>
      </c>
      <c r="BW53" s="3604">
        <f>3*9799.68</f>
        <v>29399.040000000001</v>
      </c>
      <c r="BX53" s="3603">
        <v>29399.040000000001</v>
      </c>
      <c r="BY53" s="3561">
        <f t="shared" si="51"/>
        <v>0</v>
      </c>
      <c r="BZ53" s="3630" t="s">
        <v>4220</v>
      </c>
      <c r="CA53" s="3547"/>
      <c r="CB53" s="3609"/>
      <c r="CC53" s="3562"/>
      <c r="CD53" s="3561">
        <f t="shared" si="52"/>
        <v>0</v>
      </c>
      <c r="CE53" s="3559"/>
      <c r="CF53" s="3562"/>
      <c r="CG53" s="3561">
        <f t="shared" si="53"/>
        <v>0</v>
      </c>
      <c r="CH53" s="3630" t="s">
        <v>4220</v>
      </c>
      <c r="CI53" s="3547"/>
      <c r="CJ53" s="3609"/>
      <c r="CK53" s="3562"/>
      <c r="CL53" s="3561">
        <f t="shared" si="5"/>
        <v>0</v>
      </c>
      <c r="CM53" s="3559"/>
      <c r="CN53" s="3562"/>
      <c r="CO53" s="3561">
        <f t="shared" si="54"/>
        <v>0</v>
      </c>
      <c r="CP53" s="3630" t="s">
        <v>4220</v>
      </c>
      <c r="CQ53" s="3547" t="s">
        <v>4221</v>
      </c>
      <c r="CR53" s="3609">
        <f>3*66944.77</f>
        <v>200834.31</v>
      </c>
      <c r="CS53" s="3603">
        <v>200834.31</v>
      </c>
      <c r="CT53" s="3561">
        <f t="shared" si="55"/>
        <v>0</v>
      </c>
      <c r="CU53" s="3559">
        <f>3*9799.68</f>
        <v>29399.040000000001</v>
      </c>
      <c r="CV53" s="3603">
        <v>29399.040000000001</v>
      </c>
      <c r="CW53" s="3561">
        <f t="shared" si="56"/>
        <v>0</v>
      </c>
      <c r="CX53" s="3563" t="s">
        <v>4222</v>
      </c>
      <c r="CY53" s="3547"/>
      <c r="CZ53" s="3609"/>
      <c r="DA53" s="3562"/>
      <c r="DB53" s="3561">
        <f t="shared" si="57"/>
        <v>0</v>
      </c>
      <c r="DC53" s="3559"/>
      <c r="DD53" s="3603"/>
      <c r="DE53" s="3561">
        <f t="shared" si="58"/>
        <v>0</v>
      </c>
      <c r="DF53" s="3563" t="s">
        <v>4222</v>
      </c>
      <c r="DG53" s="3547"/>
      <c r="DH53" s="3609"/>
      <c r="DI53" s="3562"/>
      <c r="DJ53" s="3561">
        <f t="shared" si="59"/>
        <v>0</v>
      </c>
      <c r="DK53" s="3559"/>
      <c r="DL53" s="3562"/>
      <c r="DM53" s="3561">
        <f t="shared" si="60"/>
        <v>0</v>
      </c>
      <c r="DN53" s="3563"/>
      <c r="DO53" s="3547" t="s">
        <v>4223</v>
      </c>
      <c r="DP53" s="3609">
        <f>3*66944.77</f>
        <v>200834.31</v>
      </c>
      <c r="DQ53" s="3562"/>
      <c r="DR53" s="3561">
        <f t="shared" si="61"/>
        <v>-200834.31</v>
      </c>
      <c r="DS53" s="3559">
        <f>3*9799.68</f>
        <v>29399.040000000001</v>
      </c>
      <c r="DT53" s="3562"/>
      <c r="DU53" s="3561">
        <f t="shared" si="62"/>
        <v>-29399.040000000001</v>
      </c>
      <c r="DV53" s="3563"/>
      <c r="DW53" s="3547"/>
      <c r="DX53" s="3609"/>
      <c r="DY53" s="3562"/>
      <c r="DZ53" s="3561">
        <f t="shared" si="63"/>
        <v>0</v>
      </c>
      <c r="EA53" s="3559"/>
      <c r="EB53" s="3562"/>
      <c r="EC53" s="3561">
        <f t="shared" si="64"/>
        <v>0</v>
      </c>
      <c r="ED53" s="3563"/>
      <c r="EE53" s="3564"/>
      <c r="EF53" s="3565">
        <f t="shared" si="37"/>
        <v>765083.08571428561</v>
      </c>
      <c r="EG53" s="3565">
        <f t="shared" si="123"/>
        <v>573812.31428571418</v>
      </c>
      <c r="EH53" s="3565">
        <f t="shared" si="123"/>
        <v>573812.3142857143</v>
      </c>
      <c r="EI53" s="3565">
        <f t="shared" si="123"/>
        <v>573812.3142857143</v>
      </c>
      <c r="EJ53" s="3565">
        <f t="shared" si="38"/>
        <v>0</v>
      </c>
      <c r="EK53" s="3566">
        <f t="shared" si="39"/>
        <v>0</v>
      </c>
      <c r="EL53" s="3669"/>
      <c r="EM53" s="3567">
        <f t="shared" si="40"/>
        <v>110939.77358490562</v>
      </c>
      <c r="EN53" s="3557">
        <f t="shared" si="124"/>
        <v>83204.830188679218</v>
      </c>
      <c r="EO53" s="3557">
        <f t="shared" si="124"/>
        <v>83204.830188679218</v>
      </c>
      <c r="EP53" s="3557">
        <f t="shared" si="124"/>
        <v>83204.830188679218</v>
      </c>
      <c r="EQ53" s="3557">
        <f t="shared" si="41"/>
        <v>0</v>
      </c>
      <c r="ER53" s="3557">
        <f t="shared" si="42"/>
        <v>0</v>
      </c>
      <c r="ES53" s="3557"/>
      <c r="ET53" s="3568">
        <v>63756.923809523803</v>
      </c>
      <c r="EU53" s="3569">
        <f>66944.77/1.05</f>
        <v>63756.923809523811</v>
      </c>
      <c r="EV53" s="3562">
        <f>200834.31/3/1.05</f>
        <v>63756.923809523811</v>
      </c>
      <c r="EW53" s="3547">
        <f t="shared" si="129"/>
        <v>0</v>
      </c>
      <c r="EX53" s="3568">
        <v>9244.9811320754707</v>
      </c>
      <c r="EY53" s="3569">
        <f>9799.68/1.06</f>
        <v>9244.9811320754707</v>
      </c>
      <c r="EZ53" s="3562">
        <f>29399.04/3/1.06</f>
        <v>9244.9811320754707</v>
      </c>
      <c r="FA53" s="3547">
        <f t="shared" si="130"/>
        <v>0</v>
      </c>
      <c r="FB53" s="3568">
        <v>63756.923809523803</v>
      </c>
      <c r="FC53" s="3569">
        <f>66944.77/1.05</f>
        <v>63756.923809523811</v>
      </c>
      <c r="FD53" s="3562">
        <f>200834.31/3/1.05</f>
        <v>63756.923809523811</v>
      </c>
      <c r="FE53" s="3547">
        <f t="shared" si="117"/>
        <v>0</v>
      </c>
      <c r="FF53" s="3568">
        <v>9244.9811320754707</v>
      </c>
      <c r="FG53" s="3569">
        <f>9799.68/1.06</f>
        <v>9244.9811320754707</v>
      </c>
      <c r="FH53" s="3562">
        <f>29399.04/3/1.06</f>
        <v>9244.9811320754707</v>
      </c>
      <c r="FI53" s="3547">
        <f t="shared" si="118"/>
        <v>0</v>
      </c>
      <c r="FJ53" s="3568">
        <v>63756.923809523803</v>
      </c>
      <c r="FK53" s="3559">
        <f>66944.77/1.05</f>
        <v>63756.923809523811</v>
      </c>
      <c r="FL53" s="3562">
        <f>200834.31/3/1.05</f>
        <v>63756.923809523811</v>
      </c>
      <c r="FM53" s="3547">
        <f t="shared" si="119"/>
        <v>0</v>
      </c>
      <c r="FN53" s="3568">
        <v>9244.9811320754707</v>
      </c>
      <c r="FO53" s="3559">
        <f>9799.68/1.06</f>
        <v>9244.9811320754707</v>
      </c>
      <c r="FP53" s="3562">
        <f>29399.04/3/1.06</f>
        <v>9244.9811320754707</v>
      </c>
      <c r="FQ53" s="3547">
        <f t="shared" si="120"/>
        <v>0</v>
      </c>
      <c r="FR53" s="3568">
        <v>63756.923809523803</v>
      </c>
      <c r="FS53" s="3559">
        <f>66944.77/1.05</f>
        <v>63756.923809523811</v>
      </c>
      <c r="FT53" s="3560">
        <f>200834.31/3/1.05</f>
        <v>63756.923809523811</v>
      </c>
      <c r="FU53" s="3547">
        <f t="shared" si="69"/>
        <v>0</v>
      </c>
      <c r="FV53" s="3568">
        <v>9244.9811320754707</v>
      </c>
      <c r="FW53" s="3559">
        <f>9799.68/1.06</f>
        <v>9244.9811320754707</v>
      </c>
      <c r="FX53" s="3560">
        <f>29399.04/3/1.06</f>
        <v>9244.9811320754707</v>
      </c>
      <c r="FY53" s="3547">
        <f t="shared" si="70"/>
        <v>0</v>
      </c>
      <c r="FZ53" s="3568">
        <v>63756.923809523803</v>
      </c>
      <c r="GA53" s="3569">
        <f>66944.77/1.05</f>
        <v>63756.923809523811</v>
      </c>
      <c r="GB53" s="3560">
        <f>200834.31/3/1.05</f>
        <v>63756.923809523811</v>
      </c>
      <c r="GC53" s="3547">
        <f t="shared" si="71"/>
        <v>0</v>
      </c>
      <c r="GD53" s="3568">
        <v>9244.9811320754707</v>
      </c>
      <c r="GE53" s="3569">
        <f>9799.68/1.06</f>
        <v>9244.9811320754707</v>
      </c>
      <c r="GF53" s="3560">
        <f>29399.04/3/1.06</f>
        <v>9244.9811320754707</v>
      </c>
      <c r="GG53" s="3547">
        <f t="shared" si="72"/>
        <v>0</v>
      </c>
      <c r="GH53" s="3568">
        <v>63756.923809523803</v>
      </c>
      <c r="GI53" s="3569">
        <f>66944.77/1.05</f>
        <v>63756.923809523811</v>
      </c>
      <c r="GJ53" s="3562">
        <f>200834.31/3/1.05</f>
        <v>63756.923809523811</v>
      </c>
      <c r="GK53" s="3547">
        <f t="shared" si="73"/>
        <v>0</v>
      </c>
      <c r="GL53" s="3568">
        <v>9244.9811320754707</v>
      </c>
      <c r="GM53" s="3569">
        <f>9799.68/1.06</f>
        <v>9244.9811320754707</v>
      </c>
      <c r="GN53" s="3562">
        <f>29399.04/3/1.06</f>
        <v>9244.9811320754707</v>
      </c>
      <c r="GO53" s="3547">
        <f t="shared" si="74"/>
        <v>0</v>
      </c>
      <c r="GP53" s="3568">
        <v>63756.923809523803</v>
      </c>
      <c r="GQ53" s="3569">
        <f>66944.77/1.05</f>
        <v>63756.923809523811</v>
      </c>
      <c r="GR53" s="3562">
        <f>200834.31/3/1.05</f>
        <v>63756.923809523811</v>
      </c>
      <c r="GS53" s="3547">
        <f t="shared" si="75"/>
        <v>0</v>
      </c>
      <c r="GT53" s="3568">
        <v>9244.9811320754707</v>
      </c>
      <c r="GU53" s="3569">
        <f>9799.68/1.06</f>
        <v>9244.9811320754707</v>
      </c>
      <c r="GV53" s="3562">
        <f>29399.04/3/1.06</f>
        <v>9244.9811320754707</v>
      </c>
      <c r="GW53" s="3547">
        <f t="shared" si="76"/>
        <v>0</v>
      </c>
      <c r="GX53" s="3568">
        <v>63756.923809523803</v>
      </c>
      <c r="GY53" s="3569">
        <f>66944.77/1.05</f>
        <v>63756.923809523811</v>
      </c>
      <c r="GZ53" s="3562">
        <f>200834.31/3/1.05</f>
        <v>63756.923809523811</v>
      </c>
      <c r="HA53" s="3547">
        <f t="shared" si="77"/>
        <v>0</v>
      </c>
      <c r="HB53" s="3568">
        <v>9244.9811320754707</v>
      </c>
      <c r="HC53" s="3569">
        <f>9799.68/1.06</f>
        <v>9244.9811320754707</v>
      </c>
      <c r="HD53" s="3562">
        <f>29399.04/3/1.06</f>
        <v>9244.9811320754707</v>
      </c>
      <c r="HE53" s="3547">
        <f t="shared" si="78"/>
        <v>0</v>
      </c>
      <c r="HF53" s="3568">
        <v>63756.923809523803</v>
      </c>
      <c r="HG53" s="3569">
        <f>66944.77/1.05</f>
        <v>63756.923809523811</v>
      </c>
      <c r="HH53" s="3562">
        <f>200834.31/3/1.05</f>
        <v>63756.923809523811</v>
      </c>
      <c r="HI53" s="3547">
        <f t="shared" si="79"/>
        <v>0</v>
      </c>
      <c r="HJ53" s="3568">
        <v>9244.9811320754707</v>
      </c>
      <c r="HK53" s="3569">
        <f>9799.68/1.06</f>
        <v>9244.9811320754707</v>
      </c>
      <c r="HL53" s="3562">
        <f>29399.04/3/1.06</f>
        <v>9244.9811320754707</v>
      </c>
      <c r="HM53" s="3547">
        <f t="shared" si="80"/>
        <v>0</v>
      </c>
      <c r="HN53" s="3568">
        <v>63756.923809523803</v>
      </c>
      <c r="HO53" s="3569">
        <f>66944.77/1.05</f>
        <v>63756.923809523811</v>
      </c>
      <c r="HP53" s="3562">
        <f>200834.31/3/1.05</f>
        <v>63756.923809523811</v>
      </c>
      <c r="HQ53" s="3547">
        <f t="shared" si="81"/>
        <v>0</v>
      </c>
      <c r="HR53" s="3568">
        <v>9244.9811320754707</v>
      </c>
      <c r="HS53" s="3569">
        <f>9799.68/1.06</f>
        <v>9244.9811320754707</v>
      </c>
      <c r="HT53" s="3562">
        <f>29399.04/3/1.06</f>
        <v>9244.9811320754707</v>
      </c>
      <c r="HU53" s="3547">
        <f t="shared" si="82"/>
        <v>0</v>
      </c>
      <c r="HV53" s="3568">
        <v>63756.923809523803</v>
      </c>
      <c r="HW53" s="3569">
        <f>66944.77/1.05</f>
        <v>63756.923809523811</v>
      </c>
      <c r="HX53" s="3562">
        <f>200834.31/3/1.05</f>
        <v>63756.923809523811</v>
      </c>
      <c r="HY53" s="3547">
        <f t="shared" si="83"/>
        <v>0</v>
      </c>
      <c r="HZ53" s="3568">
        <v>9244.9811320754707</v>
      </c>
      <c r="IA53" s="3569">
        <f>9799.68/1.06</f>
        <v>9244.9811320754707</v>
      </c>
      <c r="IB53" s="3562">
        <f>29399.04/3/1.06</f>
        <v>9244.9811320754707</v>
      </c>
      <c r="IC53" s="3547">
        <f t="shared" si="84"/>
        <v>0</v>
      </c>
      <c r="ID53" s="3568">
        <v>63756.923809523803</v>
      </c>
      <c r="IE53" s="3569">
        <f>66944.77/1.05</f>
        <v>63756.923809523811</v>
      </c>
      <c r="IF53" s="3562"/>
      <c r="IG53" s="3547">
        <f t="shared" si="85"/>
        <v>-63756.923809523803</v>
      </c>
      <c r="IH53" s="3568">
        <v>9244.9811320754707</v>
      </c>
      <c r="II53" s="3569">
        <f>9799.68/1.06</f>
        <v>9244.9811320754707</v>
      </c>
      <c r="IJ53" s="3562"/>
      <c r="IK53" s="3547">
        <f t="shared" si="86"/>
        <v>-9244.9811320754707</v>
      </c>
      <c r="IL53" s="3547" t="s">
        <v>4224</v>
      </c>
      <c r="IM53" s="3569">
        <f>66944.77/1.05*2</f>
        <v>127513.84761904762</v>
      </c>
      <c r="IN53" s="3569">
        <f>9799.68/1.06*2</f>
        <v>18489.962264150941</v>
      </c>
      <c r="IO53" s="3547"/>
      <c r="IP53" s="3560">
        <f t="shared" si="87"/>
        <v>0</v>
      </c>
      <c r="IQ53" s="3568"/>
      <c r="IR53" s="3568"/>
      <c r="IS53" s="3568"/>
      <c r="IT53" s="3568"/>
      <c r="IU53" s="3568"/>
      <c r="IV53" s="3568"/>
      <c r="IW53" s="3568"/>
      <c r="IX53" s="3568"/>
      <c r="IY53" s="3568"/>
      <c r="IZ53" s="3562"/>
      <c r="JA53" s="3562"/>
      <c r="JB53" s="3562"/>
      <c r="JC53" s="3560">
        <f t="shared" si="11"/>
        <v>0</v>
      </c>
      <c r="JD53" s="3547"/>
      <c r="JE53" s="3568"/>
      <c r="JF53" s="3568"/>
      <c r="JG53" s="3568"/>
      <c r="JH53" s="3568"/>
      <c r="JI53" s="3568"/>
      <c r="JJ53" s="3568"/>
      <c r="JK53" s="3568"/>
      <c r="JL53" s="3568"/>
      <c r="JM53" s="3568"/>
      <c r="JN53" s="3562"/>
      <c r="JO53" s="3562"/>
      <c r="JP53" s="3607" t="s">
        <v>4204</v>
      </c>
      <c r="JQ53" s="3583">
        <f>66944.77*2/1.05</f>
        <v>127513.84761904762</v>
      </c>
      <c r="JR53" s="3583">
        <f>9799.68*2/1.06</f>
        <v>18489.962264150941</v>
      </c>
      <c r="JS53" s="3573">
        <f t="shared" si="28"/>
        <v>0</v>
      </c>
      <c r="JT53" s="3573">
        <f t="shared" si="35"/>
        <v>3.637978807091713E-11</v>
      </c>
      <c r="JU53" s="3574">
        <f t="shared" si="29"/>
        <v>-1.1641532182693481E-10</v>
      </c>
      <c r="JV53" s="3574">
        <f t="shared" si="30"/>
        <v>0</v>
      </c>
      <c r="JW53" s="3575"/>
      <c r="JX53" s="3576">
        <f t="shared" si="31"/>
        <v>127513.84761904762</v>
      </c>
      <c r="JY53" s="3576">
        <f t="shared" si="32"/>
        <v>18489.962264150941</v>
      </c>
      <c r="JZ53" s="3577"/>
      <c r="KA53" s="3573">
        <f t="shared" si="131"/>
        <v>0</v>
      </c>
      <c r="KB53" s="3573"/>
      <c r="KC53" s="3573"/>
      <c r="KD53" s="3573">
        <f t="shared" si="33"/>
        <v>0</v>
      </c>
      <c r="KE53" s="3664"/>
      <c r="KF53" s="3579"/>
      <c r="KG53" s="3579"/>
      <c r="KH53" s="3579"/>
      <c r="KI53" s="3579"/>
      <c r="KJ53" s="3579"/>
      <c r="KK53" s="3579"/>
      <c r="KL53" s="3579"/>
      <c r="KM53" s="3579"/>
      <c r="KN53" s="3579"/>
      <c r="KO53" s="3579"/>
      <c r="KP53" s="3579"/>
      <c r="KQ53" s="3579">
        <f t="shared" si="34"/>
        <v>0</v>
      </c>
      <c r="KR53" s="3579">
        <f t="shared" si="88"/>
        <v>0</v>
      </c>
      <c r="KS53" s="3577"/>
      <c r="KT53" s="3577"/>
      <c r="KU53" s="3577"/>
      <c r="KV53" s="3577"/>
      <c r="KW53" s="3577"/>
      <c r="KX53" s="3577"/>
      <c r="KY53" s="3577"/>
      <c r="KZ53" s="3577"/>
      <c r="LA53" s="3577"/>
      <c r="LB53" s="3577"/>
      <c r="LC53" s="3577"/>
      <c r="LD53" s="3577"/>
      <c r="LE53" s="3577"/>
      <c r="LF53" s="3577"/>
      <c r="LG53" s="3577"/>
      <c r="LH53" s="3577"/>
      <c r="LJ53" s="3575"/>
      <c r="LK53" s="3626">
        <v>12</v>
      </c>
      <c r="LL53" s="3627">
        <v>74262.73</v>
      </c>
      <c r="LM53" s="3580" t="s">
        <v>3954</v>
      </c>
    </row>
    <row r="54" spans="1:325" s="3580" customFormat="1" ht="18" customHeight="1">
      <c r="A54" s="3545">
        <v>51</v>
      </c>
      <c r="B54" s="3546" t="s">
        <v>4231</v>
      </c>
      <c r="C54" s="3546" t="s">
        <v>4232</v>
      </c>
      <c r="D54" s="3547">
        <v>2545.54</v>
      </c>
      <c r="E54" s="3548" t="s">
        <v>3799</v>
      </c>
      <c r="F54" s="3546" t="s">
        <v>3790</v>
      </c>
      <c r="G54" s="3549" t="s">
        <v>4148</v>
      </c>
      <c r="H54" s="3546" t="s">
        <v>4233</v>
      </c>
      <c r="I54" s="3594" t="s">
        <v>4234</v>
      </c>
      <c r="J54" s="3629" t="s">
        <v>4235</v>
      </c>
      <c r="K54" s="3545" t="s">
        <v>3885</v>
      </c>
      <c r="L54" s="3555"/>
      <c r="M54" s="3551">
        <v>1061522.01</v>
      </c>
      <c r="N54" s="3551">
        <v>1061522.01</v>
      </c>
      <c r="O54" s="3551">
        <f t="shared" si="13"/>
        <v>0</v>
      </c>
      <c r="P54" s="3547">
        <v>192792.84</v>
      </c>
      <c r="Q54" s="3547">
        <v>192792.84</v>
      </c>
      <c r="R54" s="3547">
        <f t="shared" ref="R54:R117" si="132">Q54-P54</f>
        <v>0</v>
      </c>
      <c r="S54" s="3547">
        <f t="shared" si="125"/>
        <v>4.5700000462802466</v>
      </c>
      <c r="T54" s="3552">
        <v>353840.67</v>
      </c>
      <c r="U54" s="3553">
        <f t="shared" si="15"/>
        <v>4246088.04</v>
      </c>
      <c r="V54" s="3547">
        <f>353840.67*17</f>
        <v>6015291.3899999997</v>
      </c>
      <c r="W54" s="3547">
        <f t="shared" si="126"/>
        <v>0.83000001829684178</v>
      </c>
      <c r="X54" s="3658">
        <v>64264.28</v>
      </c>
      <c r="Y54" s="3547">
        <f t="shared" si="17"/>
        <v>771171.36</v>
      </c>
      <c r="Z54" s="3554"/>
      <c r="AA54" s="3555"/>
      <c r="AB54" s="3663" t="s">
        <v>3804</v>
      </c>
      <c r="AC54" s="3556">
        <f t="shared" si="18"/>
        <v>4246088.04</v>
      </c>
      <c r="AD54" s="3556">
        <f t="shared" si="121"/>
        <v>3184566.03</v>
      </c>
      <c r="AE54" s="3556">
        <f t="shared" si="121"/>
        <v>3184566.03</v>
      </c>
      <c r="AF54" s="3556">
        <f t="shared" si="20"/>
        <v>0</v>
      </c>
      <c r="AG54" s="3556"/>
      <c r="AH54" s="3557">
        <f t="shared" si="21"/>
        <v>771171.36</v>
      </c>
      <c r="AI54" s="3558">
        <f t="shared" si="122"/>
        <v>578378.52</v>
      </c>
      <c r="AJ54" s="3558">
        <f t="shared" si="122"/>
        <v>578378.52</v>
      </c>
      <c r="AK54" s="3557">
        <f t="shared" si="43"/>
        <v>0</v>
      </c>
      <c r="AL54" s="3557"/>
      <c r="AM54" s="3547" t="s">
        <v>4236</v>
      </c>
      <c r="AN54" s="3609">
        <f>353840.67*3</f>
        <v>1061522.01</v>
      </c>
      <c r="AO54" s="3560">
        <f>90000*11+71522.01</f>
        <v>1061522.01</v>
      </c>
      <c r="AP54" s="3561">
        <f t="shared" si="113"/>
        <v>0</v>
      </c>
      <c r="AQ54" s="3559">
        <f>64264.28*3</f>
        <v>192792.84</v>
      </c>
      <c r="AR54" s="3562">
        <f>90000+12792.84+90000</f>
        <v>192792.84</v>
      </c>
      <c r="AS54" s="3561">
        <f t="shared" si="127"/>
        <v>0</v>
      </c>
      <c r="AT54" s="3563" t="s">
        <v>4237</v>
      </c>
      <c r="AU54" s="3547"/>
      <c r="AV54" s="3609"/>
      <c r="AW54" s="3562"/>
      <c r="AX54" s="3561">
        <f t="shared" si="114"/>
        <v>0</v>
      </c>
      <c r="AY54" s="3559"/>
      <c r="AZ54" s="3562"/>
      <c r="BA54" s="3561">
        <f t="shared" si="128"/>
        <v>0</v>
      </c>
      <c r="BB54" s="3563" t="s">
        <v>4237</v>
      </c>
      <c r="BC54" s="3547"/>
      <c r="BD54" s="3609"/>
      <c r="BE54" s="3562"/>
      <c r="BF54" s="3561">
        <f t="shared" si="115"/>
        <v>0</v>
      </c>
      <c r="BG54" s="3559"/>
      <c r="BH54" s="3562"/>
      <c r="BI54" s="3561">
        <f t="shared" si="116"/>
        <v>0</v>
      </c>
      <c r="BJ54" s="3563" t="s">
        <v>4237</v>
      </c>
      <c r="BK54" s="3547" t="s">
        <v>4238</v>
      </c>
      <c r="BL54" s="3609">
        <f>3*353840.67</f>
        <v>1061522.01</v>
      </c>
      <c r="BM54" s="3562"/>
      <c r="BN54" s="3670">
        <f t="shared" si="48"/>
        <v>-1061522.01</v>
      </c>
      <c r="BO54" s="3559">
        <f>3*64264.28</f>
        <v>192792.84</v>
      </c>
      <c r="BP54" s="3562"/>
      <c r="BQ54" s="3670">
        <f t="shared" si="49"/>
        <v>-192792.84</v>
      </c>
      <c r="BR54" s="3563" t="s">
        <v>4237</v>
      </c>
      <c r="BS54" s="3671" t="s">
        <v>4239</v>
      </c>
      <c r="BT54" s="3590">
        <f>-1061522.01+1061522.01</f>
        <v>0</v>
      </c>
      <c r="BU54" s="3661">
        <v>1061522.01</v>
      </c>
      <c r="BV54" s="3561">
        <f t="shared" si="50"/>
        <v>1061522.01</v>
      </c>
      <c r="BW54" s="3590">
        <v>-192792.84</v>
      </c>
      <c r="BX54" s="3661"/>
      <c r="BY54" s="3561">
        <f t="shared" si="51"/>
        <v>192792.84</v>
      </c>
      <c r="BZ54" s="3563" t="s">
        <v>4240</v>
      </c>
      <c r="CA54" s="3547"/>
      <c r="CB54" s="3609"/>
      <c r="CC54" s="3562"/>
      <c r="CD54" s="3561">
        <f t="shared" si="52"/>
        <v>0</v>
      </c>
      <c r="CE54" s="3559"/>
      <c r="CF54" s="3562"/>
      <c r="CG54" s="3561">
        <f t="shared" si="53"/>
        <v>0</v>
      </c>
      <c r="CH54" s="3563" t="s">
        <v>4240</v>
      </c>
      <c r="CI54" s="3547" t="s">
        <v>4241</v>
      </c>
      <c r="CJ54" s="3621">
        <v>353840.67</v>
      </c>
      <c r="CK54" s="3603">
        <v>353840.67</v>
      </c>
      <c r="CL54" s="3561">
        <f t="shared" si="5"/>
        <v>0</v>
      </c>
      <c r="CM54" s="3559">
        <f>64264.28*3</f>
        <v>192792.84</v>
      </c>
      <c r="CN54" s="3562">
        <v>192792.84</v>
      </c>
      <c r="CO54" s="3561">
        <f t="shared" si="54"/>
        <v>0</v>
      </c>
      <c r="CP54" s="3563" t="s">
        <v>4242</v>
      </c>
      <c r="CQ54" s="3597" t="s">
        <v>4243</v>
      </c>
      <c r="CR54" s="3609">
        <f>353840.67*2</f>
        <v>707681.34</v>
      </c>
      <c r="CS54" s="3603">
        <v>707681.34</v>
      </c>
      <c r="CT54" s="3561">
        <f t="shared" si="55"/>
        <v>0</v>
      </c>
      <c r="CU54" s="3559">
        <f>64264.28*3</f>
        <v>192792.84</v>
      </c>
      <c r="CV54" s="3603">
        <v>192792.84</v>
      </c>
      <c r="CW54" s="3561">
        <f t="shared" si="56"/>
        <v>0</v>
      </c>
      <c r="CX54" s="3563" t="s">
        <v>4244</v>
      </c>
      <c r="CY54" s="3547"/>
      <c r="CZ54" s="3609"/>
      <c r="DA54" s="3562"/>
      <c r="DB54" s="3561">
        <f t="shared" si="57"/>
        <v>0</v>
      </c>
      <c r="DC54" s="3559"/>
      <c r="DD54" s="3603"/>
      <c r="DE54" s="3561">
        <f t="shared" si="58"/>
        <v>0</v>
      </c>
      <c r="DF54" s="3563" t="s">
        <v>4244</v>
      </c>
      <c r="DG54" s="3547"/>
      <c r="DH54" s="3609"/>
      <c r="DI54" s="3562"/>
      <c r="DJ54" s="3561">
        <f t="shared" si="59"/>
        <v>0</v>
      </c>
      <c r="DK54" s="3559"/>
      <c r="DL54" s="3562"/>
      <c r="DM54" s="3561">
        <f t="shared" si="60"/>
        <v>0</v>
      </c>
      <c r="DN54" s="3563"/>
      <c r="DO54" s="3547" t="s">
        <v>4245</v>
      </c>
      <c r="DP54" s="3609">
        <f>353840.67*3</f>
        <v>1061522.01</v>
      </c>
      <c r="DQ54" s="3562"/>
      <c r="DR54" s="3561">
        <f t="shared" si="61"/>
        <v>-1061522.01</v>
      </c>
      <c r="DS54" s="3559">
        <f>64264.28*3</f>
        <v>192792.84</v>
      </c>
      <c r="DT54" s="3562"/>
      <c r="DU54" s="3561">
        <f t="shared" si="62"/>
        <v>-192792.84</v>
      </c>
      <c r="DV54" s="3563"/>
      <c r="DW54" s="3547"/>
      <c r="DX54" s="3609"/>
      <c r="DY54" s="3562"/>
      <c r="DZ54" s="3561">
        <f t="shared" si="63"/>
        <v>0</v>
      </c>
      <c r="EA54" s="3559"/>
      <c r="EB54" s="3562"/>
      <c r="EC54" s="3561">
        <f t="shared" si="64"/>
        <v>0</v>
      </c>
      <c r="ED54" s="3563"/>
      <c r="EF54" s="3565">
        <f t="shared" si="37"/>
        <v>4017118.6942698425</v>
      </c>
      <c r="EG54" s="3565">
        <f t="shared" si="123"/>
        <v>3006145.3616507943</v>
      </c>
      <c r="EH54" s="3565">
        <f t="shared" si="123"/>
        <v>2851037.153189824</v>
      </c>
      <c r="EI54" s="3565">
        <f t="shared" si="123"/>
        <v>2851037.153189824</v>
      </c>
      <c r="EJ54" s="3565">
        <f t="shared" si="38"/>
        <v>-155108.20846097032</v>
      </c>
      <c r="EK54" s="3565">
        <f t="shared" si="39"/>
        <v>0</v>
      </c>
      <c r="EL54" s="3669"/>
      <c r="EM54" s="3557">
        <f t="shared" si="40"/>
        <v>727520.13490565994</v>
      </c>
      <c r="EN54" s="3557">
        <f t="shared" si="124"/>
        <v>545640.10117924504</v>
      </c>
      <c r="EO54" s="3557">
        <f t="shared" si="124"/>
        <v>479033.81628327729</v>
      </c>
      <c r="EP54" s="3557">
        <f t="shared" si="124"/>
        <v>479033.81628327729</v>
      </c>
      <c r="EQ54" s="3557">
        <f t="shared" si="41"/>
        <v>-66606.28489596775</v>
      </c>
      <c r="ER54" s="3557">
        <f t="shared" si="42"/>
        <v>0</v>
      </c>
      <c r="ES54" s="3557"/>
      <c r="ET54" s="3568">
        <v>336991.110873016</v>
      </c>
      <c r="EU54" s="3569">
        <f>353840.67/1.05</f>
        <v>336991.11428571428</v>
      </c>
      <c r="EV54" s="3562">
        <f>1061522.01/1.05/3</f>
        <v>336991.11428571428</v>
      </c>
      <c r="EW54" s="3547">
        <f t="shared" si="129"/>
        <v>3.4126982791349292E-3</v>
      </c>
      <c r="EX54" s="3568">
        <v>60626.677908805003</v>
      </c>
      <c r="EY54" s="3569">
        <f>64264.28/1.06</f>
        <v>60626.679245283012</v>
      </c>
      <c r="EZ54" s="3562">
        <f>192792.84/3/1.06</f>
        <v>60626.679245283012</v>
      </c>
      <c r="FA54" s="3547">
        <f t="shared" si="130"/>
        <v>1.3364780097617768E-3</v>
      </c>
      <c r="FB54" s="3568">
        <v>310216.47466666601</v>
      </c>
      <c r="FC54" s="3569">
        <f>353840.67/1.05</f>
        <v>336991.11428571428</v>
      </c>
      <c r="FD54" s="3562">
        <f>1061522.01/1.05/3*12/365*14+1061522.01/1.05/3-1061522.01/1.05/3*12/365*14</f>
        <v>336991.11428571434</v>
      </c>
      <c r="FE54" s="3547">
        <f t="shared" si="117"/>
        <v>26774.639619048336</v>
      </c>
      <c r="FF54" s="3568">
        <v>60626.677908805003</v>
      </c>
      <c r="FG54" s="3569">
        <f>64264.28/1.06</f>
        <v>60626.679245283012</v>
      </c>
      <c r="FH54" s="3562">
        <f>192792.84/3/1.06*12/365*14+192792.84/3/1.06-192792.84/3/1.06*12/365*14</f>
        <v>60626.679245283012</v>
      </c>
      <c r="FI54" s="3547">
        <f t="shared" si="118"/>
        <v>1.3364780097617768E-3</v>
      </c>
      <c r="FJ54" s="3568">
        <v>336991.110873016</v>
      </c>
      <c r="FK54" s="3559">
        <f>353840.67/1.05</f>
        <v>336991.11428571428</v>
      </c>
      <c r="FL54" s="3562">
        <f>1061522.01/1.05/3</f>
        <v>336991.11428571428</v>
      </c>
      <c r="FM54" s="3547">
        <f t="shared" si="119"/>
        <v>3.4126982791349292E-3</v>
      </c>
      <c r="FN54" s="3568">
        <v>60626.677908805003</v>
      </c>
      <c r="FO54" s="3559">
        <f>64264.28/1.06</f>
        <v>60626.679245283012</v>
      </c>
      <c r="FP54" s="3562">
        <f>192792.84/3/1.06</f>
        <v>60626.679245283012</v>
      </c>
      <c r="FQ54" s="3547">
        <f t="shared" si="120"/>
        <v>1.3364780097617768E-3</v>
      </c>
      <c r="FR54" s="3568">
        <v>336991.110873016</v>
      </c>
      <c r="FS54" s="3559">
        <f>353840.67/1.05</f>
        <v>336991.11428571428</v>
      </c>
      <c r="FT54" s="3560">
        <f>1061522.01/1.05/3</f>
        <v>336991.11428571428</v>
      </c>
      <c r="FU54" s="3547">
        <f t="shared" si="69"/>
        <v>3.4126982791349292E-3</v>
      </c>
      <c r="FV54" s="3568">
        <v>60626.677908805003</v>
      </c>
      <c r="FW54" s="3559">
        <f>64264.28/1.06</f>
        <v>60626.679245283012</v>
      </c>
      <c r="FX54" s="3560">
        <f>192792.84/3/1.06</f>
        <v>60626.679245283012</v>
      </c>
      <c r="FY54" s="3547">
        <f t="shared" si="70"/>
        <v>1.3364780097617768E-3</v>
      </c>
      <c r="FZ54" s="3568">
        <v>336991.110873016</v>
      </c>
      <c r="GA54" s="3592">
        <f>353840.67/1.05*12/365*14+1061522.01/1.05</f>
        <v>1166081.5817612524</v>
      </c>
      <c r="GB54" s="3672">
        <f>1061522.01/1.05/3*12/365*14+1061522.01/1.05</f>
        <v>1166081.5817612524</v>
      </c>
      <c r="GC54" s="3547">
        <f t="shared" si="71"/>
        <v>829090.4708882363</v>
      </c>
      <c r="GD54" s="3568">
        <v>60626.677908805003</v>
      </c>
      <c r="GE54" s="3569">
        <f>64264.28/1.06*12/365*14</f>
        <v>27904.882501938482</v>
      </c>
      <c r="GF54" s="3560">
        <f>192792.84/3/1.06*12/365*14</f>
        <v>27904.882501938482</v>
      </c>
      <c r="GG54" s="3547">
        <f t="shared" si="72"/>
        <v>-32721.79540686652</v>
      </c>
      <c r="GH54" s="3568">
        <v>336991.110873016</v>
      </c>
      <c r="GI54" s="3569"/>
      <c r="GJ54" s="3562"/>
      <c r="GK54" s="3547">
        <f t="shared" si="73"/>
        <v>-336991.110873016</v>
      </c>
      <c r="GL54" s="3568">
        <v>60626.677908805003</v>
      </c>
      <c r="GM54" s="3569"/>
      <c r="GN54" s="3562"/>
      <c r="GO54" s="3547">
        <f t="shared" si="74"/>
        <v>-60626.677908805003</v>
      </c>
      <c r="GP54" s="3568">
        <v>336991.110873016</v>
      </c>
      <c r="GQ54" s="3614">
        <f>353840.67/1.05-353840.67/1.05*12/365*17+353840.67/1.05*12/365*17</f>
        <v>336991.11428571428</v>
      </c>
      <c r="GR54" s="3605">
        <f>353840.67/1.05</f>
        <v>336991.11428571428</v>
      </c>
      <c r="GS54" s="3547">
        <f t="shared" si="75"/>
        <v>3.4126982791349292E-3</v>
      </c>
      <c r="GT54" s="3568">
        <v>60626.677908805003</v>
      </c>
      <c r="GU54" s="3569">
        <f>64264.28/1.06+64264.28/1.06-64264.28/1.06*12/365*17</f>
        <v>87368.858309640724</v>
      </c>
      <c r="GV54" s="3562">
        <f>192792.84/1.06-192792.84/3/1.06-192792.84/3/1.06*12/365*17</f>
        <v>87368.858309640724</v>
      </c>
      <c r="GW54" s="3547">
        <f t="shared" si="76"/>
        <v>26742.180400835721</v>
      </c>
      <c r="GX54" s="3568">
        <v>336991.110873016</v>
      </c>
      <c r="GY54" s="3614"/>
      <c r="GZ54" s="3614"/>
      <c r="HA54" s="3547">
        <f t="shared" si="77"/>
        <v>-336991.110873016</v>
      </c>
      <c r="HB54" s="3568">
        <v>60626.677908805003</v>
      </c>
      <c r="HC54" s="3569">
        <f>64264.28/1.06</f>
        <v>60626.679245283012</v>
      </c>
      <c r="HD54" s="3562">
        <f>192792.84/3/1.06</f>
        <v>60626.679245283012</v>
      </c>
      <c r="HE54" s="3547">
        <f t="shared" si="78"/>
        <v>1.3364780097617768E-3</v>
      </c>
      <c r="HF54" s="3568">
        <v>336991.110873016</v>
      </c>
      <c r="HG54" s="3614"/>
      <c r="HH54" s="3614"/>
      <c r="HI54" s="3547">
        <f t="shared" si="79"/>
        <v>-336991.110873016</v>
      </c>
      <c r="HJ54" s="3568">
        <v>60626.677908805003</v>
      </c>
      <c r="HK54" s="3569">
        <f>64264.28/1.06</f>
        <v>60626.679245283012</v>
      </c>
      <c r="HL54" s="3562">
        <f>192792.84/3/1.06*12/365*17+192792.84/3/1.06-192792.84/3/1.06*12/365*17</f>
        <v>60626.679245283012</v>
      </c>
      <c r="HM54" s="3547">
        <f t="shared" si="80"/>
        <v>1.3364780097617768E-3</v>
      </c>
      <c r="HN54" s="3568">
        <v>336991.110873016</v>
      </c>
      <c r="HO54" s="3614">
        <f>353840.67/1.05-353840.67/1.05*12/365*17</f>
        <v>148645.39561643836</v>
      </c>
      <c r="HP54" s="3614">
        <f>707681.34/2/1.05-707681.34/2/1.05*12/365*17</f>
        <v>148645.39561643836</v>
      </c>
      <c r="HQ54" s="3547">
        <f t="shared" si="81"/>
        <v>-188345.71525657765</v>
      </c>
      <c r="HR54" s="3568">
        <v>60626.677908805003</v>
      </c>
      <c r="HS54" s="3569">
        <f>64264.28/1.06</f>
        <v>60626.679245283012</v>
      </c>
      <c r="HT54" s="3562">
        <f>192792.84/3/1.06</f>
        <v>60626.679245283012</v>
      </c>
      <c r="HU54" s="3547">
        <f t="shared" si="82"/>
        <v>1.3364780097617768E-3</v>
      </c>
      <c r="HV54" s="3568">
        <v>336991.110873016</v>
      </c>
      <c r="HW54" s="3569">
        <f>353840.67/1.05</f>
        <v>336991.11428571428</v>
      </c>
      <c r="HX54" s="3562">
        <f>707681.34/2/1.05</f>
        <v>336991.11428571428</v>
      </c>
      <c r="HY54" s="3547">
        <f t="shared" si="83"/>
        <v>3.4126982791349292E-3</v>
      </c>
      <c r="HZ54" s="3568">
        <v>60626.677908805003</v>
      </c>
      <c r="IA54" s="3569">
        <f>64264.28/1.06</f>
        <v>60626.679245283012</v>
      </c>
      <c r="IB54" s="3562">
        <f>192792.84/3/1.06</f>
        <v>60626.679245283012</v>
      </c>
      <c r="IC54" s="3547">
        <f t="shared" si="84"/>
        <v>1.3364780097617768E-3</v>
      </c>
      <c r="ID54" s="3568">
        <v>336991.110873016</v>
      </c>
      <c r="IE54" s="3569">
        <f>353840.67/1.05</f>
        <v>336991.11428571428</v>
      </c>
      <c r="IF54" s="3562">
        <f>707681.34/2/1.05*12/365*17</f>
        <v>188345.71866927593</v>
      </c>
      <c r="IG54" s="3547">
        <f t="shared" si="85"/>
        <v>-148645.39220374008</v>
      </c>
      <c r="IH54" s="3568">
        <v>60626.677908805003</v>
      </c>
      <c r="II54" s="3569">
        <f>64264.28/1.06</f>
        <v>60626.679245283012</v>
      </c>
      <c r="IJ54" s="3562">
        <f>192792.84/3/1.06*12/365*17</f>
        <v>33884.500180925301</v>
      </c>
      <c r="IK54" s="3547">
        <f t="shared" si="86"/>
        <v>-26742.177727879702</v>
      </c>
      <c r="IL54" s="3547" t="s">
        <v>4246</v>
      </c>
      <c r="IM54" s="3569">
        <f>353840.67*2/1.05+353840.67/1.05*12/365*17</f>
        <v>862327.94724070444</v>
      </c>
      <c r="IN54" s="3569">
        <f>64264.28*2/1.06+64264.28/1.06*12/365*17</f>
        <v>155137.85867149133</v>
      </c>
      <c r="IO54" s="3547"/>
      <c r="IP54" s="3560">
        <f t="shared" si="87"/>
        <v>0</v>
      </c>
      <c r="IQ54" s="3568"/>
      <c r="IR54" s="3568"/>
      <c r="IS54" s="3568"/>
      <c r="IT54" s="3568"/>
      <c r="IU54" s="3568"/>
      <c r="IV54" s="3568"/>
      <c r="IW54" s="3568"/>
      <c r="IX54" s="3568"/>
      <c r="IY54" s="3568"/>
      <c r="IZ54" s="3562"/>
      <c r="JA54" s="3562"/>
      <c r="JB54" s="3562"/>
      <c r="JC54" s="3560">
        <f t="shared" si="11"/>
        <v>0</v>
      </c>
      <c r="JD54" s="3547"/>
      <c r="JE54" s="3568"/>
      <c r="JF54" s="3568"/>
      <c r="JG54" s="3568"/>
      <c r="JH54" s="3568"/>
      <c r="JI54" s="3568"/>
      <c r="JJ54" s="3568"/>
      <c r="JK54" s="3568"/>
      <c r="JL54" s="3568"/>
      <c r="JM54" s="3568"/>
      <c r="JN54" s="3562"/>
      <c r="JO54" s="3562"/>
      <c r="JP54" s="3584" t="s">
        <v>3918</v>
      </c>
      <c r="JQ54" s="3583">
        <f>353840.67/1.05+353840.67*12/365*14/1.05</f>
        <v>492099.35318982386</v>
      </c>
      <c r="JR54" s="3583">
        <f>64264.28/1.06+64264.28*12/365*14/1.06</f>
        <v>88531.561747221494</v>
      </c>
      <c r="JS54" s="3573">
        <f t="shared" si="28"/>
        <v>0</v>
      </c>
      <c r="JT54" s="3573">
        <f t="shared" si="35"/>
        <v>0</v>
      </c>
      <c r="JU54" s="3574">
        <f t="shared" si="29"/>
        <v>0</v>
      </c>
      <c r="JV54" s="3574">
        <f t="shared" si="30"/>
        <v>0</v>
      </c>
      <c r="JW54" s="3575"/>
      <c r="JX54" s="3576">
        <f t="shared" si="31"/>
        <v>673982.22857142857</v>
      </c>
      <c r="JY54" s="3576">
        <f t="shared" si="32"/>
        <v>155137.85867149133</v>
      </c>
      <c r="JZ54" s="3577"/>
      <c r="KA54" s="3573">
        <f t="shared" si="131"/>
        <v>-336991.10953653802</v>
      </c>
      <c r="KB54" s="3573"/>
      <c r="KC54" s="3573"/>
      <c r="KD54" s="3573">
        <f t="shared" si="33"/>
        <v>-336991.10953653802</v>
      </c>
      <c r="KE54" s="3587" t="s">
        <v>3767</v>
      </c>
      <c r="KF54" s="3579"/>
      <c r="KG54" s="3579"/>
      <c r="KH54" s="3579"/>
      <c r="KI54" s="3579"/>
      <c r="KJ54" s="3579"/>
      <c r="KK54" s="3579"/>
      <c r="KL54" s="3579">
        <f>-214604.67/10000-397617.79/10000+175387.58/10000</f>
        <v>-43.683487999999997</v>
      </c>
      <c r="KM54" s="3579"/>
      <c r="KN54" s="3579">
        <f>-148645.4/10000-336991.11/10000*2</f>
        <v>-82.262762000000009</v>
      </c>
      <c r="KO54" s="3579"/>
      <c r="KP54" s="3579">
        <f>26774.64/10000+1061522.01/10000/1.05</f>
        <v>103.77479828571428</v>
      </c>
      <c r="KQ54" s="3579">
        <f t="shared" si="34"/>
        <v>-22.171451714285723</v>
      </c>
      <c r="KR54" s="3579">
        <f t="shared" si="88"/>
        <v>2.3785919154306612E-6</v>
      </c>
      <c r="KS54" s="3673" t="s">
        <v>4247</v>
      </c>
      <c r="KT54" s="3577" t="s">
        <v>4248</v>
      </c>
      <c r="KU54" s="3674" t="s">
        <v>4249</v>
      </c>
      <c r="KV54" s="3674" t="s">
        <v>4250</v>
      </c>
      <c r="KW54" s="3674" t="s">
        <v>4251</v>
      </c>
      <c r="KX54" s="3674" t="s">
        <v>4252</v>
      </c>
      <c r="KY54" s="3674" t="s">
        <v>4253</v>
      </c>
      <c r="KZ54" s="3674" t="s">
        <v>4254</v>
      </c>
      <c r="LA54" s="3674" t="s">
        <v>4255</v>
      </c>
      <c r="LB54" s="3674" t="s">
        <v>4256</v>
      </c>
      <c r="LC54" s="3674" t="s">
        <v>4257</v>
      </c>
      <c r="LD54" s="3674" t="s">
        <v>4258</v>
      </c>
      <c r="LE54" s="3674" t="s">
        <v>4259</v>
      </c>
      <c r="LF54" s="3674" t="s">
        <v>4260</v>
      </c>
      <c r="LG54" s="3673" t="s">
        <v>4261</v>
      </c>
      <c r="LH54" s="3674" t="s">
        <v>4262</v>
      </c>
      <c r="LJ54" s="3575"/>
      <c r="LK54" s="3571"/>
      <c r="LL54" s="3576"/>
    </row>
    <row r="55" spans="1:325" s="3580" customFormat="1" ht="18" customHeight="1">
      <c r="A55" s="3545">
        <v>52</v>
      </c>
      <c r="B55" s="3546" t="s">
        <v>4231</v>
      </c>
      <c r="C55" s="3546" t="s">
        <v>4263</v>
      </c>
      <c r="D55" s="3547">
        <v>1310.91</v>
      </c>
      <c r="E55" s="3548" t="s">
        <v>3799</v>
      </c>
      <c r="F55" s="3546" t="s">
        <v>3790</v>
      </c>
      <c r="G55" s="3549" t="s">
        <v>4148</v>
      </c>
      <c r="H55" s="3546" t="s">
        <v>4264</v>
      </c>
      <c r="I55" s="3634" t="s">
        <v>4265</v>
      </c>
      <c r="J55" s="3629" t="s">
        <v>4235</v>
      </c>
      <c r="K55" s="3545" t="s">
        <v>4266</v>
      </c>
      <c r="L55" s="3545"/>
      <c r="M55" s="3551">
        <v>522741.75</v>
      </c>
      <c r="N55" s="3551">
        <v>522741.75</v>
      </c>
      <c r="O55" s="3551">
        <f t="shared" si="13"/>
        <v>0</v>
      </c>
      <c r="P55" s="3547">
        <v>99285.06</v>
      </c>
      <c r="Q55" s="3547">
        <v>99285.06</v>
      </c>
      <c r="R55" s="3547">
        <f t="shared" si="132"/>
        <v>0</v>
      </c>
      <c r="S55" s="3547">
        <f t="shared" si="125"/>
        <v>4.3700000094047393</v>
      </c>
      <c r="T55" s="3552">
        <v>174247.25</v>
      </c>
      <c r="U55" s="3553">
        <f t="shared" si="15"/>
        <v>2090967</v>
      </c>
      <c r="V55" s="3547">
        <f>174247.25*(12+6)</f>
        <v>3136450.5</v>
      </c>
      <c r="W55" s="3547">
        <f t="shared" si="126"/>
        <v>0.83000011599178758</v>
      </c>
      <c r="X55" s="3658">
        <v>33095.019999999997</v>
      </c>
      <c r="Y55" s="3547">
        <f t="shared" si="17"/>
        <v>397140.24</v>
      </c>
      <c r="Z55" s="3547"/>
      <c r="AA55" s="3545"/>
      <c r="AB55" s="3663" t="s">
        <v>3804</v>
      </c>
      <c r="AC55" s="3556">
        <f t="shared" si="18"/>
        <v>2090967</v>
      </c>
      <c r="AD55" s="3556">
        <f t="shared" si="121"/>
        <v>1568225.25</v>
      </c>
      <c r="AE55" s="3556">
        <f t="shared" si="121"/>
        <v>1568225.25</v>
      </c>
      <c r="AF55" s="3556">
        <f t="shared" si="20"/>
        <v>0</v>
      </c>
      <c r="AG55" s="3556"/>
      <c r="AH55" s="3557">
        <f t="shared" si="21"/>
        <v>397140.24</v>
      </c>
      <c r="AI55" s="3558">
        <f t="shared" si="122"/>
        <v>297855.18</v>
      </c>
      <c r="AJ55" s="3558">
        <f t="shared" si="122"/>
        <v>297855.18</v>
      </c>
      <c r="AK55" s="3557">
        <f t="shared" si="43"/>
        <v>0</v>
      </c>
      <c r="AL55" s="3557"/>
      <c r="AM55" s="3547"/>
      <c r="AN55" s="3609"/>
      <c r="AO55" s="3562"/>
      <c r="AP55" s="3561">
        <f t="shared" si="113"/>
        <v>0</v>
      </c>
      <c r="AQ55" s="3559"/>
      <c r="AR55" s="3562"/>
      <c r="AS55" s="3561">
        <f t="shared" si="127"/>
        <v>0</v>
      </c>
      <c r="AT55" s="3563" t="s">
        <v>4267</v>
      </c>
      <c r="AU55" s="3547"/>
      <c r="AV55" s="3609"/>
      <c r="AW55" s="3562"/>
      <c r="AX55" s="3561">
        <f t="shared" si="114"/>
        <v>0</v>
      </c>
      <c r="AY55" s="3559"/>
      <c r="AZ55" s="3562"/>
      <c r="BA55" s="3561">
        <f t="shared" si="128"/>
        <v>0</v>
      </c>
      <c r="BB55" s="3563" t="s">
        <v>4267</v>
      </c>
      <c r="BC55" s="3547" t="s">
        <v>4087</v>
      </c>
      <c r="BD55" s="3609">
        <f>3*174247.25</f>
        <v>522741.75</v>
      </c>
      <c r="BE55" s="3562">
        <f>522741.75</f>
        <v>522741.75</v>
      </c>
      <c r="BF55" s="3561">
        <f t="shared" si="115"/>
        <v>0</v>
      </c>
      <c r="BG55" s="3559">
        <f>3*33095.02</f>
        <v>99285.06</v>
      </c>
      <c r="BH55" s="3562">
        <f>90000+9285.06</f>
        <v>99285.06</v>
      </c>
      <c r="BI55" s="3561">
        <f t="shared" si="116"/>
        <v>0</v>
      </c>
      <c r="BJ55" s="3563" t="s">
        <v>4268</v>
      </c>
      <c r="BK55" s="3547"/>
      <c r="BL55" s="3609"/>
      <c r="BM55" s="3562"/>
      <c r="BN55" s="3561">
        <f t="shared" si="48"/>
        <v>0</v>
      </c>
      <c r="BO55" s="3559"/>
      <c r="BP55" s="3562"/>
      <c r="BQ55" s="3561">
        <f t="shared" si="49"/>
        <v>0</v>
      </c>
      <c r="BR55" s="3563" t="s">
        <v>4268</v>
      </c>
      <c r="BS55" s="3547"/>
      <c r="BT55" s="3559"/>
      <c r="BU55" s="3562"/>
      <c r="BV55" s="3561">
        <f t="shared" si="50"/>
        <v>0</v>
      </c>
      <c r="BW55" s="3559"/>
      <c r="BX55" s="3562"/>
      <c r="BY55" s="3561">
        <f t="shared" si="51"/>
        <v>0</v>
      </c>
      <c r="BZ55" s="3563" t="s">
        <v>4268</v>
      </c>
      <c r="CA55" s="3547"/>
      <c r="CB55" s="3609"/>
      <c r="CC55" s="3603"/>
      <c r="CD55" s="3561">
        <f t="shared" si="52"/>
        <v>0</v>
      </c>
      <c r="CE55" s="3559"/>
      <c r="CF55" s="3562"/>
      <c r="CG55" s="3561">
        <f t="shared" si="53"/>
        <v>0</v>
      </c>
      <c r="CH55" s="3563" t="s">
        <v>4269</v>
      </c>
      <c r="CI55" s="3547" t="s">
        <v>4270</v>
      </c>
      <c r="CJ55" s="3609">
        <f>174247.25</f>
        <v>174247.25</v>
      </c>
      <c r="CK55" s="3603">
        <v>174247.25</v>
      </c>
      <c r="CL55" s="3561">
        <f t="shared" si="5"/>
        <v>0</v>
      </c>
      <c r="CM55" s="3559"/>
      <c r="CN55" s="3562"/>
      <c r="CO55" s="3561">
        <f t="shared" si="54"/>
        <v>0</v>
      </c>
      <c r="CP55" s="3563" t="s">
        <v>4271</v>
      </c>
      <c r="CQ55" s="3597" t="s">
        <v>4272</v>
      </c>
      <c r="CR55" s="3609">
        <f>348494.5</f>
        <v>348494.5</v>
      </c>
      <c r="CS55" s="3603">
        <v>348494.5</v>
      </c>
      <c r="CT55" s="3561">
        <f t="shared" si="55"/>
        <v>0</v>
      </c>
      <c r="CU55" s="3559">
        <f>33095.02*3</f>
        <v>99285.06</v>
      </c>
      <c r="CV55" s="3603">
        <v>99285.06</v>
      </c>
      <c r="CW55" s="3561">
        <f t="shared" si="56"/>
        <v>0</v>
      </c>
      <c r="CX55" s="3563" t="s">
        <v>4273</v>
      </c>
      <c r="CY55" s="3547" t="s">
        <v>4274</v>
      </c>
      <c r="CZ55" s="3609">
        <f>174247.25*3</f>
        <v>522741.75</v>
      </c>
      <c r="DA55" s="3661">
        <v>522741.75</v>
      </c>
      <c r="DB55" s="3561">
        <f t="shared" si="57"/>
        <v>0</v>
      </c>
      <c r="DC55" s="3559">
        <f>33095.02*3</f>
        <v>99285.06</v>
      </c>
      <c r="DD55" s="3603">
        <v>99285.06</v>
      </c>
      <c r="DE55" s="3561">
        <f t="shared" si="58"/>
        <v>0</v>
      </c>
      <c r="DF55" s="3563" t="s">
        <v>4275</v>
      </c>
      <c r="DG55" s="3547"/>
      <c r="DH55" s="3609"/>
      <c r="DI55" s="3562"/>
      <c r="DJ55" s="3561">
        <f t="shared" si="59"/>
        <v>0</v>
      </c>
      <c r="DK55" s="3559"/>
      <c r="DL55" s="3562"/>
      <c r="DM55" s="3561">
        <f t="shared" si="60"/>
        <v>0</v>
      </c>
      <c r="DN55" s="3563"/>
      <c r="DO55" s="3547"/>
      <c r="DP55" s="3609"/>
      <c r="DQ55" s="3562"/>
      <c r="DR55" s="3561">
        <f t="shared" si="61"/>
        <v>0</v>
      </c>
      <c r="DS55" s="3559"/>
      <c r="DT55" s="3562"/>
      <c r="DU55" s="3561">
        <f t="shared" si="62"/>
        <v>0</v>
      </c>
      <c r="DV55" s="3563"/>
      <c r="DW55" s="3547" t="s">
        <v>4276</v>
      </c>
      <c r="DX55" s="3609">
        <f>174247.25*3</f>
        <v>522741.75</v>
      </c>
      <c r="DY55" s="3562"/>
      <c r="DZ55" s="3561">
        <f t="shared" si="63"/>
        <v>-522741.75</v>
      </c>
      <c r="EA55" s="3559">
        <f>33095.02*3</f>
        <v>99285.06</v>
      </c>
      <c r="EB55" s="3562"/>
      <c r="EC55" s="3561">
        <f t="shared" si="64"/>
        <v>-99285.06</v>
      </c>
      <c r="ED55" s="3563"/>
      <c r="EF55" s="3565">
        <f t="shared" si="37"/>
        <v>1825447.3770238091</v>
      </c>
      <c r="EG55" s="3565">
        <f t="shared" si="123"/>
        <v>1327598.0923809521</v>
      </c>
      <c r="EH55" s="3565">
        <f t="shared" si="123"/>
        <v>1273039.2694063927</v>
      </c>
      <c r="EI55" s="3565">
        <f t="shared" si="123"/>
        <v>1273039.2722765817</v>
      </c>
      <c r="EJ55" s="3565">
        <f t="shared" si="38"/>
        <v>-54558.820104370359</v>
      </c>
      <c r="EK55" s="3566">
        <f t="shared" si="39"/>
        <v>2.8701890259981155E-3</v>
      </c>
      <c r="EL55" s="3610"/>
      <c r="EM55" s="3567">
        <f t="shared" si="40"/>
        <v>374660.551415094</v>
      </c>
      <c r="EN55" s="3557">
        <f t="shared" si="124"/>
        <v>280995.41356132051</v>
      </c>
      <c r="EO55" s="3557">
        <f t="shared" si="124"/>
        <v>263545.50690100802</v>
      </c>
      <c r="EP55" s="3557">
        <f t="shared" si="124"/>
        <v>263545.50690100796</v>
      </c>
      <c r="EQ55" s="3557">
        <f t="shared" si="41"/>
        <v>-17449.906660312554</v>
      </c>
      <c r="ER55" s="3557">
        <f t="shared" si="42"/>
        <v>0</v>
      </c>
      <c r="ES55" s="3557"/>
      <c r="ET55" s="3568"/>
      <c r="EU55" s="3569">
        <f>174247.25/1.05*12/365*7</f>
        <v>38191.178082191778</v>
      </c>
      <c r="EV55" s="3562">
        <f>388595.24/1.05-174247.25/1.05*2</f>
        <v>38191.180952380935</v>
      </c>
      <c r="EW55" s="3547">
        <f t="shared" si="129"/>
        <v>38191.180952380935</v>
      </c>
      <c r="EX55" s="3568">
        <v>31221.712617924499</v>
      </c>
      <c r="EY55" s="3569">
        <f>33095.02/1.06</f>
        <v>31221.716981132071</v>
      </c>
      <c r="EZ55" s="3562">
        <f>33095.02/1.06</f>
        <v>31221.716981132071</v>
      </c>
      <c r="FA55" s="3547">
        <f t="shared" si="130"/>
        <v>4.3632075721689034E-3</v>
      </c>
      <c r="FB55" s="3568">
        <v>165949.76154761901</v>
      </c>
      <c r="FC55" s="3569">
        <f>174247.25/1.05</f>
        <v>165949.76190476189</v>
      </c>
      <c r="FD55" s="3562">
        <f>174247.25/1.05</f>
        <v>165949.76190476189</v>
      </c>
      <c r="FE55" s="3547">
        <f t="shared" si="117"/>
        <v>3.5714288242161274E-4</v>
      </c>
      <c r="FF55" s="3568">
        <v>31221.712617924499</v>
      </c>
      <c r="FG55" s="3569">
        <f>33095.02/1.06</f>
        <v>31221.716981132071</v>
      </c>
      <c r="FH55" s="3562">
        <f>33095.02/1.06</f>
        <v>31221.716981132071</v>
      </c>
      <c r="FI55" s="3547">
        <f t="shared" si="118"/>
        <v>4.3632075721689034E-3</v>
      </c>
      <c r="FJ55" s="3568">
        <v>165949.76154761901</v>
      </c>
      <c r="FK55" s="3559">
        <f>174247.25/1.05</f>
        <v>165949.76190476189</v>
      </c>
      <c r="FL55" s="3562">
        <f>174247.25/1.05</f>
        <v>165949.76190476189</v>
      </c>
      <c r="FM55" s="3547">
        <f t="shared" si="119"/>
        <v>3.5714288242161274E-4</v>
      </c>
      <c r="FN55" s="3568">
        <v>31221.712617924499</v>
      </c>
      <c r="FO55" s="3559">
        <f>33095.02/1.06</f>
        <v>31221.716981132071</v>
      </c>
      <c r="FP55" s="3562">
        <f>33095.02/1.06</f>
        <v>31221.716981132071</v>
      </c>
      <c r="FQ55" s="3547">
        <f t="shared" si="120"/>
        <v>4.3632075721689034E-3</v>
      </c>
      <c r="FR55" s="3568">
        <v>165949.76154761901</v>
      </c>
      <c r="FS55" s="3559">
        <f>174247.25/1.05</f>
        <v>165949.76190476189</v>
      </c>
      <c r="FT55" s="3560">
        <f>522741.75/3/1.05</f>
        <v>165949.76190476189</v>
      </c>
      <c r="FU55" s="3547">
        <f t="shared" si="69"/>
        <v>3.5714288242161274E-4</v>
      </c>
      <c r="FV55" s="3568">
        <v>31221.712617924499</v>
      </c>
      <c r="FW55" s="3559">
        <f>33095.02/1.06</f>
        <v>31221.716981132071</v>
      </c>
      <c r="FX55" s="3560">
        <f>99285.06/3/1.06</f>
        <v>31221.716981132071</v>
      </c>
      <c r="FY55" s="3547">
        <f t="shared" si="70"/>
        <v>4.3632075721689034E-3</v>
      </c>
      <c r="FZ55" s="3568">
        <v>165949.76154761901</v>
      </c>
      <c r="GA55" s="3569">
        <f>174247.25/1.05</f>
        <v>165949.76190476189</v>
      </c>
      <c r="GB55" s="3560">
        <f>522741.75/3/1.05</f>
        <v>165949.76190476189</v>
      </c>
      <c r="GC55" s="3547">
        <f t="shared" si="71"/>
        <v>3.5714288242161274E-4</v>
      </c>
      <c r="GD55" s="3568">
        <v>31221.712617924499</v>
      </c>
      <c r="GE55" s="3569">
        <f>33095.02/1.06</f>
        <v>31221.716981132071</v>
      </c>
      <c r="GF55" s="3560">
        <f>99285.06/3/1.06</f>
        <v>31221.716981132071</v>
      </c>
      <c r="GG55" s="3547">
        <f t="shared" si="72"/>
        <v>4.3632075721689034E-3</v>
      </c>
      <c r="GH55" s="3568">
        <v>165949.76154761901</v>
      </c>
      <c r="GI55" s="3592">
        <f>174247.25/1.05</f>
        <v>165949.76190476189</v>
      </c>
      <c r="GJ55" s="3672">
        <f>522741.75/3/1.05</f>
        <v>165949.76190476189</v>
      </c>
      <c r="GK55" s="3547">
        <f t="shared" si="73"/>
        <v>3.5714288242161274E-4</v>
      </c>
      <c r="GL55" s="3568">
        <v>31221.712617924499</v>
      </c>
      <c r="GM55" s="3569">
        <f>33095.02/1.06</f>
        <v>31221.716981132071</v>
      </c>
      <c r="GN55" s="3560">
        <f>99285.06/3/1.06</f>
        <v>31221.716981132071</v>
      </c>
      <c r="GO55" s="3547">
        <f t="shared" si="74"/>
        <v>4.3632075721689034E-3</v>
      </c>
      <c r="GP55" s="3568">
        <v>165949.76154761901</v>
      </c>
      <c r="GQ55" s="3592">
        <f>174247.25/1.05</f>
        <v>165949.76190476189</v>
      </c>
      <c r="GR55" s="3605">
        <f>174247.25/1.05</f>
        <v>165949.76190476189</v>
      </c>
      <c r="GS55" s="3547">
        <f t="shared" si="75"/>
        <v>3.5714288242161274E-4</v>
      </c>
      <c r="GT55" s="3568">
        <v>31221.712617924499</v>
      </c>
      <c r="GU55" s="3592">
        <f>33095.02/1.06-33095.02/1.06*12/365*17</f>
        <v>13771.771051951408</v>
      </c>
      <c r="GV55" s="3560"/>
      <c r="GW55" s="3547">
        <f t="shared" si="76"/>
        <v>-31221.712617924499</v>
      </c>
      <c r="GX55" s="3568">
        <v>165949.76154761901</v>
      </c>
      <c r="GY55" s="3592">
        <f>174247.25/1.05-174247.25/1.05*12/365*17</f>
        <v>73199.757990867569</v>
      </c>
      <c r="GZ55" s="3562">
        <f>348494.5/2/1.05-348494.5/2/1.05*12/365*17</f>
        <v>73199.757990867569</v>
      </c>
      <c r="HA55" s="3547">
        <f t="shared" si="77"/>
        <v>-92750.003556751442</v>
      </c>
      <c r="HB55" s="3568">
        <v>31221.712617924499</v>
      </c>
      <c r="HC55" s="3569">
        <f>33095.02/1.06</f>
        <v>31221.716981132071</v>
      </c>
      <c r="HD55" s="3562">
        <f>99285.06/3/1.06+99285.06/3/1.06-99285.06/3/1.06*12/365*17</f>
        <v>44993.488033083479</v>
      </c>
      <c r="HE55" s="3547">
        <f t="shared" si="78"/>
        <v>13771.77541515898</v>
      </c>
      <c r="HF55" s="3568">
        <v>165949.76154761901</v>
      </c>
      <c r="HG55" s="3569">
        <f>174247.25/1.05</f>
        <v>165949.76190476189</v>
      </c>
      <c r="HH55" s="3562">
        <f>348494.5/2/1.05</f>
        <v>165949.76190476189</v>
      </c>
      <c r="HI55" s="3547">
        <f t="shared" si="79"/>
        <v>3.5714288242161274E-4</v>
      </c>
      <c r="HJ55" s="3568">
        <v>31221.712617924499</v>
      </c>
      <c r="HK55" s="3569">
        <f>33095.02/1.06</f>
        <v>31221.716981132071</v>
      </c>
      <c r="HL55" s="3562">
        <f>99285.06/3/1.06</f>
        <v>31221.716981132071</v>
      </c>
      <c r="HM55" s="3547">
        <f t="shared" si="80"/>
        <v>4.3632075721689034E-3</v>
      </c>
      <c r="HN55" s="3568">
        <v>165949.76154761901</v>
      </c>
      <c r="HO55" s="3569">
        <f>174247.25/1.05</f>
        <v>165949.76190476189</v>
      </c>
      <c r="HP55" s="3562">
        <f>348494.5/2/1.05*12/365*17+522741.75/3/1.05-522741.75/3/1.05*12/365*17</f>
        <v>165949.76190476189</v>
      </c>
      <c r="HQ55" s="3547">
        <f t="shared" si="81"/>
        <v>3.5714288242161274E-4</v>
      </c>
      <c r="HR55" s="3568">
        <v>31221.712617924499</v>
      </c>
      <c r="HS55" s="3569">
        <f>33095.02/1.06</f>
        <v>31221.716981132071</v>
      </c>
      <c r="HT55" s="3562">
        <f>99285.06/3/1.06*12/365*17+99285.06/3/1.06-99285.06/3/1.06*12/365*17</f>
        <v>31221.716981132071</v>
      </c>
      <c r="HU55" s="3547">
        <f t="shared" si="82"/>
        <v>4.3632075721689034E-3</v>
      </c>
      <c r="HV55" s="3568">
        <v>165949.76154761901</v>
      </c>
      <c r="HW55" s="3569">
        <f>174247.25/1.05</f>
        <v>165949.76190476189</v>
      </c>
      <c r="HX55" s="3562">
        <f>522741.75/3/1.05</f>
        <v>165949.76190476189</v>
      </c>
      <c r="HY55" s="3547">
        <f t="shared" si="83"/>
        <v>3.5714288242161274E-4</v>
      </c>
      <c r="HZ55" s="3568">
        <v>31221.712617924499</v>
      </c>
      <c r="IA55" s="3569">
        <f>33095.02/1.06</f>
        <v>31221.716981132071</v>
      </c>
      <c r="IB55" s="3562">
        <f>99285.06/3/1.06</f>
        <v>31221.716981132071</v>
      </c>
      <c r="IC55" s="3547">
        <f t="shared" si="84"/>
        <v>4.3632075721689034E-3</v>
      </c>
      <c r="ID55" s="3568">
        <v>165949.76154761901</v>
      </c>
      <c r="IE55" s="3569">
        <f>174247.25/1.05</f>
        <v>165949.76190476189</v>
      </c>
      <c r="IF55" s="3562">
        <f>522741.75/3/1.05</f>
        <v>165949.76190476189</v>
      </c>
      <c r="IG55" s="3547">
        <f t="shared" si="85"/>
        <v>3.5714288242161274E-4</v>
      </c>
      <c r="IH55" s="3568">
        <v>31221.712617924499</v>
      </c>
      <c r="II55" s="3569">
        <f>33095.02/1.06</f>
        <v>31221.716981132071</v>
      </c>
      <c r="IJ55" s="3562">
        <f>99285.06/3/1.06</f>
        <v>31221.716981132071</v>
      </c>
      <c r="IK55" s="3547">
        <f t="shared" si="86"/>
        <v>4.3632075721689034E-3</v>
      </c>
      <c r="IL55" s="3547" t="s">
        <v>4277</v>
      </c>
      <c r="IM55" s="3569">
        <f>174247.25/1.05*3+174247.25/1.05*12/365*17</f>
        <v>590599.28962817998</v>
      </c>
      <c r="IN55" s="3569">
        <f>33095.02/1.06*3+33095.02/1.06*12/365*17</f>
        <v>111115.09687257686</v>
      </c>
      <c r="IO55" s="3547" t="s">
        <v>4278</v>
      </c>
      <c r="IP55" s="3560">
        <f t="shared" si="87"/>
        <v>92750.003913894325</v>
      </c>
      <c r="IQ55" s="3562">
        <f>522741.75/3/1.05*12/365*17</f>
        <v>92750.003913894325</v>
      </c>
      <c r="IR55" s="3568"/>
      <c r="IS55" s="3568"/>
      <c r="IT55" s="3568"/>
      <c r="IU55" s="3568"/>
      <c r="IV55" s="3568"/>
      <c r="IW55" s="3568"/>
      <c r="IX55" s="3568"/>
      <c r="IY55" s="3568"/>
      <c r="IZ55" s="3560"/>
      <c r="JA55" s="3560"/>
      <c r="JB55" s="3560"/>
      <c r="JC55" s="3560">
        <f t="shared" si="11"/>
        <v>17449.945929180663</v>
      </c>
      <c r="JD55" s="3562">
        <f>99285.06/3/1.06*12/365*17</f>
        <v>17449.945929180663</v>
      </c>
      <c r="JE55" s="3568"/>
      <c r="JF55" s="3568"/>
      <c r="JG55" s="3568"/>
      <c r="JH55" s="3568"/>
      <c r="JI55" s="3568"/>
      <c r="JJ55" s="3568"/>
      <c r="JK55" s="3568"/>
      <c r="JL55" s="3568"/>
      <c r="JM55" s="3568"/>
      <c r="JN55" s="3560"/>
      <c r="JO55" s="3560"/>
      <c r="JP55" s="3547" t="s">
        <v>4094</v>
      </c>
      <c r="JQ55" s="3583">
        <f>(388595.24/1.05-174247.25/1.05*2)+174247.25/1.05*2</f>
        <v>370090.70476190472</v>
      </c>
      <c r="JR55" s="3583">
        <f>33095.02/1.06*3</f>
        <v>93665.150943396206</v>
      </c>
      <c r="JS55" s="3573">
        <f t="shared" si="28"/>
        <v>2.8701890259981155E-3</v>
      </c>
      <c r="JT55" s="3573">
        <f t="shared" si="35"/>
        <v>0</v>
      </c>
      <c r="JU55" s="3574">
        <f t="shared" si="29"/>
        <v>0</v>
      </c>
      <c r="JV55" s="3574">
        <f t="shared" si="30"/>
        <v>0</v>
      </c>
      <c r="JW55" s="3575"/>
      <c r="JX55" s="3576">
        <f t="shared" si="31"/>
        <v>590599.28962817998</v>
      </c>
      <c r="JY55" s="3576">
        <f t="shared" si="32"/>
        <v>111115.09687257686</v>
      </c>
      <c r="JZ55" s="3577"/>
      <c r="KA55" s="3573">
        <f t="shared" si="131"/>
        <v>4.7203504545905162E-3</v>
      </c>
      <c r="KB55" s="3573"/>
      <c r="KC55" s="3573"/>
      <c r="KD55" s="3573">
        <f t="shared" si="33"/>
        <v>4.7203504545905162E-3</v>
      </c>
      <c r="KE55" s="3662"/>
      <c r="KF55" s="3579">
        <f>38191.19/10000</f>
        <v>3.8191190000000002</v>
      </c>
      <c r="KG55" s="3579"/>
      <c r="KH55" s="3579"/>
      <c r="KI55" s="3579"/>
      <c r="KJ55" s="3579"/>
      <c r="KK55" s="3579"/>
      <c r="KL55" s="3579">
        <f>-197171.47/10000+13771.78/10000</f>
        <v>-18.339969</v>
      </c>
      <c r="KM55" s="3579"/>
      <c r="KN55" s="3579">
        <f>-92750/10000</f>
        <v>-9.2750000000000004</v>
      </c>
      <c r="KO55" s="3579"/>
      <c r="KP55" s="3579">
        <f>165949.76/10000</f>
        <v>16.594976000000003</v>
      </c>
      <c r="KQ55" s="3579">
        <f t="shared" si="34"/>
        <v>-7.2008739999999989</v>
      </c>
      <c r="KR55" s="3579">
        <f t="shared" si="88"/>
        <v>1.3235317073423403E-6</v>
      </c>
      <c r="KS55" s="3675"/>
      <c r="KT55" s="3675"/>
      <c r="KU55" s="3675"/>
      <c r="KV55" s="3675"/>
      <c r="KW55" s="3675"/>
      <c r="KX55" s="3675"/>
      <c r="KY55" s="3675"/>
      <c r="KZ55" s="3675"/>
      <c r="LA55" s="3675"/>
      <c r="LB55" s="3675"/>
      <c r="LC55" s="3675"/>
      <c r="LD55" s="3675"/>
      <c r="LE55" s="3675"/>
      <c r="LF55" s="3675"/>
      <c r="LG55" s="3675"/>
      <c r="LH55" s="3676"/>
      <c r="LJ55" s="3575"/>
      <c r="LK55" s="3571"/>
      <c r="LL55" s="3576"/>
    </row>
    <row r="56" spans="1:325" s="3580" customFormat="1" ht="18" customHeight="1">
      <c r="A56" s="3545">
        <v>53</v>
      </c>
      <c r="B56" s="3546" t="s">
        <v>4279</v>
      </c>
      <c r="C56" s="3546" t="s">
        <v>4280</v>
      </c>
      <c r="D56" s="3547">
        <f>568.59</f>
        <v>568.59</v>
      </c>
      <c r="E56" s="3548" t="s">
        <v>3799</v>
      </c>
      <c r="F56" s="3546" t="s">
        <v>3790</v>
      </c>
      <c r="G56" s="3666" t="s">
        <v>3921</v>
      </c>
      <c r="H56" s="3546" t="s">
        <v>4281</v>
      </c>
      <c r="I56" s="3594" t="s">
        <v>4282</v>
      </c>
      <c r="J56" s="3629" t="s">
        <v>4283</v>
      </c>
      <c r="K56" s="3545" t="s">
        <v>4284</v>
      </c>
      <c r="L56" s="3555"/>
      <c r="M56" s="3551">
        <v>485999.94</v>
      </c>
      <c r="N56" s="3551">
        <v>485999.94</v>
      </c>
      <c r="O56" s="3551">
        <f t="shared" si="13"/>
        <v>0</v>
      </c>
      <c r="P56" s="3547">
        <v>82829.55</v>
      </c>
      <c r="Q56" s="3547">
        <v>82829.55</v>
      </c>
      <c r="R56" s="3547">
        <f t="shared" si="132"/>
        <v>0</v>
      </c>
      <c r="S56" s="3547">
        <f t="shared" si="125"/>
        <v>9.367077753259867</v>
      </c>
      <c r="T56" s="3552">
        <v>161999.98000000001</v>
      </c>
      <c r="U56" s="3553">
        <f t="shared" si="15"/>
        <v>1943999.7600000002</v>
      </c>
      <c r="V56" s="3547">
        <f>T56*12*2-T56*2</f>
        <v>3563999.5600000005</v>
      </c>
      <c r="W56" s="3547">
        <f t="shared" si="126"/>
        <v>1.5964422446585604</v>
      </c>
      <c r="X56" s="3663">
        <v>27609.85</v>
      </c>
      <c r="Y56" s="3547">
        <f t="shared" si="17"/>
        <v>331318.19999999995</v>
      </c>
      <c r="Z56" s="3554"/>
      <c r="AA56" s="3555"/>
      <c r="AB56" s="3663" t="s">
        <v>3804</v>
      </c>
      <c r="AC56" s="3556">
        <f t="shared" si="18"/>
        <v>1781999.7800000003</v>
      </c>
      <c r="AD56" s="3556">
        <f t="shared" si="121"/>
        <v>1295999.8400000003</v>
      </c>
      <c r="AE56" s="3556">
        <f t="shared" si="121"/>
        <v>1295999.8400000001</v>
      </c>
      <c r="AF56" s="3556">
        <f t="shared" si="20"/>
        <v>0</v>
      </c>
      <c r="AG56" s="3556"/>
      <c r="AH56" s="3557">
        <f t="shared" si="21"/>
        <v>331318.19999999995</v>
      </c>
      <c r="AI56" s="3558">
        <f t="shared" si="122"/>
        <v>248488.64999999997</v>
      </c>
      <c r="AJ56" s="3558">
        <f t="shared" si="122"/>
        <v>248488.65000000002</v>
      </c>
      <c r="AK56" s="3557">
        <f t="shared" si="43"/>
        <v>0</v>
      </c>
      <c r="AL56" s="3557"/>
      <c r="AM56" s="3547"/>
      <c r="AN56" s="3609"/>
      <c r="AO56" s="3562"/>
      <c r="AP56" s="3561">
        <f t="shared" si="113"/>
        <v>0</v>
      </c>
      <c r="AQ56" s="3559"/>
      <c r="AR56" s="3562"/>
      <c r="AS56" s="3561">
        <f t="shared" si="127"/>
        <v>0</v>
      </c>
      <c r="AT56" s="3563" t="s">
        <v>4285</v>
      </c>
      <c r="AU56" s="3547"/>
      <c r="AV56" s="3609"/>
      <c r="AW56" s="3562"/>
      <c r="AX56" s="3561">
        <f t="shared" si="114"/>
        <v>0</v>
      </c>
      <c r="AY56" s="3559"/>
      <c r="AZ56" s="3562"/>
      <c r="BA56" s="3561">
        <f t="shared" si="128"/>
        <v>0</v>
      </c>
      <c r="BB56" s="3563" t="s">
        <v>4285</v>
      </c>
      <c r="BC56" s="3547" t="s">
        <v>4286</v>
      </c>
      <c r="BD56" s="3601">
        <f>2*161999.98</f>
        <v>323999.96000000002</v>
      </c>
      <c r="BE56" s="3562">
        <f>90000+90000+90000+53999.96</f>
        <v>323999.96000000002</v>
      </c>
      <c r="BF56" s="3561">
        <f t="shared" si="115"/>
        <v>0</v>
      </c>
      <c r="BG56" s="3559">
        <f>3*27609.85</f>
        <v>82829.549999999988</v>
      </c>
      <c r="BH56" s="3562">
        <v>82829.55</v>
      </c>
      <c r="BI56" s="3561">
        <f t="shared" si="116"/>
        <v>0</v>
      </c>
      <c r="BJ56" s="3563" t="s">
        <v>4287</v>
      </c>
      <c r="BK56" s="3547"/>
      <c r="BL56" s="3609"/>
      <c r="BM56" s="3562"/>
      <c r="BN56" s="3561">
        <f t="shared" si="48"/>
        <v>0</v>
      </c>
      <c r="BO56" s="3559"/>
      <c r="BP56" s="3562"/>
      <c r="BQ56" s="3561">
        <f t="shared" si="49"/>
        <v>0</v>
      </c>
      <c r="BR56" s="3563" t="s">
        <v>4287</v>
      </c>
      <c r="BS56" s="3547"/>
      <c r="BT56" s="3559"/>
      <c r="BU56" s="3562"/>
      <c r="BV56" s="3561">
        <f t="shared" si="50"/>
        <v>0</v>
      </c>
      <c r="BW56" s="3559"/>
      <c r="BX56" s="3562"/>
      <c r="BY56" s="3561">
        <f t="shared" si="51"/>
        <v>0</v>
      </c>
      <c r="BZ56" s="3563" t="s">
        <v>4287</v>
      </c>
      <c r="CA56" s="3547" t="s">
        <v>4288</v>
      </c>
      <c r="CB56" s="3609">
        <f>3*161999.98</f>
        <v>485999.94000000006</v>
      </c>
      <c r="CC56" s="3603">
        <v>485999.94</v>
      </c>
      <c r="CD56" s="3561">
        <f t="shared" si="52"/>
        <v>0</v>
      </c>
      <c r="CE56" s="3559">
        <f>3*27609.85</f>
        <v>82829.549999999988</v>
      </c>
      <c r="CF56" s="3562">
        <v>82829.55</v>
      </c>
      <c r="CG56" s="3561">
        <f t="shared" si="53"/>
        <v>0</v>
      </c>
      <c r="CH56" s="3563" t="s">
        <v>4289</v>
      </c>
      <c r="CI56" s="3547"/>
      <c r="CJ56" s="3609"/>
      <c r="CK56" s="3562"/>
      <c r="CL56" s="3561">
        <f t="shared" si="5"/>
        <v>0</v>
      </c>
      <c r="CM56" s="3559"/>
      <c r="CN56" s="3562"/>
      <c r="CO56" s="3561">
        <f t="shared" si="54"/>
        <v>0</v>
      </c>
      <c r="CP56" s="3563" t="s">
        <v>4289</v>
      </c>
      <c r="CQ56" s="3547"/>
      <c r="CR56" s="3609"/>
      <c r="CS56" s="3603"/>
      <c r="CT56" s="3561">
        <f t="shared" si="55"/>
        <v>0</v>
      </c>
      <c r="CU56" s="3559"/>
      <c r="CV56" s="3603"/>
      <c r="CW56" s="3561">
        <f t="shared" si="56"/>
        <v>0</v>
      </c>
      <c r="CX56" s="3563" t="s">
        <v>4289</v>
      </c>
      <c r="CY56" s="3547" t="s">
        <v>4290</v>
      </c>
      <c r="CZ56" s="3609">
        <f>3*161999.98</f>
        <v>485999.94000000006</v>
      </c>
      <c r="DA56" s="3603">
        <v>485999.94</v>
      </c>
      <c r="DB56" s="3561">
        <f t="shared" si="57"/>
        <v>0</v>
      </c>
      <c r="DC56" s="3559">
        <f>3*27609.85</f>
        <v>82829.549999999988</v>
      </c>
      <c r="DD56" s="3603">
        <v>82829.55</v>
      </c>
      <c r="DE56" s="3561">
        <f t="shared" si="58"/>
        <v>0</v>
      </c>
      <c r="DF56" s="3630" t="s">
        <v>4291</v>
      </c>
      <c r="DG56" s="3547"/>
      <c r="DH56" s="3609"/>
      <c r="DI56" s="3562"/>
      <c r="DJ56" s="3561">
        <f t="shared" si="59"/>
        <v>0</v>
      </c>
      <c r="DK56" s="3559"/>
      <c r="DL56" s="3562"/>
      <c r="DM56" s="3561">
        <f t="shared" si="60"/>
        <v>0</v>
      </c>
      <c r="DN56" s="3563"/>
      <c r="DO56" s="3547"/>
      <c r="DP56" s="3609"/>
      <c r="DQ56" s="3562"/>
      <c r="DR56" s="3561">
        <f t="shared" si="61"/>
        <v>0</v>
      </c>
      <c r="DS56" s="3559"/>
      <c r="DT56" s="3562"/>
      <c r="DU56" s="3561">
        <f t="shared" si="62"/>
        <v>0</v>
      </c>
      <c r="DV56" s="3563"/>
      <c r="DW56" s="3547" t="s">
        <v>4292</v>
      </c>
      <c r="DX56" s="3609">
        <f>3*161999.98</f>
        <v>485999.94000000006</v>
      </c>
      <c r="DY56" s="3562"/>
      <c r="DZ56" s="3561">
        <f t="shared" si="63"/>
        <v>-485999.94000000006</v>
      </c>
      <c r="EA56" s="3559">
        <f>3*27609.85</f>
        <v>82829.549999999988</v>
      </c>
      <c r="EB56" s="3562"/>
      <c r="EC56" s="3561">
        <f t="shared" si="64"/>
        <v>-82829.549999999988</v>
      </c>
      <c r="ED56" s="3563"/>
      <c r="EE56" s="3564"/>
      <c r="EF56" s="3565">
        <f t="shared" si="37"/>
        <v>1700101.5513633371</v>
      </c>
      <c r="EG56" s="3565">
        <f t="shared" si="123"/>
        <v>1234285.5619047601</v>
      </c>
      <c r="EH56" s="3565">
        <f t="shared" si="123"/>
        <v>1234285.5619047619</v>
      </c>
      <c r="EI56" s="3565">
        <f t="shared" si="123"/>
        <v>1234285.5619047619</v>
      </c>
      <c r="EJ56" s="3565">
        <f t="shared" si="38"/>
        <v>1.862645149230957E-9</v>
      </c>
      <c r="EK56" s="3566">
        <f t="shared" si="39"/>
        <v>0</v>
      </c>
      <c r="EL56" s="3610"/>
      <c r="EM56" s="3567">
        <f t="shared" si="40"/>
        <v>312564.37547169847</v>
      </c>
      <c r="EN56" s="3557">
        <f t="shared" si="124"/>
        <v>234423.28160377382</v>
      </c>
      <c r="EO56" s="3557">
        <f t="shared" si="124"/>
        <v>234423.25471698106</v>
      </c>
      <c r="EP56" s="3557">
        <f t="shared" si="124"/>
        <v>234423.25471698114</v>
      </c>
      <c r="EQ56" s="3557">
        <f t="shared" si="41"/>
        <v>-2.6886792678851634E-2</v>
      </c>
      <c r="ER56" s="3557">
        <f t="shared" si="42"/>
        <v>0</v>
      </c>
      <c r="ES56" s="3557"/>
      <c r="ET56" s="3568">
        <v>154285.69523809501</v>
      </c>
      <c r="EU56" s="3569">
        <f>161999.98/1.05</f>
        <v>154285.69523809524</v>
      </c>
      <c r="EV56" s="3562">
        <f>323999.96/2/1.05*12/365*6+485999.94/3/1.05-485999.94/3/1.05*12/365*6</f>
        <v>154285.69523809524</v>
      </c>
      <c r="EW56" s="3547">
        <f t="shared" si="129"/>
        <v>2.3283064365386963E-10</v>
      </c>
      <c r="EX56" s="3568">
        <v>26047.031289308201</v>
      </c>
      <c r="EY56" s="3569">
        <f>27609.85/1.06</f>
        <v>26047.028301886789</v>
      </c>
      <c r="EZ56" s="3562">
        <f>82829.55/3/1.06*12/365*6+82829.55/3/1.06-82829.55/3/1.06*12/365*6</f>
        <v>26047.028301886792</v>
      </c>
      <c r="FA56" s="3547">
        <f t="shared" si="130"/>
        <v>-2.9874214087612927E-3</v>
      </c>
      <c r="FB56" s="3568">
        <v>154285.69523809501</v>
      </c>
      <c r="FC56" s="3569">
        <f>161999.98/1.05</f>
        <v>154285.69523809524</v>
      </c>
      <c r="FD56" s="3562">
        <f>485999.94/3/1.05</f>
        <v>154285.69523809524</v>
      </c>
      <c r="FE56" s="3547">
        <f t="shared" si="117"/>
        <v>2.3283064365386963E-10</v>
      </c>
      <c r="FF56" s="3568">
        <v>26047.031289308201</v>
      </c>
      <c r="FG56" s="3569">
        <f>27609.85/1.06</f>
        <v>26047.028301886789</v>
      </c>
      <c r="FH56" s="3562">
        <f>82829.55/3/1.06</f>
        <v>26047.028301886792</v>
      </c>
      <c r="FI56" s="3547">
        <f t="shared" si="118"/>
        <v>-2.9874214087612927E-3</v>
      </c>
      <c r="FJ56" s="3568">
        <v>154285.69523809501</v>
      </c>
      <c r="FK56" s="3559">
        <f>161999.98/1.05</f>
        <v>154285.69523809524</v>
      </c>
      <c r="FL56" s="3562">
        <f>485999.94/3/1.05</f>
        <v>154285.69523809524</v>
      </c>
      <c r="FM56" s="3547">
        <f t="shared" si="119"/>
        <v>2.3283064365386963E-10</v>
      </c>
      <c r="FN56" s="3568">
        <v>26047.031289308201</v>
      </c>
      <c r="FO56" s="3559">
        <f>27609.85/1.06</f>
        <v>26047.028301886789</v>
      </c>
      <c r="FP56" s="3562">
        <f>82829.55/3/1.06</f>
        <v>26047.028301886792</v>
      </c>
      <c r="FQ56" s="3547">
        <f t="shared" si="120"/>
        <v>-2.9874214087612927E-3</v>
      </c>
      <c r="FR56" s="3568">
        <v>154285.69523809501</v>
      </c>
      <c r="FS56" s="3559">
        <f>161999.98/1.05</f>
        <v>154285.69523809524</v>
      </c>
      <c r="FT56" s="3560">
        <f>485999.94/3/1.05*12/365*6+323999.96/2/1.05-161999.98*12/365*6/1.05</f>
        <v>154285.69523809524</v>
      </c>
      <c r="FU56" s="3547">
        <f t="shared" si="69"/>
        <v>2.3283064365386963E-10</v>
      </c>
      <c r="FV56" s="3568">
        <v>26047.031289308201</v>
      </c>
      <c r="FW56" s="3559">
        <f>27609.85/1.06</f>
        <v>26047.028301886789</v>
      </c>
      <c r="FX56" s="3560">
        <f>82829.55/3/1.06*12/365*6+82829.55/3/1.06-82829.55/3/1.06*12/365*6</f>
        <v>26047.028301886792</v>
      </c>
      <c r="FY56" s="3547">
        <f t="shared" si="70"/>
        <v>-2.9874214087612927E-3</v>
      </c>
      <c r="FZ56" s="3568"/>
      <c r="GA56" s="3592"/>
      <c r="GB56" s="3592"/>
      <c r="GC56" s="3547">
        <f t="shared" si="71"/>
        <v>0</v>
      </c>
      <c r="GD56" s="3568">
        <v>26047.031289308201</v>
      </c>
      <c r="GE56" s="3569">
        <f>27609.85/1.06</f>
        <v>26047.028301886789</v>
      </c>
      <c r="GF56" s="3560">
        <f>82829.55/3/1.06</f>
        <v>26047.028301886792</v>
      </c>
      <c r="GG56" s="3547">
        <f t="shared" si="72"/>
        <v>-2.9874214087612927E-3</v>
      </c>
      <c r="GH56" s="3568">
        <v>154285.69523809501</v>
      </c>
      <c r="GI56" s="3569">
        <f>161999.98/1.05</f>
        <v>154285.69523809524</v>
      </c>
      <c r="GJ56" s="3560">
        <f>161999.98/1.05</f>
        <v>154285.69523809524</v>
      </c>
      <c r="GK56" s="3547">
        <f t="shared" si="73"/>
        <v>2.3283064365386963E-10</v>
      </c>
      <c r="GL56" s="3568">
        <v>26047.031289308201</v>
      </c>
      <c r="GM56" s="3569">
        <f>27609.85/1.06</f>
        <v>26047.028301886789</v>
      </c>
      <c r="GN56" s="3560">
        <f>82829.55/3/1.06</f>
        <v>26047.028301886792</v>
      </c>
      <c r="GO56" s="3547">
        <f t="shared" si="74"/>
        <v>-2.9874214087612927E-3</v>
      </c>
      <c r="GP56" s="3568">
        <v>154285.69523809501</v>
      </c>
      <c r="GQ56" s="3569">
        <f>161999.98/1.05</f>
        <v>154285.69523809524</v>
      </c>
      <c r="GR56" s="3562">
        <f>161999.98*12/365*6/1.05+485999.94/3/1.05-485999.94/3/1.05*12/365*6</f>
        <v>154285.69523809524</v>
      </c>
      <c r="GS56" s="3547">
        <f t="shared" si="75"/>
        <v>2.3283064365386963E-10</v>
      </c>
      <c r="GT56" s="3568">
        <v>26047.031289308201</v>
      </c>
      <c r="GU56" s="3569">
        <f>27609.85/1.06</f>
        <v>26047.028301886789</v>
      </c>
      <c r="GV56" s="3560">
        <f>82829.55/3/1.06*12/365*6+82829.55/3/1.06-82829.55/3/1.06*12/365*6</f>
        <v>26047.028301886792</v>
      </c>
      <c r="GW56" s="3547">
        <f t="shared" si="76"/>
        <v>-2.9874214087612927E-3</v>
      </c>
      <c r="GX56" s="3568">
        <v>154285.69523809501</v>
      </c>
      <c r="GY56" s="3569">
        <f>161999.98/1.05</f>
        <v>154285.69523809524</v>
      </c>
      <c r="GZ56" s="3562">
        <f>485999.94/3/1.05</f>
        <v>154285.69523809524</v>
      </c>
      <c r="HA56" s="3547">
        <f t="shared" si="77"/>
        <v>2.3283064365386963E-10</v>
      </c>
      <c r="HB56" s="3568">
        <v>26047.031289308201</v>
      </c>
      <c r="HC56" s="3569">
        <f>27609.85/1.06</f>
        <v>26047.028301886789</v>
      </c>
      <c r="HD56" s="3562">
        <f>82829.55/3/1.06</f>
        <v>26047.028301886792</v>
      </c>
      <c r="HE56" s="3547">
        <f t="shared" si="78"/>
        <v>-2.9874214087612927E-3</v>
      </c>
      <c r="HF56" s="3568">
        <v>154285.69523809501</v>
      </c>
      <c r="HG56" s="3569">
        <f>161999.98/1.05</f>
        <v>154285.69523809524</v>
      </c>
      <c r="HH56" s="3562">
        <f>485999.94/3/1.05</f>
        <v>154285.69523809524</v>
      </c>
      <c r="HI56" s="3547">
        <f t="shared" si="79"/>
        <v>2.3283064365386963E-10</v>
      </c>
      <c r="HJ56" s="3568">
        <v>26047.031289308201</v>
      </c>
      <c r="HK56" s="3569">
        <f>27609.85/1.06</f>
        <v>26047.028301886789</v>
      </c>
      <c r="HL56" s="3562">
        <f>82829.55/3/1.06</f>
        <v>26047.028301886792</v>
      </c>
      <c r="HM56" s="3547">
        <f t="shared" si="80"/>
        <v>-2.9874214087612927E-3</v>
      </c>
      <c r="HN56" s="3568">
        <v>157244.59898238699</v>
      </c>
      <c r="HO56" s="3569">
        <f>161999.98/1.05</f>
        <v>154285.69523809524</v>
      </c>
      <c r="HP56" s="3562">
        <f>485999.94/3/1.05*12/365*6+485999.94/3/1.05-485999.94/3/1.05*12/365*6</f>
        <v>154285.69523809524</v>
      </c>
      <c r="HQ56" s="3547">
        <f t="shared" si="81"/>
        <v>-2958.903744291747</v>
      </c>
      <c r="HR56" s="3568">
        <v>26047.031289308201</v>
      </c>
      <c r="HS56" s="3569">
        <f>27609.85/1.06</f>
        <v>26047.028301886789</v>
      </c>
      <c r="HT56" s="3562">
        <f>82829.55/3/1.06*12/365*6+82829.55/3/1.06-82829.55/3/1.06*12/365*6</f>
        <v>26047.028301886792</v>
      </c>
      <c r="HU56" s="3547">
        <f t="shared" si="82"/>
        <v>-2.9874214087612927E-3</v>
      </c>
      <c r="HV56" s="3568">
        <v>154285.69523809501</v>
      </c>
      <c r="HW56" s="3569">
        <f>161999.98/1.05</f>
        <v>154285.69523809524</v>
      </c>
      <c r="HX56" s="3603">
        <f>485999.94/3/1.05</f>
        <v>154285.69523809524</v>
      </c>
      <c r="HY56" s="3547">
        <f t="shared" si="83"/>
        <v>2.3283064365386963E-10</v>
      </c>
      <c r="HZ56" s="3568">
        <v>26047.031289308201</v>
      </c>
      <c r="IA56" s="3569">
        <f>27609.85/1.06</f>
        <v>26047.028301886789</v>
      </c>
      <c r="IB56" s="3562">
        <f>82829.55/3/1.06</f>
        <v>26047.028301886792</v>
      </c>
      <c r="IC56" s="3547">
        <f t="shared" si="84"/>
        <v>-2.9874214087612927E-3</v>
      </c>
      <c r="ID56" s="3568">
        <v>154285.69523809501</v>
      </c>
      <c r="IE56" s="3569">
        <f>161999.98/1.05</f>
        <v>154285.69523809524</v>
      </c>
      <c r="IF56" s="3603">
        <f>485999.94/3/1.05</f>
        <v>154285.69523809524</v>
      </c>
      <c r="IG56" s="3547">
        <f t="shared" si="85"/>
        <v>2.3283064365386963E-10</v>
      </c>
      <c r="IH56" s="3568">
        <v>26047.031289308201</v>
      </c>
      <c r="II56" s="3569">
        <f>27609.85/1.06</f>
        <v>26047.028301886789</v>
      </c>
      <c r="IJ56" s="3562">
        <f>82829.55/3/1.06</f>
        <v>26047.028301886792</v>
      </c>
      <c r="IK56" s="3547">
        <f t="shared" si="86"/>
        <v>-2.9874214087612927E-3</v>
      </c>
      <c r="IL56" s="3547" t="s">
        <v>4293</v>
      </c>
      <c r="IM56" s="3569">
        <f>161999.98/1.05*3+161999.98/1.05*12/365*6</f>
        <v>493291.5242270059</v>
      </c>
      <c r="IN56" s="3569">
        <f>27609.85/1.06*3+27609.85/1.06*12/365*6</f>
        <v>83279.128844662686</v>
      </c>
      <c r="IO56" s="3547" t="s">
        <v>4294</v>
      </c>
      <c r="IP56" s="3560">
        <f t="shared" si="87"/>
        <v>30434.438512720153</v>
      </c>
      <c r="IQ56" s="3603">
        <f>485999.94/3/1.05*12/365*6</f>
        <v>30434.438512720153</v>
      </c>
      <c r="IR56" s="3568"/>
      <c r="IS56" s="3568"/>
      <c r="IT56" s="3568"/>
      <c r="IU56" s="3568"/>
      <c r="IV56" s="3568"/>
      <c r="IW56" s="3568"/>
      <c r="IX56" s="3568"/>
      <c r="IY56" s="3568"/>
      <c r="IZ56" s="3560"/>
      <c r="JA56" s="3560"/>
      <c r="JB56" s="3560"/>
      <c r="JC56" s="3560">
        <f t="shared" si="11"/>
        <v>5138.0439390023257</v>
      </c>
      <c r="JD56" s="3562">
        <f>82829.55/3/1.06*12/365*6</f>
        <v>5138.0439390023257</v>
      </c>
      <c r="JE56" s="3568"/>
      <c r="JF56" s="3568"/>
      <c r="JG56" s="3568"/>
      <c r="JH56" s="3568"/>
      <c r="JI56" s="3568"/>
      <c r="JJ56" s="3568"/>
      <c r="JK56" s="3568"/>
      <c r="JL56" s="3568"/>
      <c r="JM56" s="3568"/>
      <c r="JN56" s="3560"/>
      <c r="JO56" s="3560"/>
      <c r="JP56" s="3547" t="s">
        <v>4295</v>
      </c>
      <c r="JQ56" s="3583">
        <f>161999.98/1.05*3+161999.98/1.05*12/365*6</f>
        <v>493291.5242270059</v>
      </c>
      <c r="JR56" s="3583">
        <f>27609.85/1.06*3+27609.85/1.06*12/365*6</f>
        <v>83279.128844662686</v>
      </c>
      <c r="JS56" s="3573">
        <f t="shared" si="28"/>
        <v>0</v>
      </c>
      <c r="JT56" s="3573">
        <f t="shared" si="35"/>
        <v>0</v>
      </c>
      <c r="JU56" s="3574">
        <f t="shared" si="29"/>
        <v>0</v>
      </c>
      <c r="JV56" s="3574">
        <f t="shared" si="30"/>
        <v>0</v>
      </c>
      <c r="JW56" s="3575"/>
      <c r="JX56" s="3576">
        <f t="shared" si="31"/>
        <v>493291.5242270059</v>
      </c>
      <c r="JY56" s="3576">
        <f t="shared" si="32"/>
        <v>83279.1288446627</v>
      </c>
      <c r="JZ56" s="3577"/>
      <c r="KA56" s="3573">
        <f t="shared" si="131"/>
        <v>-2.987421175930649E-3</v>
      </c>
      <c r="KB56" s="3573"/>
      <c r="KC56" s="3573"/>
      <c r="KD56" s="3573">
        <f t="shared" si="33"/>
        <v>-2.987421175930649E-3</v>
      </c>
      <c r="KE56" s="3664"/>
      <c r="KF56" s="3579"/>
      <c r="KG56" s="3579"/>
      <c r="KH56" s="3579"/>
      <c r="KI56" s="3579"/>
      <c r="KJ56" s="3579"/>
      <c r="KK56" s="3579"/>
      <c r="KL56" s="3579"/>
      <c r="KM56" s="3579"/>
      <c r="KN56" s="3579"/>
      <c r="KO56" s="3579"/>
      <c r="KP56" s="3579"/>
      <c r="KQ56" s="3579">
        <f t="shared" si="34"/>
        <v>0</v>
      </c>
      <c r="KR56" s="3632">
        <f t="shared" si="88"/>
        <v>-2.6886790816206486E-6</v>
      </c>
      <c r="KS56" s="3577"/>
      <c r="KT56" s="3577"/>
      <c r="KU56" s="3577"/>
      <c r="KV56" s="3577"/>
      <c r="KW56" s="3577"/>
      <c r="KX56" s="3577"/>
      <c r="KY56" s="3577"/>
      <c r="KZ56" s="3577"/>
      <c r="LA56" s="3577"/>
      <c r="LB56" s="3577"/>
      <c r="LC56" s="3577"/>
      <c r="LD56" s="3577"/>
      <c r="LE56" s="3577"/>
      <c r="LF56" s="3577"/>
      <c r="LG56" s="3577"/>
      <c r="LH56" s="3577"/>
      <c r="LJ56" s="3575"/>
      <c r="LK56" s="3571"/>
      <c r="LL56" s="3576"/>
    </row>
    <row r="57" spans="1:325" s="3580" customFormat="1" ht="18" customHeight="1">
      <c r="A57" s="3545">
        <v>54</v>
      </c>
      <c r="B57" s="3546" t="s">
        <v>4279</v>
      </c>
      <c r="C57" s="3546" t="s">
        <v>4296</v>
      </c>
      <c r="D57" s="3547">
        <f>1093.64-568.59</f>
        <v>525.05000000000007</v>
      </c>
      <c r="E57" s="3548" t="s">
        <v>3799</v>
      </c>
      <c r="F57" s="3546" t="s">
        <v>3790</v>
      </c>
      <c r="G57" s="3666" t="s">
        <v>3921</v>
      </c>
      <c r="H57" s="3546" t="s">
        <v>4281</v>
      </c>
      <c r="I57" s="3594" t="s">
        <v>4282</v>
      </c>
      <c r="J57" s="3594" t="s">
        <v>4283</v>
      </c>
      <c r="K57" s="3545" t="s">
        <v>4284</v>
      </c>
      <c r="L57" s="3555"/>
      <c r="M57" s="3551"/>
      <c r="N57" s="3551"/>
      <c r="O57" s="3551">
        <f t="shared" si="13"/>
        <v>0</v>
      </c>
      <c r="P57" s="3547"/>
      <c r="Q57" s="3547"/>
      <c r="R57" s="3547">
        <f t="shared" si="132"/>
        <v>0</v>
      </c>
      <c r="S57" s="3547">
        <f t="shared" si="125"/>
        <v>0</v>
      </c>
      <c r="T57" s="3552">
        <v>0</v>
      </c>
      <c r="U57" s="3553">
        <f t="shared" si="15"/>
        <v>0</v>
      </c>
      <c r="V57" s="3547"/>
      <c r="W57" s="3547">
        <f t="shared" si="126"/>
        <v>0</v>
      </c>
      <c r="X57" s="3663">
        <v>0</v>
      </c>
      <c r="Y57" s="3547">
        <f t="shared" si="17"/>
        <v>0</v>
      </c>
      <c r="Z57" s="3554"/>
      <c r="AA57" s="3555"/>
      <c r="AB57" s="3663"/>
      <c r="AC57" s="3556">
        <f t="shared" si="18"/>
        <v>0</v>
      </c>
      <c r="AD57" s="3556">
        <f t="shared" si="121"/>
        <v>0</v>
      </c>
      <c r="AE57" s="3556">
        <f t="shared" si="121"/>
        <v>0</v>
      </c>
      <c r="AF57" s="3556">
        <f t="shared" si="20"/>
        <v>0</v>
      </c>
      <c r="AG57" s="3556"/>
      <c r="AH57" s="3557">
        <f t="shared" si="21"/>
        <v>0</v>
      </c>
      <c r="AI57" s="3558">
        <f t="shared" si="122"/>
        <v>0</v>
      </c>
      <c r="AJ57" s="3558">
        <f t="shared" si="122"/>
        <v>0</v>
      </c>
      <c r="AK57" s="3557">
        <f t="shared" si="43"/>
        <v>0</v>
      </c>
      <c r="AL57" s="3557"/>
      <c r="AM57" s="3547"/>
      <c r="AN57" s="3609"/>
      <c r="AO57" s="3562"/>
      <c r="AP57" s="3561">
        <f t="shared" si="113"/>
        <v>0</v>
      </c>
      <c r="AQ57" s="3559"/>
      <c r="AR57" s="3562"/>
      <c r="AS57" s="3561">
        <f t="shared" si="127"/>
        <v>0</v>
      </c>
      <c r="AT57" s="3563"/>
      <c r="AU57" s="3547"/>
      <c r="AV57" s="3609"/>
      <c r="AW57" s="3562"/>
      <c r="AX57" s="3561">
        <f t="shared" si="114"/>
        <v>0</v>
      </c>
      <c r="AY57" s="3559"/>
      <c r="AZ57" s="3562"/>
      <c r="BA57" s="3561">
        <f t="shared" si="128"/>
        <v>0</v>
      </c>
      <c r="BB57" s="3563"/>
      <c r="BC57" s="3547"/>
      <c r="BD57" s="3609"/>
      <c r="BE57" s="3562"/>
      <c r="BF57" s="3561">
        <f t="shared" si="115"/>
        <v>0</v>
      </c>
      <c r="BG57" s="3559"/>
      <c r="BH57" s="3562"/>
      <c r="BI57" s="3561">
        <f t="shared" si="116"/>
        <v>0</v>
      </c>
      <c r="BJ57" s="3563"/>
      <c r="BK57" s="3547"/>
      <c r="BL57" s="3609"/>
      <c r="BM57" s="3562"/>
      <c r="BN57" s="3561">
        <f t="shared" si="48"/>
        <v>0</v>
      </c>
      <c r="BO57" s="3559"/>
      <c r="BP57" s="3562"/>
      <c r="BQ57" s="3561">
        <f t="shared" si="49"/>
        <v>0</v>
      </c>
      <c r="BR57" s="3563"/>
      <c r="BS57" s="3547"/>
      <c r="BT57" s="3559"/>
      <c r="BU57" s="3562"/>
      <c r="BV57" s="3561">
        <f t="shared" si="50"/>
        <v>0</v>
      </c>
      <c r="BW57" s="3559"/>
      <c r="BX57" s="3562"/>
      <c r="BY57" s="3561">
        <f t="shared" si="51"/>
        <v>0</v>
      </c>
      <c r="BZ57" s="3563"/>
      <c r="CA57" s="3547"/>
      <c r="CB57" s="3609"/>
      <c r="CC57" s="3562"/>
      <c r="CD57" s="3561">
        <f t="shared" si="52"/>
        <v>0</v>
      </c>
      <c r="CE57" s="3559"/>
      <c r="CF57" s="3562"/>
      <c r="CG57" s="3561">
        <f t="shared" si="53"/>
        <v>0</v>
      </c>
      <c r="CH57" s="3563"/>
      <c r="CI57" s="3547"/>
      <c r="CJ57" s="3609"/>
      <c r="CK57" s="3562"/>
      <c r="CL57" s="3561">
        <f t="shared" si="5"/>
        <v>0</v>
      </c>
      <c r="CM57" s="3559"/>
      <c r="CN57" s="3562"/>
      <c r="CO57" s="3561">
        <f t="shared" si="54"/>
        <v>0</v>
      </c>
      <c r="CP57" s="3563"/>
      <c r="CQ57" s="3547"/>
      <c r="CR57" s="3609"/>
      <c r="CS57" s="3603"/>
      <c r="CT57" s="3561">
        <f t="shared" si="55"/>
        <v>0</v>
      </c>
      <c r="CU57" s="3559"/>
      <c r="CV57" s="3603"/>
      <c r="CW57" s="3561">
        <f t="shared" si="56"/>
        <v>0</v>
      </c>
      <c r="CX57" s="3563"/>
      <c r="CY57" s="3597"/>
      <c r="CZ57" s="3609"/>
      <c r="DA57" s="3562"/>
      <c r="DB57" s="3561">
        <f t="shared" si="57"/>
        <v>0</v>
      </c>
      <c r="DC57" s="3559"/>
      <c r="DD57" s="3562"/>
      <c r="DE57" s="3561">
        <f t="shared" si="58"/>
        <v>0</v>
      </c>
      <c r="DF57" s="3563"/>
      <c r="DG57" s="3547"/>
      <c r="DH57" s="3609"/>
      <c r="DI57" s="3562"/>
      <c r="DJ57" s="3561">
        <f t="shared" si="59"/>
        <v>0</v>
      </c>
      <c r="DK57" s="3559"/>
      <c r="DL57" s="3562"/>
      <c r="DM57" s="3561">
        <f t="shared" si="60"/>
        <v>0</v>
      </c>
      <c r="DN57" s="3563"/>
      <c r="DO57" s="3547"/>
      <c r="DP57" s="3609"/>
      <c r="DQ57" s="3562"/>
      <c r="DR57" s="3561">
        <f t="shared" si="61"/>
        <v>0</v>
      </c>
      <c r="DS57" s="3559"/>
      <c r="DT57" s="3562"/>
      <c r="DU57" s="3561">
        <f t="shared" si="62"/>
        <v>0</v>
      </c>
      <c r="DV57" s="3563"/>
      <c r="DW57" s="3547"/>
      <c r="DX57" s="3609"/>
      <c r="DY57" s="3562"/>
      <c r="DZ57" s="3561">
        <f t="shared" si="63"/>
        <v>0</v>
      </c>
      <c r="EA57" s="3559"/>
      <c r="EB57" s="3562"/>
      <c r="EC57" s="3561">
        <f t="shared" si="64"/>
        <v>0</v>
      </c>
      <c r="ED57" s="3563"/>
      <c r="EE57" s="3564"/>
      <c r="EF57" s="3565">
        <f t="shared" si="37"/>
        <v>0</v>
      </c>
      <c r="EG57" s="3565">
        <f t="shared" si="123"/>
        <v>0</v>
      </c>
      <c r="EH57" s="3565">
        <f t="shared" si="123"/>
        <v>0</v>
      </c>
      <c r="EI57" s="3565">
        <f t="shared" si="123"/>
        <v>0</v>
      </c>
      <c r="EJ57" s="3565">
        <f t="shared" si="38"/>
        <v>0</v>
      </c>
      <c r="EK57" s="3566">
        <f t="shared" si="39"/>
        <v>0</v>
      </c>
      <c r="EL57" s="3610"/>
      <c r="EM57" s="3567">
        <f t="shared" si="40"/>
        <v>0</v>
      </c>
      <c r="EN57" s="3557">
        <f t="shared" si="124"/>
        <v>0</v>
      </c>
      <c r="EO57" s="3557">
        <f t="shared" si="124"/>
        <v>0</v>
      </c>
      <c r="EP57" s="3557">
        <f t="shared" si="124"/>
        <v>0</v>
      </c>
      <c r="EQ57" s="3557">
        <f t="shared" si="41"/>
        <v>0</v>
      </c>
      <c r="ER57" s="3557">
        <f t="shared" si="42"/>
        <v>0</v>
      </c>
      <c r="ES57" s="3557"/>
      <c r="ET57" s="3568"/>
      <c r="EU57" s="3569">
        <v>0</v>
      </c>
      <c r="EV57" s="3562"/>
      <c r="EW57" s="3547">
        <f t="shared" si="129"/>
        <v>0</v>
      </c>
      <c r="EX57" s="3568"/>
      <c r="EY57" s="3569">
        <v>0</v>
      </c>
      <c r="EZ57" s="3562"/>
      <c r="FA57" s="3547">
        <f t="shared" si="130"/>
        <v>0</v>
      </c>
      <c r="FB57" s="3568"/>
      <c r="FC57" s="3569">
        <v>0</v>
      </c>
      <c r="FD57" s="3562"/>
      <c r="FE57" s="3547">
        <f t="shared" si="117"/>
        <v>0</v>
      </c>
      <c r="FF57" s="3568"/>
      <c r="FG57" s="3569">
        <v>0</v>
      </c>
      <c r="FH57" s="3562"/>
      <c r="FI57" s="3547">
        <f t="shared" si="118"/>
        <v>0</v>
      </c>
      <c r="FJ57" s="3568"/>
      <c r="FK57" s="3559">
        <v>0</v>
      </c>
      <c r="FL57" s="3562"/>
      <c r="FM57" s="3547">
        <f t="shared" si="119"/>
        <v>0</v>
      </c>
      <c r="FN57" s="3568"/>
      <c r="FO57" s="3559">
        <v>0</v>
      </c>
      <c r="FP57" s="3562"/>
      <c r="FQ57" s="3547">
        <f t="shared" si="120"/>
        <v>0</v>
      </c>
      <c r="FR57" s="3568"/>
      <c r="FS57" s="3559">
        <v>0</v>
      </c>
      <c r="FT57" s="3560"/>
      <c r="FU57" s="3547">
        <f t="shared" si="69"/>
        <v>0</v>
      </c>
      <c r="FV57" s="3568"/>
      <c r="FW57" s="3559">
        <v>0</v>
      </c>
      <c r="FX57" s="3560"/>
      <c r="FY57" s="3547">
        <f t="shared" si="70"/>
        <v>0</v>
      </c>
      <c r="FZ57" s="3568"/>
      <c r="GA57" s="3569">
        <v>0</v>
      </c>
      <c r="GB57" s="3560"/>
      <c r="GC57" s="3547">
        <f t="shared" si="71"/>
        <v>0</v>
      </c>
      <c r="GD57" s="3568"/>
      <c r="GE57" s="3569">
        <v>0</v>
      </c>
      <c r="GF57" s="3560"/>
      <c r="GG57" s="3547">
        <f t="shared" si="72"/>
        <v>0</v>
      </c>
      <c r="GH57" s="3568"/>
      <c r="GI57" s="3569">
        <v>0</v>
      </c>
      <c r="GJ57" s="3560"/>
      <c r="GK57" s="3547">
        <f t="shared" si="73"/>
        <v>0</v>
      </c>
      <c r="GL57" s="3568"/>
      <c r="GM57" s="3569">
        <v>0</v>
      </c>
      <c r="GN57" s="3560"/>
      <c r="GO57" s="3547">
        <f t="shared" si="74"/>
        <v>0</v>
      </c>
      <c r="GP57" s="3568"/>
      <c r="GQ57" s="3569">
        <v>0</v>
      </c>
      <c r="GR57" s="3562"/>
      <c r="GS57" s="3547">
        <f t="shared" si="75"/>
        <v>0</v>
      </c>
      <c r="GT57" s="3568"/>
      <c r="GU57" s="3569">
        <v>0</v>
      </c>
      <c r="GV57" s="3560"/>
      <c r="GW57" s="3547">
        <f t="shared" si="76"/>
        <v>0</v>
      </c>
      <c r="GX57" s="3568"/>
      <c r="GY57" s="3569">
        <v>0</v>
      </c>
      <c r="GZ57" s="3562"/>
      <c r="HA57" s="3547">
        <f t="shared" si="77"/>
        <v>0</v>
      </c>
      <c r="HB57" s="3568"/>
      <c r="HC57" s="3569">
        <v>0</v>
      </c>
      <c r="HD57" s="3562"/>
      <c r="HE57" s="3547">
        <f t="shared" si="78"/>
        <v>0</v>
      </c>
      <c r="HF57" s="3568"/>
      <c r="HG57" s="3569">
        <v>0</v>
      </c>
      <c r="HH57" s="3562"/>
      <c r="HI57" s="3547">
        <f t="shared" si="79"/>
        <v>0</v>
      </c>
      <c r="HJ57" s="3568"/>
      <c r="HK57" s="3569">
        <v>0</v>
      </c>
      <c r="HL57" s="3562"/>
      <c r="HM57" s="3547">
        <f t="shared" si="80"/>
        <v>0</v>
      </c>
      <c r="HN57" s="3568"/>
      <c r="HO57" s="3569">
        <v>0</v>
      </c>
      <c r="HP57" s="3562"/>
      <c r="HQ57" s="3547">
        <f t="shared" si="81"/>
        <v>0</v>
      </c>
      <c r="HR57" s="3568"/>
      <c r="HS57" s="3569">
        <v>0</v>
      </c>
      <c r="HT57" s="3562"/>
      <c r="HU57" s="3547">
        <f t="shared" si="82"/>
        <v>0</v>
      </c>
      <c r="HV57" s="3568"/>
      <c r="HW57" s="3569">
        <v>0</v>
      </c>
      <c r="HX57" s="3562"/>
      <c r="HY57" s="3547">
        <f t="shared" si="83"/>
        <v>0</v>
      </c>
      <c r="HZ57" s="3568"/>
      <c r="IA57" s="3569">
        <v>0</v>
      </c>
      <c r="IB57" s="3562"/>
      <c r="IC57" s="3547">
        <f t="shared" si="84"/>
        <v>0</v>
      </c>
      <c r="ID57" s="3568"/>
      <c r="IE57" s="3569">
        <v>0</v>
      </c>
      <c r="IF57" s="3562"/>
      <c r="IG57" s="3547">
        <f t="shared" si="85"/>
        <v>0</v>
      </c>
      <c r="IH57" s="3568"/>
      <c r="II57" s="3569">
        <v>0</v>
      </c>
      <c r="IJ57" s="3562"/>
      <c r="IK57" s="3547">
        <f t="shared" si="86"/>
        <v>0</v>
      </c>
      <c r="IL57" s="3547"/>
      <c r="IM57" s="3569">
        <v>0</v>
      </c>
      <c r="IN57" s="3569">
        <v>0</v>
      </c>
      <c r="IO57" s="3547"/>
      <c r="IP57" s="3560">
        <f t="shared" si="87"/>
        <v>0</v>
      </c>
      <c r="IQ57" s="3568"/>
      <c r="IR57" s="3568"/>
      <c r="IS57" s="3568"/>
      <c r="IT57" s="3568"/>
      <c r="IU57" s="3568"/>
      <c r="IV57" s="3568"/>
      <c r="IW57" s="3568"/>
      <c r="IX57" s="3568"/>
      <c r="IY57" s="3568"/>
      <c r="IZ57" s="3560"/>
      <c r="JA57" s="3560"/>
      <c r="JB57" s="3560"/>
      <c r="JC57" s="3560">
        <f t="shared" si="11"/>
        <v>0</v>
      </c>
      <c r="JD57" s="3547"/>
      <c r="JE57" s="3568"/>
      <c r="JF57" s="3568"/>
      <c r="JG57" s="3568"/>
      <c r="JH57" s="3568"/>
      <c r="JI57" s="3568"/>
      <c r="JJ57" s="3568"/>
      <c r="JK57" s="3568"/>
      <c r="JL57" s="3568"/>
      <c r="JM57" s="3568"/>
      <c r="JN57" s="3560"/>
      <c r="JO57" s="3560"/>
      <c r="JP57" s="3547"/>
      <c r="JQ57" s="3583"/>
      <c r="JR57" s="3583"/>
      <c r="JS57" s="3573">
        <f t="shared" si="28"/>
        <v>0</v>
      </c>
      <c r="JT57" s="3573">
        <f t="shared" si="35"/>
        <v>0</v>
      </c>
      <c r="JU57" s="3574">
        <f t="shared" si="29"/>
        <v>0</v>
      </c>
      <c r="JV57" s="3574">
        <f t="shared" si="30"/>
        <v>0</v>
      </c>
      <c r="JW57" s="3575"/>
      <c r="JX57" s="3576">
        <f t="shared" si="31"/>
        <v>0</v>
      </c>
      <c r="JY57" s="3576">
        <f t="shared" si="32"/>
        <v>0</v>
      </c>
      <c r="JZ57" s="3577"/>
      <c r="KA57" s="3573">
        <f t="shared" si="131"/>
        <v>0</v>
      </c>
      <c r="KB57" s="3573"/>
      <c r="KC57" s="3573"/>
      <c r="KD57" s="3573">
        <f t="shared" si="33"/>
        <v>0</v>
      </c>
      <c r="KE57" s="3664"/>
      <c r="KF57" s="3579"/>
      <c r="KG57" s="3579"/>
      <c r="KH57" s="3579"/>
      <c r="KI57" s="3579"/>
      <c r="KJ57" s="3579"/>
      <c r="KK57" s="3579"/>
      <c r="KL57" s="3579"/>
      <c r="KM57" s="3579"/>
      <c r="KN57" s="3579"/>
      <c r="KO57" s="3579"/>
      <c r="KP57" s="3579"/>
      <c r="KQ57" s="3579">
        <f t="shared" si="34"/>
        <v>0</v>
      </c>
      <c r="KR57" s="3579">
        <f t="shared" si="88"/>
        <v>0</v>
      </c>
      <c r="KS57" s="3577"/>
      <c r="KT57" s="3577"/>
      <c r="KU57" s="3577"/>
      <c r="KV57" s="3577"/>
      <c r="KW57" s="3577"/>
      <c r="KX57" s="3577"/>
      <c r="KY57" s="3577"/>
      <c r="KZ57" s="3577"/>
      <c r="LA57" s="3577"/>
      <c r="LB57" s="3577"/>
      <c r="LC57" s="3577"/>
      <c r="LD57" s="3577"/>
      <c r="LE57" s="3577"/>
      <c r="LF57" s="3577"/>
      <c r="LG57" s="3577"/>
      <c r="LH57" s="3577"/>
      <c r="LJ57" s="3575"/>
      <c r="LK57" s="3571"/>
      <c r="LL57" s="3576"/>
    </row>
    <row r="58" spans="1:325" s="3580" customFormat="1" ht="18" customHeight="1">
      <c r="A58" s="3545">
        <v>55</v>
      </c>
      <c r="B58" s="3546" t="s">
        <v>4279</v>
      </c>
      <c r="C58" s="3546" t="s">
        <v>4297</v>
      </c>
      <c r="D58" s="3547">
        <f>1788.38-262.17</f>
        <v>1526.21</v>
      </c>
      <c r="E58" s="3548" t="s">
        <v>3799</v>
      </c>
      <c r="F58" s="3546" t="s">
        <v>3790</v>
      </c>
      <c r="G58" s="3677" t="s">
        <v>3921</v>
      </c>
      <c r="H58" s="3546" t="s">
        <v>4298</v>
      </c>
      <c r="I58" s="3594" t="s">
        <v>3923</v>
      </c>
      <c r="J58" s="3629" t="s">
        <v>3942</v>
      </c>
      <c r="K58" s="3545" t="s">
        <v>3991</v>
      </c>
      <c r="L58" s="3555"/>
      <c r="M58" s="3551">
        <v>811052.67</v>
      </c>
      <c r="N58" s="3551">
        <v>811052.67</v>
      </c>
      <c r="O58" s="3551">
        <f t="shared" si="13"/>
        <v>0</v>
      </c>
      <c r="P58" s="3547">
        <v>135447.42000000001</v>
      </c>
      <c r="Q58" s="3547">
        <v>135447.42000000001</v>
      </c>
      <c r="R58" s="3547">
        <f t="shared" si="132"/>
        <v>0</v>
      </c>
      <c r="S58" s="3547">
        <f t="shared" si="125"/>
        <v>5.8237388290970209</v>
      </c>
      <c r="T58" s="3552">
        <v>270350.89</v>
      </c>
      <c r="U58" s="3553">
        <f t="shared" si="15"/>
        <v>3244210.68</v>
      </c>
      <c r="V58" s="3547">
        <v>5947719.5800000001</v>
      </c>
      <c r="W58" s="3547">
        <f t="shared" si="126"/>
        <v>0.97257604633126016</v>
      </c>
      <c r="X58" s="3663">
        <v>45149.14</v>
      </c>
      <c r="Y58" s="3547">
        <f t="shared" si="17"/>
        <v>541789.67999999993</v>
      </c>
      <c r="Z58" s="3554"/>
      <c r="AA58" s="3555"/>
      <c r="AB58" s="3663" t="s">
        <v>3804</v>
      </c>
      <c r="AC58" s="3556">
        <f t="shared" si="18"/>
        <v>2162807.12</v>
      </c>
      <c r="AD58" s="3556">
        <f t="shared" si="121"/>
        <v>2162807.12</v>
      </c>
      <c r="AE58" s="3556">
        <f t="shared" si="121"/>
        <v>2162807.12</v>
      </c>
      <c r="AF58" s="3556">
        <f t="shared" si="20"/>
        <v>0</v>
      </c>
      <c r="AG58" s="3556"/>
      <c r="AH58" s="3557">
        <f t="shared" si="21"/>
        <v>406342.25999999995</v>
      </c>
      <c r="AI58" s="3558">
        <f t="shared" si="122"/>
        <v>406342.25999999995</v>
      </c>
      <c r="AJ58" s="3558">
        <f t="shared" si="122"/>
        <v>406342.26</v>
      </c>
      <c r="AK58" s="3557">
        <f t="shared" si="43"/>
        <v>0</v>
      </c>
      <c r="AL58" s="3557"/>
      <c r="AM58" s="3547" t="s">
        <v>4111</v>
      </c>
      <c r="AN58" s="3609">
        <f>270350.89*3</f>
        <v>811052.67</v>
      </c>
      <c r="AO58" s="3562">
        <f>1052.67+90000+90000+90000+90000+90000+90000+90000+90000+90000</f>
        <v>811052.66999999993</v>
      </c>
      <c r="AP58" s="3561">
        <f t="shared" si="113"/>
        <v>0</v>
      </c>
      <c r="AQ58" s="3559">
        <f>45149.14*3</f>
        <v>135447.41999999998</v>
      </c>
      <c r="AR58" s="3562">
        <f>90000+45447.42</f>
        <v>135447.41999999998</v>
      </c>
      <c r="AS58" s="3561">
        <f t="shared" si="127"/>
        <v>0</v>
      </c>
      <c r="AT58" s="3563" t="s">
        <v>4168</v>
      </c>
      <c r="AU58" s="3547"/>
      <c r="AV58" s="3609"/>
      <c r="AW58" s="3562"/>
      <c r="AX58" s="3561">
        <f t="shared" si="114"/>
        <v>0</v>
      </c>
      <c r="AY58" s="3559"/>
      <c r="AZ58" s="3562"/>
      <c r="BA58" s="3561">
        <f t="shared" si="128"/>
        <v>0</v>
      </c>
      <c r="BB58" s="3563" t="s">
        <v>4168</v>
      </c>
      <c r="BC58" s="3547"/>
      <c r="BD58" s="3609"/>
      <c r="BE58" s="3562"/>
      <c r="BF58" s="3561">
        <f t="shared" si="115"/>
        <v>0</v>
      </c>
      <c r="BG58" s="3559"/>
      <c r="BH58" s="3562"/>
      <c r="BI58" s="3561">
        <f t="shared" si="116"/>
        <v>0</v>
      </c>
      <c r="BJ58" s="3563" t="s">
        <v>4168</v>
      </c>
      <c r="BK58" s="3584" t="s">
        <v>4102</v>
      </c>
      <c r="BL58" s="3601">
        <f>2*270350.89</f>
        <v>540701.78</v>
      </c>
      <c r="BM58" s="3603">
        <f>701.78+90000+90000+90000+90000+90000+90000</f>
        <v>540701.78</v>
      </c>
      <c r="BN58" s="3602">
        <f t="shared" si="48"/>
        <v>0</v>
      </c>
      <c r="BO58" s="3604">
        <f>3*45149.14</f>
        <v>135447.41999999998</v>
      </c>
      <c r="BP58" s="3603">
        <f>90000+45447.42</f>
        <v>135447.41999999998</v>
      </c>
      <c r="BQ58" s="3561">
        <f t="shared" si="49"/>
        <v>0</v>
      </c>
      <c r="BR58" s="3563" t="s">
        <v>4299</v>
      </c>
      <c r="BS58" s="3547"/>
      <c r="BT58" s="3559"/>
      <c r="BU58" s="3562"/>
      <c r="BV58" s="3561">
        <f t="shared" si="50"/>
        <v>0</v>
      </c>
      <c r="BW58" s="3559"/>
      <c r="BX58" s="3562"/>
      <c r="BY58" s="3561">
        <f t="shared" si="51"/>
        <v>0</v>
      </c>
      <c r="BZ58" s="3563" t="s">
        <v>4299</v>
      </c>
      <c r="CA58" s="3547"/>
      <c r="CB58" s="3609"/>
      <c r="CC58" s="3562"/>
      <c r="CD58" s="3561">
        <f t="shared" si="52"/>
        <v>0</v>
      </c>
      <c r="CE58" s="3559"/>
      <c r="CF58" s="3562"/>
      <c r="CG58" s="3561">
        <f t="shared" si="53"/>
        <v>0</v>
      </c>
      <c r="CH58" s="3563" t="s">
        <v>4299</v>
      </c>
      <c r="CI58" s="3547" t="s">
        <v>4300</v>
      </c>
      <c r="CJ58" s="3609">
        <f>3*270350.89</f>
        <v>811052.67</v>
      </c>
      <c r="CK58" s="3603">
        <v>811052.67</v>
      </c>
      <c r="CL58" s="3561">
        <f t="shared" si="5"/>
        <v>0</v>
      </c>
      <c r="CM58" s="3559">
        <f>3*45149.14</f>
        <v>135447.41999999998</v>
      </c>
      <c r="CN58" s="3562">
        <v>135447.42000000001</v>
      </c>
      <c r="CO58" s="3561">
        <f t="shared" si="54"/>
        <v>0</v>
      </c>
      <c r="CP58" s="3563" t="s">
        <v>4301</v>
      </c>
      <c r="CQ58" s="3547"/>
      <c r="CR58" s="3609"/>
      <c r="CS58" s="3603"/>
      <c r="CT58" s="3561">
        <f t="shared" si="55"/>
        <v>0</v>
      </c>
      <c r="CU58" s="3559"/>
      <c r="CV58" s="3603"/>
      <c r="CW58" s="3561">
        <f t="shared" si="56"/>
        <v>0</v>
      </c>
      <c r="CX58" s="3563" t="s">
        <v>4301</v>
      </c>
      <c r="CY58" s="3597"/>
      <c r="CZ58" s="3609"/>
      <c r="DA58" s="3562"/>
      <c r="DB58" s="3561">
        <f t="shared" si="57"/>
        <v>0</v>
      </c>
      <c r="DC58" s="3559"/>
      <c r="DD58" s="3562"/>
      <c r="DE58" s="3561">
        <f t="shared" si="58"/>
        <v>0</v>
      </c>
      <c r="DF58" s="3563" t="s">
        <v>4301</v>
      </c>
      <c r="DG58" s="3547"/>
      <c r="DH58" s="3609"/>
      <c r="DI58" s="3562"/>
      <c r="DJ58" s="3561">
        <f t="shared" si="59"/>
        <v>0</v>
      </c>
      <c r="DK58" s="3559"/>
      <c r="DL58" s="3562"/>
      <c r="DM58" s="3561">
        <f t="shared" si="60"/>
        <v>0</v>
      </c>
      <c r="DN58" s="3563"/>
      <c r="DO58" s="3547"/>
      <c r="DP58" s="3609"/>
      <c r="DQ58" s="3562"/>
      <c r="DR58" s="3561">
        <f t="shared" si="61"/>
        <v>0</v>
      </c>
      <c r="DS58" s="3559"/>
      <c r="DT58" s="3562"/>
      <c r="DU58" s="3561">
        <f t="shared" si="62"/>
        <v>0</v>
      </c>
      <c r="DV58" s="3563"/>
      <c r="DW58" s="3547"/>
      <c r="DX58" s="3609"/>
      <c r="DY58" s="3562"/>
      <c r="DZ58" s="3561">
        <f t="shared" si="63"/>
        <v>0</v>
      </c>
      <c r="EA58" s="3559"/>
      <c r="EB58" s="3562"/>
      <c r="EC58" s="3561">
        <f t="shared" si="64"/>
        <v>0</v>
      </c>
      <c r="ED58" s="3563"/>
      <c r="EE58" s="3564"/>
      <c r="EF58" s="3565">
        <f t="shared" si="37"/>
        <v>2417050.3191269883</v>
      </c>
      <c r="EG58" s="3565">
        <f t="shared" si="123"/>
        <v>1757854.7809523842</v>
      </c>
      <c r="EH58" s="3565">
        <f t="shared" si="123"/>
        <v>2059816.304761905</v>
      </c>
      <c r="EI58" s="3565">
        <f t="shared" si="123"/>
        <v>2059816.304761905</v>
      </c>
      <c r="EJ58" s="3565">
        <f t="shared" si="38"/>
        <v>301961.52380952076</v>
      </c>
      <c r="EK58" s="3565">
        <f t="shared" si="39"/>
        <v>0</v>
      </c>
      <c r="EL58" s="3610"/>
      <c r="EM58" s="3557">
        <f t="shared" si="40"/>
        <v>436193.69764150935</v>
      </c>
      <c r="EN58" s="3557">
        <f t="shared" si="124"/>
        <v>327145.27323113196</v>
      </c>
      <c r="EO58" s="3557">
        <f t="shared" si="124"/>
        <v>383341.7547169812</v>
      </c>
      <c r="EP58" s="3557">
        <f t="shared" si="124"/>
        <v>383341.7547169812</v>
      </c>
      <c r="EQ58" s="3557">
        <f t="shared" si="41"/>
        <v>56196.481485849246</v>
      </c>
      <c r="ER58" s="3557">
        <f t="shared" si="42"/>
        <v>0</v>
      </c>
      <c r="ES58" s="3557"/>
      <c r="ET58" s="3568">
        <v>219731.847619048</v>
      </c>
      <c r="EU58" s="3569">
        <f>270350.89/1.05</f>
        <v>257477.03809523809</v>
      </c>
      <c r="EV58" s="3562">
        <f>811052.67/3/1.05</f>
        <v>257477.03809523809</v>
      </c>
      <c r="EW58" s="3547">
        <f t="shared" si="129"/>
        <v>37745.190476190095</v>
      </c>
      <c r="EX58" s="3568">
        <v>36349.474803459103</v>
      </c>
      <c r="EY58" s="3569">
        <f>45149.14/1.06</f>
        <v>42593.528301886792</v>
      </c>
      <c r="EZ58" s="3562">
        <f>135447.42/3/1.06</f>
        <v>42593.528301886799</v>
      </c>
      <c r="FA58" s="3547">
        <f t="shared" si="130"/>
        <v>6244.0534984276965</v>
      </c>
      <c r="FB58" s="3568">
        <v>219731.847619048</v>
      </c>
      <c r="FC58" s="3569">
        <f>270350.89/1.05</f>
        <v>257477.03809523809</v>
      </c>
      <c r="FD58" s="3562">
        <f>811052.67/3/1.05</f>
        <v>257477.03809523809</v>
      </c>
      <c r="FE58" s="3547">
        <f t="shared" si="117"/>
        <v>37745.190476190095</v>
      </c>
      <c r="FF58" s="3568">
        <v>36349.474803459103</v>
      </c>
      <c r="FG58" s="3569">
        <f>45149.14/1.06</f>
        <v>42593.528301886792</v>
      </c>
      <c r="FH58" s="3562">
        <f>135447.42/3/1.06</f>
        <v>42593.528301886799</v>
      </c>
      <c r="FI58" s="3547">
        <f t="shared" si="118"/>
        <v>6244.0534984276965</v>
      </c>
      <c r="FJ58" s="3568">
        <v>219731.847619048</v>
      </c>
      <c r="FK58" s="3559">
        <f>270350.89/1.05</f>
        <v>257477.03809523809</v>
      </c>
      <c r="FL58" s="3562">
        <f>811052.67/3/1.05</f>
        <v>257477.03809523809</v>
      </c>
      <c r="FM58" s="3547">
        <f t="shared" si="119"/>
        <v>37745.190476190095</v>
      </c>
      <c r="FN58" s="3568">
        <v>36349.474803459103</v>
      </c>
      <c r="FO58" s="3559">
        <f>45149.14/1.06</f>
        <v>42593.528301886792</v>
      </c>
      <c r="FP58" s="3562">
        <f>135447.42/3/1.06</f>
        <v>42593.528301886799</v>
      </c>
      <c r="FQ58" s="3547">
        <f t="shared" si="120"/>
        <v>6244.0534984276965</v>
      </c>
      <c r="FR58" s="3568">
        <v>219731.847619048</v>
      </c>
      <c r="FS58" s="3559">
        <f>270350.89/1.05</f>
        <v>257477.03809523809</v>
      </c>
      <c r="FT58" s="3560">
        <f>811052.67/3/1.05</f>
        <v>257477.03809523809</v>
      </c>
      <c r="FU58" s="3547">
        <f t="shared" si="69"/>
        <v>37745.190476190095</v>
      </c>
      <c r="FV58" s="3568">
        <v>36349.474803459103</v>
      </c>
      <c r="FW58" s="3559">
        <f>45149.14/1.06</f>
        <v>42593.528301886792</v>
      </c>
      <c r="FX58" s="3560">
        <f>135447.42/3/1.06</f>
        <v>42593.528301886799</v>
      </c>
      <c r="FY58" s="3547">
        <f t="shared" si="70"/>
        <v>6244.0534984276965</v>
      </c>
      <c r="FZ58" s="3568"/>
      <c r="GA58" s="3592"/>
      <c r="GB58" s="3592"/>
      <c r="GC58" s="3547">
        <f t="shared" si="71"/>
        <v>0</v>
      </c>
      <c r="GD58" s="3568">
        <v>36349.474803459103</v>
      </c>
      <c r="GE58" s="3569">
        <f>45149.14/1.06</f>
        <v>42593.528301886792</v>
      </c>
      <c r="GF58" s="3560">
        <f>135447.42/3/1.06</f>
        <v>42593.528301886799</v>
      </c>
      <c r="GG58" s="3547">
        <f t="shared" si="72"/>
        <v>6244.0534984276965</v>
      </c>
      <c r="GH58" s="3568">
        <v>219731.847619048</v>
      </c>
      <c r="GI58" s="3569">
        <f>270350.89/1.05</f>
        <v>257477.03809523809</v>
      </c>
      <c r="GJ58" s="3560">
        <f>540701.78/2/1.05</f>
        <v>257477.03809523809</v>
      </c>
      <c r="GK58" s="3547">
        <f t="shared" si="73"/>
        <v>37745.190476190095</v>
      </c>
      <c r="GL58" s="3568">
        <v>36349.474803459103</v>
      </c>
      <c r="GM58" s="3569">
        <f>45149.14/1.06</f>
        <v>42593.528301886792</v>
      </c>
      <c r="GN58" s="3560">
        <f>135447.42/3/1.06</f>
        <v>42593.528301886799</v>
      </c>
      <c r="GO58" s="3547">
        <f t="shared" si="74"/>
        <v>6244.0534984276965</v>
      </c>
      <c r="GP58" s="3568">
        <v>219731.847619048</v>
      </c>
      <c r="GQ58" s="3569">
        <f>270350.89/1.05</f>
        <v>257477.03809523809</v>
      </c>
      <c r="GR58" s="3560">
        <f>540701.78/2/1.05</f>
        <v>257477.03809523809</v>
      </c>
      <c r="GS58" s="3547">
        <f t="shared" si="75"/>
        <v>37745.190476190095</v>
      </c>
      <c r="GT58" s="3568">
        <v>36349.474803459103</v>
      </c>
      <c r="GU58" s="3569">
        <f>45149.14/1.06</f>
        <v>42593.528301886792</v>
      </c>
      <c r="GV58" s="3560">
        <f>135447.42/3/1.06</f>
        <v>42593.528301886799</v>
      </c>
      <c r="GW58" s="3547">
        <f t="shared" si="76"/>
        <v>6244.0534984276965</v>
      </c>
      <c r="GX58" s="3568">
        <v>219731.847619048</v>
      </c>
      <c r="GY58" s="3569">
        <f>270350.89/1.05</f>
        <v>257477.03809523809</v>
      </c>
      <c r="GZ58" s="3562">
        <f>811052.67/3/1.05</f>
        <v>257477.03809523809</v>
      </c>
      <c r="HA58" s="3547">
        <f t="shared" si="77"/>
        <v>37745.190476190095</v>
      </c>
      <c r="HB58" s="3568">
        <v>36349.474803459103</v>
      </c>
      <c r="HC58" s="3569">
        <f>45149.14/1.06</f>
        <v>42593.528301886792</v>
      </c>
      <c r="HD58" s="3562">
        <f>135447.42/3/1.06</f>
        <v>42593.528301886799</v>
      </c>
      <c r="HE58" s="3547">
        <f t="shared" si="78"/>
        <v>6244.0534984276965</v>
      </c>
      <c r="HF58" s="3568">
        <v>219731.847619048</v>
      </c>
      <c r="HG58" s="3569">
        <f>270350.89/1.05</f>
        <v>257477.03809523809</v>
      </c>
      <c r="HH58" s="3562">
        <f>811052.67/3/1.05</f>
        <v>257477.03809523809</v>
      </c>
      <c r="HI58" s="3547">
        <f t="shared" si="79"/>
        <v>37745.190476190095</v>
      </c>
      <c r="HJ58" s="3568">
        <v>36349.474803459103</v>
      </c>
      <c r="HK58" s="3569">
        <f>45149.14/1.06</f>
        <v>42593.528301886792</v>
      </c>
      <c r="HL58" s="3562">
        <f>135447.42/3/1.06</f>
        <v>42593.528301886799</v>
      </c>
      <c r="HM58" s="3547">
        <f t="shared" si="80"/>
        <v>6244.0534984276965</v>
      </c>
      <c r="HN58" s="3568">
        <v>219731.847619048</v>
      </c>
      <c r="HO58" s="3569">
        <f>270350.89/1.05</f>
        <v>257477.03809523809</v>
      </c>
      <c r="HP58" s="3562">
        <f>811052.67/3/1.05</f>
        <v>257477.03809523809</v>
      </c>
      <c r="HQ58" s="3547">
        <f t="shared" si="81"/>
        <v>37745.190476190095</v>
      </c>
      <c r="HR58" s="3568">
        <v>36349.474803459103</v>
      </c>
      <c r="HS58" s="3569">
        <f>45149.14/1.06</f>
        <v>42593.528301886792</v>
      </c>
      <c r="HT58" s="3562">
        <f>135447.42/3/1.06</f>
        <v>42593.528301886799</v>
      </c>
      <c r="HU58" s="3547">
        <f t="shared" si="82"/>
        <v>6244.0534984276965</v>
      </c>
      <c r="HV58" s="3568">
        <v>219731.84527777799</v>
      </c>
      <c r="HW58" s="3569"/>
      <c r="HX58" s="3562"/>
      <c r="HY58" s="3547">
        <f t="shared" si="83"/>
        <v>-219731.84527777799</v>
      </c>
      <c r="HZ58" s="3568">
        <v>36349.474803459103</v>
      </c>
      <c r="IA58" s="3569"/>
      <c r="IB58" s="3562"/>
      <c r="IC58" s="3547">
        <f t="shared" si="84"/>
        <v>-36349.474803459103</v>
      </c>
      <c r="ID58" s="3568">
        <v>219731.84527777799</v>
      </c>
      <c r="IE58" s="3569"/>
      <c r="IF58" s="3562"/>
      <c r="IG58" s="3547">
        <f t="shared" si="85"/>
        <v>-219731.84527777799</v>
      </c>
      <c r="IH58" s="3568">
        <v>36349.474803459103</v>
      </c>
      <c r="II58" s="3569"/>
      <c r="IJ58" s="3562"/>
      <c r="IK58" s="3547">
        <f t="shared" si="86"/>
        <v>-36349.474803459103</v>
      </c>
      <c r="IL58" s="3547"/>
      <c r="IM58" s="3569"/>
      <c r="IN58" s="3569"/>
      <c r="IO58" s="3547"/>
      <c r="IP58" s="3560">
        <f t="shared" si="87"/>
        <v>0</v>
      </c>
      <c r="IQ58" s="3568"/>
      <c r="IR58" s="3568"/>
      <c r="IS58" s="3568"/>
      <c r="IT58" s="3568"/>
      <c r="IU58" s="3568"/>
      <c r="IV58" s="3568"/>
      <c r="IW58" s="3568"/>
      <c r="IX58" s="3568"/>
      <c r="IY58" s="3568"/>
      <c r="IZ58" s="3562"/>
      <c r="JA58" s="3562"/>
      <c r="JB58" s="3562"/>
      <c r="JC58" s="3560">
        <f t="shared" si="11"/>
        <v>0</v>
      </c>
      <c r="JD58" s="3547"/>
      <c r="JE58" s="3568"/>
      <c r="JF58" s="3568"/>
      <c r="JG58" s="3568"/>
      <c r="JH58" s="3568"/>
      <c r="JI58" s="3568"/>
      <c r="JJ58" s="3568"/>
      <c r="JK58" s="3568"/>
      <c r="JL58" s="3568"/>
      <c r="JM58" s="3568"/>
      <c r="JN58" s="3562"/>
      <c r="JO58" s="3562"/>
      <c r="JP58" s="3547" t="s">
        <v>3837</v>
      </c>
      <c r="JQ58" s="3583">
        <f>270350.89/1.05</f>
        <v>257477.03809523809</v>
      </c>
      <c r="JR58" s="3583">
        <f>45149.14/1.06</f>
        <v>42593.528301886792</v>
      </c>
      <c r="JS58" s="3573">
        <f t="shared" si="28"/>
        <v>0</v>
      </c>
      <c r="JT58" s="3573">
        <f t="shared" si="35"/>
        <v>-1.1641532182693481E-10</v>
      </c>
      <c r="JU58" s="3574">
        <f t="shared" si="29"/>
        <v>0</v>
      </c>
      <c r="JV58" s="3574">
        <f t="shared" si="30"/>
        <v>0</v>
      </c>
      <c r="JW58" s="3575"/>
      <c r="JX58" s="3576">
        <f t="shared" si="31"/>
        <v>257477.03809523809</v>
      </c>
      <c r="JY58" s="3576">
        <f t="shared" si="32"/>
        <v>42593.528301886799</v>
      </c>
      <c r="JZ58" s="3577"/>
      <c r="KA58" s="3573">
        <f t="shared" si="131"/>
        <v>43989.243974617792</v>
      </c>
      <c r="KB58" s="3573"/>
      <c r="KC58" s="3573"/>
      <c r="KD58" s="3573">
        <f t="shared" si="33"/>
        <v>43989.243974617792</v>
      </c>
      <c r="KE58" s="3587" t="s">
        <v>3971</v>
      </c>
      <c r="KF58" s="3579"/>
      <c r="KG58" s="3579"/>
      <c r="KH58" s="3579"/>
      <c r="KI58" s="3579"/>
      <c r="KJ58" s="3579"/>
      <c r="KK58" s="3579"/>
      <c r="KL58" s="3579"/>
      <c r="KM58" s="3579"/>
      <c r="KN58" s="3579"/>
      <c r="KO58" s="3579"/>
      <c r="KP58" s="3579"/>
      <c r="KQ58" s="3579">
        <f t="shared" si="34"/>
        <v>0</v>
      </c>
      <c r="KR58" s="3657">
        <f t="shared" si="88"/>
        <v>35.815800529537</v>
      </c>
      <c r="KS58" s="3577"/>
      <c r="KT58" s="3577"/>
      <c r="KU58" s="3577"/>
      <c r="KV58" s="3577"/>
      <c r="KW58" s="3577"/>
      <c r="KX58" s="3577"/>
      <c r="KY58" s="3577"/>
      <c r="KZ58" s="3577"/>
      <c r="LA58" s="3577"/>
      <c r="LB58" s="3577"/>
      <c r="LC58" s="3577"/>
      <c r="LD58" s="3577"/>
      <c r="LE58" s="3577"/>
      <c r="LF58" s="3577"/>
      <c r="LG58" s="3577"/>
      <c r="LH58" s="3577"/>
      <c r="LJ58" s="3575"/>
      <c r="LK58" s="3571"/>
      <c r="LL58" s="3576"/>
    </row>
    <row r="59" spans="1:325" s="3580" customFormat="1" ht="18" customHeight="1">
      <c r="A59" s="3545">
        <v>56</v>
      </c>
      <c r="B59" s="3546" t="s">
        <v>4279</v>
      </c>
      <c r="C59" s="3546">
        <v>1202</v>
      </c>
      <c r="D59" s="3547">
        <v>262.17</v>
      </c>
      <c r="E59" s="3548" t="s">
        <v>3799</v>
      </c>
      <c r="F59" s="3546" t="s">
        <v>3790</v>
      </c>
      <c r="G59" s="3677" t="s">
        <v>3921</v>
      </c>
      <c r="H59" s="3546" t="s">
        <v>4298</v>
      </c>
      <c r="I59" s="3594" t="s">
        <v>3923</v>
      </c>
      <c r="J59" s="3594" t="s">
        <v>3942</v>
      </c>
      <c r="K59" s="3545" t="s">
        <v>4302</v>
      </c>
      <c r="L59" s="3555"/>
      <c r="M59" s="3551">
        <v>0</v>
      </c>
      <c r="N59" s="3551">
        <f>147604.99-147604.99</f>
        <v>0</v>
      </c>
      <c r="O59" s="3551">
        <f t="shared" si="13"/>
        <v>0</v>
      </c>
      <c r="P59" s="3547">
        <v>0</v>
      </c>
      <c r="Q59" s="3547">
        <f>19856.1-19856.1</f>
        <v>0</v>
      </c>
      <c r="R59" s="3547">
        <f t="shared" si="132"/>
        <v>0</v>
      </c>
      <c r="S59" s="3547">
        <f t="shared" si="125"/>
        <v>0</v>
      </c>
      <c r="T59" s="3552"/>
      <c r="U59" s="3553">
        <f t="shared" si="15"/>
        <v>0</v>
      </c>
      <c r="V59" s="3547"/>
      <c r="W59" s="3547">
        <f t="shared" si="126"/>
        <v>0</v>
      </c>
      <c r="X59" s="3658"/>
      <c r="Y59" s="3547">
        <f t="shared" si="17"/>
        <v>0</v>
      </c>
      <c r="Z59" s="3554"/>
      <c r="AA59" s="3555"/>
      <c r="AB59" s="3663"/>
      <c r="AC59" s="3556">
        <f t="shared" si="18"/>
        <v>0</v>
      </c>
      <c r="AD59" s="3556">
        <f t="shared" si="121"/>
        <v>0</v>
      </c>
      <c r="AE59" s="3556">
        <f t="shared" si="121"/>
        <v>0</v>
      </c>
      <c r="AF59" s="3556">
        <f t="shared" si="20"/>
        <v>0</v>
      </c>
      <c r="AG59" s="3556"/>
      <c r="AH59" s="3557">
        <f t="shared" si="21"/>
        <v>0</v>
      </c>
      <c r="AI59" s="3558">
        <f t="shared" si="122"/>
        <v>0</v>
      </c>
      <c r="AJ59" s="3558">
        <f t="shared" si="122"/>
        <v>0</v>
      </c>
      <c r="AK59" s="3557">
        <f t="shared" si="43"/>
        <v>0</v>
      </c>
      <c r="AL59" s="3557"/>
      <c r="AM59" s="3547"/>
      <c r="AN59" s="3609"/>
      <c r="AO59" s="3562"/>
      <c r="AP59" s="3561">
        <f t="shared" si="113"/>
        <v>0</v>
      </c>
      <c r="AQ59" s="3559"/>
      <c r="AR59" s="3562"/>
      <c r="AS59" s="3561">
        <f t="shared" si="127"/>
        <v>0</v>
      </c>
      <c r="AT59" s="3563"/>
      <c r="AU59" s="3547"/>
      <c r="AV59" s="3609"/>
      <c r="AW59" s="3562"/>
      <c r="AX59" s="3561">
        <f t="shared" si="114"/>
        <v>0</v>
      </c>
      <c r="AY59" s="3559"/>
      <c r="AZ59" s="3562"/>
      <c r="BA59" s="3561">
        <f t="shared" si="128"/>
        <v>0</v>
      </c>
      <c r="BB59" s="3563"/>
      <c r="BC59" s="3547"/>
      <c r="BD59" s="3609"/>
      <c r="BE59" s="3562"/>
      <c r="BF59" s="3561">
        <f t="shared" si="115"/>
        <v>0</v>
      </c>
      <c r="BG59" s="3559"/>
      <c r="BH59" s="3562"/>
      <c r="BI59" s="3561">
        <f t="shared" si="116"/>
        <v>0</v>
      </c>
      <c r="BJ59" s="3563"/>
      <c r="BK59" s="3547"/>
      <c r="BL59" s="3609"/>
      <c r="BM59" s="3562"/>
      <c r="BN59" s="3561">
        <f t="shared" si="48"/>
        <v>0</v>
      </c>
      <c r="BO59" s="3559"/>
      <c r="BP59" s="3562"/>
      <c r="BQ59" s="3561">
        <f t="shared" si="49"/>
        <v>0</v>
      </c>
      <c r="BR59" s="3563"/>
      <c r="BS59" s="3547"/>
      <c r="BT59" s="3559"/>
      <c r="BU59" s="3562"/>
      <c r="BV59" s="3561">
        <f t="shared" si="50"/>
        <v>0</v>
      </c>
      <c r="BW59" s="3559"/>
      <c r="BX59" s="3562"/>
      <c r="BY59" s="3561">
        <f t="shared" si="51"/>
        <v>0</v>
      </c>
      <c r="BZ59" s="3563"/>
      <c r="CA59" s="3547"/>
      <c r="CB59" s="3609"/>
      <c r="CC59" s="3562"/>
      <c r="CD59" s="3561">
        <f t="shared" si="52"/>
        <v>0</v>
      </c>
      <c r="CE59" s="3559"/>
      <c r="CF59" s="3562"/>
      <c r="CG59" s="3561">
        <f t="shared" si="53"/>
        <v>0</v>
      </c>
      <c r="CH59" s="3563"/>
      <c r="CI59" s="3547"/>
      <c r="CJ59" s="3609"/>
      <c r="CK59" s="3562"/>
      <c r="CL59" s="3561">
        <f t="shared" si="5"/>
        <v>0</v>
      </c>
      <c r="CM59" s="3559"/>
      <c r="CN59" s="3562"/>
      <c r="CO59" s="3561">
        <f t="shared" si="54"/>
        <v>0</v>
      </c>
      <c r="CP59" s="3563"/>
      <c r="CQ59" s="3547"/>
      <c r="CR59" s="3609"/>
      <c r="CS59" s="3562"/>
      <c r="CT59" s="3561">
        <f t="shared" si="55"/>
        <v>0</v>
      </c>
      <c r="CU59" s="3559"/>
      <c r="CV59" s="3562"/>
      <c r="CW59" s="3561">
        <f t="shared" si="56"/>
        <v>0</v>
      </c>
      <c r="CX59" s="3563"/>
      <c r="CY59" s="3597"/>
      <c r="CZ59" s="3609"/>
      <c r="DA59" s="3562"/>
      <c r="DB59" s="3561">
        <f t="shared" si="57"/>
        <v>0</v>
      </c>
      <c r="DC59" s="3559"/>
      <c r="DD59" s="3562"/>
      <c r="DE59" s="3561">
        <f t="shared" si="58"/>
        <v>0</v>
      </c>
      <c r="DF59" s="3563"/>
      <c r="DG59" s="3547"/>
      <c r="DH59" s="3609"/>
      <c r="DI59" s="3562"/>
      <c r="DJ59" s="3561">
        <f t="shared" si="59"/>
        <v>0</v>
      </c>
      <c r="DK59" s="3559"/>
      <c r="DL59" s="3562"/>
      <c r="DM59" s="3561">
        <f t="shared" si="60"/>
        <v>0</v>
      </c>
      <c r="DN59" s="3563"/>
      <c r="DO59" s="3547"/>
      <c r="DP59" s="3609"/>
      <c r="DQ59" s="3562"/>
      <c r="DR59" s="3561">
        <f t="shared" si="61"/>
        <v>0</v>
      </c>
      <c r="DS59" s="3559"/>
      <c r="DT59" s="3562"/>
      <c r="DU59" s="3561">
        <f t="shared" si="62"/>
        <v>0</v>
      </c>
      <c r="DV59" s="3563"/>
      <c r="DW59" s="3547"/>
      <c r="DX59" s="3609"/>
      <c r="DY59" s="3562"/>
      <c r="DZ59" s="3561">
        <f t="shared" si="63"/>
        <v>0</v>
      </c>
      <c r="EA59" s="3559"/>
      <c r="EB59" s="3562"/>
      <c r="EC59" s="3561">
        <f t="shared" si="64"/>
        <v>0</v>
      </c>
      <c r="ED59" s="3563"/>
      <c r="EE59" s="3564"/>
      <c r="EF59" s="3565">
        <f t="shared" si="37"/>
        <v>415197.19500000007</v>
      </c>
      <c r="EG59" s="3565">
        <f t="shared" si="123"/>
        <v>301961.60000000003</v>
      </c>
      <c r="EH59" s="3565">
        <f t="shared" si="123"/>
        <v>0</v>
      </c>
      <c r="EI59" s="3565">
        <f t="shared" si="123"/>
        <v>0</v>
      </c>
      <c r="EJ59" s="3565">
        <f t="shared" si="38"/>
        <v>-301961.60000000003</v>
      </c>
      <c r="EK59" s="3566">
        <f t="shared" si="39"/>
        <v>0</v>
      </c>
      <c r="EL59" s="3610"/>
      <c r="EM59" s="3567">
        <f t="shared" si="40"/>
        <v>74928.680660377315</v>
      </c>
      <c r="EN59" s="3557">
        <f t="shared" si="124"/>
        <v>56196.510495282979</v>
      </c>
      <c r="EO59" s="3557">
        <f t="shared" si="124"/>
        <v>0</v>
      </c>
      <c r="EP59" s="3557">
        <f t="shared" si="124"/>
        <v>0</v>
      </c>
      <c r="EQ59" s="3557">
        <f t="shared" si="41"/>
        <v>-56196.510495282979</v>
      </c>
      <c r="ER59" s="3557">
        <f t="shared" si="42"/>
        <v>0</v>
      </c>
      <c r="ES59" s="3557"/>
      <c r="ET59" s="3568">
        <v>37745.199999999997</v>
      </c>
      <c r="EU59" s="3569"/>
      <c r="EV59" s="3562"/>
      <c r="EW59" s="3547">
        <f t="shared" si="129"/>
        <v>-37745.199999999997</v>
      </c>
      <c r="EX59" s="3568">
        <v>6244.0567216981099</v>
      </c>
      <c r="EY59" s="3569"/>
      <c r="EZ59" s="3562"/>
      <c r="FA59" s="3547">
        <f t="shared" si="130"/>
        <v>-6244.0567216981099</v>
      </c>
      <c r="FB59" s="3568">
        <v>37745.199999999997</v>
      </c>
      <c r="FC59" s="3569"/>
      <c r="FD59" s="3562"/>
      <c r="FE59" s="3547">
        <f t="shared" si="117"/>
        <v>-37745.199999999997</v>
      </c>
      <c r="FF59" s="3568">
        <v>6244.0567216981099</v>
      </c>
      <c r="FG59" s="3569"/>
      <c r="FH59" s="3562"/>
      <c r="FI59" s="3547">
        <f t="shared" si="118"/>
        <v>-6244.0567216981099</v>
      </c>
      <c r="FJ59" s="3568">
        <v>37745.199999999997</v>
      </c>
      <c r="FK59" s="3559"/>
      <c r="FL59" s="3562"/>
      <c r="FM59" s="3547">
        <f t="shared" si="119"/>
        <v>-37745.199999999997</v>
      </c>
      <c r="FN59" s="3568">
        <v>6244.0567216981099</v>
      </c>
      <c r="FO59" s="3559"/>
      <c r="FP59" s="3562"/>
      <c r="FQ59" s="3547">
        <f t="shared" si="120"/>
        <v>-6244.0567216981099</v>
      </c>
      <c r="FR59" s="3568">
        <v>37745.199999999997</v>
      </c>
      <c r="FS59" s="3559"/>
      <c r="FT59" s="3560"/>
      <c r="FU59" s="3547">
        <f t="shared" si="69"/>
        <v>-37745.199999999997</v>
      </c>
      <c r="FV59" s="3568">
        <v>6244.0567216981099</v>
      </c>
      <c r="FW59" s="3559"/>
      <c r="FX59" s="3560"/>
      <c r="FY59" s="3547">
        <f t="shared" si="70"/>
        <v>-6244.0567216981099</v>
      </c>
      <c r="FZ59" s="3568"/>
      <c r="GA59" s="3569"/>
      <c r="GB59" s="3560"/>
      <c r="GC59" s="3547">
        <f t="shared" si="71"/>
        <v>0</v>
      </c>
      <c r="GD59" s="3568">
        <v>6244.0567216981099</v>
      </c>
      <c r="GE59" s="3569"/>
      <c r="GF59" s="3560"/>
      <c r="GG59" s="3547">
        <f t="shared" si="72"/>
        <v>-6244.0567216981099</v>
      </c>
      <c r="GH59" s="3568">
        <v>37745.199999999997</v>
      </c>
      <c r="GI59" s="3569"/>
      <c r="GJ59" s="3560"/>
      <c r="GK59" s="3547">
        <f t="shared" si="73"/>
        <v>-37745.199999999997</v>
      </c>
      <c r="GL59" s="3568">
        <v>6244.0567216981099</v>
      </c>
      <c r="GM59" s="3569"/>
      <c r="GN59" s="3562"/>
      <c r="GO59" s="3547">
        <f t="shared" si="74"/>
        <v>-6244.0567216981099</v>
      </c>
      <c r="GP59" s="3568">
        <v>37745.199999999997</v>
      </c>
      <c r="GQ59" s="3569"/>
      <c r="GR59" s="3562"/>
      <c r="GS59" s="3547">
        <f t="shared" si="75"/>
        <v>-37745.199999999997</v>
      </c>
      <c r="GT59" s="3568">
        <v>6244.0567216981099</v>
      </c>
      <c r="GU59" s="3569"/>
      <c r="GV59" s="3562"/>
      <c r="GW59" s="3547">
        <f t="shared" si="76"/>
        <v>-6244.0567216981099</v>
      </c>
      <c r="GX59" s="3568">
        <v>37745.199999999997</v>
      </c>
      <c r="GY59" s="3569"/>
      <c r="GZ59" s="3562"/>
      <c r="HA59" s="3547">
        <f t="shared" si="77"/>
        <v>-37745.199999999997</v>
      </c>
      <c r="HB59" s="3568">
        <v>6244.0567216981099</v>
      </c>
      <c r="HC59" s="3569"/>
      <c r="HD59" s="3562"/>
      <c r="HE59" s="3547">
        <f t="shared" si="78"/>
        <v>-6244.0567216981099</v>
      </c>
      <c r="HF59" s="3568">
        <v>37745.199999999997</v>
      </c>
      <c r="HG59" s="3569"/>
      <c r="HH59" s="3562"/>
      <c r="HI59" s="3547">
        <f t="shared" si="79"/>
        <v>-37745.199999999997</v>
      </c>
      <c r="HJ59" s="3568">
        <v>6244.0567216981099</v>
      </c>
      <c r="HK59" s="3569"/>
      <c r="HL59" s="3562"/>
      <c r="HM59" s="3547">
        <f t="shared" si="80"/>
        <v>-6244.0567216981099</v>
      </c>
      <c r="HN59" s="3568">
        <v>37745.199999999997</v>
      </c>
      <c r="HO59" s="3569"/>
      <c r="HP59" s="3562"/>
      <c r="HQ59" s="3547">
        <f t="shared" si="81"/>
        <v>-37745.199999999997</v>
      </c>
      <c r="HR59" s="3568">
        <v>6244.0567216981099</v>
      </c>
      <c r="HS59" s="3569"/>
      <c r="HT59" s="3562"/>
      <c r="HU59" s="3547">
        <f t="shared" si="82"/>
        <v>-6244.0567216981099</v>
      </c>
      <c r="HV59" s="3568">
        <v>37745.197500000002</v>
      </c>
      <c r="HW59" s="3569"/>
      <c r="HX59" s="3562"/>
      <c r="HY59" s="3547">
        <f t="shared" si="83"/>
        <v>-37745.197500000002</v>
      </c>
      <c r="HZ59" s="3568">
        <v>6244.0567216981099</v>
      </c>
      <c r="IA59" s="3569"/>
      <c r="IB59" s="3562"/>
      <c r="IC59" s="3547">
        <f t="shared" si="84"/>
        <v>-6244.0567216981099</v>
      </c>
      <c r="ID59" s="3568">
        <v>37745.197500000002</v>
      </c>
      <c r="IE59" s="3569"/>
      <c r="IF59" s="3562"/>
      <c r="IG59" s="3547">
        <f t="shared" si="85"/>
        <v>-37745.197500000002</v>
      </c>
      <c r="IH59" s="3568">
        <v>6244.0567216981099</v>
      </c>
      <c r="II59" s="3569"/>
      <c r="IJ59" s="3562"/>
      <c r="IK59" s="3547">
        <f t="shared" si="86"/>
        <v>-6244.0567216981099</v>
      </c>
      <c r="IL59" s="3547"/>
      <c r="IM59" s="3569"/>
      <c r="IN59" s="3569"/>
      <c r="IO59" s="3547"/>
      <c r="IP59" s="3560">
        <f t="shared" si="87"/>
        <v>0</v>
      </c>
      <c r="IQ59" s="3568"/>
      <c r="IR59" s="3568"/>
      <c r="IS59" s="3568"/>
      <c r="IT59" s="3568"/>
      <c r="IU59" s="3568"/>
      <c r="IV59" s="3568"/>
      <c r="IW59" s="3568"/>
      <c r="IX59" s="3568"/>
      <c r="IY59" s="3568"/>
      <c r="IZ59" s="3562"/>
      <c r="JA59" s="3562"/>
      <c r="JB59" s="3562"/>
      <c r="JC59" s="3560">
        <f t="shared" si="11"/>
        <v>0</v>
      </c>
      <c r="JD59" s="3547"/>
      <c r="JE59" s="3568"/>
      <c r="JF59" s="3568"/>
      <c r="JG59" s="3568"/>
      <c r="JH59" s="3568"/>
      <c r="JI59" s="3568"/>
      <c r="JJ59" s="3568"/>
      <c r="JK59" s="3568"/>
      <c r="JL59" s="3568"/>
      <c r="JM59" s="3568"/>
      <c r="JN59" s="3562"/>
      <c r="JO59" s="3562"/>
      <c r="JP59" s="3547"/>
      <c r="JQ59" s="3583"/>
      <c r="JR59" s="3583"/>
      <c r="JS59" s="3573">
        <f t="shared" si="28"/>
        <v>0</v>
      </c>
      <c r="JT59" s="3573">
        <f t="shared" si="35"/>
        <v>0</v>
      </c>
      <c r="JU59" s="3574">
        <f t="shared" si="29"/>
        <v>0</v>
      </c>
      <c r="JV59" s="3574">
        <f t="shared" si="30"/>
        <v>0</v>
      </c>
      <c r="JW59" s="3575"/>
      <c r="JX59" s="3576">
        <f t="shared" si="31"/>
        <v>0</v>
      </c>
      <c r="JY59" s="3576">
        <f t="shared" si="32"/>
        <v>0</v>
      </c>
      <c r="JZ59" s="3577"/>
      <c r="KA59" s="3573">
        <f t="shared" si="131"/>
        <v>-43989.256721698104</v>
      </c>
      <c r="KB59" s="3573"/>
      <c r="KC59" s="3573"/>
      <c r="KD59" s="3573">
        <f t="shared" si="33"/>
        <v>-43989.256721698104</v>
      </c>
      <c r="KE59" s="3587" t="s">
        <v>3971</v>
      </c>
      <c r="KF59" s="3579"/>
      <c r="KG59" s="3579"/>
      <c r="KH59" s="3579"/>
      <c r="KI59" s="3579"/>
      <c r="KJ59" s="3579"/>
      <c r="KK59" s="3579"/>
      <c r="KL59" s="3579"/>
      <c r="KM59" s="3579"/>
      <c r="KN59" s="3579"/>
      <c r="KO59" s="3579"/>
      <c r="KP59" s="3579"/>
      <c r="KQ59" s="3579">
        <f t="shared" si="34"/>
        <v>0</v>
      </c>
      <c r="KR59" s="3657">
        <f t="shared" si="88"/>
        <v>-35.815811049528307</v>
      </c>
      <c r="KS59" s="3577"/>
      <c r="KT59" s="3577"/>
      <c r="KU59" s="3577"/>
      <c r="KV59" s="3577"/>
      <c r="KW59" s="3577"/>
      <c r="KX59" s="3577"/>
      <c r="KY59" s="3577"/>
      <c r="KZ59" s="3577"/>
      <c r="LA59" s="3577"/>
      <c r="LB59" s="3577"/>
      <c r="LC59" s="3577"/>
      <c r="LD59" s="3577"/>
      <c r="LE59" s="3577"/>
      <c r="LF59" s="3577"/>
      <c r="LG59" s="3577"/>
      <c r="LH59" s="3577"/>
      <c r="LJ59" s="3575"/>
      <c r="LK59" s="3571"/>
      <c r="LL59" s="3576"/>
    </row>
    <row r="60" spans="1:325" s="3580" customFormat="1" ht="18" customHeight="1">
      <c r="A60" s="3545">
        <v>57</v>
      </c>
      <c r="B60" s="3546" t="s">
        <v>4279</v>
      </c>
      <c r="C60" s="3546" t="s">
        <v>4303</v>
      </c>
      <c r="D60" s="3547">
        <v>319.64999999999998</v>
      </c>
      <c r="E60" s="3548" t="s">
        <v>3799</v>
      </c>
      <c r="F60" s="3546" t="s">
        <v>3790</v>
      </c>
      <c r="G60" s="3546" t="s">
        <v>4304</v>
      </c>
      <c r="H60" s="3546" t="s">
        <v>4305</v>
      </c>
      <c r="I60" s="3634" t="s">
        <v>4306</v>
      </c>
      <c r="J60" s="3634" t="s">
        <v>4307</v>
      </c>
      <c r="K60" s="3545" t="s">
        <v>3885</v>
      </c>
      <c r="L60" s="3555"/>
      <c r="M60" s="3551">
        <v>204176.43</v>
      </c>
      <c r="N60" s="3551">
        <v>204176.43</v>
      </c>
      <c r="O60" s="3551">
        <f t="shared" si="13"/>
        <v>0</v>
      </c>
      <c r="P60" s="3547">
        <v>24209.49</v>
      </c>
      <c r="Q60" s="3547">
        <v>24209.49</v>
      </c>
      <c r="R60" s="3547">
        <f t="shared" si="132"/>
        <v>0</v>
      </c>
      <c r="S60" s="3547">
        <f t="shared" si="125"/>
        <v>6.9999997428694485</v>
      </c>
      <c r="T60" s="3552">
        <v>68058.81</v>
      </c>
      <c r="U60" s="3553">
        <f t="shared" si="15"/>
        <v>816705.72</v>
      </c>
      <c r="V60" s="3547">
        <v>1633411.44</v>
      </c>
      <c r="W60" s="3547">
        <f t="shared" si="126"/>
        <v>0.82999993571736197</v>
      </c>
      <c r="X60" s="3658">
        <v>8069.83</v>
      </c>
      <c r="Y60" s="3547">
        <f t="shared" si="17"/>
        <v>96837.959999999992</v>
      </c>
      <c r="Z60" s="3554"/>
      <c r="AA60" s="3555"/>
      <c r="AB60" s="3663" t="s">
        <v>3899</v>
      </c>
      <c r="AC60" s="3556">
        <f t="shared" si="18"/>
        <v>582508.82860273973</v>
      </c>
      <c r="AD60" s="3556">
        <f t="shared" si="121"/>
        <v>582508.82860273973</v>
      </c>
      <c r="AE60" s="3556">
        <f t="shared" si="121"/>
        <v>582508.82999999996</v>
      </c>
      <c r="AF60" s="3556">
        <f t="shared" si="20"/>
        <v>1.3972602318972349E-3</v>
      </c>
      <c r="AG60" s="3556"/>
      <c r="AH60" s="3557">
        <f t="shared" si="21"/>
        <v>69068.901150684935</v>
      </c>
      <c r="AI60" s="3558">
        <f t="shared" si="122"/>
        <v>69068.901150684935</v>
      </c>
      <c r="AJ60" s="3558">
        <f t="shared" si="122"/>
        <v>69068.900000000009</v>
      </c>
      <c r="AK60" s="3557">
        <f t="shared" si="43"/>
        <v>-1.1506849259603769E-3</v>
      </c>
      <c r="AL60" s="3557"/>
      <c r="AM60" s="3547" t="s">
        <v>3822</v>
      </c>
      <c r="AN60" s="3609">
        <v>68058.81</v>
      </c>
      <c r="AO60" s="3562">
        <v>68058.81</v>
      </c>
      <c r="AP60" s="3561">
        <f t="shared" si="113"/>
        <v>0</v>
      </c>
      <c r="AQ60" s="3559">
        <v>8069.83</v>
      </c>
      <c r="AR60" s="3562">
        <f>8069.83</f>
        <v>8069.83</v>
      </c>
      <c r="AS60" s="3561">
        <f t="shared" si="127"/>
        <v>0</v>
      </c>
      <c r="AT60" s="3563" t="s">
        <v>4308</v>
      </c>
      <c r="AU60" s="3547" t="s">
        <v>3824</v>
      </c>
      <c r="AV60" s="3609">
        <v>68058.81</v>
      </c>
      <c r="AW60" s="3562">
        <v>68058.81</v>
      </c>
      <c r="AX60" s="3561">
        <f t="shared" si="114"/>
        <v>0</v>
      </c>
      <c r="AY60" s="3559">
        <v>8069.83</v>
      </c>
      <c r="AZ60" s="3562">
        <v>8069.83</v>
      </c>
      <c r="BA60" s="3561">
        <f t="shared" si="128"/>
        <v>0</v>
      </c>
      <c r="BB60" s="3656" t="s">
        <v>4198</v>
      </c>
      <c r="BC60" s="3547" t="s">
        <v>3826</v>
      </c>
      <c r="BD60" s="3609">
        <v>68058.81</v>
      </c>
      <c r="BE60" s="3562">
        <v>68058.81</v>
      </c>
      <c r="BF60" s="3561">
        <f t="shared" si="115"/>
        <v>0</v>
      </c>
      <c r="BG60" s="3559">
        <v>8069.83</v>
      </c>
      <c r="BH60" s="3562">
        <v>8069.83</v>
      </c>
      <c r="BI60" s="3561">
        <f t="shared" si="116"/>
        <v>0</v>
      </c>
      <c r="BJ60" s="3563" t="s">
        <v>4012</v>
      </c>
      <c r="BK60" s="3547" t="s">
        <v>3873</v>
      </c>
      <c r="BL60" s="3609">
        <v>68058.81</v>
      </c>
      <c r="BM60" s="3603">
        <v>68058.81</v>
      </c>
      <c r="BN60" s="3602">
        <f t="shared" si="48"/>
        <v>0</v>
      </c>
      <c r="BO60" s="3604">
        <v>8069.83</v>
      </c>
      <c r="BP60" s="3603">
        <f>8069.83</f>
        <v>8069.83</v>
      </c>
      <c r="BQ60" s="3561">
        <f t="shared" si="49"/>
        <v>0</v>
      </c>
      <c r="BR60" s="3563" t="s">
        <v>3962</v>
      </c>
      <c r="BS60" s="3547" t="s">
        <v>3875</v>
      </c>
      <c r="BT60" s="3559">
        <v>68058.81</v>
      </c>
      <c r="BU60" s="3603">
        <v>68058.81</v>
      </c>
      <c r="BV60" s="3602">
        <f t="shared" si="50"/>
        <v>0</v>
      </c>
      <c r="BW60" s="3604">
        <v>8069.83</v>
      </c>
      <c r="BX60" s="3603">
        <v>8069.83</v>
      </c>
      <c r="BY60" s="3561">
        <f t="shared" si="51"/>
        <v>0</v>
      </c>
      <c r="BZ60" s="3563" t="s">
        <v>3876</v>
      </c>
      <c r="CA60" s="3547" t="s">
        <v>3877</v>
      </c>
      <c r="CB60" s="3609">
        <v>68058.81</v>
      </c>
      <c r="CC60" s="3603">
        <v>68058.81</v>
      </c>
      <c r="CD60" s="3561">
        <f t="shared" si="52"/>
        <v>0</v>
      </c>
      <c r="CE60" s="3559">
        <v>8069.83</v>
      </c>
      <c r="CF60" s="3562">
        <v>8069.83</v>
      </c>
      <c r="CG60" s="3561">
        <f t="shared" si="53"/>
        <v>0</v>
      </c>
      <c r="CH60" s="3563" t="s">
        <v>4309</v>
      </c>
      <c r="CI60" s="3547" t="s">
        <v>3948</v>
      </c>
      <c r="CJ60" s="3609">
        <v>68058.81</v>
      </c>
      <c r="CK60" s="3603">
        <v>68058.81</v>
      </c>
      <c r="CL60" s="3561">
        <f t="shared" si="5"/>
        <v>0</v>
      </c>
      <c r="CM60" s="3559">
        <v>8069.83</v>
      </c>
      <c r="CN60" s="3562">
        <v>8069.83</v>
      </c>
      <c r="CO60" s="3561">
        <f t="shared" si="54"/>
        <v>0</v>
      </c>
      <c r="CP60" s="3563" t="s">
        <v>4310</v>
      </c>
      <c r="CQ60" s="3597" t="s">
        <v>3950</v>
      </c>
      <c r="CR60" s="3609">
        <v>68058.81</v>
      </c>
      <c r="CS60" s="3603">
        <v>68058.81</v>
      </c>
      <c r="CT60" s="3561">
        <f t="shared" si="55"/>
        <v>0</v>
      </c>
      <c r="CU60" s="3559">
        <v>8069.83</v>
      </c>
      <c r="CV60" s="3562">
        <v>8069.83</v>
      </c>
      <c r="CW60" s="3561">
        <f t="shared" si="56"/>
        <v>0</v>
      </c>
      <c r="CX60" s="3563" t="s">
        <v>4311</v>
      </c>
      <c r="CY60" s="3597" t="s">
        <v>4312</v>
      </c>
      <c r="CZ60" s="3614">
        <f>68058.81*12/365*17</f>
        <v>38038.348602739723</v>
      </c>
      <c r="DA60" s="3562">
        <v>38038.35</v>
      </c>
      <c r="DB60" s="3561">
        <f t="shared" si="57"/>
        <v>1.3972602755529806E-3</v>
      </c>
      <c r="DC60" s="3559">
        <f>8069.83*12/365*17</f>
        <v>4510.2611506849307</v>
      </c>
      <c r="DD60" s="3562">
        <v>4510.26</v>
      </c>
      <c r="DE60" s="3561">
        <f t="shared" si="58"/>
        <v>-1.1506849305078504E-3</v>
      </c>
      <c r="DF60" s="3563" t="s">
        <v>4313</v>
      </c>
      <c r="DG60" s="3547"/>
      <c r="DH60" s="3609"/>
      <c r="DI60" s="3562"/>
      <c r="DJ60" s="3561">
        <f t="shared" si="59"/>
        <v>0</v>
      </c>
      <c r="DK60" s="3559"/>
      <c r="DL60" s="3562"/>
      <c r="DM60" s="3561">
        <f t="shared" si="60"/>
        <v>0</v>
      </c>
      <c r="DN60" s="3563"/>
      <c r="DO60" s="3547"/>
      <c r="DP60" s="3609"/>
      <c r="DQ60" s="3562"/>
      <c r="DR60" s="3561">
        <f t="shared" si="61"/>
        <v>0</v>
      </c>
      <c r="DS60" s="3559"/>
      <c r="DT60" s="3562"/>
      <c r="DU60" s="3561">
        <f t="shared" si="62"/>
        <v>0</v>
      </c>
      <c r="DV60" s="3563"/>
      <c r="DW60" s="3547"/>
      <c r="DX60" s="3609"/>
      <c r="DY60" s="3562"/>
      <c r="DZ60" s="3561">
        <f t="shared" si="63"/>
        <v>0</v>
      </c>
      <c r="EA60" s="3559"/>
      <c r="EB60" s="3562"/>
      <c r="EC60" s="3561">
        <f t="shared" si="64"/>
        <v>0</v>
      </c>
      <c r="ED60" s="3563"/>
      <c r="EE60" s="3564"/>
      <c r="EF60" s="3565">
        <f t="shared" si="37"/>
        <v>619588.22724070447</v>
      </c>
      <c r="EG60" s="3565">
        <f t="shared" si="123"/>
        <v>583361.22857142857</v>
      </c>
      <c r="EH60" s="3565">
        <f t="shared" si="123"/>
        <v>583361.22857142857</v>
      </c>
      <c r="EI60" s="3565">
        <f t="shared" si="123"/>
        <v>583361.22857142857</v>
      </c>
      <c r="EJ60" s="3565">
        <f t="shared" si="38"/>
        <v>0</v>
      </c>
      <c r="EK60" s="3565">
        <f t="shared" si="39"/>
        <v>0</v>
      </c>
      <c r="EL60" s="3610"/>
      <c r="EM60" s="3557">
        <f t="shared" si="40"/>
        <v>72772.387878004622</v>
      </c>
      <c r="EN60" s="3557">
        <f t="shared" si="124"/>
        <v>68517.424528301868</v>
      </c>
      <c r="EO60" s="3557">
        <f t="shared" si="124"/>
        <v>68517.424528301883</v>
      </c>
      <c r="EP60" s="3557">
        <f t="shared" si="124"/>
        <v>68517.424528301883</v>
      </c>
      <c r="EQ60" s="3557">
        <f t="shared" si="41"/>
        <v>0</v>
      </c>
      <c r="ER60" s="3557">
        <f t="shared" si="42"/>
        <v>0</v>
      </c>
      <c r="ES60" s="3557"/>
      <c r="ET60" s="3568">
        <v>64817.914285714302</v>
      </c>
      <c r="EU60" s="3569">
        <f>68058.81/1.05</f>
        <v>64817.91428571428</v>
      </c>
      <c r="EV60" s="3562">
        <f>68058.81/1.05</f>
        <v>64817.91428571428</v>
      </c>
      <c r="EW60" s="3547">
        <f t="shared" si="129"/>
        <v>0</v>
      </c>
      <c r="EX60" s="3568">
        <v>7613.0471698113197</v>
      </c>
      <c r="EY60" s="3569">
        <f>8069.83/1.06</f>
        <v>7613.0471698113206</v>
      </c>
      <c r="EZ60" s="3562">
        <f>8069.83/1.06</f>
        <v>7613.0471698113206</v>
      </c>
      <c r="FA60" s="3547">
        <f t="shared" si="130"/>
        <v>0</v>
      </c>
      <c r="FB60" s="3568">
        <v>64817.914285714302</v>
      </c>
      <c r="FC60" s="3569">
        <f>68058.81/1.05</f>
        <v>64817.91428571428</v>
      </c>
      <c r="FD60" s="3562">
        <f>68058.81/1.05</f>
        <v>64817.91428571428</v>
      </c>
      <c r="FE60" s="3547">
        <f t="shared" si="117"/>
        <v>0</v>
      </c>
      <c r="FF60" s="3568">
        <v>7613.0471698113197</v>
      </c>
      <c r="FG60" s="3569">
        <f>8069.83/1.06</f>
        <v>7613.0471698113206</v>
      </c>
      <c r="FH60" s="3562">
        <f>8069.83/1.06</f>
        <v>7613.0471698113206</v>
      </c>
      <c r="FI60" s="3547">
        <f t="shared" si="118"/>
        <v>0</v>
      </c>
      <c r="FJ60" s="3568">
        <v>64817.914285714302</v>
      </c>
      <c r="FK60" s="3559">
        <f>68058.81/1.05</f>
        <v>64817.91428571428</v>
      </c>
      <c r="FL60" s="3562">
        <f>68058.81/1.05</f>
        <v>64817.91428571428</v>
      </c>
      <c r="FM60" s="3547">
        <f t="shared" si="119"/>
        <v>0</v>
      </c>
      <c r="FN60" s="3568">
        <v>7613.0471698113197</v>
      </c>
      <c r="FO60" s="3559">
        <f>8069.83/1.06</f>
        <v>7613.0471698113206</v>
      </c>
      <c r="FP60" s="3562">
        <f>8069.83/1.06</f>
        <v>7613.0471698113206</v>
      </c>
      <c r="FQ60" s="3547">
        <f t="shared" si="120"/>
        <v>0</v>
      </c>
      <c r="FR60" s="3568">
        <v>64817.914285714302</v>
      </c>
      <c r="FS60" s="3559">
        <f>68058.81/1.05</f>
        <v>64817.91428571428</v>
      </c>
      <c r="FT60" s="3560">
        <f>68058.81/1.05</f>
        <v>64817.91428571428</v>
      </c>
      <c r="FU60" s="3547">
        <f t="shared" si="69"/>
        <v>0</v>
      </c>
      <c r="FV60" s="3568">
        <v>7613.0471698113197</v>
      </c>
      <c r="FW60" s="3559">
        <f>8069.83/1.06</f>
        <v>7613.0471698113206</v>
      </c>
      <c r="FX60" s="3560">
        <f>8069.83/1.06</f>
        <v>7613.0471698113206</v>
      </c>
      <c r="FY60" s="3547">
        <f t="shared" si="70"/>
        <v>0</v>
      </c>
      <c r="FZ60" s="3568">
        <v>64817.914285714302</v>
      </c>
      <c r="GA60" s="3569">
        <f>68058.81/1.05</f>
        <v>64817.91428571428</v>
      </c>
      <c r="GB60" s="3560">
        <f>68058.81/1.05</f>
        <v>64817.91428571428</v>
      </c>
      <c r="GC60" s="3547">
        <f t="shared" si="71"/>
        <v>0</v>
      </c>
      <c r="GD60" s="3568">
        <v>7613.0471698113197</v>
      </c>
      <c r="GE60" s="3569">
        <f>8069.83/1.06</f>
        <v>7613.0471698113206</v>
      </c>
      <c r="GF60" s="3560">
        <f>8069.83/1.06</f>
        <v>7613.0471698113206</v>
      </c>
      <c r="GG60" s="3547">
        <f t="shared" si="72"/>
        <v>0</v>
      </c>
      <c r="GH60" s="3568">
        <v>64817.914285714302</v>
      </c>
      <c r="GI60" s="3569">
        <f>68058.81/1.05</f>
        <v>64817.91428571428</v>
      </c>
      <c r="GJ60" s="3560">
        <f>68058.81/1.05</f>
        <v>64817.91428571428</v>
      </c>
      <c r="GK60" s="3547">
        <f t="shared" si="73"/>
        <v>0</v>
      </c>
      <c r="GL60" s="3568">
        <v>7613.0471698113197</v>
      </c>
      <c r="GM60" s="3569">
        <f>8069.83/1.06</f>
        <v>7613.0471698113206</v>
      </c>
      <c r="GN60" s="3560">
        <f>8069.83/1.06</f>
        <v>7613.0471698113206</v>
      </c>
      <c r="GO60" s="3547">
        <f t="shared" si="74"/>
        <v>0</v>
      </c>
      <c r="GP60" s="3568">
        <v>64817.914285714302</v>
      </c>
      <c r="GQ60" s="3569">
        <f>68058.81/1.05</f>
        <v>64817.91428571428</v>
      </c>
      <c r="GR60" s="3562">
        <f>68058.81/1.05</f>
        <v>64817.91428571428</v>
      </c>
      <c r="GS60" s="3547">
        <f t="shared" si="75"/>
        <v>0</v>
      </c>
      <c r="GT60" s="3568">
        <v>7613.0471698113197</v>
      </c>
      <c r="GU60" s="3569">
        <f>8069.83/1.06</f>
        <v>7613.0471698113206</v>
      </c>
      <c r="GV60" s="3562">
        <f>8069.83/1.06</f>
        <v>7613.0471698113206</v>
      </c>
      <c r="GW60" s="3547">
        <f t="shared" si="76"/>
        <v>0</v>
      </c>
      <c r="GX60" s="3568">
        <v>64817.914285714302</v>
      </c>
      <c r="GY60" s="3569">
        <f>68058.81/1.05</f>
        <v>64817.91428571428</v>
      </c>
      <c r="GZ60" s="3562">
        <f>68058.81/1.05</f>
        <v>64817.91428571428</v>
      </c>
      <c r="HA60" s="3547">
        <f t="shared" si="77"/>
        <v>0</v>
      </c>
      <c r="HB60" s="3568">
        <v>7613.0471698113197</v>
      </c>
      <c r="HC60" s="3569">
        <f>8069.83/1.06</f>
        <v>7613.0471698113206</v>
      </c>
      <c r="HD60" s="3562">
        <f>8069.83/1.06</f>
        <v>7613.0471698113206</v>
      </c>
      <c r="HE60" s="3547">
        <f t="shared" si="78"/>
        <v>0</v>
      </c>
      <c r="HF60" s="3568">
        <v>64817.914285714302</v>
      </c>
      <c r="HG60" s="3569">
        <f>68058.81/1.05</f>
        <v>64817.91428571428</v>
      </c>
      <c r="HH60" s="3562">
        <f>68058.81/1.05</f>
        <v>64817.91428571428</v>
      </c>
      <c r="HI60" s="3547">
        <f t="shared" si="79"/>
        <v>0</v>
      </c>
      <c r="HJ60" s="3568">
        <v>7613.0471698113197</v>
      </c>
      <c r="HK60" s="3569">
        <f>8069.83/1.06</f>
        <v>7613.0471698113206</v>
      </c>
      <c r="HL60" s="3562">
        <f>8069.83/1.06</f>
        <v>7613.0471698113206</v>
      </c>
      <c r="HM60" s="3547">
        <f t="shared" si="80"/>
        <v>0</v>
      </c>
      <c r="HN60" s="3568">
        <v>36226.998669275898</v>
      </c>
      <c r="HO60" s="3592">
        <f>68058.81/1.05*12/365*17</f>
        <v>36226.998669275927</v>
      </c>
      <c r="HP60" s="3562">
        <f>38038.35/1.05</f>
        <v>36227</v>
      </c>
      <c r="HQ60" s="3547">
        <f t="shared" si="81"/>
        <v>1.3307241024449468E-3</v>
      </c>
      <c r="HR60" s="3568">
        <v>4254.9633497027598</v>
      </c>
      <c r="HS60" s="3592">
        <f>8069.83/1.06*12/365*17</f>
        <v>4254.9633497027653</v>
      </c>
      <c r="HT60" s="3562">
        <f>4510.26/1.06</f>
        <v>4254.9622641509432</v>
      </c>
      <c r="HU60" s="3547">
        <f t="shared" si="82"/>
        <v>-1.0855518166863476E-3</v>
      </c>
      <c r="HV60" s="3568"/>
      <c r="HW60" s="3569"/>
      <c r="HX60" s="3562"/>
      <c r="HY60" s="3547">
        <f t="shared" si="83"/>
        <v>0</v>
      </c>
      <c r="HZ60" s="3568"/>
      <c r="IA60" s="3569"/>
      <c r="IB60" s="3562"/>
      <c r="IC60" s="3547">
        <f t="shared" si="84"/>
        <v>0</v>
      </c>
      <c r="ID60" s="3568"/>
      <c r="IE60" s="3569"/>
      <c r="IF60" s="3562"/>
      <c r="IG60" s="3547">
        <f t="shared" si="85"/>
        <v>0</v>
      </c>
      <c r="IH60" s="3568"/>
      <c r="II60" s="3569"/>
      <c r="IJ60" s="3562"/>
      <c r="IK60" s="3547">
        <f t="shared" si="86"/>
        <v>0</v>
      </c>
      <c r="IL60" s="3547"/>
      <c r="IM60" s="3569"/>
      <c r="IN60" s="3569"/>
      <c r="IO60" s="3547"/>
      <c r="IP60" s="3560">
        <f t="shared" si="87"/>
        <v>0</v>
      </c>
      <c r="IQ60" s="3568"/>
      <c r="IR60" s="3568"/>
      <c r="IS60" s="3568"/>
      <c r="IT60" s="3568"/>
      <c r="IU60" s="3568"/>
      <c r="IV60" s="3568"/>
      <c r="IW60" s="3568"/>
      <c r="IX60" s="3568"/>
      <c r="IY60" s="3568"/>
      <c r="IZ60" s="3560"/>
      <c r="JA60" s="3560"/>
      <c r="JB60" s="3560"/>
      <c r="JC60" s="3560">
        <f t="shared" si="11"/>
        <v>0</v>
      </c>
      <c r="JD60" s="3547"/>
      <c r="JE60" s="3568"/>
      <c r="JF60" s="3568"/>
      <c r="JG60" s="3568"/>
      <c r="JH60" s="3568"/>
      <c r="JI60" s="3568"/>
      <c r="JJ60" s="3568"/>
      <c r="JK60" s="3568"/>
      <c r="JL60" s="3568"/>
      <c r="JM60" s="3568"/>
      <c r="JN60" s="3560"/>
      <c r="JO60" s="3560"/>
      <c r="JP60" s="3547" t="s">
        <v>3837</v>
      </c>
      <c r="JQ60" s="3583">
        <f>68058.81/1.05</f>
        <v>64817.91428571428</v>
      </c>
      <c r="JR60" s="3583">
        <f>8069.83/1.06</f>
        <v>7613.0471698113206</v>
      </c>
      <c r="JS60" s="3573">
        <f t="shared" si="28"/>
        <v>0</v>
      </c>
      <c r="JT60" s="3573">
        <f t="shared" si="35"/>
        <v>0</v>
      </c>
      <c r="JU60" s="3574">
        <f t="shared" si="29"/>
        <v>-1.1641532182693481E-10</v>
      </c>
      <c r="JV60" s="3574">
        <f t="shared" si="30"/>
        <v>0</v>
      </c>
      <c r="JW60" s="3575"/>
      <c r="JX60" s="3576">
        <f t="shared" si="31"/>
        <v>36227</v>
      </c>
      <c r="JY60" s="3576">
        <f t="shared" si="32"/>
        <v>4254.9622641509432</v>
      </c>
      <c r="JZ60" s="3577"/>
      <c r="KA60" s="3573">
        <f t="shared" si="131"/>
        <v>0</v>
      </c>
      <c r="KB60" s="3573"/>
      <c r="KC60" s="3573"/>
      <c r="KD60" s="3573">
        <f t="shared" si="33"/>
        <v>0</v>
      </c>
      <c r="KE60" s="3664"/>
      <c r="KF60" s="3579"/>
      <c r="KG60" s="3579"/>
      <c r="KH60" s="3579"/>
      <c r="KI60" s="3579"/>
      <c r="KJ60" s="3579"/>
      <c r="KK60" s="3579"/>
      <c r="KL60" s="3579"/>
      <c r="KM60" s="3579"/>
      <c r="KN60" s="3579"/>
      <c r="KO60" s="3579"/>
      <c r="KP60" s="3579"/>
      <c r="KQ60" s="3579">
        <f t="shared" si="34"/>
        <v>0</v>
      </c>
      <c r="KR60" s="3579">
        <f t="shared" si="88"/>
        <v>0</v>
      </c>
      <c r="KS60" s="3577"/>
      <c r="KT60" s="3577"/>
      <c r="KU60" s="3577"/>
      <c r="KV60" s="3577"/>
      <c r="KW60" s="3577"/>
      <c r="KX60" s="3577"/>
      <c r="KY60" s="3577"/>
      <c r="KZ60" s="3577"/>
      <c r="LA60" s="3577"/>
      <c r="LB60" s="3577"/>
      <c r="LC60" s="3577"/>
      <c r="LD60" s="3577"/>
      <c r="LE60" s="3577"/>
      <c r="LF60" s="3577"/>
      <c r="LG60" s="3577"/>
      <c r="LH60" s="3577"/>
      <c r="LJ60" s="3575"/>
      <c r="LK60" s="3571"/>
      <c r="LL60" s="3576"/>
    </row>
    <row r="61" spans="1:325" s="3580" customFormat="1" ht="18" customHeight="1">
      <c r="A61" s="3545">
        <v>58</v>
      </c>
      <c r="B61" s="3546" t="s">
        <v>4279</v>
      </c>
      <c r="C61" s="3546">
        <v>1222</v>
      </c>
      <c r="D61" s="3547">
        <f>114.04</f>
        <v>114.04</v>
      </c>
      <c r="E61" s="3548" t="s">
        <v>3799</v>
      </c>
      <c r="F61" s="3546" t="s">
        <v>3790</v>
      </c>
      <c r="G61" s="3549" t="s">
        <v>4314</v>
      </c>
      <c r="H61" s="3546" t="s">
        <v>4315</v>
      </c>
      <c r="I61" s="3634" t="s">
        <v>4316</v>
      </c>
      <c r="J61" s="3634" t="s">
        <v>4317</v>
      </c>
      <c r="K61" s="3545" t="s">
        <v>4005</v>
      </c>
      <c r="L61" s="3545"/>
      <c r="M61" s="3551">
        <v>43393.65</v>
      </c>
      <c r="N61" s="3551">
        <v>43393.65</v>
      </c>
      <c r="O61" s="3551">
        <f t="shared" si="13"/>
        <v>0</v>
      </c>
      <c r="P61" s="3547">
        <v>8637.09</v>
      </c>
      <c r="Q61" s="3547">
        <v>8637.09</v>
      </c>
      <c r="R61" s="3547">
        <f t="shared" si="132"/>
        <v>0</v>
      </c>
      <c r="S61" s="3547">
        <f t="shared" si="125"/>
        <v>4.1700004324365869</v>
      </c>
      <c r="T61" s="3552">
        <v>14464.55</v>
      </c>
      <c r="U61" s="3553">
        <f t="shared" si="15"/>
        <v>173574.59999999998</v>
      </c>
      <c r="V61" s="3547">
        <f>14464.55*6</f>
        <v>86787.299999999988</v>
      </c>
      <c r="W61" s="3547">
        <f t="shared" si="126"/>
        <v>0.82999860659321656</v>
      </c>
      <c r="X61" s="3678">
        <v>2879.03</v>
      </c>
      <c r="Y61" s="3547">
        <f t="shared" si="17"/>
        <v>34548.36</v>
      </c>
      <c r="Z61" s="3554"/>
      <c r="AA61" s="3555"/>
      <c r="AB61" s="3647" t="s">
        <v>4318</v>
      </c>
      <c r="AC61" s="3556">
        <f t="shared" si="18"/>
        <v>161193.26999999999</v>
      </c>
      <c r="AD61" s="3556">
        <f t="shared" si="121"/>
        <v>161193.26999999999</v>
      </c>
      <c r="AE61" s="3556">
        <f t="shared" si="121"/>
        <v>161193.26999999999</v>
      </c>
      <c r="AF61" s="3556">
        <f t="shared" si="20"/>
        <v>0</v>
      </c>
      <c r="AG61" s="3556"/>
      <c r="AH61" s="3557">
        <f t="shared" si="21"/>
        <v>32560.65</v>
      </c>
      <c r="AI61" s="3558">
        <f t="shared" si="122"/>
        <v>32560.65</v>
      </c>
      <c r="AJ61" s="3558">
        <f t="shared" si="122"/>
        <v>32560.65</v>
      </c>
      <c r="AK61" s="3557">
        <f t="shared" si="43"/>
        <v>0</v>
      </c>
      <c r="AL61" s="3557"/>
      <c r="AM61" s="3547" t="s">
        <v>4319</v>
      </c>
      <c r="AN61" s="3609">
        <f>43393.65</f>
        <v>43393.65</v>
      </c>
      <c r="AO61" s="3562">
        <v>43393.65</v>
      </c>
      <c r="AP61" s="3561">
        <f t="shared" si="113"/>
        <v>0</v>
      </c>
      <c r="AQ61" s="3559">
        <f>8637.09</f>
        <v>8637.09</v>
      </c>
      <c r="AR61" s="3562">
        <v>8637.09</v>
      </c>
      <c r="AS61" s="3561">
        <f t="shared" si="127"/>
        <v>0</v>
      </c>
      <c r="AT61" s="3563" t="s">
        <v>4320</v>
      </c>
      <c r="AU61" s="3584" t="s">
        <v>4321</v>
      </c>
      <c r="AV61" s="3609">
        <f>-12381.33</f>
        <v>-12381.33</v>
      </c>
      <c r="AW61" s="3562">
        <f>-18505.28+6123.95</f>
        <v>-12381.329999999998</v>
      </c>
      <c r="AX61" s="3561">
        <f t="shared" si="114"/>
        <v>0</v>
      </c>
      <c r="AY61" s="3559">
        <f>-1987.71</f>
        <v>-1987.71</v>
      </c>
      <c r="AZ61" s="3562">
        <f>-2934.24+946.53</f>
        <v>-1987.7099999999998</v>
      </c>
      <c r="BA61" s="3561">
        <f t="shared" si="128"/>
        <v>0</v>
      </c>
      <c r="BB61" s="3563" t="s">
        <v>4322</v>
      </c>
      <c r="BC61" s="3547"/>
      <c r="BD61" s="3609"/>
      <c r="BE61" s="3562"/>
      <c r="BF61" s="3561">
        <f t="shared" si="115"/>
        <v>0</v>
      </c>
      <c r="BG61" s="3559"/>
      <c r="BH61" s="3562"/>
      <c r="BI61" s="3561">
        <f t="shared" si="116"/>
        <v>0</v>
      </c>
      <c r="BJ61" s="3563" t="s">
        <v>4322</v>
      </c>
      <c r="BK61" s="3547" t="s">
        <v>4323</v>
      </c>
      <c r="BL61" s="3609">
        <v>43393.65</v>
      </c>
      <c r="BM61" s="3562">
        <v>43393.65</v>
      </c>
      <c r="BN61" s="3561">
        <f t="shared" si="48"/>
        <v>0</v>
      </c>
      <c r="BO61" s="3559">
        <v>8637.09</v>
      </c>
      <c r="BP61" s="3603">
        <v>8637.09</v>
      </c>
      <c r="BQ61" s="3602">
        <f t="shared" si="49"/>
        <v>0</v>
      </c>
      <c r="BR61" s="3630" t="s">
        <v>4324</v>
      </c>
      <c r="BS61" s="3547"/>
      <c r="BT61" s="3559"/>
      <c r="BU61" s="3562"/>
      <c r="BV61" s="3561">
        <f t="shared" si="50"/>
        <v>0</v>
      </c>
      <c r="BW61" s="3559"/>
      <c r="BX61" s="3562"/>
      <c r="BY61" s="3561">
        <f t="shared" si="51"/>
        <v>0</v>
      </c>
      <c r="BZ61" s="3630" t="s">
        <v>4324</v>
      </c>
      <c r="CA61" s="3547"/>
      <c r="CB61" s="3609"/>
      <c r="CC61" s="3562"/>
      <c r="CD61" s="3561">
        <f t="shared" si="52"/>
        <v>0</v>
      </c>
      <c r="CE61" s="3559"/>
      <c r="CF61" s="3562"/>
      <c r="CG61" s="3561">
        <f t="shared" si="53"/>
        <v>0</v>
      </c>
      <c r="CH61" s="3630" t="s">
        <v>4324</v>
      </c>
      <c r="CI61" s="3547" t="s">
        <v>4325</v>
      </c>
      <c r="CJ61" s="3609">
        <v>43393.65</v>
      </c>
      <c r="CK61" s="3562">
        <v>43393.65</v>
      </c>
      <c r="CL61" s="3561">
        <f t="shared" si="5"/>
        <v>0</v>
      </c>
      <c r="CM61" s="3559">
        <v>8637.09</v>
      </c>
      <c r="CN61" s="3562">
        <f>8637.09</f>
        <v>8637.09</v>
      </c>
      <c r="CO61" s="3561">
        <f t="shared" si="54"/>
        <v>0</v>
      </c>
      <c r="CP61" s="3630" t="s">
        <v>4326</v>
      </c>
      <c r="CQ61" s="3547"/>
      <c r="CR61" s="3609"/>
      <c r="CS61" s="3562"/>
      <c r="CT61" s="3561">
        <f t="shared" si="55"/>
        <v>0</v>
      </c>
      <c r="CU61" s="3559"/>
      <c r="CV61" s="3562"/>
      <c r="CW61" s="3561">
        <f t="shared" si="56"/>
        <v>0</v>
      </c>
      <c r="CX61" s="3630" t="s">
        <v>4326</v>
      </c>
      <c r="CY61" s="3597" t="s">
        <v>4327</v>
      </c>
      <c r="CZ61" s="3609">
        <v>43393.65</v>
      </c>
      <c r="DA61" s="3562">
        <v>43393.65</v>
      </c>
      <c r="DB61" s="3561">
        <f t="shared" si="57"/>
        <v>0</v>
      </c>
      <c r="DC61" s="3559">
        <v>8637.09</v>
      </c>
      <c r="DD61" s="3562">
        <v>8637.09</v>
      </c>
      <c r="DE61" s="3561">
        <f t="shared" si="58"/>
        <v>0</v>
      </c>
      <c r="DF61" s="3630" t="s">
        <v>4328</v>
      </c>
      <c r="DG61" s="3547"/>
      <c r="DH61" s="3609"/>
      <c r="DI61" s="3562"/>
      <c r="DJ61" s="3561">
        <f t="shared" si="59"/>
        <v>0</v>
      </c>
      <c r="DK61" s="3559"/>
      <c r="DL61" s="3562"/>
      <c r="DM61" s="3561">
        <f t="shared" si="60"/>
        <v>0</v>
      </c>
      <c r="DN61" s="3563"/>
      <c r="DO61" s="3547"/>
      <c r="DP61" s="3609"/>
      <c r="DQ61" s="3562"/>
      <c r="DR61" s="3561">
        <f t="shared" si="61"/>
        <v>0</v>
      </c>
      <c r="DS61" s="3559"/>
      <c r="DT61" s="3562"/>
      <c r="DU61" s="3561">
        <f t="shared" si="62"/>
        <v>0</v>
      </c>
      <c r="DV61" s="3563"/>
      <c r="DW61" s="3547"/>
      <c r="DX61" s="3609"/>
      <c r="DY61" s="3562"/>
      <c r="DZ61" s="3561">
        <f t="shared" si="63"/>
        <v>0</v>
      </c>
      <c r="EA61" s="3559"/>
      <c r="EB61" s="3562"/>
      <c r="EC61" s="3561">
        <f t="shared" si="64"/>
        <v>0</v>
      </c>
      <c r="ED61" s="3563"/>
      <c r="EE61" s="3564"/>
      <c r="EF61" s="3565">
        <f t="shared" si="37"/>
        <v>205496.36917460355</v>
      </c>
      <c r="EG61" s="3565">
        <f t="shared" si="123"/>
        <v>154258.46869841299</v>
      </c>
      <c r="EH61" s="3565">
        <f t="shared" si="123"/>
        <v>125285.1697586432</v>
      </c>
      <c r="EI61" s="3565">
        <f t="shared" si="123"/>
        <v>125285.17286366603</v>
      </c>
      <c r="EJ61" s="3565">
        <f t="shared" si="38"/>
        <v>-28973.295834746968</v>
      </c>
      <c r="EK61" s="3566">
        <f t="shared" si="39"/>
        <v>3.1050228280946612E-3</v>
      </c>
      <c r="EL61" s="3610"/>
      <c r="EM61" s="3567">
        <f t="shared" si="40"/>
        <v>32592.847169811354</v>
      </c>
      <c r="EN61" s="3557">
        <f t="shared" si="124"/>
        <v>24444.635377358518</v>
      </c>
      <c r="EO61" s="3557">
        <f t="shared" si="124"/>
        <v>24444.595993796851</v>
      </c>
      <c r="EP61" s="3557">
        <f t="shared" si="124"/>
        <v>24444.593951925563</v>
      </c>
      <c r="EQ61" s="3557">
        <f t="shared" si="41"/>
        <v>-4.1425432955293218E-2</v>
      </c>
      <c r="ER61" s="3557">
        <f t="shared" si="42"/>
        <v>-2.0418712883838452E-3</v>
      </c>
      <c r="ES61" s="3557"/>
      <c r="ET61" s="3568">
        <v>17624.067428571401</v>
      </c>
      <c r="EU61" s="3569">
        <f>19667.62*12/365*4/1.05+15918.85/1.05+(43393.65/3/1.05-43393.65/3*12/365*10/1.05)</f>
        <v>26870.817377690801</v>
      </c>
      <c r="EV61" s="3606">
        <f>18505.28/1.05+(43393.65/3/1.05-43393.65/3*12/365*10/1.05)</f>
        <v>26870.820482713632</v>
      </c>
      <c r="EW61" s="3547">
        <f t="shared" si="129"/>
        <v>9246.7530541422311</v>
      </c>
      <c r="EX61" s="3568">
        <v>2716.0705974842799</v>
      </c>
      <c r="EY61" s="3569">
        <f>2879.03*12/365*4/1.06+2555.63/1.06+(8637.09/3/1.06-8637.09/3*12/365*10/1.06)</f>
        <v>4591.2658051176013</v>
      </c>
      <c r="EZ61" s="3606">
        <f>2934.24/1.06++(8637.09/3/1.06-8637.09/3*12/365*10/1.06)</f>
        <v>4591.2637632463166</v>
      </c>
      <c r="FA61" s="3547">
        <f t="shared" si="130"/>
        <v>1875.1931657620366</v>
      </c>
      <c r="FB61" s="3568">
        <v>17079.300158730199</v>
      </c>
      <c r="FC61" s="3592">
        <f>43393.65/3/1.05-12381.33/1.05</f>
        <v>1984.0190476190473</v>
      </c>
      <c r="FD61" s="3606">
        <f>43393.65/3/1.05-12381.33/1.05</f>
        <v>1984.0190476190473</v>
      </c>
      <c r="FE61" s="3547">
        <f t="shared" si="117"/>
        <v>-15095.281111111151</v>
      </c>
      <c r="FF61" s="3568">
        <v>2716.0705974842799</v>
      </c>
      <c r="FG61" s="3592">
        <f>8637.09/3/1.06-1987.71/1.06</f>
        <v>840.86792452830196</v>
      </c>
      <c r="FH61" s="3606">
        <f>8637.09/3/1.06-1987.71/1.06</f>
        <v>840.86792452830196</v>
      </c>
      <c r="FI61" s="3547">
        <f t="shared" si="118"/>
        <v>-1875.202672955978</v>
      </c>
      <c r="FJ61" s="3568">
        <v>17079.300158730199</v>
      </c>
      <c r="FK61" s="3559">
        <f>43393.65/3/1.05</f>
        <v>13775.761904761905</v>
      </c>
      <c r="FL61" s="3562">
        <f>43393.65/3/1.05</f>
        <v>13775.761904761905</v>
      </c>
      <c r="FM61" s="3547">
        <f t="shared" si="119"/>
        <v>-3303.5382539682942</v>
      </c>
      <c r="FN61" s="3568">
        <v>2716.0705974842799</v>
      </c>
      <c r="FO61" s="3559">
        <f>8637.09/3/1.06</f>
        <v>2716.066037735849</v>
      </c>
      <c r="FP61" s="3562">
        <f>8637.09/3/1.06</f>
        <v>2716.066037735849</v>
      </c>
      <c r="FQ61" s="3547">
        <f t="shared" si="120"/>
        <v>-4.559748430892796E-3</v>
      </c>
      <c r="FR61" s="3568">
        <v>17079.300158730199</v>
      </c>
      <c r="FS61" s="3559">
        <f>43393.65/3/1.05*12/365*10+43393.65/3/1.05-43393.65/3/1.05*12/365*10</f>
        <v>13775.761904761905</v>
      </c>
      <c r="FT61" s="3560">
        <f>43393.65/3/1.05*12/365*10+43393.65/3/1.05-43393.65/3/1.05*12/365*10</f>
        <v>13775.761904761905</v>
      </c>
      <c r="FU61" s="3547">
        <f t="shared" si="69"/>
        <v>-3303.5382539682942</v>
      </c>
      <c r="FV61" s="3568">
        <v>2716.0705974842799</v>
      </c>
      <c r="FW61" s="3559">
        <f>8637.09/3/1.06*12/365*10+8637.09/3/1.06-8637.09/3/1.06*12/365*10</f>
        <v>2716.066037735849</v>
      </c>
      <c r="FX61" s="3560">
        <f>8637.09/3/1.06*12/365*10+8637.09/3/1.06-8637.09/3/1.06*12/365*10</f>
        <v>2716.066037735849</v>
      </c>
      <c r="FY61" s="3547">
        <f t="shared" si="70"/>
        <v>-4.559748430892796E-3</v>
      </c>
      <c r="FZ61" s="3568">
        <v>17079.300158730199</v>
      </c>
      <c r="GA61" s="3559">
        <f>43393.65/3/1.05</f>
        <v>13775.761904761905</v>
      </c>
      <c r="GB61" s="3560">
        <f>43393.65/3/1.05</f>
        <v>13775.761904761905</v>
      </c>
      <c r="GC61" s="3547">
        <f t="shared" si="71"/>
        <v>-3303.5382539682942</v>
      </c>
      <c r="GD61" s="3568">
        <v>2716.0705974842799</v>
      </c>
      <c r="GE61" s="3559">
        <f>8637.09/3/1.06</f>
        <v>2716.066037735849</v>
      </c>
      <c r="GF61" s="3560">
        <f>8637.09/1.06/3</f>
        <v>2716.066037735849</v>
      </c>
      <c r="GG61" s="3547">
        <f t="shared" si="72"/>
        <v>-4.559748430892796E-3</v>
      </c>
      <c r="GH61" s="3568">
        <v>17079.300158730199</v>
      </c>
      <c r="GI61" s="3559">
        <f>43393.65/3/1.05</f>
        <v>13775.761904761905</v>
      </c>
      <c r="GJ61" s="3560">
        <f>43393.65/3/1.05</f>
        <v>13775.761904761905</v>
      </c>
      <c r="GK61" s="3547">
        <f t="shared" si="73"/>
        <v>-3303.5382539682942</v>
      </c>
      <c r="GL61" s="3568">
        <v>2716.0705974842799</v>
      </c>
      <c r="GM61" s="3559">
        <f>8637.09/3/1.06</f>
        <v>2716.066037735849</v>
      </c>
      <c r="GN61" s="3560">
        <f>8637.09/1.06/3</f>
        <v>2716.066037735849</v>
      </c>
      <c r="GO61" s="3547">
        <f t="shared" si="74"/>
        <v>-4.559748430892796E-3</v>
      </c>
      <c r="GP61" s="3568">
        <v>17079.300158730199</v>
      </c>
      <c r="GQ61" s="3559">
        <f>43393.65/3/1.05*12/365*10+14464.55/1.05-14464.55/1.05*12/365*10</f>
        <v>13775.761904761901</v>
      </c>
      <c r="GR61" s="3560">
        <f>43393.65/3/1.05*12/365*10+43393.65/1.05/3-43393.65/1.05/3*12/365*10</f>
        <v>13775.761904761908</v>
      </c>
      <c r="GS61" s="3547">
        <f t="shared" si="75"/>
        <v>-3303.5382539682905</v>
      </c>
      <c r="GT61" s="3568">
        <v>2716.0705974842799</v>
      </c>
      <c r="GU61" s="3559">
        <f>8637.09/3/1.06*12/365*10+2879.03/1.06-2879.03/1.06*12/365*10</f>
        <v>2716.066037735849</v>
      </c>
      <c r="GV61" s="3560">
        <f>8637.09/1.06/3*12/365*10+8637.09/1.06/3-8637.09/1.06/3*12/365*10</f>
        <v>2716.066037735849</v>
      </c>
      <c r="GW61" s="3547">
        <f t="shared" si="76"/>
        <v>-4.559748430892796E-3</v>
      </c>
      <c r="GX61" s="3568">
        <v>17079.300158730199</v>
      </c>
      <c r="GY61" s="3569">
        <f>14464.55/1.05</f>
        <v>13775.761904761903</v>
      </c>
      <c r="GZ61" s="3562">
        <f>43393.65/1.05/3</f>
        <v>13775.761904761906</v>
      </c>
      <c r="HA61" s="3547">
        <f t="shared" si="77"/>
        <v>-3303.5382539682923</v>
      </c>
      <c r="HB61" s="3568">
        <v>2716.0705974842799</v>
      </c>
      <c r="HC61" s="3569">
        <f>2879.03/1.06</f>
        <v>2716.066037735849</v>
      </c>
      <c r="HD61" s="3562">
        <f>8637.09/1.06/3</f>
        <v>2716.066037735849</v>
      </c>
      <c r="HE61" s="3547">
        <f t="shared" si="78"/>
        <v>-4.559748430892796E-3</v>
      </c>
      <c r="HF61" s="3568">
        <v>17079.300158730199</v>
      </c>
      <c r="HG61" s="3569">
        <f>14464.55/1.05</f>
        <v>13775.761904761903</v>
      </c>
      <c r="HH61" s="3562">
        <f>43393.65/1.05/3</f>
        <v>13775.761904761906</v>
      </c>
      <c r="HI61" s="3547">
        <f t="shared" si="79"/>
        <v>-3303.5382539682923</v>
      </c>
      <c r="HJ61" s="3568">
        <v>2716.0705974842799</v>
      </c>
      <c r="HK61" s="3569">
        <f>2879.03/1.06</f>
        <v>2716.066037735849</v>
      </c>
      <c r="HL61" s="3562">
        <f>8637.09/1.06/3</f>
        <v>2716.066037735849</v>
      </c>
      <c r="HM61" s="3547">
        <f t="shared" si="80"/>
        <v>-4.559748430892796E-3</v>
      </c>
      <c r="HN61" s="3568">
        <v>17079.300158730199</v>
      </c>
      <c r="HO61" s="3569">
        <f>14464.55/1.05</f>
        <v>13775.761904761903</v>
      </c>
      <c r="HP61" s="3562">
        <f>43393.65/1.05/3*12/365*10+43393.65/1.05/3-43393.65/1.05/3*12/365*10</f>
        <v>13775.761904761908</v>
      </c>
      <c r="HQ61" s="3547">
        <f t="shared" si="81"/>
        <v>-3303.5382539682905</v>
      </c>
      <c r="HR61" s="3568">
        <v>2716.0705974842799</v>
      </c>
      <c r="HS61" s="3569">
        <f>2879.03/1.06</f>
        <v>2716.066037735849</v>
      </c>
      <c r="HT61" s="3562">
        <f>8637.09/1.06/3*12/365*10+8637.09/1.06/3-8637.09/1.06/3*12/365*10</f>
        <v>2716.066037735849</v>
      </c>
      <c r="HU61" s="3547">
        <f t="shared" si="82"/>
        <v>-4.559748430892796E-3</v>
      </c>
      <c r="HV61" s="3568">
        <v>17079.300158730199</v>
      </c>
      <c r="HW61" s="3569">
        <f>14464.55/1.05</f>
        <v>13775.761904761903</v>
      </c>
      <c r="HX61" s="3562">
        <f>43393.65/1.05/3</f>
        <v>13775.761904761906</v>
      </c>
      <c r="HY61" s="3547">
        <f t="shared" si="83"/>
        <v>-3303.5382539682923</v>
      </c>
      <c r="HZ61" s="3568">
        <v>2716.0705974842799</v>
      </c>
      <c r="IA61" s="3569">
        <f>2879.03/1.06</f>
        <v>2716.066037735849</v>
      </c>
      <c r="IB61" s="3562">
        <f>8637.09/3/1.06</f>
        <v>2716.066037735849</v>
      </c>
      <c r="IC61" s="3547">
        <f t="shared" si="84"/>
        <v>-4.559748430892796E-3</v>
      </c>
      <c r="ID61" s="3568">
        <v>17079.300158730199</v>
      </c>
      <c r="IE61" s="3569">
        <f>14464.55/1.05</f>
        <v>13775.761904761903</v>
      </c>
      <c r="IF61" s="3562">
        <f>43393.65/1.05/3</f>
        <v>13775.761904761906</v>
      </c>
      <c r="IG61" s="3547">
        <f t="shared" si="85"/>
        <v>-3303.5382539682923</v>
      </c>
      <c r="IH61" s="3568">
        <v>2716.0705974842799</v>
      </c>
      <c r="II61" s="3569">
        <f>2879.03/1.06</f>
        <v>2716.066037735849</v>
      </c>
      <c r="IJ61" s="3562">
        <f>8637.09/3/1.06</f>
        <v>2716.066037735849</v>
      </c>
      <c r="IK61" s="3547">
        <f t="shared" si="86"/>
        <v>-4.559748430892796E-3</v>
      </c>
      <c r="IL61" s="3607" t="s">
        <v>4329</v>
      </c>
      <c r="IM61" s="3569">
        <f>14464.55/1.05*12/365*10</f>
        <v>4529.0176125244616</v>
      </c>
      <c r="IN61" s="3569">
        <f>2879.03/1.06*12/365*10</f>
        <v>892.95321788575859</v>
      </c>
      <c r="IO61" s="3607" t="s">
        <v>4329</v>
      </c>
      <c r="IP61" s="3560">
        <f t="shared" si="87"/>
        <v>4529.0176125244616</v>
      </c>
      <c r="IQ61" s="3562">
        <f>43393.65/1.05/3*12/365*10</f>
        <v>4529.0176125244616</v>
      </c>
      <c r="IR61" s="3568"/>
      <c r="IS61" s="3568"/>
      <c r="IT61" s="3568"/>
      <c r="IU61" s="3568"/>
      <c r="IV61" s="3568"/>
      <c r="IW61" s="3568"/>
      <c r="IX61" s="3568"/>
      <c r="IY61" s="3568"/>
      <c r="IZ61" s="3560"/>
      <c r="JA61" s="3560"/>
      <c r="JB61" s="3560"/>
      <c r="JC61" s="3560">
        <f t="shared" si="11"/>
        <v>892.95321788575859</v>
      </c>
      <c r="JD61" s="3562">
        <f>8637.09/3/1.06*12/365*10</f>
        <v>892.95321788575859</v>
      </c>
      <c r="JE61" s="3568"/>
      <c r="JF61" s="3568"/>
      <c r="JG61" s="3568"/>
      <c r="JH61" s="3568"/>
      <c r="JI61" s="3568"/>
      <c r="JJ61" s="3568"/>
      <c r="JK61" s="3568"/>
      <c r="JL61" s="3568"/>
      <c r="JM61" s="3568"/>
      <c r="JN61" s="3560"/>
      <c r="JO61" s="3560"/>
      <c r="JP61" s="3584" t="s">
        <v>4330</v>
      </c>
      <c r="JQ61" s="3583">
        <f>19667.62*12/365*4/1.05+15918.85/1.05</f>
        <v>17624.073085453358</v>
      </c>
      <c r="JR61" s="3583">
        <f>2879.03*12/365*4/1.06+2555.63/1.06</f>
        <v>2768.1529852675108</v>
      </c>
      <c r="JS61" s="3573">
        <f t="shared" si="28"/>
        <v>1.4551915228366852E-11</v>
      </c>
      <c r="JT61" s="3573">
        <f t="shared" si="35"/>
        <v>-1.0572875908110291E-11</v>
      </c>
      <c r="JU61" s="3574">
        <f t="shared" si="29"/>
        <v>-3.1050228571984917E-3</v>
      </c>
      <c r="JV61" s="3574">
        <f t="shared" si="30"/>
        <v>2.041871282926877E-3</v>
      </c>
      <c r="JW61" s="3575"/>
      <c r="JX61" s="3576">
        <f t="shared" si="31"/>
        <v>45856.303326810186</v>
      </c>
      <c r="JY61" s="3576">
        <f t="shared" si="32"/>
        <v>9041.151331093306</v>
      </c>
      <c r="JZ61" s="3577"/>
      <c r="KA61" s="3573">
        <f t="shared" si="131"/>
        <v>-3303.5428137167232</v>
      </c>
      <c r="KB61" s="3573"/>
      <c r="KC61" s="3573"/>
      <c r="KD61" s="3573">
        <f t="shared" si="33"/>
        <v>-3303.5428137167232</v>
      </c>
      <c r="KE61" s="3578" t="s">
        <v>3815</v>
      </c>
      <c r="KF61" s="3579"/>
      <c r="KG61" s="3579"/>
      <c r="KH61" s="3579"/>
      <c r="KI61" s="3579"/>
      <c r="KJ61" s="3579"/>
      <c r="KK61" s="3579"/>
      <c r="KL61" s="3579"/>
      <c r="KM61" s="3579">
        <f>-3303.54/10000*7</f>
        <v>-2.312478</v>
      </c>
      <c r="KN61" s="3579"/>
      <c r="KO61" s="3579"/>
      <c r="KP61" s="3579">
        <f>11121.95/10000-16970.48/10000</f>
        <v>-0.58485299999999985</v>
      </c>
      <c r="KQ61" s="3579">
        <f t="shared" si="34"/>
        <v>-2.8973309999999999</v>
      </c>
      <c r="KR61" s="3579">
        <f t="shared" si="88"/>
        <v>-2.726017992671359E-6</v>
      </c>
      <c r="KS61" s="3577"/>
      <c r="KT61" s="3577"/>
      <c r="KU61" s="3577"/>
      <c r="KV61" s="3577"/>
      <c r="KW61" s="3577"/>
      <c r="KX61" s="3577"/>
      <c r="KY61" s="3577"/>
      <c r="KZ61" s="3577"/>
      <c r="LA61" s="3577"/>
      <c r="LB61" s="3577"/>
      <c r="LC61" s="3577"/>
      <c r="LD61" s="3577"/>
      <c r="LE61" s="3577"/>
      <c r="LF61" s="3577"/>
      <c r="LG61" s="3577"/>
      <c r="LH61" s="3577"/>
      <c r="LJ61" s="3575"/>
      <c r="LK61" s="3626">
        <v>12</v>
      </c>
      <c r="LL61" s="3627">
        <v>22616.03</v>
      </c>
      <c r="LM61" s="3580" t="s">
        <v>4331</v>
      </c>
    </row>
    <row r="62" spans="1:325" s="3580" customFormat="1" ht="18" customHeight="1">
      <c r="A62" s="3545">
        <v>59</v>
      </c>
      <c r="B62" s="3546" t="s">
        <v>4279</v>
      </c>
      <c r="C62" s="3546" t="s">
        <v>4332</v>
      </c>
      <c r="D62" s="3547">
        <v>262.17</v>
      </c>
      <c r="E62" s="3548" t="s">
        <v>3842</v>
      </c>
      <c r="F62" s="3546" t="s">
        <v>3790</v>
      </c>
      <c r="G62" s="3546" t="s">
        <v>4333</v>
      </c>
      <c r="H62" s="3546"/>
      <c r="I62" s="3634"/>
      <c r="J62" s="3634"/>
      <c r="K62" s="3545" t="s">
        <v>3885</v>
      </c>
      <c r="L62" s="3555"/>
      <c r="M62" s="3551"/>
      <c r="N62" s="3551"/>
      <c r="O62" s="3551">
        <f t="shared" si="13"/>
        <v>0</v>
      </c>
      <c r="P62" s="3547"/>
      <c r="Q62" s="3547"/>
      <c r="R62" s="3547">
        <f t="shared" si="132"/>
        <v>0</v>
      </c>
      <c r="S62" s="3547">
        <f t="shared" si="125"/>
        <v>0</v>
      </c>
      <c r="T62" s="3552"/>
      <c r="U62" s="3553">
        <f t="shared" si="15"/>
        <v>0</v>
      </c>
      <c r="V62" s="3547"/>
      <c r="W62" s="3547">
        <f t="shared" si="126"/>
        <v>0</v>
      </c>
      <c r="X62" s="3658"/>
      <c r="Y62" s="3547">
        <f t="shared" si="17"/>
        <v>0</v>
      </c>
      <c r="Z62" s="3554"/>
      <c r="AA62" s="3555"/>
      <c r="AB62" s="3593"/>
      <c r="AC62" s="3556">
        <f t="shared" si="18"/>
        <v>0</v>
      </c>
      <c r="AD62" s="3556">
        <f t="shared" si="121"/>
        <v>0</v>
      </c>
      <c r="AE62" s="3556">
        <f t="shared" si="121"/>
        <v>0</v>
      </c>
      <c r="AF62" s="3556">
        <f t="shared" si="20"/>
        <v>0</v>
      </c>
      <c r="AG62" s="3556"/>
      <c r="AH62" s="3557">
        <f t="shared" si="21"/>
        <v>0</v>
      </c>
      <c r="AI62" s="3558">
        <f t="shared" si="122"/>
        <v>0</v>
      </c>
      <c r="AJ62" s="3558">
        <f t="shared" si="122"/>
        <v>0</v>
      </c>
      <c r="AK62" s="3557">
        <f t="shared" si="43"/>
        <v>0</v>
      </c>
      <c r="AL62" s="3557"/>
      <c r="AM62" s="3547"/>
      <c r="AN62" s="3609"/>
      <c r="AO62" s="3562"/>
      <c r="AP62" s="3561">
        <f t="shared" si="113"/>
        <v>0</v>
      </c>
      <c r="AQ62" s="3559"/>
      <c r="AR62" s="3562"/>
      <c r="AS62" s="3561">
        <f t="shared" si="127"/>
        <v>0</v>
      </c>
      <c r="AT62" s="3563" t="s">
        <v>4334</v>
      </c>
      <c r="AU62" s="3547"/>
      <c r="AV62" s="3609"/>
      <c r="AW62" s="3562"/>
      <c r="AX62" s="3561">
        <f t="shared" si="114"/>
        <v>0</v>
      </c>
      <c r="AY62" s="3559"/>
      <c r="AZ62" s="3562"/>
      <c r="BA62" s="3561">
        <f t="shared" si="128"/>
        <v>0</v>
      </c>
      <c r="BB62" s="3563" t="s">
        <v>4334</v>
      </c>
      <c r="BC62" s="3547"/>
      <c r="BD62" s="3609"/>
      <c r="BE62" s="3562"/>
      <c r="BF62" s="3561">
        <f t="shared" si="115"/>
        <v>0</v>
      </c>
      <c r="BG62" s="3559"/>
      <c r="BH62" s="3562"/>
      <c r="BI62" s="3561">
        <f t="shared" si="116"/>
        <v>0</v>
      </c>
      <c r="BJ62" s="3563" t="s">
        <v>4334</v>
      </c>
      <c r="BK62" s="3547"/>
      <c r="BL62" s="3609"/>
      <c r="BM62" s="3562"/>
      <c r="BN62" s="3561">
        <f t="shared" si="48"/>
        <v>0</v>
      </c>
      <c r="BO62" s="3559"/>
      <c r="BP62" s="3562"/>
      <c r="BQ62" s="3561">
        <f t="shared" si="49"/>
        <v>0</v>
      </c>
      <c r="BR62" s="3563" t="s">
        <v>4334</v>
      </c>
      <c r="BS62" s="3547"/>
      <c r="BT62" s="3559"/>
      <c r="BU62" s="3562"/>
      <c r="BV62" s="3561">
        <f t="shared" si="50"/>
        <v>0</v>
      </c>
      <c r="BW62" s="3559"/>
      <c r="BX62" s="3562"/>
      <c r="BY62" s="3561">
        <f t="shared" si="51"/>
        <v>0</v>
      </c>
      <c r="BZ62" s="3563" t="s">
        <v>4334</v>
      </c>
      <c r="CA62" s="3547"/>
      <c r="CB62" s="3609"/>
      <c r="CC62" s="3562"/>
      <c r="CD62" s="3561">
        <f t="shared" si="52"/>
        <v>0</v>
      </c>
      <c r="CE62" s="3559"/>
      <c r="CF62" s="3562"/>
      <c r="CG62" s="3561">
        <f t="shared" si="53"/>
        <v>0</v>
      </c>
      <c r="CH62" s="3563" t="s">
        <v>4334</v>
      </c>
      <c r="CI62" s="3547"/>
      <c r="CJ62" s="3609"/>
      <c r="CK62" s="3562"/>
      <c r="CL62" s="3561">
        <f t="shared" si="5"/>
        <v>0</v>
      </c>
      <c r="CM62" s="3559"/>
      <c r="CN62" s="3562"/>
      <c r="CO62" s="3561">
        <f t="shared" si="54"/>
        <v>0</v>
      </c>
      <c r="CP62" s="3563" t="s">
        <v>4334</v>
      </c>
      <c r="CQ62" s="3547"/>
      <c r="CR62" s="3609"/>
      <c r="CS62" s="3562"/>
      <c r="CT62" s="3561">
        <f t="shared" si="55"/>
        <v>0</v>
      </c>
      <c r="CU62" s="3559"/>
      <c r="CV62" s="3562"/>
      <c r="CW62" s="3561">
        <f t="shared" si="56"/>
        <v>0</v>
      </c>
      <c r="CX62" s="3563" t="s">
        <v>4334</v>
      </c>
      <c r="CY62" s="3597"/>
      <c r="CZ62" s="3609"/>
      <c r="DA62" s="3562"/>
      <c r="DB62" s="3561">
        <f t="shared" si="57"/>
        <v>0</v>
      </c>
      <c r="DC62" s="3559"/>
      <c r="DD62" s="3562"/>
      <c r="DE62" s="3561">
        <f t="shared" si="58"/>
        <v>0</v>
      </c>
      <c r="DF62" s="3563" t="s">
        <v>4334</v>
      </c>
      <c r="DG62" s="3547"/>
      <c r="DH62" s="3609"/>
      <c r="DI62" s="3562"/>
      <c r="DJ62" s="3561">
        <f t="shared" si="59"/>
        <v>0</v>
      </c>
      <c r="DK62" s="3559"/>
      <c r="DL62" s="3562"/>
      <c r="DM62" s="3561">
        <f t="shared" si="60"/>
        <v>0</v>
      </c>
      <c r="DN62" s="3563"/>
      <c r="DO62" s="3547"/>
      <c r="DP62" s="3609"/>
      <c r="DQ62" s="3562"/>
      <c r="DR62" s="3561">
        <f t="shared" si="61"/>
        <v>0</v>
      </c>
      <c r="DS62" s="3559"/>
      <c r="DT62" s="3562"/>
      <c r="DU62" s="3561">
        <f t="shared" si="62"/>
        <v>0</v>
      </c>
      <c r="DV62" s="3563"/>
      <c r="DW62" s="3547"/>
      <c r="DX62" s="3609"/>
      <c r="DY62" s="3562"/>
      <c r="DZ62" s="3561">
        <f t="shared" si="63"/>
        <v>0</v>
      </c>
      <c r="EA62" s="3559"/>
      <c r="EB62" s="3562"/>
      <c r="EC62" s="3561">
        <f t="shared" si="64"/>
        <v>0</v>
      </c>
      <c r="ED62" s="3563"/>
      <c r="EF62" s="3565">
        <f t="shared" si="37"/>
        <v>0</v>
      </c>
      <c r="EG62" s="3565">
        <f t="shared" si="123"/>
        <v>0</v>
      </c>
      <c r="EH62" s="3565">
        <f t="shared" si="123"/>
        <v>0</v>
      </c>
      <c r="EI62" s="3565">
        <f t="shared" si="123"/>
        <v>0</v>
      </c>
      <c r="EJ62" s="3565">
        <f t="shared" si="38"/>
        <v>0</v>
      </c>
      <c r="EK62" s="3566">
        <f t="shared" si="39"/>
        <v>0</v>
      </c>
      <c r="EL62" s="3610"/>
      <c r="EM62" s="3567">
        <f t="shared" si="40"/>
        <v>0</v>
      </c>
      <c r="EN62" s="3557">
        <f t="shared" si="124"/>
        <v>0</v>
      </c>
      <c r="EO62" s="3557">
        <f t="shared" si="124"/>
        <v>0</v>
      </c>
      <c r="EP62" s="3557">
        <f t="shared" si="124"/>
        <v>0</v>
      </c>
      <c r="EQ62" s="3557">
        <f t="shared" si="41"/>
        <v>0</v>
      </c>
      <c r="ER62" s="3557">
        <f t="shared" si="42"/>
        <v>0</v>
      </c>
      <c r="ES62" s="3557"/>
      <c r="ET62" s="3568"/>
      <c r="EU62" s="3569"/>
      <c r="EV62" s="3562"/>
      <c r="EW62" s="3547">
        <f t="shared" si="129"/>
        <v>0</v>
      </c>
      <c r="EX62" s="3568"/>
      <c r="EY62" s="3569"/>
      <c r="EZ62" s="3562"/>
      <c r="FA62" s="3547">
        <f t="shared" si="130"/>
        <v>0</v>
      </c>
      <c r="FB62" s="3568"/>
      <c r="FC62" s="3569"/>
      <c r="FD62" s="3562"/>
      <c r="FE62" s="3547">
        <f t="shared" si="117"/>
        <v>0</v>
      </c>
      <c r="FF62" s="3568"/>
      <c r="FG62" s="3569"/>
      <c r="FH62" s="3562"/>
      <c r="FI62" s="3547">
        <f t="shared" si="118"/>
        <v>0</v>
      </c>
      <c r="FJ62" s="3568"/>
      <c r="FK62" s="3559"/>
      <c r="FL62" s="3562"/>
      <c r="FM62" s="3547">
        <f t="shared" si="119"/>
        <v>0</v>
      </c>
      <c r="FN62" s="3568"/>
      <c r="FO62" s="3559"/>
      <c r="FP62" s="3562"/>
      <c r="FQ62" s="3547">
        <f t="shared" si="120"/>
        <v>0</v>
      </c>
      <c r="FR62" s="3568"/>
      <c r="FS62" s="3559"/>
      <c r="FT62" s="3560"/>
      <c r="FU62" s="3547">
        <f t="shared" si="69"/>
        <v>0</v>
      </c>
      <c r="FV62" s="3568"/>
      <c r="FW62" s="3559"/>
      <c r="FX62" s="3560"/>
      <c r="FY62" s="3547">
        <f t="shared" si="70"/>
        <v>0</v>
      </c>
      <c r="FZ62" s="3568"/>
      <c r="GA62" s="3569"/>
      <c r="GB62" s="3560"/>
      <c r="GC62" s="3547">
        <f t="shared" si="71"/>
        <v>0</v>
      </c>
      <c r="GD62" s="3568"/>
      <c r="GE62" s="3569"/>
      <c r="GF62" s="3560"/>
      <c r="GG62" s="3547">
        <f t="shared" si="72"/>
        <v>0</v>
      </c>
      <c r="GH62" s="3568"/>
      <c r="GI62" s="3569"/>
      <c r="GJ62" s="3560"/>
      <c r="GK62" s="3547">
        <f t="shared" si="73"/>
        <v>0</v>
      </c>
      <c r="GL62" s="3568"/>
      <c r="GM62" s="3569"/>
      <c r="GN62" s="3560"/>
      <c r="GO62" s="3547">
        <f t="shared" si="74"/>
        <v>0</v>
      </c>
      <c r="GP62" s="3568"/>
      <c r="GQ62" s="3569"/>
      <c r="GR62" s="3562"/>
      <c r="GS62" s="3547">
        <f t="shared" si="75"/>
        <v>0</v>
      </c>
      <c r="GT62" s="3568"/>
      <c r="GU62" s="3569"/>
      <c r="GV62" s="3562"/>
      <c r="GW62" s="3547">
        <f t="shared" si="76"/>
        <v>0</v>
      </c>
      <c r="GX62" s="3568"/>
      <c r="GY62" s="3569"/>
      <c r="GZ62" s="3562"/>
      <c r="HA62" s="3547">
        <f t="shared" si="77"/>
        <v>0</v>
      </c>
      <c r="HB62" s="3568"/>
      <c r="HC62" s="3569"/>
      <c r="HD62" s="3562"/>
      <c r="HE62" s="3547">
        <f t="shared" si="78"/>
        <v>0</v>
      </c>
      <c r="HF62" s="3568"/>
      <c r="HG62" s="3569"/>
      <c r="HH62" s="3562"/>
      <c r="HI62" s="3547">
        <f t="shared" si="79"/>
        <v>0</v>
      </c>
      <c r="HJ62" s="3568"/>
      <c r="HK62" s="3569"/>
      <c r="HL62" s="3562"/>
      <c r="HM62" s="3547">
        <f t="shared" si="80"/>
        <v>0</v>
      </c>
      <c r="HN62" s="3568"/>
      <c r="HO62" s="3569"/>
      <c r="HP62" s="3562"/>
      <c r="HQ62" s="3547">
        <f t="shared" si="81"/>
        <v>0</v>
      </c>
      <c r="HR62" s="3568"/>
      <c r="HS62" s="3569"/>
      <c r="HT62" s="3562"/>
      <c r="HU62" s="3547">
        <f t="shared" si="82"/>
        <v>0</v>
      </c>
      <c r="HV62" s="3568"/>
      <c r="HW62" s="3569"/>
      <c r="HX62" s="3562"/>
      <c r="HY62" s="3547">
        <f t="shared" si="83"/>
        <v>0</v>
      </c>
      <c r="HZ62" s="3568"/>
      <c r="IA62" s="3569"/>
      <c r="IB62" s="3562"/>
      <c r="IC62" s="3547">
        <f t="shared" si="84"/>
        <v>0</v>
      </c>
      <c r="ID62" s="3568"/>
      <c r="IE62" s="3569"/>
      <c r="IF62" s="3562"/>
      <c r="IG62" s="3547">
        <f t="shared" si="85"/>
        <v>0</v>
      </c>
      <c r="IH62" s="3568"/>
      <c r="II62" s="3569"/>
      <c r="IJ62" s="3562"/>
      <c r="IK62" s="3547">
        <f t="shared" si="86"/>
        <v>0</v>
      </c>
      <c r="IL62" s="3570"/>
      <c r="IM62" s="3569"/>
      <c r="IN62" s="3569"/>
      <c r="IO62" s="3547"/>
      <c r="IP62" s="3560">
        <f t="shared" si="87"/>
        <v>0</v>
      </c>
      <c r="IQ62" s="3568"/>
      <c r="IR62" s="3568"/>
      <c r="IS62" s="3568"/>
      <c r="IT62" s="3568"/>
      <c r="IU62" s="3568"/>
      <c r="IV62" s="3568"/>
      <c r="IW62" s="3568"/>
      <c r="IX62" s="3568"/>
      <c r="IY62" s="3568"/>
      <c r="IZ62" s="3560"/>
      <c r="JA62" s="3560"/>
      <c r="JB62" s="3560"/>
      <c r="JC62" s="3560">
        <f t="shared" si="11"/>
        <v>0</v>
      </c>
      <c r="JD62" s="3547"/>
      <c r="JE62" s="3568"/>
      <c r="JF62" s="3568"/>
      <c r="JG62" s="3568"/>
      <c r="JH62" s="3568"/>
      <c r="JI62" s="3568"/>
      <c r="JJ62" s="3568"/>
      <c r="JK62" s="3568"/>
      <c r="JL62" s="3568"/>
      <c r="JM62" s="3568"/>
      <c r="JN62" s="3560"/>
      <c r="JO62" s="3560"/>
      <c r="JP62" s="3570"/>
      <c r="JQ62" s="3583"/>
      <c r="JR62" s="3583"/>
      <c r="JS62" s="3573">
        <f t="shared" si="28"/>
        <v>0</v>
      </c>
      <c r="JT62" s="3573">
        <f t="shared" si="35"/>
        <v>0</v>
      </c>
      <c r="JU62" s="3574">
        <f t="shared" si="29"/>
        <v>0</v>
      </c>
      <c r="JV62" s="3574">
        <f t="shared" si="30"/>
        <v>0</v>
      </c>
      <c r="JW62" s="3575"/>
      <c r="JX62" s="3576">
        <f t="shared" si="31"/>
        <v>0</v>
      </c>
      <c r="JY62" s="3576">
        <f t="shared" si="32"/>
        <v>0</v>
      </c>
      <c r="JZ62" s="3577"/>
      <c r="KA62" s="3573">
        <f t="shared" si="131"/>
        <v>0</v>
      </c>
      <c r="KB62" s="3573"/>
      <c r="KC62" s="3573"/>
      <c r="KD62" s="3573">
        <f t="shared" si="33"/>
        <v>0</v>
      </c>
      <c r="KE62" s="3571"/>
      <c r="KF62" s="3579"/>
      <c r="KG62" s="3579"/>
      <c r="KH62" s="3579"/>
      <c r="KI62" s="3579"/>
      <c r="KJ62" s="3579"/>
      <c r="KK62" s="3579"/>
      <c r="KL62" s="3579"/>
      <c r="KM62" s="3579"/>
      <c r="KN62" s="3579"/>
      <c r="KO62" s="3579"/>
      <c r="KP62" s="3579"/>
      <c r="KQ62" s="3579">
        <f t="shared" si="34"/>
        <v>0</v>
      </c>
      <c r="KR62" s="3579">
        <f t="shared" si="88"/>
        <v>0</v>
      </c>
      <c r="KS62" s="3577"/>
      <c r="KT62" s="3577"/>
      <c r="KU62" s="3577"/>
      <c r="KV62" s="3577"/>
      <c r="KW62" s="3577"/>
      <c r="KX62" s="3577"/>
      <c r="KY62" s="3577"/>
      <c r="KZ62" s="3577"/>
      <c r="LA62" s="3577"/>
      <c r="LB62" s="3577"/>
      <c r="LC62" s="3577"/>
      <c r="LD62" s="3577"/>
      <c r="LE62" s="3577"/>
      <c r="LF62" s="3577"/>
      <c r="LG62" s="3577"/>
      <c r="LH62" s="3577"/>
      <c r="LJ62" s="3575"/>
      <c r="LK62" s="3571"/>
      <c r="LL62" s="3576"/>
    </row>
    <row r="63" spans="1:325" s="3580" customFormat="1" ht="18" customHeight="1">
      <c r="A63" s="3545">
        <v>60</v>
      </c>
      <c r="B63" s="3546" t="s">
        <v>4279</v>
      </c>
      <c r="C63" s="3667" t="s">
        <v>4335</v>
      </c>
      <c r="D63" s="3562">
        <f>11.9+14.6-11.9</f>
        <v>14.6</v>
      </c>
      <c r="E63" s="3596" t="s">
        <v>3845</v>
      </c>
      <c r="F63" s="3546" t="s">
        <v>3790</v>
      </c>
      <c r="G63" s="3595" t="s">
        <v>4336</v>
      </c>
      <c r="H63" s="3546"/>
      <c r="I63" s="3634"/>
      <c r="J63" s="3634"/>
      <c r="K63" s="3545"/>
      <c r="L63" s="3555"/>
      <c r="M63" s="3551"/>
      <c r="N63" s="3551"/>
      <c r="O63" s="3551">
        <f t="shared" si="13"/>
        <v>0</v>
      </c>
      <c r="P63" s="3547"/>
      <c r="Q63" s="3547"/>
      <c r="R63" s="3547">
        <f t="shared" si="132"/>
        <v>0</v>
      </c>
      <c r="S63" s="3547">
        <f t="shared" si="125"/>
        <v>0</v>
      </c>
      <c r="T63" s="3552"/>
      <c r="U63" s="3553">
        <f t="shared" si="15"/>
        <v>0</v>
      </c>
      <c r="V63" s="3547"/>
      <c r="W63" s="3547">
        <f t="shared" si="126"/>
        <v>0</v>
      </c>
      <c r="X63" s="3658"/>
      <c r="Y63" s="3547">
        <f t="shared" si="17"/>
        <v>0</v>
      </c>
      <c r="Z63" s="3554"/>
      <c r="AA63" s="3555"/>
      <c r="AB63" s="3593"/>
      <c r="AC63" s="3556">
        <f t="shared" si="18"/>
        <v>0</v>
      </c>
      <c r="AD63" s="3556">
        <f t="shared" si="121"/>
        <v>0</v>
      </c>
      <c r="AE63" s="3556">
        <f t="shared" si="121"/>
        <v>0</v>
      </c>
      <c r="AF63" s="3556">
        <f t="shared" si="20"/>
        <v>0</v>
      </c>
      <c r="AG63" s="3556"/>
      <c r="AH63" s="3557">
        <f t="shared" si="21"/>
        <v>0</v>
      </c>
      <c r="AI63" s="3558">
        <f t="shared" si="122"/>
        <v>0</v>
      </c>
      <c r="AJ63" s="3558">
        <f t="shared" si="122"/>
        <v>0</v>
      </c>
      <c r="AK63" s="3557">
        <f t="shared" si="43"/>
        <v>0</v>
      </c>
      <c r="AL63" s="3557"/>
      <c r="AM63" s="3547"/>
      <c r="AN63" s="3609"/>
      <c r="AO63" s="3562"/>
      <c r="AP63" s="3561">
        <f t="shared" si="113"/>
        <v>0</v>
      </c>
      <c r="AQ63" s="3559"/>
      <c r="AR63" s="3562"/>
      <c r="AS63" s="3561">
        <f t="shared" si="127"/>
        <v>0</v>
      </c>
      <c r="AT63" s="3563"/>
      <c r="AU63" s="3547"/>
      <c r="AV63" s="3609"/>
      <c r="AW63" s="3562"/>
      <c r="AX63" s="3561">
        <f t="shared" si="114"/>
        <v>0</v>
      </c>
      <c r="AY63" s="3559"/>
      <c r="AZ63" s="3562"/>
      <c r="BA63" s="3561">
        <f t="shared" si="128"/>
        <v>0</v>
      </c>
      <c r="BB63" s="3563"/>
      <c r="BC63" s="3547"/>
      <c r="BD63" s="3609"/>
      <c r="BE63" s="3562"/>
      <c r="BF63" s="3561">
        <f t="shared" si="115"/>
        <v>0</v>
      </c>
      <c r="BG63" s="3559"/>
      <c r="BH63" s="3562"/>
      <c r="BI63" s="3561">
        <f t="shared" si="116"/>
        <v>0</v>
      </c>
      <c r="BJ63" s="3563"/>
      <c r="BK63" s="3547"/>
      <c r="BL63" s="3609"/>
      <c r="BM63" s="3562"/>
      <c r="BN63" s="3561">
        <f t="shared" si="48"/>
        <v>0</v>
      </c>
      <c r="BO63" s="3559"/>
      <c r="BP63" s="3562"/>
      <c r="BQ63" s="3561">
        <f t="shared" si="49"/>
        <v>0</v>
      </c>
      <c r="BR63" s="3563"/>
      <c r="BS63" s="3547"/>
      <c r="BT63" s="3559"/>
      <c r="BU63" s="3562"/>
      <c r="BV63" s="3561">
        <f t="shared" si="50"/>
        <v>0</v>
      </c>
      <c r="BW63" s="3559"/>
      <c r="BX63" s="3562"/>
      <c r="BY63" s="3561">
        <f t="shared" si="51"/>
        <v>0</v>
      </c>
      <c r="BZ63" s="3563"/>
      <c r="CA63" s="3547"/>
      <c r="CB63" s="3621"/>
      <c r="CC63" s="3603"/>
      <c r="CD63" s="3602">
        <f t="shared" si="52"/>
        <v>0</v>
      </c>
      <c r="CE63" s="3604"/>
      <c r="CF63" s="3562"/>
      <c r="CG63" s="3561">
        <f t="shared" si="53"/>
        <v>0</v>
      </c>
      <c r="CH63" s="3563"/>
      <c r="CI63" s="3547"/>
      <c r="CJ63" s="3609"/>
      <c r="CK63" s="3562"/>
      <c r="CL63" s="3561">
        <f t="shared" si="5"/>
        <v>0</v>
      </c>
      <c r="CM63" s="3559"/>
      <c r="CN63" s="3562"/>
      <c r="CO63" s="3561">
        <f t="shared" si="54"/>
        <v>0</v>
      </c>
      <c r="CP63" s="3563"/>
      <c r="CQ63" s="3547"/>
      <c r="CR63" s="3609"/>
      <c r="CS63" s="3562"/>
      <c r="CT63" s="3561">
        <f t="shared" si="55"/>
        <v>0</v>
      </c>
      <c r="CU63" s="3559"/>
      <c r="CV63" s="3562"/>
      <c r="CW63" s="3561">
        <f t="shared" si="56"/>
        <v>0</v>
      </c>
      <c r="CX63" s="3563"/>
      <c r="CY63" s="3547"/>
      <c r="CZ63" s="3609"/>
      <c r="DA63" s="3562"/>
      <c r="DB63" s="3561">
        <f t="shared" si="57"/>
        <v>0</v>
      </c>
      <c r="DC63" s="3559"/>
      <c r="DD63" s="3562"/>
      <c r="DE63" s="3561">
        <f t="shared" si="58"/>
        <v>0</v>
      </c>
      <c r="DF63" s="3563"/>
      <c r="DG63" s="3547"/>
      <c r="DH63" s="3609"/>
      <c r="DI63" s="3562"/>
      <c r="DJ63" s="3561">
        <f t="shared" si="59"/>
        <v>0</v>
      </c>
      <c r="DK63" s="3559"/>
      <c r="DL63" s="3562"/>
      <c r="DM63" s="3561">
        <f t="shared" si="60"/>
        <v>0</v>
      </c>
      <c r="DN63" s="3563"/>
      <c r="DO63" s="3547"/>
      <c r="DP63" s="3609"/>
      <c r="DQ63" s="3562"/>
      <c r="DR63" s="3561">
        <f t="shared" si="61"/>
        <v>0</v>
      </c>
      <c r="DS63" s="3559"/>
      <c r="DT63" s="3562"/>
      <c r="DU63" s="3561">
        <f t="shared" si="62"/>
        <v>0</v>
      </c>
      <c r="DV63" s="3563"/>
      <c r="DW63" s="3547"/>
      <c r="DX63" s="3609"/>
      <c r="DY63" s="3562"/>
      <c r="DZ63" s="3561">
        <f t="shared" si="63"/>
        <v>0</v>
      </c>
      <c r="EA63" s="3559"/>
      <c r="EB63" s="3562"/>
      <c r="EC63" s="3561">
        <f t="shared" si="64"/>
        <v>0</v>
      </c>
      <c r="ED63" s="3563"/>
      <c r="EF63" s="3565">
        <f t="shared" si="37"/>
        <v>0</v>
      </c>
      <c r="EG63" s="3565">
        <f t="shared" si="123"/>
        <v>0</v>
      </c>
      <c r="EH63" s="3565">
        <f t="shared" si="123"/>
        <v>0</v>
      </c>
      <c r="EI63" s="3565">
        <f t="shared" si="123"/>
        <v>0</v>
      </c>
      <c r="EJ63" s="3565">
        <f t="shared" si="38"/>
        <v>0</v>
      </c>
      <c r="EK63" s="3566">
        <f t="shared" si="39"/>
        <v>0</v>
      </c>
      <c r="EL63" s="3610"/>
      <c r="EM63" s="3567">
        <f t="shared" si="40"/>
        <v>0</v>
      </c>
      <c r="EN63" s="3557">
        <f t="shared" si="124"/>
        <v>0</v>
      </c>
      <c r="EO63" s="3557">
        <f t="shared" si="124"/>
        <v>0</v>
      </c>
      <c r="EP63" s="3557">
        <f t="shared" si="124"/>
        <v>0</v>
      </c>
      <c r="EQ63" s="3557">
        <f t="shared" si="41"/>
        <v>0</v>
      </c>
      <c r="ER63" s="3557">
        <f t="shared" si="42"/>
        <v>0</v>
      </c>
      <c r="ES63" s="3557"/>
      <c r="ET63" s="3568"/>
      <c r="EU63" s="3569"/>
      <c r="EV63" s="3562"/>
      <c r="EW63" s="3547">
        <f t="shared" si="129"/>
        <v>0</v>
      </c>
      <c r="EX63" s="3568"/>
      <c r="EY63" s="3569"/>
      <c r="EZ63" s="3562"/>
      <c r="FA63" s="3547">
        <f t="shared" si="130"/>
        <v>0</v>
      </c>
      <c r="FB63" s="3568"/>
      <c r="FC63" s="3569"/>
      <c r="FD63" s="3562"/>
      <c r="FE63" s="3547">
        <f t="shared" si="117"/>
        <v>0</v>
      </c>
      <c r="FF63" s="3568"/>
      <c r="FG63" s="3569"/>
      <c r="FH63" s="3562"/>
      <c r="FI63" s="3547">
        <f t="shared" si="118"/>
        <v>0</v>
      </c>
      <c r="FJ63" s="3568"/>
      <c r="FK63" s="3559"/>
      <c r="FL63" s="3562"/>
      <c r="FM63" s="3547">
        <f t="shared" si="119"/>
        <v>0</v>
      </c>
      <c r="FN63" s="3568"/>
      <c r="FO63" s="3559"/>
      <c r="FP63" s="3562"/>
      <c r="FQ63" s="3547">
        <f t="shared" si="120"/>
        <v>0</v>
      </c>
      <c r="FR63" s="3568"/>
      <c r="FS63" s="3559"/>
      <c r="FT63" s="3560"/>
      <c r="FU63" s="3547">
        <f t="shared" si="69"/>
        <v>0</v>
      </c>
      <c r="FV63" s="3568"/>
      <c r="FW63" s="3559"/>
      <c r="FX63" s="3560"/>
      <c r="FY63" s="3547">
        <f t="shared" si="70"/>
        <v>0</v>
      </c>
      <c r="FZ63" s="3568"/>
      <c r="GA63" s="3569"/>
      <c r="GB63" s="3560"/>
      <c r="GC63" s="3547">
        <f t="shared" si="71"/>
        <v>0</v>
      </c>
      <c r="GD63" s="3568"/>
      <c r="GE63" s="3569"/>
      <c r="GF63" s="3560"/>
      <c r="GG63" s="3547">
        <f t="shared" si="72"/>
        <v>0</v>
      </c>
      <c r="GH63" s="3568"/>
      <c r="GI63" s="3569"/>
      <c r="GJ63" s="3560"/>
      <c r="GK63" s="3547">
        <f t="shared" si="73"/>
        <v>0</v>
      </c>
      <c r="GL63" s="3568"/>
      <c r="GM63" s="3569"/>
      <c r="GN63" s="3560"/>
      <c r="GO63" s="3547">
        <f t="shared" si="74"/>
        <v>0</v>
      </c>
      <c r="GP63" s="3568"/>
      <c r="GQ63" s="3569"/>
      <c r="GR63" s="3562"/>
      <c r="GS63" s="3547">
        <f t="shared" si="75"/>
        <v>0</v>
      </c>
      <c r="GT63" s="3568"/>
      <c r="GU63" s="3569"/>
      <c r="GV63" s="3562"/>
      <c r="GW63" s="3547">
        <f t="shared" si="76"/>
        <v>0</v>
      </c>
      <c r="GX63" s="3568"/>
      <c r="GY63" s="3569"/>
      <c r="GZ63" s="3562"/>
      <c r="HA63" s="3547">
        <f t="shared" si="77"/>
        <v>0</v>
      </c>
      <c r="HB63" s="3568"/>
      <c r="HC63" s="3569"/>
      <c r="HD63" s="3562"/>
      <c r="HE63" s="3547">
        <f t="shared" si="78"/>
        <v>0</v>
      </c>
      <c r="HF63" s="3568"/>
      <c r="HG63" s="3569"/>
      <c r="HH63" s="3562"/>
      <c r="HI63" s="3547">
        <f t="shared" si="79"/>
        <v>0</v>
      </c>
      <c r="HJ63" s="3568"/>
      <c r="HK63" s="3569"/>
      <c r="HL63" s="3562"/>
      <c r="HM63" s="3547">
        <f t="shared" si="80"/>
        <v>0</v>
      </c>
      <c r="HN63" s="3568"/>
      <c r="HO63" s="3569"/>
      <c r="HP63" s="3562"/>
      <c r="HQ63" s="3547">
        <f t="shared" si="81"/>
        <v>0</v>
      </c>
      <c r="HR63" s="3568"/>
      <c r="HS63" s="3569"/>
      <c r="HT63" s="3562"/>
      <c r="HU63" s="3547">
        <f t="shared" si="82"/>
        <v>0</v>
      </c>
      <c r="HV63" s="3568"/>
      <c r="HW63" s="3569"/>
      <c r="HX63" s="3562"/>
      <c r="HY63" s="3547">
        <f t="shared" si="83"/>
        <v>0</v>
      </c>
      <c r="HZ63" s="3568"/>
      <c r="IA63" s="3569"/>
      <c r="IB63" s="3562"/>
      <c r="IC63" s="3547">
        <f t="shared" si="84"/>
        <v>0</v>
      </c>
      <c r="ID63" s="3568"/>
      <c r="IE63" s="3569"/>
      <c r="IF63" s="3562"/>
      <c r="IG63" s="3547">
        <f t="shared" si="85"/>
        <v>0</v>
      </c>
      <c r="IH63" s="3568"/>
      <c r="II63" s="3569"/>
      <c r="IJ63" s="3562"/>
      <c r="IK63" s="3547">
        <f t="shared" si="86"/>
        <v>0</v>
      </c>
      <c r="IL63" s="3570"/>
      <c r="IM63" s="3569"/>
      <c r="IN63" s="3569"/>
      <c r="IO63" s="3547"/>
      <c r="IP63" s="3560">
        <f t="shared" si="87"/>
        <v>0</v>
      </c>
      <c r="IQ63" s="3568"/>
      <c r="IR63" s="3568"/>
      <c r="IS63" s="3568"/>
      <c r="IT63" s="3568"/>
      <c r="IU63" s="3568"/>
      <c r="IV63" s="3568"/>
      <c r="IW63" s="3568"/>
      <c r="IX63" s="3568"/>
      <c r="IY63" s="3568"/>
      <c r="IZ63" s="3560"/>
      <c r="JA63" s="3560"/>
      <c r="JB63" s="3560"/>
      <c r="JC63" s="3560">
        <f t="shared" si="11"/>
        <v>0</v>
      </c>
      <c r="JD63" s="3547"/>
      <c r="JE63" s="3568"/>
      <c r="JF63" s="3568"/>
      <c r="JG63" s="3568"/>
      <c r="JH63" s="3568"/>
      <c r="JI63" s="3568"/>
      <c r="JJ63" s="3568"/>
      <c r="JK63" s="3568"/>
      <c r="JL63" s="3568"/>
      <c r="JM63" s="3568"/>
      <c r="JN63" s="3560"/>
      <c r="JO63" s="3560"/>
      <c r="JP63" s="3570"/>
      <c r="JQ63" s="3583"/>
      <c r="JR63" s="3583"/>
      <c r="JS63" s="3573">
        <f t="shared" si="28"/>
        <v>0</v>
      </c>
      <c r="JT63" s="3573">
        <f t="shared" si="35"/>
        <v>0</v>
      </c>
      <c r="JU63" s="3574">
        <f t="shared" si="29"/>
        <v>0</v>
      </c>
      <c r="JV63" s="3574">
        <f t="shared" si="30"/>
        <v>0</v>
      </c>
      <c r="JW63" s="3575"/>
      <c r="JX63" s="3576">
        <f t="shared" si="31"/>
        <v>0</v>
      </c>
      <c r="JY63" s="3576">
        <f t="shared" si="32"/>
        <v>0</v>
      </c>
      <c r="JZ63" s="3577"/>
      <c r="KA63" s="3573">
        <f t="shared" si="131"/>
        <v>0</v>
      </c>
      <c r="KB63" s="3573"/>
      <c r="KC63" s="3573"/>
      <c r="KD63" s="3573">
        <f t="shared" si="33"/>
        <v>0</v>
      </c>
      <c r="KE63" s="3571"/>
      <c r="KF63" s="3579"/>
      <c r="KG63" s="3579"/>
      <c r="KH63" s="3579"/>
      <c r="KI63" s="3579"/>
      <c r="KJ63" s="3579"/>
      <c r="KK63" s="3579"/>
      <c r="KL63" s="3579"/>
      <c r="KM63" s="3579"/>
      <c r="KN63" s="3579"/>
      <c r="KO63" s="3579"/>
      <c r="KP63" s="3579"/>
      <c r="KQ63" s="3579">
        <f t="shared" si="34"/>
        <v>0</v>
      </c>
      <c r="KR63" s="3579">
        <f t="shared" si="88"/>
        <v>0</v>
      </c>
      <c r="KS63" s="3577"/>
      <c r="KT63" s="3577"/>
      <c r="KU63" s="3577"/>
      <c r="KV63" s="3577"/>
      <c r="KW63" s="3577"/>
      <c r="KX63" s="3577"/>
      <c r="KY63" s="3577"/>
      <c r="KZ63" s="3577"/>
      <c r="LA63" s="3577"/>
      <c r="LB63" s="3577"/>
      <c r="LC63" s="3577"/>
      <c r="LD63" s="3577"/>
      <c r="LE63" s="3577"/>
      <c r="LF63" s="3577"/>
      <c r="LG63" s="3577"/>
      <c r="LH63" s="3577"/>
      <c r="LJ63" s="3575"/>
      <c r="LK63" s="3571"/>
      <c r="LL63" s="3576"/>
    </row>
    <row r="64" spans="1:325" s="3580" customFormat="1" ht="18" customHeight="1">
      <c r="A64" s="3545">
        <v>61</v>
      </c>
      <c r="B64" s="3546" t="s">
        <v>4279</v>
      </c>
      <c r="C64" s="3546" t="s">
        <v>4337</v>
      </c>
      <c r="D64" s="3547">
        <v>11.9</v>
      </c>
      <c r="E64" s="3548" t="s">
        <v>3799</v>
      </c>
      <c r="F64" s="3546" t="s">
        <v>3790</v>
      </c>
      <c r="G64" s="3549" t="s">
        <v>4338</v>
      </c>
      <c r="H64" s="3546" t="s">
        <v>4339</v>
      </c>
      <c r="I64" s="3594" t="s">
        <v>4084</v>
      </c>
      <c r="J64" s="3594" t="s">
        <v>4085</v>
      </c>
      <c r="K64" s="3545" t="s">
        <v>3925</v>
      </c>
      <c r="L64" s="3555"/>
      <c r="M64" s="3551">
        <v>6699.84</v>
      </c>
      <c r="N64" s="3551">
        <v>8328.66</v>
      </c>
      <c r="O64" s="3551">
        <f t="shared" si="13"/>
        <v>1628.8199999999997</v>
      </c>
      <c r="P64" s="3547">
        <v>901.29</v>
      </c>
      <c r="Q64" s="3547">
        <v>901.29</v>
      </c>
      <c r="R64" s="3547">
        <f t="shared" si="132"/>
        <v>0</v>
      </c>
      <c r="S64" s="3547">
        <f t="shared" si="125"/>
        <v>6.1699919419822722</v>
      </c>
      <c r="T64" s="3552">
        <v>2233.2800000000002</v>
      </c>
      <c r="U64" s="3553">
        <f t="shared" si="15"/>
        <v>26799.360000000001</v>
      </c>
      <c r="V64" s="3547">
        <v>26799.360000000001</v>
      </c>
      <c r="W64" s="3547">
        <f t="shared" si="126"/>
        <v>0.83001266259928619</v>
      </c>
      <c r="X64" s="3663">
        <v>300.43</v>
      </c>
      <c r="Y64" s="3547">
        <f t="shared" si="17"/>
        <v>3605.16</v>
      </c>
      <c r="Z64" s="3554"/>
      <c r="AA64" s="3555"/>
      <c r="AB64" s="3552" t="s">
        <v>3804</v>
      </c>
      <c r="AC64" s="3556">
        <f t="shared" si="18"/>
        <v>26799.360000000001</v>
      </c>
      <c r="AD64" s="3556">
        <f t="shared" si="121"/>
        <v>20099.52</v>
      </c>
      <c r="AE64" s="3556">
        <f t="shared" si="121"/>
        <v>20099.52</v>
      </c>
      <c r="AF64" s="3556">
        <f t="shared" si="20"/>
        <v>0</v>
      </c>
      <c r="AG64" s="3556"/>
      <c r="AH64" s="3557">
        <f t="shared" si="21"/>
        <v>3605.16</v>
      </c>
      <c r="AI64" s="3558">
        <f t="shared" si="122"/>
        <v>2703.87</v>
      </c>
      <c r="AJ64" s="3558">
        <f t="shared" si="122"/>
        <v>2703.87</v>
      </c>
      <c r="AK64" s="3557">
        <f t="shared" si="43"/>
        <v>0</v>
      </c>
      <c r="AL64" s="3557"/>
      <c r="AM64" s="3547"/>
      <c r="AN64" s="3609"/>
      <c r="AO64" s="3562"/>
      <c r="AP64" s="3561">
        <f t="shared" si="113"/>
        <v>0</v>
      </c>
      <c r="AQ64" s="3559"/>
      <c r="AR64" s="3562"/>
      <c r="AS64" s="3561">
        <f t="shared" si="127"/>
        <v>0</v>
      </c>
      <c r="AT64" s="3563" t="s">
        <v>4340</v>
      </c>
      <c r="AU64" s="3547"/>
      <c r="AV64" s="3609"/>
      <c r="AW64" s="3562"/>
      <c r="AX64" s="3561">
        <f t="shared" si="114"/>
        <v>0</v>
      </c>
      <c r="AY64" s="3559"/>
      <c r="AZ64" s="3562"/>
      <c r="BA64" s="3561">
        <f t="shared" si="128"/>
        <v>0</v>
      </c>
      <c r="BB64" s="3563" t="s">
        <v>4340</v>
      </c>
      <c r="BC64" s="3547"/>
      <c r="BD64" s="3609"/>
      <c r="BE64" s="3562"/>
      <c r="BF64" s="3561">
        <f t="shared" si="115"/>
        <v>0</v>
      </c>
      <c r="BG64" s="3559"/>
      <c r="BH64" s="3562"/>
      <c r="BI64" s="3561">
        <f t="shared" si="116"/>
        <v>0</v>
      </c>
      <c r="BJ64" s="3563" t="s">
        <v>4340</v>
      </c>
      <c r="BK64" s="3547" t="s">
        <v>4087</v>
      </c>
      <c r="BL64" s="3609">
        <v>6699.84</v>
      </c>
      <c r="BM64" s="3603">
        <v>6699.84</v>
      </c>
      <c r="BN64" s="3602">
        <f t="shared" si="48"/>
        <v>0</v>
      </c>
      <c r="BO64" s="3604">
        <v>901.29</v>
      </c>
      <c r="BP64" s="3603">
        <f>901.29</f>
        <v>901.29</v>
      </c>
      <c r="BQ64" s="3561">
        <f t="shared" si="49"/>
        <v>0</v>
      </c>
      <c r="BR64" s="3563" t="s">
        <v>4088</v>
      </c>
      <c r="BS64" s="3547"/>
      <c r="BT64" s="3559"/>
      <c r="BU64" s="3562"/>
      <c r="BV64" s="3561">
        <f t="shared" si="50"/>
        <v>0</v>
      </c>
      <c r="BW64" s="3559"/>
      <c r="BX64" s="3562"/>
      <c r="BY64" s="3561">
        <f t="shared" si="51"/>
        <v>0</v>
      </c>
      <c r="BZ64" s="3563" t="s">
        <v>4088</v>
      </c>
      <c r="CA64" s="3547" t="s">
        <v>4089</v>
      </c>
      <c r="CB64" s="3621">
        <v>6699.84</v>
      </c>
      <c r="CC64" s="3603">
        <v>6699.84</v>
      </c>
      <c r="CD64" s="3602">
        <f t="shared" si="52"/>
        <v>0</v>
      </c>
      <c r="CE64" s="3604">
        <v>901.29</v>
      </c>
      <c r="CF64" s="3562">
        <v>901.29</v>
      </c>
      <c r="CG64" s="3561">
        <f t="shared" si="53"/>
        <v>0</v>
      </c>
      <c r="CH64" s="3563" t="s">
        <v>4341</v>
      </c>
      <c r="CI64" s="3547"/>
      <c r="CJ64" s="3609"/>
      <c r="CK64" s="3562"/>
      <c r="CL64" s="3561">
        <f t="shared" si="5"/>
        <v>0</v>
      </c>
      <c r="CM64" s="3559"/>
      <c r="CN64" s="3562"/>
      <c r="CO64" s="3561">
        <f t="shared" si="54"/>
        <v>0</v>
      </c>
      <c r="CP64" s="3563" t="s">
        <v>4341</v>
      </c>
      <c r="CQ64" s="3547"/>
      <c r="CR64" s="3609"/>
      <c r="CS64" s="3562"/>
      <c r="CT64" s="3561">
        <f t="shared" si="55"/>
        <v>0</v>
      </c>
      <c r="CU64" s="3604"/>
      <c r="CV64" s="3562"/>
      <c r="CW64" s="3561">
        <f t="shared" si="56"/>
        <v>0</v>
      </c>
      <c r="CX64" s="3563" t="s">
        <v>4341</v>
      </c>
      <c r="CY64" s="3547" t="s">
        <v>4091</v>
      </c>
      <c r="CZ64" s="3609">
        <v>6699.84</v>
      </c>
      <c r="DA64" s="3603">
        <v>6699.84</v>
      </c>
      <c r="DB64" s="3561">
        <f t="shared" si="57"/>
        <v>0</v>
      </c>
      <c r="DC64" s="3559">
        <v>901.29</v>
      </c>
      <c r="DD64" s="3603">
        <v>901.29</v>
      </c>
      <c r="DE64" s="3561">
        <f t="shared" si="58"/>
        <v>0</v>
      </c>
      <c r="DF64" s="3563" t="s">
        <v>4342</v>
      </c>
      <c r="DG64" s="3547"/>
      <c r="DH64" s="3609"/>
      <c r="DI64" s="3562"/>
      <c r="DJ64" s="3561">
        <f t="shared" si="59"/>
        <v>0</v>
      </c>
      <c r="DK64" s="3559"/>
      <c r="DL64" s="3562"/>
      <c r="DM64" s="3561">
        <f t="shared" si="60"/>
        <v>0</v>
      </c>
      <c r="DN64" s="3563"/>
      <c r="DO64" s="3547"/>
      <c r="DP64" s="3609"/>
      <c r="DQ64" s="3562"/>
      <c r="DR64" s="3561">
        <f t="shared" si="61"/>
        <v>0</v>
      </c>
      <c r="DS64" s="3559"/>
      <c r="DT64" s="3562"/>
      <c r="DU64" s="3561">
        <f t="shared" si="62"/>
        <v>0</v>
      </c>
      <c r="DV64" s="3563"/>
      <c r="DW64" s="3547" t="s">
        <v>4093</v>
      </c>
      <c r="DX64" s="3609">
        <v>6699.84</v>
      </c>
      <c r="DY64" s="3562"/>
      <c r="DZ64" s="3561">
        <f t="shared" si="63"/>
        <v>-6699.84</v>
      </c>
      <c r="EA64" s="3559">
        <v>901.29</v>
      </c>
      <c r="EB64" s="3562"/>
      <c r="EC64" s="3561">
        <f t="shared" si="64"/>
        <v>-901.29</v>
      </c>
      <c r="ED64" s="3563"/>
      <c r="EE64" s="3564"/>
      <c r="EF64" s="3565">
        <f t="shared" si="37"/>
        <v>16039.921428571442</v>
      </c>
      <c r="EG64" s="3565">
        <f t="shared" si="123"/>
        <v>11727.446428571431</v>
      </c>
      <c r="EH64" s="3565">
        <f t="shared" si="123"/>
        <v>20176.571428571431</v>
      </c>
      <c r="EI64" s="3565">
        <f t="shared" si="123"/>
        <v>20176.571428571435</v>
      </c>
      <c r="EJ64" s="3565">
        <f t="shared" si="38"/>
        <v>8449.1250000000036</v>
      </c>
      <c r="EK64" s="3566">
        <f t="shared" si="39"/>
        <v>0</v>
      </c>
      <c r="EL64" s="3610"/>
      <c r="EM64" s="3567">
        <f t="shared" si="40"/>
        <v>2550.7948113207567</v>
      </c>
      <c r="EN64" s="3557">
        <f t="shared" si="124"/>
        <v>1700.534198113209</v>
      </c>
      <c r="EO64" s="3557">
        <f t="shared" si="124"/>
        <v>2550.8207547169809</v>
      </c>
      <c r="EP64" s="3557">
        <f t="shared" si="124"/>
        <v>2550.8207547169809</v>
      </c>
      <c r="EQ64" s="3557">
        <f t="shared" si="41"/>
        <v>850.28655660377194</v>
      </c>
      <c r="ER64" s="3557">
        <f t="shared" si="42"/>
        <v>0</v>
      </c>
      <c r="ES64" s="3557"/>
      <c r="ET64" s="3568">
        <v>2471.6571428571401</v>
      </c>
      <c r="EU64" s="3569">
        <f>2595.24/1.05</f>
        <v>2471.6571428571424</v>
      </c>
      <c r="EV64" s="3562">
        <f>7785.72/3/1.05</f>
        <v>2471.6571428571428</v>
      </c>
      <c r="EW64" s="3547">
        <f t="shared" si="129"/>
        <v>0</v>
      </c>
      <c r="EX64" s="3568">
        <v>283.42452830188699</v>
      </c>
      <c r="EY64" s="3569">
        <f>300.43/1.06</f>
        <v>283.42452830188677</v>
      </c>
      <c r="EZ64" s="3562">
        <f>901.29/3/1.06</f>
        <v>283.42452830188677</v>
      </c>
      <c r="FA64" s="3547">
        <f t="shared" si="130"/>
        <v>0</v>
      </c>
      <c r="FB64" s="3568">
        <v>2471.6571428571401</v>
      </c>
      <c r="FC64" s="3569">
        <f>2595.24/1.05</f>
        <v>2471.6571428571424</v>
      </c>
      <c r="FD64" s="3562">
        <f>7785.72/3/1.05</f>
        <v>2471.6571428571428</v>
      </c>
      <c r="FE64" s="3547">
        <f t="shared" si="117"/>
        <v>0</v>
      </c>
      <c r="FF64" s="3568">
        <v>283.42452830188699</v>
      </c>
      <c r="FG64" s="3569">
        <f>300.43/1.06</f>
        <v>283.42452830188677</v>
      </c>
      <c r="FH64" s="3562">
        <f>901.29/3/1.06</f>
        <v>283.42452830188677</v>
      </c>
      <c r="FI64" s="3547">
        <f t="shared" si="118"/>
        <v>0</v>
      </c>
      <c r="FJ64" s="3568">
        <v>2471.6571428571401</v>
      </c>
      <c r="FK64" s="3559">
        <f>2595.24/1.05</f>
        <v>2471.6571428571424</v>
      </c>
      <c r="FL64" s="3562">
        <f>7785.72/3/1.05</f>
        <v>2471.6571428571428</v>
      </c>
      <c r="FM64" s="3547">
        <f t="shared" si="119"/>
        <v>0</v>
      </c>
      <c r="FN64" s="3568">
        <v>283.42452830188699</v>
      </c>
      <c r="FO64" s="3559">
        <f>300.43/1.06</f>
        <v>283.42452830188677</v>
      </c>
      <c r="FP64" s="3562">
        <f>901.29/3/1.06</f>
        <v>283.42452830188677</v>
      </c>
      <c r="FQ64" s="3547">
        <f t="shared" si="120"/>
        <v>0</v>
      </c>
      <c r="FR64" s="3568"/>
      <c r="FS64" s="3569">
        <f>2233.28/1.05</f>
        <v>2126.9333333333334</v>
      </c>
      <c r="FT64" s="3560">
        <f>6699.84/3/1.05</f>
        <v>2126.9333333333334</v>
      </c>
      <c r="FU64" s="3547">
        <f t="shared" si="69"/>
        <v>2126.9333333333334</v>
      </c>
      <c r="FV64" s="3568"/>
      <c r="FW64" s="3559">
        <f>300.43/1.06</f>
        <v>283.42452830188677</v>
      </c>
      <c r="FX64" s="3560">
        <f>901.29/3/1.06</f>
        <v>283.42452830188677</v>
      </c>
      <c r="FY64" s="3547">
        <f t="shared" si="70"/>
        <v>283.42452830188677</v>
      </c>
      <c r="FZ64" s="3568"/>
      <c r="GA64" s="3569">
        <f>2233.28/1.05</f>
        <v>2126.9333333333334</v>
      </c>
      <c r="GB64" s="3560">
        <f>6699.84/3/1.05</f>
        <v>2126.9333333333334</v>
      </c>
      <c r="GC64" s="3547">
        <f t="shared" si="71"/>
        <v>2126.9333333333334</v>
      </c>
      <c r="GD64" s="3568"/>
      <c r="GE64" s="3559">
        <f>300.43/1.06</f>
        <v>283.42452830188677</v>
      </c>
      <c r="GF64" s="3560">
        <f>901.29/3/1.06</f>
        <v>283.42452830188677</v>
      </c>
      <c r="GG64" s="3547">
        <f t="shared" si="72"/>
        <v>283.42452830188677</v>
      </c>
      <c r="GH64" s="3568"/>
      <c r="GI64" s="3569">
        <f>2233.28/1.05</f>
        <v>2126.9333333333334</v>
      </c>
      <c r="GJ64" s="3560">
        <f>6699.84/3/1.05</f>
        <v>2126.9333333333334</v>
      </c>
      <c r="GK64" s="3547">
        <f t="shared" si="73"/>
        <v>2126.9333333333334</v>
      </c>
      <c r="GL64" s="3568"/>
      <c r="GM64" s="3559">
        <f>300.43/1.06</f>
        <v>283.42452830188677</v>
      </c>
      <c r="GN64" s="3560">
        <f>901.29/3/1.06</f>
        <v>283.42452830188677</v>
      </c>
      <c r="GO64" s="3547">
        <f t="shared" si="74"/>
        <v>283.42452830188677</v>
      </c>
      <c r="GP64" s="3568">
        <v>1437.49166666667</v>
      </c>
      <c r="GQ64" s="3569">
        <f>2233.28/1.05</f>
        <v>2126.9333333333334</v>
      </c>
      <c r="GR64" s="3562">
        <f>6699.84/3/1.05</f>
        <v>2126.9333333333334</v>
      </c>
      <c r="GS64" s="3547">
        <f t="shared" si="75"/>
        <v>689.44166666666342</v>
      </c>
      <c r="GT64" s="3568">
        <v>283.42020440251599</v>
      </c>
      <c r="GU64" s="3559">
        <f>300.43/1.06</f>
        <v>283.42452830188677</v>
      </c>
      <c r="GV64" s="3562">
        <f>901.29/3/1.06</f>
        <v>283.42452830188677</v>
      </c>
      <c r="GW64" s="3547">
        <f t="shared" si="76"/>
        <v>4.3238993707745976E-3</v>
      </c>
      <c r="GX64" s="3568">
        <v>1437.49166666667</v>
      </c>
      <c r="GY64" s="3569">
        <f>2233.28/1.05</f>
        <v>2126.9333333333334</v>
      </c>
      <c r="GZ64" s="3562">
        <f>6699.84/3/1.05</f>
        <v>2126.9333333333334</v>
      </c>
      <c r="HA64" s="3547">
        <f t="shared" si="77"/>
        <v>689.44166666666342</v>
      </c>
      <c r="HB64" s="3568">
        <v>283.42020440251599</v>
      </c>
      <c r="HC64" s="3559">
        <f>300.43/1.06</f>
        <v>283.42452830188677</v>
      </c>
      <c r="HD64" s="3562">
        <f>901.29/3/1.06</f>
        <v>283.42452830188677</v>
      </c>
      <c r="HE64" s="3547">
        <f t="shared" si="78"/>
        <v>4.3238993707745976E-3</v>
      </c>
      <c r="HF64" s="3568">
        <v>1437.49166666667</v>
      </c>
      <c r="HG64" s="3569">
        <f>2233.28/1.05</f>
        <v>2126.9333333333334</v>
      </c>
      <c r="HH64" s="3562">
        <f>6699.84/3/1.05</f>
        <v>2126.9333333333334</v>
      </c>
      <c r="HI64" s="3547">
        <f t="shared" si="79"/>
        <v>689.44166666666342</v>
      </c>
      <c r="HJ64" s="3568">
        <v>283.42020440251599</v>
      </c>
      <c r="HK64" s="3559">
        <f>300.43/1.06</f>
        <v>283.42452830188677</v>
      </c>
      <c r="HL64" s="3562">
        <f>901.29/3/1.06</f>
        <v>283.42452830188677</v>
      </c>
      <c r="HM64" s="3547">
        <f t="shared" si="80"/>
        <v>4.3238993707745976E-3</v>
      </c>
      <c r="HN64" s="3568">
        <v>1437.49166666667</v>
      </c>
      <c r="HO64" s="3569">
        <f>2233.28/1.05</f>
        <v>2126.9333333333334</v>
      </c>
      <c r="HP64" s="3562">
        <f>6699.84/3/1.05</f>
        <v>2126.9333333333334</v>
      </c>
      <c r="HQ64" s="3547">
        <f t="shared" si="81"/>
        <v>689.44166666666342</v>
      </c>
      <c r="HR64" s="3568">
        <v>283.42020440251599</v>
      </c>
      <c r="HS64" s="3559">
        <f>300.43/1.06</f>
        <v>283.42452830188677</v>
      </c>
      <c r="HT64" s="3562">
        <f>901.29/3/1.06</f>
        <v>283.42452830188677</v>
      </c>
      <c r="HU64" s="3547">
        <f t="shared" si="82"/>
        <v>4.3238993707745976E-3</v>
      </c>
      <c r="HV64" s="3568">
        <v>1437.49166666667</v>
      </c>
      <c r="HW64" s="3569">
        <f>2233.28/1.05</f>
        <v>2126.9333333333334</v>
      </c>
      <c r="HX64" s="3562">
        <f>6699.84/3/1.05</f>
        <v>2126.9333333333334</v>
      </c>
      <c r="HY64" s="3547">
        <f t="shared" si="83"/>
        <v>689.44166666666342</v>
      </c>
      <c r="HZ64" s="3568">
        <v>283.42020440251599</v>
      </c>
      <c r="IA64" s="3559">
        <f>300.43/1.06</f>
        <v>283.42452830188677</v>
      </c>
      <c r="IB64" s="3562">
        <f>901.29/3/1.06</f>
        <v>283.42452830188677</v>
      </c>
      <c r="IC64" s="3547">
        <f t="shared" si="84"/>
        <v>4.3238993707745976E-3</v>
      </c>
      <c r="ID64" s="3568">
        <v>1437.49166666667</v>
      </c>
      <c r="IE64" s="3569">
        <f>2233.28/1.05</f>
        <v>2126.9333333333334</v>
      </c>
      <c r="IF64" s="3562">
        <f>6699.84/3/1.05</f>
        <v>2126.9333333333334</v>
      </c>
      <c r="IG64" s="3547">
        <f t="shared" si="85"/>
        <v>689.44166666666342</v>
      </c>
      <c r="IH64" s="3568">
        <v>283.42020440251599</v>
      </c>
      <c r="II64" s="3559">
        <f>300.43/1.06</f>
        <v>283.42452830188677</v>
      </c>
      <c r="IJ64" s="3562">
        <f>901.29/3/1.06</f>
        <v>283.42452830188677</v>
      </c>
      <c r="IK64" s="3547">
        <f t="shared" si="86"/>
        <v>4.3238993707745976E-3</v>
      </c>
      <c r="IL64" s="3547" t="s">
        <v>4093</v>
      </c>
      <c r="IM64" s="3569">
        <f>2233.28/1.05*3</f>
        <v>6380.8</v>
      </c>
      <c r="IN64" s="3559">
        <f>300.43/1.06*3</f>
        <v>850.2735849056603</v>
      </c>
      <c r="IO64" s="3547"/>
      <c r="IP64" s="3560">
        <f t="shared" si="87"/>
        <v>0</v>
      </c>
      <c r="IQ64" s="3568"/>
      <c r="IR64" s="3568"/>
      <c r="IS64" s="3568"/>
      <c r="IT64" s="3568"/>
      <c r="IU64" s="3568"/>
      <c r="IV64" s="3568"/>
      <c r="IW64" s="3568"/>
      <c r="IX64" s="3568"/>
      <c r="IY64" s="3568"/>
      <c r="IZ64" s="3560"/>
      <c r="JA64" s="3560"/>
      <c r="JB64" s="3560"/>
      <c r="JC64" s="3560">
        <f t="shared" si="11"/>
        <v>0</v>
      </c>
      <c r="JD64" s="3547"/>
      <c r="JE64" s="3568"/>
      <c r="JF64" s="3568"/>
      <c r="JG64" s="3568"/>
      <c r="JH64" s="3568"/>
      <c r="JI64" s="3568"/>
      <c r="JJ64" s="3568"/>
      <c r="JK64" s="3568"/>
      <c r="JL64" s="3568"/>
      <c r="JM64" s="3568"/>
      <c r="JN64" s="3560"/>
      <c r="JO64" s="3560"/>
      <c r="JP64" s="3607" t="s">
        <v>4094</v>
      </c>
      <c r="JQ64" s="3583">
        <f>7785.72/1.05</f>
        <v>7414.9714285714281</v>
      </c>
      <c r="JR64" s="3583">
        <f>901.29/1.06</f>
        <v>850.2735849056603</v>
      </c>
      <c r="JS64" s="3573">
        <f t="shared" si="28"/>
        <v>-8.1854523159563541E-12</v>
      </c>
      <c r="JT64" s="3573">
        <f t="shared" si="35"/>
        <v>0</v>
      </c>
      <c r="JU64" s="3574">
        <f t="shared" si="29"/>
        <v>-8.1854523159563541E-12</v>
      </c>
      <c r="JV64" s="3574">
        <f t="shared" si="30"/>
        <v>0</v>
      </c>
      <c r="JW64" s="3575"/>
      <c r="JX64" s="3576">
        <f t="shared" si="31"/>
        <v>6380.8</v>
      </c>
      <c r="JY64" s="3576">
        <f t="shared" si="32"/>
        <v>850.2735849056603</v>
      </c>
      <c r="JZ64" s="3577"/>
      <c r="KA64" s="3573">
        <f t="shared" si="131"/>
        <v>689.4459905660342</v>
      </c>
      <c r="KB64" s="3573"/>
      <c r="KC64" s="3573"/>
      <c r="KD64" s="3573">
        <f t="shared" si="33"/>
        <v>689.4459905660342</v>
      </c>
      <c r="KE64" s="3578" t="s">
        <v>4069</v>
      </c>
      <c r="KF64" s="3579"/>
      <c r="KG64" s="3579"/>
      <c r="KH64" s="3579">
        <f>2410.36/10000*3</f>
        <v>0.72310799999999997</v>
      </c>
      <c r="KI64" s="3579">
        <f>689.45/10000*3</f>
        <v>0.20683500000000002</v>
      </c>
      <c r="KJ64" s="3579"/>
      <c r="KK64" s="3579"/>
      <c r="KL64" s="3579"/>
      <c r="KM64" s="3579"/>
      <c r="KN64" s="3579"/>
      <c r="KO64" s="3579"/>
      <c r="KP64" s="3579"/>
      <c r="KQ64" s="3579">
        <f t="shared" si="34"/>
        <v>0.92994299999999996</v>
      </c>
      <c r="KR64" s="3579">
        <f t="shared" si="88"/>
        <v>-1.8443396223588593E-6</v>
      </c>
      <c r="KS64" s="3577"/>
      <c r="KT64" s="3577"/>
      <c r="KU64" s="3577"/>
      <c r="KV64" s="3577"/>
      <c r="KW64" s="3577"/>
      <c r="KX64" s="3577"/>
      <c r="KY64" s="3577"/>
      <c r="KZ64" s="3577"/>
      <c r="LA64" s="3577"/>
      <c r="LB64" s="3577"/>
      <c r="LC64" s="3577"/>
      <c r="LD64" s="3577"/>
      <c r="LE64" s="3577"/>
      <c r="LF64" s="3577"/>
      <c r="LG64" s="3577"/>
      <c r="LH64" s="3577"/>
      <c r="LJ64" s="3575"/>
      <c r="LK64" s="3626">
        <v>12</v>
      </c>
      <c r="LL64" s="3627">
        <v>2776.22</v>
      </c>
      <c r="LM64" s="3580" t="s">
        <v>4095</v>
      </c>
    </row>
    <row r="65" spans="1:325" s="3580" customFormat="1" ht="18" customHeight="1">
      <c r="A65" s="3545">
        <v>62</v>
      </c>
      <c r="B65" s="3546" t="s">
        <v>4279</v>
      </c>
      <c r="C65" s="3667" t="s">
        <v>4343</v>
      </c>
      <c r="D65" s="3562">
        <v>41.2</v>
      </c>
      <c r="E65" s="3596" t="s">
        <v>3845</v>
      </c>
      <c r="F65" s="3546" t="s">
        <v>3790</v>
      </c>
      <c r="G65" s="3595" t="s">
        <v>4344</v>
      </c>
      <c r="H65" s="3546"/>
      <c r="I65" s="3594"/>
      <c r="J65" s="3634"/>
      <c r="K65" s="3545" t="s">
        <v>3925</v>
      </c>
      <c r="L65" s="3555"/>
      <c r="M65" s="3551"/>
      <c r="N65" s="3551"/>
      <c r="O65" s="3551">
        <f t="shared" si="13"/>
        <v>0</v>
      </c>
      <c r="P65" s="3547"/>
      <c r="Q65" s="3547"/>
      <c r="R65" s="3547">
        <f t="shared" si="132"/>
        <v>0</v>
      </c>
      <c r="S65" s="3547">
        <f t="shared" si="125"/>
        <v>0</v>
      </c>
      <c r="T65" s="3552"/>
      <c r="U65" s="3553">
        <f t="shared" si="15"/>
        <v>0</v>
      </c>
      <c r="V65" s="3547"/>
      <c r="W65" s="3547">
        <f t="shared" si="126"/>
        <v>0</v>
      </c>
      <c r="X65" s="3663"/>
      <c r="Y65" s="3547">
        <f t="shared" si="17"/>
        <v>0</v>
      </c>
      <c r="Z65" s="3554"/>
      <c r="AA65" s="3555"/>
      <c r="AB65" s="3593"/>
      <c r="AC65" s="3556">
        <f t="shared" si="18"/>
        <v>0</v>
      </c>
      <c r="AD65" s="3556">
        <f t="shared" si="121"/>
        <v>0</v>
      </c>
      <c r="AE65" s="3556">
        <f t="shared" si="121"/>
        <v>0</v>
      </c>
      <c r="AF65" s="3556">
        <f t="shared" si="20"/>
        <v>0</v>
      </c>
      <c r="AG65" s="3556"/>
      <c r="AH65" s="3557">
        <f t="shared" si="21"/>
        <v>0</v>
      </c>
      <c r="AI65" s="3558">
        <f t="shared" si="122"/>
        <v>0</v>
      </c>
      <c r="AJ65" s="3558">
        <f t="shared" si="122"/>
        <v>0</v>
      </c>
      <c r="AK65" s="3557">
        <f t="shared" si="43"/>
        <v>0</v>
      </c>
      <c r="AL65" s="3557"/>
      <c r="AM65" s="3547"/>
      <c r="AN65" s="3609"/>
      <c r="AO65" s="3562"/>
      <c r="AP65" s="3561">
        <f t="shared" si="113"/>
        <v>0</v>
      </c>
      <c r="AQ65" s="3559"/>
      <c r="AR65" s="3562"/>
      <c r="AS65" s="3561">
        <f t="shared" si="127"/>
        <v>0</v>
      </c>
      <c r="AT65" s="3563" t="s">
        <v>4345</v>
      </c>
      <c r="AU65" s="3547"/>
      <c r="AV65" s="3609"/>
      <c r="AW65" s="3562"/>
      <c r="AX65" s="3561">
        <f t="shared" si="114"/>
        <v>0</v>
      </c>
      <c r="AY65" s="3559"/>
      <c r="AZ65" s="3562"/>
      <c r="BA65" s="3561">
        <f t="shared" si="128"/>
        <v>0</v>
      </c>
      <c r="BB65" s="3563" t="s">
        <v>4345</v>
      </c>
      <c r="BC65" s="3547"/>
      <c r="BD65" s="3609"/>
      <c r="BE65" s="3562"/>
      <c r="BF65" s="3561">
        <f t="shared" si="115"/>
        <v>0</v>
      </c>
      <c r="BG65" s="3559"/>
      <c r="BH65" s="3562"/>
      <c r="BI65" s="3561">
        <f t="shared" si="116"/>
        <v>0</v>
      </c>
      <c r="BJ65" s="3563" t="s">
        <v>4345</v>
      </c>
      <c r="BK65" s="3547"/>
      <c r="BL65" s="3609"/>
      <c r="BM65" s="3562"/>
      <c r="BN65" s="3561">
        <f t="shared" si="48"/>
        <v>0</v>
      </c>
      <c r="BO65" s="3559"/>
      <c r="BP65" s="3562"/>
      <c r="BQ65" s="3561">
        <f t="shared" si="49"/>
        <v>0</v>
      </c>
      <c r="BR65" s="3563" t="s">
        <v>4345</v>
      </c>
      <c r="BS65" s="3547"/>
      <c r="BT65" s="3559"/>
      <c r="BU65" s="3562"/>
      <c r="BV65" s="3561">
        <f t="shared" si="50"/>
        <v>0</v>
      </c>
      <c r="BW65" s="3559"/>
      <c r="BX65" s="3562"/>
      <c r="BY65" s="3561">
        <f t="shared" si="51"/>
        <v>0</v>
      </c>
      <c r="BZ65" s="3563" t="s">
        <v>4345</v>
      </c>
      <c r="CA65" s="3547"/>
      <c r="CB65" s="3621"/>
      <c r="CC65" s="3603"/>
      <c r="CD65" s="3602">
        <f t="shared" si="52"/>
        <v>0</v>
      </c>
      <c r="CE65" s="3604"/>
      <c r="CF65" s="3562"/>
      <c r="CG65" s="3561">
        <f t="shared" si="53"/>
        <v>0</v>
      </c>
      <c r="CH65" s="3563" t="s">
        <v>4345</v>
      </c>
      <c r="CI65" s="3547"/>
      <c r="CJ65" s="3609"/>
      <c r="CK65" s="3562"/>
      <c r="CL65" s="3561">
        <f t="shared" si="5"/>
        <v>0</v>
      </c>
      <c r="CM65" s="3559"/>
      <c r="CN65" s="3562"/>
      <c r="CO65" s="3561">
        <f t="shared" si="54"/>
        <v>0</v>
      </c>
      <c r="CP65" s="3563" t="s">
        <v>4345</v>
      </c>
      <c r="CQ65" s="3547"/>
      <c r="CR65" s="3609"/>
      <c r="CS65" s="3562"/>
      <c r="CT65" s="3561">
        <f t="shared" si="55"/>
        <v>0</v>
      </c>
      <c r="CU65" s="3604"/>
      <c r="CV65" s="3562"/>
      <c r="CW65" s="3561">
        <f t="shared" si="56"/>
        <v>0</v>
      </c>
      <c r="CX65" s="3563" t="s">
        <v>4345</v>
      </c>
      <c r="CY65" s="3547"/>
      <c r="CZ65" s="3609"/>
      <c r="DA65" s="3562"/>
      <c r="DB65" s="3561">
        <f t="shared" si="57"/>
        <v>0</v>
      </c>
      <c r="DC65" s="3559"/>
      <c r="DD65" s="3562"/>
      <c r="DE65" s="3561">
        <f t="shared" si="58"/>
        <v>0</v>
      </c>
      <c r="DF65" s="3563" t="s">
        <v>4345</v>
      </c>
      <c r="DG65" s="3547"/>
      <c r="DH65" s="3609"/>
      <c r="DI65" s="3562"/>
      <c r="DJ65" s="3561">
        <f t="shared" si="59"/>
        <v>0</v>
      </c>
      <c r="DK65" s="3559"/>
      <c r="DL65" s="3562"/>
      <c r="DM65" s="3561">
        <f t="shared" si="60"/>
        <v>0</v>
      </c>
      <c r="DN65" s="3563"/>
      <c r="DO65" s="3547"/>
      <c r="DP65" s="3609"/>
      <c r="DQ65" s="3562"/>
      <c r="DR65" s="3561">
        <f t="shared" si="61"/>
        <v>0</v>
      </c>
      <c r="DS65" s="3559"/>
      <c r="DT65" s="3562"/>
      <c r="DU65" s="3561">
        <f t="shared" si="62"/>
        <v>0</v>
      </c>
      <c r="DV65" s="3563"/>
      <c r="DW65" s="3547"/>
      <c r="DX65" s="3609"/>
      <c r="DY65" s="3562"/>
      <c r="DZ65" s="3561">
        <f t="shared" si="63"/>
        <v>0</v>
      </c>
      <c r="EA65" s="3559"/>
      <c r="EB65" s="3562"/>
      <c r="EC65" s="3561">
        <f t="shared" si="64"/>
        <v>0</v>
      </c>
      <c r="ED65" s="3563"/>
      <c r="EF65" s="3565">
        <f t="shared" si="37"/>
        <v>0</v>
      </c>
      <c r="EG65" s="3565">
        <f t="shared" si="123"/>
        <v>0</v>
      </c>
      <c r="EH65" s="3565">
        <f t="shared" si="123"/>
        <v>0</v>
      </c>
      <c r="EI65" s="3565">
        <f t="shared" si="123"/>
        <v>0</v>
      </c>
      <c r="EJ65" s="3565">
        <f t="shared" si="38"/>
        <v>0</v>
      </c>
      <c r="EK65" s="3566">
        <f t="shared" si="39"/>
        <v>0</v>
      </c>
      <c r="EL65" s="3610"/>
      <c r="EM65" s="3567">
        <f t="shared" si="40"/>
        <v>0</v>
      </c>
      <c r="EN65" s="3557">
        <f t="shared" si="124"/>
        <v>0</v>
      </c>
      <c r="EO65" s="3557">
        <f t="shared" si="124"/>
        <v>0</v>
      </c>
      <c r="EP65" s="3557">
        <f t="shared" si="124"/>
        <v>0</v>
      </c>
      <c r="EQ65" s="3557">
        <f t="shared" si="41"/>
        <v>0</v>
      </c>
      <c r="ER65" s="3557">
        <f t="shared" si="42"/>
        <v>0</v>
      </c>
      <c r="ES65" s="3557"/>
      <c r="ET65" s="3568"/>
      <c r="EU65" s="3569"/>
      <c r="EV65" s="3562"/>
      <c r="EW65" s="3547">
        <f t="shared" si="129"/>
        <v>0</v>
      </c>
      <c r="EX65" s="3568"/>
      <c r="EY65" s="3569"/>
      <c r="EZ65" s="3562"/>
      <c r="FA65" s="3547">
        <f t="shared" si="130"/>
        <v>0</v>
      </c>
      <c r="FB65" s="3568"/>
      <c r="FC65" s="3569"/>
      <c r="FD65" s="3562"/>
      <c r="FE65" s="3547">
        <f t="shared" si="117"/>
        <v>0</v>
      </c>
      <c r="FF65" s="3568"/>
      <c r="FG65" s="3569"/>
      <c r="FH65" s="3562"/>
      <c r="FI65" s="3547">
        <f t="shared" si="118"/>
        <v>0</v>
      </c>
      <c r="FJ65" s="3568"/>
      <c r="FK65" s="3559"/>
      <c r="FL65" s="3562"/>
      <c r="FM65" s="3547">
        <f t="shared" si="119"/>
        <v>0</v>
      </c>
      <c r="FN65" s="3568"/>
      <c r="FO65" s="3559"/>
      <c r="FP65" s="3562"/>
      <c r="FQ65" s="3547">
        <f t="shared" si="120"/>
        <v>0</v>
      </c>
      <c r="FR65" s="3568"/>
      <c r="FS65" s="3559"/>
      <c r="FT65" s="3560"/>
      <c r="FU65" s="3547">
        <f t="shared" si="69"/>
        <v>0</v>
      </c>
      <c r="FV65" s="3568"/>
      <c r="FW65" s="3559"/>
      <c r="FX65" s="3560"/>
      <c r="FY65" s="3547">
        <f t="shared" si="70"/>
        <v>0</v>
      </c>
      <c r="FZ65" s="3568"/>
      <c r="GA65" s="3569"/>
      <c r="GB65" s="3560"/>
      <c r="GC65" s="3547">
        <f t="shared" si="71"/>
        <v>0</v>
      </c>
      <c r="GD65" s="3568"/>
      <c r="GE65" s="3569"/>
      <c r="GF65" s="3560"/>
      <c r="GG65" s="3547">
        <f t="shared" si="72"/>
        <v>0</v>
      </c>
      <c r="GH65" s="3568"/>
      <c r="GI65" s="3569"/>
      <c r="GJ65" s="3560"/>
      <c r="GK65" s="3547">
        <f t="shared" si="73"/>
        <v>0</v>
      </c>
      <c r="GL65" s="3568"/>
      <c r="GM65" s="3569"/>
      <c r="GN65" s="3560"/>
      <c r="GO65" s="3547">
        <f t="shared" si="74"/>
        <v>0</v>
      </c>
      <c r="GP65" s="3568"/>
      <c r="GQ65" s="3569"/>
      <c r="GR65" s="3562"/>
      <c r="GS65" s="3547">
        <f t="shared" si="75"/>
        <v>0</v>
      </c>
      <c r="GT65" s="3568"/>
      <c r="GU65" s="3569"/>
      <c r="GV65" s="3562"/>
      <c r="GW65" s="3547">
        <f t="shared" si="76"/>
        <v>0</v>
      </c>
      <c r="GX65" s="3568"/>
      <c r="GY65" s="3569"/>
      <c r="GZ65" s="3562"/>
      <c r="HA65" s="3547">
        <f t="shared" si="77"/>
        <v>0</v>
      </c>
      <c r="HB65" s="3568"/>
      <c r="HC65" s="3569"/>
      <c r="HD65" s="3562"/>
      <c r="HE65" s="3547">
        <f t="shared" si="78"/>
        <v>0</v>
      </c>
      <c r="HF65" s="3568"/>
      <c r="HG65" s="3569"/>
      <c r="HH65" s="3562"/>
      <c r="HI65" s="3547">
        <f t="shared" si="79"/>
        <v>0</v>
      </c>
      <c r="HJ65" s="3568"/>
      <c r="HK65" s="3569"/>
      <c r="HL65" s="3562"/>
      <c r="HM65" s="3547">
        <f t="shared" si="80"/>
        <v>0</v>
      </c>
      <c r="HN65" s="3568"/>
      <c r="HO65" s="3569"/>
      <c r="HP65" s="3562"/>
      <c r="HQ65" s="3547">
        <f t="shared" si="81"/>
        <v>0</v>
      </c>
      <c r="HR65" s="3568"/>
      <c r="HS65" s="3569"/>
      <c r="HT65" s="3562"/>
      <c r="HU65" s="3547">
        <f t="shared" si="82"/>
        <v>0</v>
      </c>
      <c r="HV65" s="3568"/>
      <c r="HW65" s="3569"/>
      <c r="HX65" s="3562"/>
      <c r="HY65" s="3547">
        <f t="shared" si="83"/>
        <v>0</v>
      </c>
      <c r="HZ65" s="3568"/>
      <c r="IA65" s="3569"/>
      <c r="IB65" s="3562"/>
      <c r="IC65" s="3547">
        <f t="shared" si="84"/>
        <v>0</v>
      </c>
      <c r="ID65" s="3568"/>
      <c r="IE65" s="3569"/>
      <c r="IF65" s="3562"/>
      <c r="IG65" s="3547">
        <f t="shared" si="85"/>
        <v>0</v>
      </c>
      <c r="IH65" s="3568"/>
      <c r="II65" s="3569"/>
      <c r="IJ65" s="3562"/>
      <c r="IK65" s="3547">
        <f t="shared" si="86"/>
        <v>0</v>
      </c>
      <c r="IL65" s="3570"/>
      <c r="IM65" s="3569"/>
      <c r="IN65" s="3569"/>
      <c r="IO65" s="3547"/>
      <c r="IP65" s="3560">
        <f t="shared" si="87"/>
        <v>0</v>
      </c>
      <c r="IQ65" s="3568"/>
      <c r="IR65" s="3568"/>
      <c r="IS65" s="3568"/>
      <c r="IT65" s="3568"/>
      <c r="IU65" s="3568"/>
      <c r="IV65" s="3568"/>
      <c r="IW65" s="3568"/>
      <c r="IX65" s="3568"/>
      <c r="IY65" s="3568"/>
      <c r="IZ65" s="3560"/>
      <c r="JA65" s="3560"/>
      <c r="JB65" s="3560"/>
      <c r="JC65" s="3560">
        <f t="shared" si="11"/>
        <v>0</v>
      </c>
      <c r="JD65" s="3547"/>
      <c r="JE65" s="3568"/>
      <c r="JF65" s="3568"/>
      <c r="JG65" s="3568"/>
      <c r="JH65" s="3568"/>
      <c r="JI65" s="3568"/>
      <c r="JJ65" s="3568"/>
      <c r="JK65" s="3568"/>
      <c r="JL65" s="3568"/>
      <c r="JM65" s="3568"/>
      <c r="JN65" s="3560"/>
      <c r="JO65" s="3560"/>
      <c r="JP65" s="3570"/>
      <c r="JQ65" s="3583"/>
      <c r="JR65" s="3583"/>
      <c r="JS65" s="3573">
        <f t="shared" si="28"/>
        <v>0</v>
      </c>
      <c r="JT65" s="3573">
        <f t="shared" si="35"/>
        <v>0</v>
      </c>
      <c r="JU65" s="3574">
        <f t="shared" si="29"/>
        <v>0</v>
      </c>
      <c r="JV65" s="3574">
        <f t="shared" si="30"/>
        <v>0</v>
      </c>
      <c r="JW65" s="3575"/>
      <c r="JX65" s="3576">
        <f t="shared" si="31"/>
        <v>0</v>
      </c>
      <c r="JY65" s="3576">
        <f t="shared" si="32"/>
        <v>0</v>
      </c>
      <c r="JZ65" s="3577"/>
      <c r="KA65" s="3573">
        <f t="shared" si="131"/>
        <v>0</v>
      </c>
      <c r="KB65" s="3573"/>
      <c r="KC65" s="3573"/>
      <c r="KD65" s="3573">
        <f t="shared" si="33"/>
        <v>0</v>
      </c>
      <c r="KE65" s="3571"/>
      <c r="KF65" s="3579"/>
      <c r="KG65" s="3579"/>
      <c r="KH65" s="3579"/>
      <c r="KI65" s="3579"/>
      <c r="KJ65" s="3579"/>
      <c r="KK65" s="3579"/>
      <c r="KL65" s="3579"/>
      <c r="KM65" s="3579"/>
      <c r="KN65" s="3579"/>
      <c r="KO65" s="3579"/>
      <c r="KP65" s="3579"/>
      <c r="KQ65" s="3579">
        <f t="shared" si="34"/>
        <v>0</v>
      </c>
      <c r="KR65" s="3579">
        <f t="shared" si="88"/>
        <v>0</v>
      </c>
      <c r="KS65" s="3577"/>
      <c r="KT65" s="3577"/>
      <c r="KU65" s="3577"/>
      <c r="KV65" s="3577"/>
      <c r="KW65" s="3577"/>
      <c r="KX65" s="3577"/>
      <c r="KY65" s="3577"/>
      <c r="KZ65" s="3577"/>
      <c r="LA65" s="3577"/>
      <c r="LB65" s="3577"/>
      <c r="LC65" s="3577"/>
      <c r="LD65" s="3577"/>
      <c r="LE65" s="3577"/>
      <c r="LF65" s="3577"/>
      <c r="LG65" s="3577"/>
      <c r="LH65" s="3577"/>
      <c r="LJ65" s="3575"/>
      <c r="LK65" s="3571"/>
      <c r="LL65" s="3576"/>
    </row>
    <row r="66" spans="1:325" s="3580" customFormat="1" ht="18" customHeight="1">
      <c r="A66" s="3545">
        <v>63</v>
      </c>
      <c r="B66" s="3546" t="s">
        <v>4346</v>
      </c>
      <c r="C66" s="3546">
        <v>1300</v>
      </c>
      <c r="D66" s="3547">
        <v>58.82</v>
      </c>
      <c r="E66" s="3548" t="s">
        <v>4347</v>
      </c>
      <c r="F66" s="3546" t="s">
        <v>3790</v>
      </c>
      <c r="G66" s="3549" t="s">
        <v>4348</v>
      </c>
      <c r="H66" s="3546" t="s">
        <v>4349</v>
      </c>
      <c r="I66" s="3594" t="s">
        <v>4350</v>
      </c>
      <c r="J66" s="3629" t="s">
        <v>4351</v>
      </c>
      <c r="K66" s="3545" t="s">
        <v>4121</v>
      </c>
      <c r="L66" s="3555"/>
      <c r="M66" s="3551">
        <v>22381.74</v>
      </c>
      <c r="N66" s="3551">
        <v>22381.74</v>
      </c>
      <c r="O66" s="3551">
        <f t="shared" si="13"/>
        <v>0</v>
      </c>
      <c r="P66" s="3547">
        <v>4454.88</v>
      </c>
      <c r="Q66" s="3547">
        <v>4454.88</v>
      </c>
      <c r="R66" s="3547">
        <f t="shared" si="132"/>
        <v>0</v>
      </c>
      <c r="S66" s="3547">
        <f t="shared" si="125"/>
        <v>4.1699990218591196</v>
      </c>
      <c r="T66" s="3552">
        <v>7460.58</v>
      </c>
      <c r="U66" s="3553">
        <f t="shared" si="15"/>
        <v>89526.959999999992</v>
      </c>
      <c r="V66" s="3547">
        <f>7460.58*2*12-7460.58*2</f>
        <v>164132.75999999998</v>
      </c>
      <c r="W66" s="3547">
        <f t="shared" si="126"/>
        <v>0.8300000465781372</v>
      </c>
      <c r="X66" s="3658">
        <v>1484.96</v>
      </c>
      <c r="Y66" s="3547">
        <f t="shared" si="17"/>
        <v>17819.52</v>
      </c>
      <c r="Z66" s="3554"/>
      <c r="AA66" s="3555"/>
      <c r="AB66" s="3552" t="s">
        <v>3899</v>
      </c>
      <c r="AC66" s="3556">
        <f t="shared" si="18"/>
        <v>82066.38</v>
      </c>
      <c r="AD66" s="3556">
        <f t="shared" si="121"/>
        <v>59684.640000000007</v>
      </c>
      <c r="AE66" s="3556">
        <f t="shared" si="121"/>
        <v>52224.06</v>
      </c>
      <c r="AF66" s="3556">
        <f t="shared" si="20"/>
        <v>-7460.580000000009</v>
      </c>
      <c r="AG66" s="3556" t="s">
        <v>4352</v>
      </c>
      <c r="AH66" s="3557">
        <f t="shared" si="21"/>
        <v>17819.519999999997</v>
      </c>
      <c r="AI66" s="3558">
        <f t="shared" si="122"/>
        <v>13364.64</v>
      </c>
      <c r="AJ66" s="3558">
        <f t="shared" si="122"/>
        <v>13364.640000000001</v>
      </c>
      <c r="AK66" s="3557">
        <f t="shared" si="43"/>
        <v>0</v>
      </c>
      <c r="AL66" s="3557" t="s">
        <v>4353</v>
      </c>
      <c r="AM66" s="3547" t="s">
        <v>4354</v>
      </c>
      <c r="AN66" s="3609">
        <v>7460.58</v>
      </c>
      <c r="AO66" s="3562"/>
      <c r="AP66" s="3561">
        <f t="shared" si="113"/>
        <v>-7460.58</v>
      </c>
      <c r="AQ66" s="3559">
        <v>1484.96</v>
      </c>
      <c r="AR66" s="3562"/>
      <c r="AS66" s="3561">
        <f t="shared" si="127"/>
        <v>-1484.96</v>
      </c>
      <c r="AT66" s="3589" t="s">
        <v>4355</v>
      </c>
      <c r="AU66" s="3547" t="s">
        <v>4356</v>
      </c>
      <c r="AV66" s="3609">
        <v>7460.58</v>
      </c>
      <c r="AW66" s="3562">
        <v>7460.58</v>
      </c>
      <c r="AX66" s="3561">
        <f t="shared" si="114"/>
        <v>0</v>
      </c>
      <c r="AY66" s="3559">
        <v>1484.96</v>
      </c>
      <c r="AZ66" s="3562">
        <v>1484.96</v>
      </c>
      <c r="BA66" s="3561">
        <f t="shared" si="128"/>
        <v>0</v>
      </c>
      <c r="BB66" s="3563" t="s">
        <v>4357</v>
      </c>
      <c r="BC66" s="3547" t="s">
        <v>4358</v>
      </c>
      <c r="BD66" s="3609">
        <v>7460.58</v>
      </c>
      <c r="BE66" s="3562">
        <v>7460.58</v>
      </c>
      <c r="BF66" s="3561">
        <f t="shared" si="115"/>
        <v>0</v>
      </c>
      <c r="BG66" s="3559">
        <v>1484.96</v>
      </c>
      <c r="BH66" s="3562">
        <v>1484.96</v>
      </c>
      <c r="BI66" s="3561">
        <f t="shared" si="116"/>
        <v>0</v>
      </c>
      <c r="BJ66" s="3563" t="s">
        <v>4359</v>
      </c>
      <c r="BK66" s="3547" t="s">
        <v>4360</v>
      </c>
      <c r="BL66" s="3609">
        <v>7460.58</v>
      </c>
      <c r="BM66" s="3603">
        <v>7460.58</v>
      </c>
      <c r="BN66" s="3602">
        <f t="shared" si="48"/>
        <v>0</v>
      </c>
      <c r="BO66" s="3604">
        <v>1484.96</v>
      </c>
      <c r="BP66" s="3603">
        <v>1484.96</v>
      </c>
      <c r="BQ66" s="3602">
        <f t="shared" si="49"/>
        <v>0</v>
      </c>
      <c r="BR66" s="3589" t="s">
        <v>4361</v>
      </c>
      <c r="BS66" s="3547" t="s">
        <v>4362</v>
      </c>
      <c r="BT66" s="3559">
        <v>7460.58</v>
      </c>
      <c r="BU66" s="3603">
        <v>14921.16</v>
      </c>
      <c r="BV66" s="3602">
        <f t="shared" si="50"/>
        <v>7460.58</v>
      </c>
      <c r="BW66" s="3604">
        <v>1484.96</v>
      </c>
      <c r="BX66" s="3603">
        <v>2969.92</v>
      </c>
      <c r="BY66" s="3561">
        <f t="shared" si="51"/>
        <v>1484.96</v>
      </c>
      <c r="BZ66" s="3589" t="s">
        <v>4363</v>
      </c>
      <c r="CA66" s="3547" t="s">
        <v>4364</v>
      </c>
      <c r="CB66" s="3621">
        <v>7460.58</v>
      </c>
      <c r="CC66" s="3603"/>
      <c r="CD66" s="3602">
        <f t="shared" si="52"/>
        <v>-7460.58</v>
      </c>
      <c r="CE66" s="3604">
        <v>1484.96</v>
      </c>
      <c r="CF66" s="3562"/>
      <c r="CG66" s="3561">
        <f t="shared" si="53"/>
        <v>-1484.96</v>
      </c>
      <c r="CH66" s="3589" t="s">
        <v>4363</v>
      </c>
      <c r="CI66" s="3547" t="s">
        <v>4365</v>
      </c>
      <c r="CJ66" s="3609">
        <v>7460.58</v>
      </c>
      <c r="CK66" s="3603">
        <v>14921.16</v>
      </c>
      <c r="CL66" s="3561">
        <f t="shared" si="5"/>
        <v>7460.58</v>
      </c>
      <c r="CM66" s="3559">
        <v>1484.96</v>
      </c>
      <c r="CN66" s="3603">
        <v>2969.92</v>
      </c>
      <c r="CO66" s="3561">
        <f t="shared" si="54"/>
        <v>1484.96</v>
      </c>
      <c r="CP66" s="3589" t="s">
        <v>4366</v>
      </c>
      <c r="CQ66" s="3597" t="s">
        <v>4367</v>
      </c>
      <c r="CR66" s="3601"/>
      <c r="CS66" s="3562"/>
      <c r="CT66" s="3561">
        <f t="shared" si="55"/>
        <v>0</v>
      </c>
      <c r="CU66" s="3604">
        <v>1484.96</v>
      </c>
      <c r="CV66" s="3562"/>
      <c r="CW66" s="3561">
        <f t="shared" si="56"/>
        <v>-1484.96</v>
      </c>
      <c r="CX66" s="3589" t="s">
        <v>4366</v>
      </c>
      <c r="CY66" s="3547" t="s">
        <v>4368</v>
      </c>
      <c r="CZ66" s="3609">
        <v>7460.58</v>
      </c>
      <c r="DA66" s="3562"/>
      <c r="DB66" s="3561">
        <f t="shared" si="57"/>
        <v>-7460.58</v>
      </c>
      <c r="DC66" s="3559">
        <v>1484.96</v>
      </c>
      <c r="DD66" s="3562">
        <v>2969.92</v>
      </c>
      <c r="DE66" s="3561">
        <f t="shared" si="58"/>
        <v>1484.96</v>
      </c>
      <c r="DF66" s="3589" t="s">
        <v>4369</v>
      </c>
      <c r="DG66" s="3547" t="s">
        <v>4370</v>
      </c>
      <c r="DH66" s="3609">
        <v>7460.58</v>
      </c>
      <c r="DI66" s="3562"/>
      <c r="DJ66" s="3561">
        <f t="shared" si="59"/>
        <v>-7460.58</v>
      </c>
      <c r="DK66" s="3559">
        <v>1484.96</v>
      </c>
      <c r="DL66" s="3562"/>
      <c r="DM66" s="3561">
        <f t="shared" si="60"/>
        <v>-1484.96</v>
      </c>
      <c r="DN66" s="3563"/>
      <c r="DO66" s="3547" t="s">
        <v>4371</v>
      </c>
      <c r="DP66" s="3609">
        <v>7460.58</v>
      </c>
      <c r="DQ66" s="3562"/>
      <c r="DR66" s="3561">
        <f t="shared" si="61"/>
        <v>-7460.58</v>
      </c>
      <c r="DS66" s="3559">
        <v>1484.96</v>
      </c>
      <c r="DT66" s="3562"/>
      <c r="DU66" s="3561">
        <f t="shared" si="62"/>
        <v>-1484.96</v>
      </c>
      <c r="DV66" s="3563"/>
      <c r="DW66" s="3547" t="s">
        <v>4372</v>
      </c>
      <c r="DX66" s="3609">
        <v>7460.58</v>
      </c>
      <c r="DY66" s="3562"/>
      <c r="DZ66" s="3561">
        <f t="shared" si="63"/>
        <v>-7460.58</v>
      </c>
      <c r="EA66" s="3559">
        <v>1484.96</v>
      </c>
      <c r="EB66" s="3562"/>
      <c r="EC66" s="3561">
        <f t="shared" si="64"/>
        <v>-1484.96</v>
      </c>
      <c r="ED66" s="3563"/>
      <c r="EE66" s="3564"/>
      <c r="EF66" s="3565">
        <f t="shared" si="37"/>
        <v>78294.723444226955</v>
      </c>
      <c r="EG66" s="3565">
        <f t="shared" si="123"/>
        <v>60813.703639921681</v>
      </c>
      <c r="EH66" s="3565">
        <f t="shared" si="123"/>
        <v>60813.703639921732</v>
      </c>
      <c r="EI66" s="3565">
        <f t="shared" si="123"/>
        <v>60813.703639921732</v>
      </c>
      <c r="EJ66" s="3565">
        <f t="shared" si="38"/>
        <v>0</v>
      </c>
      <c r="EK66" s="3565">
        <f t="shared" si="39"/>
        <v>0</v>
      </c>
      <c r="EL66" s="3610"/>
      <c r="EM66" s="3557">
        <f t="shared" si="40"/>
        <v>16810.867924528324</v>
      </c>
      <c r="EN66" s="3557">
        <f t="shared" si="124"/>
        <v>12608.150943396242</v>
      </c>
      <c r="EO66" s="3557">
        <f t="shared" si="124"/>
        <v>12608.150943396227</v>
      </c>
      <c r="EP66" s="3557">
        <f t="shared" si="124"/>
        <v>12608.150943396227</v>
      </c>
      <c r="EQ66" s="3557">
        <f t="shared" si="41"/>
        <v>-1.4551915228366852E-11</v>
      </c>
      <c r="ER66" s="3557">
        <f t="shared" si="42"/>
        <v>0</v>
      </c>
      <c r="ES66" s="3557"/>
      <c r="ET66" s="3568">
        <v>7105.3142857142802</v>
      </c>
      <c r="EU66" s="3569">
        <f>7460.58/1.05</f>
        <v>7105.3142857142857</v>
      </c>
      <c r="EV66" s="3562">
        <f>7460.58/1.05*12/365*17+7460.58/1.05-7460.58/1.05*12/365*17</f>
        <v>7105.3142857142857</v>
      </c>
      <c r="EW66" s="3547">
        <f t="shared" si="129"/>
        <v>0</v>
      </c>
      <c r="EX66" s="3568">
        <v>1400.9056603773599</v>
      </c>
      <c r="EY66" s="3569">
        <f>1484.96/1.06</f>
        <v>1400.9056603773583</v>
      </c>
      <c r="EZ66" s="3562">
        <f>1484.96/1.06*12/365*17+1484.96/1.06-1484.96/1.06*12/365*17</f>
        <v>1400.9056603773583</v>
      </c>
      <c r="FA66" s="3547">
        <f t="shared" si="130"/>
        <v>0</v>
      </c>
      <c r="FB66" s="3568">
        <v>7105.3142857142802</v>
      </c>
      <c r="FC66" s="3569">
        <f>7460.58/1.05</f>
        <v>7105.3142857142857</v>
      </c>
      <c r="FD66" s="3562">
        <f>7460.58/1.05</f>
        <v>7105.3142857142857</v>
      </c>
      <c r="FE66" s="3547">
        <f t="shared" si="117"/>
        <v>0</v>
      </c>
      <c r="FF66" s="3568">
        <v>1400.9056603773599</v>
      </c>
      <c r="FG66" s="3569">
        <f>1484.96/1.06</f>
        <v>1400.9056603773583</v>
      </c>
      <c r="FH66" s="3562">
        <f>1484.96/1.06</f>
        <v>1400.9056603773583</v>
      </c>
      <c r="FI66" s="3547">
        <f t="shared" si="118"/>
        <v>0</v>
      </c>
      <c r="FJ66" s="3568">
        <v>7105.3142857142802</v>
      </c>
      <c r="FK66" s="3559">
        <f>7460.58/1.05</f>
        <v>7105.3142857142857</v>
      </c>
      <c r="FL66" s="3562">
        <f>7460.58/1.05*12/365*17+7460.58/1.05-7460.58/1.05*12/365*17</f>
        <v>7105.3142857142857</v>
      </c>
      <c r="FM66" s="3547">
        <f t="shared" si="119"/>
        <v>0</v>
      </c>
      <c r="FN66" s="3568">
        <v>1400.9056603773599</v>
      </c>
      <c r="FO66" s="3559">
        <f>1484.96/1.06</f>
        <v>1400.9056603773583</v>
      </c>
      <c r="FP66" s="3562">
        <f>1484.96/1.06*12/365*17+1484.96/1.06-1484.96/1.06*12/365*17</f>
        <v>1400.9056603773583</v>
      </c>
      <c r="FQ66" s="3547">
        <f t="shared" si="120"/>
        <v>0</v>
      </c>
      <c r="FR66" s="3568">
        <v>7105.3142857142802</v>
      </c>
      <c r="FS66" s="3559">
        <f>7460.58/1.05</f>
        <v>7105.3142857142857</v>
      </c>
      <c r="FT66" s="3560">
        <f>7460.58/1.05*12/365*17+7460.58/1.05-7460.58/1.05*12/365*17</f>
        <v>7105.3142857142857</v>
      </c>
      <c r="FU66" s="3547">
        <f t="shared" si="69"/>
        <v>0</v>
      </c>
      <c r="FV66" s="3568">
        <v>1400.9056603773599</v>
      </c>
      <c r="FW66" s="3559">
        <f>1484.96/1.06</f>
        <v>1400.9056603773583</v>
      </c>
      <c r="FX66" s="3560">
        <f>1484.96/1.06*12/365*17+1484.96/1.06-1484.96/1.06*12/365*17</f>
        <v>1400.9056603773583</v>
      </c>
      <c r="FY66" s="3547">
        <f t="shared" si="70"/>
        <v>0</v>
      </c>
      <c r="FZ66" s="3568">
        <v>7105.3142857142802</v>
      </c>
      <c r="GA66" s="3569">
        <f>7460.58/1.05</f>
        <v>7105.3142857142857</v>
      </c>
      <c r="GB66" s="3560">
        <f>7460.58/1.05*12/365*17+7460.58/1.05-7460.58/1.05*12/365*17</f>
        <v>7105.3142857142857</v>
      </c>
      <c r="GC66" s="3547">
        <f t="shared" si="71"/>
        <v>0</v>
      </c>
      <c r="GD66" s="3568">
        <v>1400.9056603773599</v>
      </c>
      <c r="GE66" s="3569">
        <f>1484.96/1.06</f>
        <v>1400.9056603773583</v>
      </c>
      <c r="GF66" s="3560">
        <f>1484.96/1.06*12/365*17+1484.96/1.06-1484.96/1.06*12/365*17</f>
        <v>1400.9056603773583</v>
      </c>
      <c r="GG66" s="3547">
        <f t="shared" si="72"/>
        <v>0</v>
      </c>
      <c r="GH66" s="3568">
        <v>7105.3142857142802</v>
      </c>
      <c r="GI66" s="3569">
        <f>7460.58/1.05</f>
        <v>7105.3142857142857</v>
      </c>
      <c r="GJ66" s="3560">
        <f>7460.58/1.05*12/365*17+14921.16/1.05/2-7460.58/1.05*12/365*17</f>
        <v>7105.3142857142857</v>
      </c>
      <c r="GK66" s="3547">
        <f t="shared" si="73"/>
        <v>0</v>
      </c>
      <c r="GL66" s="3568">
        <v>1400.9056603773599</v>
      </c>
      <c r="GM66" s="3569">
        <f>1484.96/1.06</f>
        <v>1400.9056603773583</v>
      </c>
      <c r="GN66" s="3560">
        <f>1484.96/1.06*12/365*17+2969.92/1.06/2-1484.96/1.06*12/365*17</f>
        <v>1400.9056603773583</v>
      </c>
      <c r="GO66" s="3547">
        <f t="shared" si="74"/>
        <v>0</v>
      </c>
      <c r="GP66" s="3568">
        <v>7105.3142857142802</v>
      </c>
      <c r="GQ66" s="3569">
        <f>7460.58/1.05</f>
        <v>7105.3142857142857</v>
      </c>
      <c r="GR66" s="3562">
        <f>14921.16/2/1.05</f>
        <v>7105.3142857142857</v>
      </c>
      <c r="GS66" s="3547">
        <f t="shared" si="75"/>
        <v>0</v>
      </c>
      <c r="GT66" s="3568">
        <v>1400.9056603773599</v>
      </c>
      <c r="GU66" s="3569">
        <f>1484.96/1.06</f>
        <v>1400.9056603773583</v>
      </c>
      <c r="GV66" s="3562">
        <f>2969.92/1.06/2</f>
        <v>1400.9056603773583</v>
      </c>
      <c r="GW66" s="3547">
        <f t="shared" si="76"/>
        <v>0</v>
      </c>
      <c r="GX66" s="3568">
        <v>7105.3142857142802</v>
      </c>
      <c r="GY66" s="3569">
        <f>7460.58/1.05</f>
        <v>7105.3142857142857</v>
      </c>
      <c r="GZ66" s="3562">
        <f>7460.58/1.05*12/365*17+14921.16/2/1.05-14921.16/2/1.05*12/365*17</f>
        <v>7105.3142857142857</v>
      </c>
      <c r="HA66" s="3547">
        <f t="shared" si="77"/>
        <v>0</v>
      </c>
      <c r="HB66" s="3568">
        <v>1400.9056603773599</v>
      </c>
      <c r="HC66" s="3569">
        <f>1484.96/1.06</f>
        <v>1400.9056603773583</v>
      </c>
      <c r="HD66" s="3562">
        <f>1484.96/1.06*12/365*17+2969.92/2/1.06-2969.92/2/1.06*12/365*17</f>
        <v>1400.9056603773583</v>
      </c>
      <c r="HE66" s="3547">
        <f t="shared" si="78"/>
        <v>0</v>
      </c>
      <c r="HF66" s="3568">
        <v>3971.1893542074399</v>
      </c>
      <c r="HG66" s="3592">
        <f>7460.58/1.05*12/365*17</f>
        <v>3971.1893542074367</v>
      </c>
      <c r="HH66" s="3605">
        <f>14921.16/2/1.05*12/365*17</f>
        <v>3971.1893542074367</v>
      </c>
      <c r="HI66" s="3547">
        <f t="shared" si="79"/>
        <v>0</v>
      </c>
      <c r="HJ66" s="3568">
        <v>1400.9056603773599</v>
      </c>
      <c r="HK66" s="3569">
        <f>1484.96/1.06</f>
        <v>1400.9056603773583</v>
      </c>
      <c r="HL66" s="3562">
        <f>2969.92/2/1.06</f>
        <v>1400.9056603773583</v>
      </c>
      <c r="HM66" s="3547">
        <f t="shared" si="80"/>
        <v>0</v>
      </c>
      <c r="HN66" s="3568">
        <v>3270.3912328767101</v>
      </c>
      <c r="HO66" s="3592">
        <f>7460.58/1.05-7460.58/1.05*12/365*17</f>
        <v>3134.124931506849</v>
      </c>
      <c r="HP66" s="3605">
        <f>14921.16/2/1.05-14921.16/2/1.05*12/365*17</f>
        <v>3134.124931506849</v>
      </c>
      <c r="HQ66" s="3547">
        <f t="shared" si="81"/>
        <v>-136.26630136986114</v>
      </c>
      <c r="HR66" s="3568">
        <v>1400.9056603773599</v>
      </c>
      <c r="HS66" s="3569">
        <f>1484.96/1.06</f>
        <v>1400.9056603773583</v>
      </c>
      <c r="HT66" s="3562">
        <f>2969.92/2/1.06*12/365*17+0.08/1.06+2969.92/2/1.06-2969.92/2/1.06*12/365*17-0.08/1.06</f>
        <v>1400.9056603773583</v>
      </c>
      <c r="HU66" s="3547">
        <f t="shared" si="82"/>
        <v>0</v>
      </c>
      <c r="HV66" s="3568">
        <v>7105.3142857142802</v>
      </c>
      <c r="HW66" s="3569">
        <f>7460.58/1.05</f>
        <v>7105.3142857142857</v>
      </c>
      <c r="HX66" s="3562">
        <f>14921.16/2/1.05*12/365*17</f>
        <v>3971.1893542074367</v>
      </c>
      <c r="HY66" s="3547">
        <f t="shared" si="83"/>
        <v>-3134.1249315068435</v>
      </c>
      <c r="HZ66" s="3568">
        <v>1400.9056603773599</v>
      </c>
      <c r="IA66" s="3569">
        <f>1484.96/1.06</f>
        <v>1400.9056603773583</v>
      </c>
      <c r="IB66" s="3562">
        <f>2969.92/2/1.06</f>
        <v>1400.9056603773583</v>
      </c>
      <c r="IC66" s="3547">
        <f t="shared" si="84"/>
        <v>0</v>
      </c>
      <c r="ID66" s="3568">
        <v>7105.3142857142802</v>
      </c>
      <c r="IE66" s="3569">
        <f>7460.58/1.05</f>
        <v>7105.3142857142857</v>
      </c>
      <c r="IF66" s="3562"/>
      <c r="IG66" s="3547">
        <f t="shared" si="85"/>
        <v>-7105.3142857142802</v>
      </c>
      <c r="IH66" s="3568">
        <v>1400.9056603773599</v>
      </c>
      <c r="II66" s="3569">
        <f>1484.96/1.06</f>
        <v>1400.9056603773583</v>
      </c>
      <c r="IJ66" s="3562">
        <f>2969.92/2/1.06*12/365*17+0.08/1.06</f>
        <v>783.04740242956814</v>
      </c>
      <c r="IK66" s="3547">
        <f t="shared" si="86"/>
        <v>-617.8582579477918</v>
      </c>
      <c r="IL66" s="3547" t="s">
        <v>3862</v>
      </c>
      <c r="IM66" s="3569">
        <f>7460.58/1.05+7460.58/1.05*12/365*17</f>
        <v>11076.503639921722</v>
      </c>
      <c r="IN66" s="3569">
        <f>1484.96/1.06+1484.96/1.06*12/365*17</f>
        <v>2183.8775911088132</v>
      </c>
      <c r="IO66" s="3547"/>
      <c r="IP66" s="3560">
        <f t="shared" si="87"/>
        <v>0</v>
      </c>
      <c r="IQ66" s="3568"/>
      <c r="IR66" s="3568"/>
      <c r="IS66" s="3568"/>
      <c r="IT66" s="3568"/>
      <c r="IU66" s="3568"/>
      <c r="IV66" s="3568"/>
      <c r="IW66" s="3568"/>
      <c r="IX66" s="3568"/>
      <c r="IY66" s="3568"/>
      <c r="IZ66" s="3560"/>
      <c r="JA66" s="3560"/>
      <c r="JB66" s="3560"/>
      <c r="JC66" s="3560">
        <f t="shared" si="11"/>
        <v>0</v>
      </c>
      <c r="JD66" s="3547"/>
      <c r="JE66" s="3568"/>
      <c r="JF66" s="3568"/>
      <c r="JG66" s="3568"/>
      <c r="JH66" s="3568"/>
      <c r="JI66" s="3568"/>
      <c r="JJ66" s="3568"/>
      <c r="JK66" s="3568"/>
      <c r="JL66" s="3568"/>
      <c r="JM66" s="3568"/>
      <c r="JN66" s="3560"/>
      <c r="JO66" s="3560"/>
      <c r="JP66" s="3679" t="s">
        <v>4373</v>
      </c>
      <c r="JQ66" s="3583">
        <f>7460.58/1.05+7460.58/1.05+7460.58/1.05*12/365*17</f>
        <v>18181.817925636009</v>
      </c>
      <c r="JR66" s="3583">
        <f>1484.96/1.06+1484.96/1.06+1484.96/1.06*12/365*17+0.08/1.06</f>
        <v>3584.8587231842848</v>
      </c>
      <c r="JS66" s="3586">
        <f>JQ66+(AN66+AV66+BD66+BL66+BT66+CB66+CJ66+CR66+CZ66+DH66+DP66+DX66)/1.05-(EU66+FC66+FK66+FS66+GA66+GI66+GQ66+GY66+HG66+HO66+HW66+IE66)-IM66-7460.58/1.05</f>
        <v>0</v>
      </c>
      <c r="JT66" s="3586">
        <f>JR66+(AQ66+AY66+BG66+BO66+BW66+CE66+CM66+CU66+DC66+DK66+DS66+EA66)/1.06-(EY66+FG66+FO66+FW66+GE66+GM66+GU66+HC66+HK66+HS66+IA66+II66)-IN66-1484.96/1.06-0.08/1.06</f>
        <v>-5.4312249142540736E-12</v>
      </c>
      <c r="JU66" s="3574">
        <f t="shared" si="29"/>
        <v>-1.9099388737231493E-11</v>
      </c>
      <c r="JV66" s="3574">
        <f t="shared" si="30"/>
        <v>0</v>
      </c>
      <c r="JW66" s="3575"/>
      <c r="JX66" s="3576">
        <f t="shared" si="31"/>
        <v>7105.3142857142857</v>
      </c>
      <c r="JY66" s="3576">
        <f t="shared" si="32"/>
        <v>3584.8587231842848</v>
      </c>
      <c r="JZ66" s="3577"/>
      <c r="KA66" s="3573">
        <f t="shared" si="131"/>
        <v>0</v>
      </c>
      <c r="KB66" s="3573"/>
      <c r="KC66" s="3573"/>
      <c r="KD66" s="3573">
        <f t="shared" si="33"/>
        <v>0</v>
      </c>
      <c r="KE66" s="3571"/>
      <c r="KF66" s="3579"/>
      <c r="KG66" s="3579"/>
      <c r="KH66" s="3579"/>
      <c r="KI66" s="3579"/>
      <c r="KJ66" s="3579"/>
      <c r="KK66" s="3579"/>
      <c r="KL66" s="3579"/>
      <c r="KM66" s="3579"/>
      <c r="KN66" s="3579"/>
      <c r="KO66" s="3579"/>
      <c r="KP66" s="3579"/>
      <c r="KQ66" s="3579">
        <f t="shared" si="34"/>
        <v>0</v>
      </c>
      <c r="KR66" s="3579">
        <f t="shared" si="88"/>
        <v>-1.4551915228366853E-15</v>
      </c>
      <c r="KS66" s="3577"/>
      <c r="KT66" s="3577"/>
      <c r="KU66" s="3577"/>
      <c r="KV66" s="3577"/>
      <c r="KW66" s="3577"/>
      <c r="KX66" s="3577"/>
      <c r="KY66" s="3577"/>
      <c r="KZ66" s="3577"/>
      <c r="LA66" s="3577"/>
      <c r="LB66" s="3577"/>
      <c r="LC66" s="3577"/>
      <c r="LD66" s="3577"/>
      <c r="LE66" s="3577"/>
      <c r="LF66" s="3577"/>
      <c r="LG66" s="3577"/>
      <c r="LH66" s="3577"/>
      <c r="LJ66" s="3575"/>
      <c r="LK66" s="3626">
        <v>12</v>
      </c>
      <c r="LL66" s="3627">
        <v>11933.35</v>
      </c>
      <c r="LM66" s="3580" t="s">
        <v>4095</v>
      </c>
    </row>
    <row r="67" spans="1:325" s="3580" customFormat="1" ht="18" customHeight="1">
      <c r="A67" s="3545">
        <v>64</v>
      </c>
      <c r="B67" s="3546" t="s">
        <v>4346</v>
      </c>
      <c r="C67" s="3546">
        <v>1305</v>
      </c>
      <c r="D67" s="3547">
        <v>164.92</v>
      </c>
      <c r="E67" s="3548" t="s">
        <v>3799</v>
      </c>
      <c r="F67" s="3546" t="s">
        <v>3790</v>
      </c>
      <c r="G67" s="3546" t="s">
        <v>4374</v>
      </c>
      <c r="H67" s="3546" t="s">
        <v>4375</v>
      </c>
      <c r="I67" s="3594" t="s">
        <v>3868</v>
      </c>
      <c r="J67" s="3594" t="s">
        <v>4215</v>
      </c>
      <c r="K67" s="3545" t="s">
        <v>3925</v>
      </c>
      <c r="L67" s="3555"/>
      <c r="M67" s="3551">
        <v>70278.600000000006</v>
      </c>
      <c r="N67" s="3551">
        <v>70278.600000000006</v>
      </c>
      <c r="O67" s="3551">
        <f t="shared" si="13"/>
        <v>0</v>
      </c>
      <c r="P67" s="3547">
        <v>12490.62</v>
      </c>
      <c r="Q67" s="3547">
        <v>12490.62</v>
      </c>
      <c r="R67" s="3547">
        <f t="shared" si="132"/>
        <v>0</v>
      </c>
      <c r="S67" s="3547">
        <f t="shared" si="125"/>
        <v>4.6700002325743668</v>
      </c>
      <c r="T67" s="3552">
        <v>23426.2</v>
      </c>
      <c r="U67" s="3553">
        <f t="shared" si="15"/>
        <v>281114.40000000002</v>
      </c>
      <c r="V67" s="3547">
        <f>23426.2*2*12-23426.2*2</f>
        <v>515376.4</v>
      </c>
      <c r="W67" s="3547">
        <f t="shared" si="126"/>
        <v>0.82999943517654062</v>
      </c>
      <c r="X67" s="3663">
        <v>4163.54</v>
      </c>
      <c r="Y67" s="3547">
        <f t="shared" si="17"/>
        <v>49962.479999999996</v>
      </c>
      <c r="Z67" s="3554"/>
      <c r="AA67" s="3555"/>
      <c r="AB67" s="3680" t="s">
        <v>3804</v>
      </c>
      <c r="AC67" s="3556">
        <f t="shared" si="18"/>
        <v>281114.40000000002</v>
      </c>
      <c r="AD67" s="3556">
        <f t="shared" si="121"/>
        <v>210835.80000000002</v>
      </c>
      <c r="AE67" s="3556">
        <f t="shared" si="121"/>
        <v>210835.80000000002</v>
      </c>
      <c r="AF67" s="3556">
        <f t="shared" si="20"/>
        <v>0</v>
      </c>
      <c r="AG67" s="3556"/>
      <c r="AH67" s="3557">
        <f t="shared" si="21"/>
        <v>49962.479999999996</v>
      </c>
      <c r="AI67" s="3558">
        <f t="shared" si="122"/>
        <v>37471.86</v>
      </c>
      <c r="AJ67" s="3558">
        <f t="shared" si="122"/>
        <v>37471.86</v>
      </c>
      <c r="AK67" s="3557">
        <f t="shared" si="43"/>
        <v>0</v>
      </c>
      <c r="AL67" s="3557"/>
      <c r="AM67" s="3547"/>
      <c r="AN67" s="3609"/>
      <c r="AO67" s="3562"/>
      <c r="AP67" s="3561">
        <f t="shared" si="113"/>
        <v>0</v>
      </c>
      <c r="AQ67" s="3559"/>
      <c r="AR67" s="3562"/>
      <c r="AS67" s="3561">
        <f t="shared" si="127"/>
        <v>0</v>
      </c>
      <c r="AT67" s="3563" t="s">
        <v>4216</v>
      </c>
      <c r="AU67" s="3547" t="s">
        <v>4217</v>
      </c>
      <c r="AV67" s="3609">
        <f>3*23426.2</f>
        <v>70278.600000000006</v>
      </c>
      <c r="AW67" s="3562">
        <v>70278.600000000006</v>
      </c>
      <c r="AX67" s="3561">
        <f t="shared" si="114"/>
        <v>0</v>
      </c>
      <c r="AY67" s="3559">
        <f>3*4163.54</f>
        <v>12490.619999999999</v>
      </c>
      <c r="AZ67" s="3562">
        <f>12490.62</f>
        <v>12490.62</v>
      </c>
      <c r="BA67" s="3561">
        <f t="shared" si="128"/>
        <v>0</v>
      </c>
      <c r="BB67" s="3563" t="s">
        <v>4376</v>
      </c>
      <c r="BC67" s="3547"/>
      <c r="BD67" s="3609"/>
      <c r="BE67" s="3562"/>
      <c r="BF67" s="3561">
        <f t="shared" si="115"/>
        <v>0</v>
      </c>
      <c r="BG67" s="3559"/>
      <c r="BH67" s="3562"/>
      <c r="BI67" s="3561">
        <f t="shared" si="116"/>
        <v>0</v>
      </c>
      <c r="BJ67" s="3563" t="s">
        <v>4376</v>
      </c>
      <c r="BK67" s="3547"/>
      <c r="BL67" s="3609"/>
      <c r="BM67" s="3562"/>
      <c r="BN67" s="3561">
        <f t="shared" si="48"/>
        <v>0</v>
      </c>
      <c r="BO67" s="3559"/>
      <c r="BP67" s="3562"/>
      <c r="BQ67" s="3561">
        <f t="shared" si="49"/>
        <v>0</v>
      </c>
      <c r="BR67" s="3563" t="s">
        <v>4376</v>
      </c>
      <c r="BS67" s="3547" t="s">
        <v>4219</v>
      </c>
      <c r="BT67" s="3559">
        <f>3*23426.2</f>
        <v>70278.600000000006</v>
      </c>
      <c r="BU67" s="3603">
        <v>70278.600000000006</v>
      </c>
      <c r="BV67" s="3602">
        <f t="shared" si="50"/>
        <v>0</v>
      </c>
      <c r="BW67" s="3604">
        <f>3*4163.54</f>
        <v>12490.619999999999</v>
      </c>
      <c r="BX67" s="3603">
        <v>12490.62</v>
      </c>
      <c r="BY67" s="3561">
        <f t="shared" si="51"/>
        <v>0</v>
      </c>
      <c r="BZ67" s="3563" t="s">
        <v>4377</v>
      </c>
      <c r="CA67" s="3547"/>
      <c r="CB67" s="3621"/>
      <c r="CC67" s="3603"/>
      <c r="CD67" s="3602">
        <f t="shared" si="52"/>
        <v>0</v>
      </c>
      <c r="CE67" s="3604"/>
      <c r="CF67" s="3562"/>
      <c r="CG67" s="3561">
        <f t="shared" si="53"/>
        <v>0</v>
      </c>
      <c r="CH67" s="3563" t="s">
        <v>4377</v>
      </c>
      <c r="CI67" s="3547"/>
      <c r="CJ67" s="3609"/>
      <c r="CK67" s="3603"/>
      <c r="CL67" s="3561">
        <f t="shared" si="5"/>
        <v>0</v>
      </c>
      <c r="CM67" s="3559"/>
      <c r="CN67" s="3562"/>
      <c r="CO67" s="3561">
        <f t="shared" si="54"/>
        <v>0</v>
      </c>
      <c r="CP67" s="3563" t="s">
        <v>4377</v>
      </c>
      <c r="CQ67" s="3597" t="s">
        <v>4221</v>
      </c>
      <c r="CR67" s="3609">
        <f>3*23426.2</f>
        <v>70278.600000000006</v>
      </c>
      <c r="CS67" s="3562">
        <v>70278.600000000006</v>
      </c>
      <c r="CT67" s="3561">
        <f t="shared" si="55"/>
        <v>0</v>
      </c>
      <c r="CU67" s="3604">
        <f>3*4163.54</f>
        <v>12490.619999999999</v>
      </c>
      <c r="CV67" s="3603">
        <v>12490.62</v>
      </c>
      <c r="CW67" s="3561">
        <f t="shared" si="56"/>
        <v>0</v>
      </c>
      <c r="CX67" s="3563" t="s">
        <v>4378</v>
      </c>
      <c r="CY67" s="3547"/>
      <c r="CZ67" s="3609"/>
      <c r="DA67" s="3562"/>
      <c r="DB67" s="3561">
        <f t="shared" si="57"/>
        <v>0</v>
      </c>
      <c r="DC67" s="3559"/>
      <c r="DD67" s="3562"/>
      <c r="DE67" s="3561">
        <f t="shared" si="58"/>
        <v>0</v>
      </c>
      <c r="DF67" s="3563" t="s">
        <v>4378</v>
      </c>
      <c r="DG67" s="3547"/>
      <c r="DH67" s="3609"/>
      <c r="DI67" s="3562"/>
      <c r="DJ67" s="3561">
        <f t="shared" si="59"/>
        <v>0</v>
      </c>
      <c r="DK67" s="3559"/>
      <c r="DL67" s="3562"/>
      <c r="DM67" s="3561">
        <f t="shared" si="60"/>
        <v>0</v>
      </c>
      <c r="DN67" s="3563"/>
      <c r="DO67" s="3547" t="s">
        <v>4223</v>
      </c>
      <c r="DP67" s="3609">
        <f>3*23426.2</f>
        <v>70278.600000000006</v>
      </c>
      <c r="DQ67" s="3562"/>
      <c r="DR67" s="3561">
        <f t="shared" si="61"/>
        <v>-70278.600000000006</v>
      </c>
      <c r="DS67" s="3559">
        <f>3*4163.54</f>
        <v>12490.619999999999</v>
      </c>
      <c r="DT67" s="3562"/>
      <c r="DU67" s="3561">
        <f t="shared" si="62"/>
        <v>-12490.619999999999</v>
      </c>
      <c r="DV67" s="3563"/>
      <c r="DW67" s="3547"/>
      <c r="DX67" s="3609"/>
      <c r="DY67" s="3562"/>
      <c r="DZ67" s="3561">
        <f t="shared" si="63"/>
        <v>0</v>
      </c>
      <c r="EA67" s="3559"/>
      <c r="EB67" s="3562"/>
      <c r="EC67" s="3561">
        <f t="shared" si="64"/>
        <v>0</v>
      </c>
      <c r="ED67" s="3563"/>
      <c r="EE67" s="3564"/>
      <c r="EF67" s="3565">
        <f t="shared" si="37"/>
        <v>267728.00000000035</v>
      </c>
      <c r="EG67" s="3565">
        <f t="shared" si="123"/>
        <v>200796.00000000029</v>
      </c>
      <c r="EH67" s="3565">
        <f t="shared" si="123"/>
        <v>200795.99999999997</v>
      </c>
      <c r="EI67" s="3565">
        <f t="shared" si="123"/>
        <v>200795.99999999997</v>
      </c>
      <c r="EJ67" s="3565">
        <f t="shared" si="38"/>
        <v>-3.2014213502407074E-10</v>
      </c>
      <c r="EK67" s="3566">
        <f t="shared" si="39"/>
        <v>0</v>
      </c>
      <c r="EL67" s="3610"/>
      <c r="EM67" s="3567">
        <f t="shared" si="40"/>
        <v>47134.415094339587</v>
      </c>
      <c r="EN67" s="3557">
        <f t="shared" si="124"/>
        <v>35350.811320754692</v>
      </c>
      <c r="EO67" s="3557">
        <f t="shared" si="124"/>
        <v>35350.811320754714</v>
      </c>
      <c r="EP67" s="3557">
        <f t="shared" si="124"/>
        <v>35350.811320754714</v>
      </c>
      <c r="EQ67" s="3557">
        <f t="shared" si="41"/>
        <v>0</v>
      </c>
      <c r="ER67" s="3557">
        <f t="shared" si="42"/>
        <v>0</v>
      </c>
      <c r="ES67" s="3557"/>
      <c r="ET67" s="3568">
        <v>22310.666666666701</v>
      </c>
      <c r="EU67" s="3569">
        <f>23426.2/1.05</f>
        <v>22310.666666666668</v>
      </c>
      <c r="EV67" s="3562">
        <f>70278.6/3/1.05</f>
        <v>22310.666666666668</v>
      </c>
      <c r="EW67" s="3547">
        <f t="shared" si="129"/>
        <v>-3.2741809263825417E-11</v>
      </c>
      <c r="EX67" s="3568">
        <v>3927.8679245283001</v>
      </c>
      <c r="EY67" s="3569">
        <f>4163.54/1.06</f>
        <v>3927.8679245283015</v>
      </c>
      <c r="EZ67" s="3562">
        <f>12490.62/3/1.06</f>
        <v>3927.8679245283015</v>
      </c>
      <c r="FA67" s="3547">
        <f t="shared" si="130"/>
        <v>0</v>
      </c>
      <c r="FB67" s="3568">
        <v>22310.666666666701</v>
      </c>
      <c r="FC67" s="3569">
        <f>23426.2/1.05</f>
        <v>22310.666666666668</v>
      </c>
      <c r="FD67" s="3562">
        <f>70278.6/3/1.05</f>
        <v>22310.666666666668</v>
      </c>
      <c r="FE67" s="3547">
        <f t="shared" si="117"/>
        <v>-3.2741809263825417E-11</v>
      </c>
      <c r="FF67" s="3568">
        <v>3927.8679245283001</v>
      </c>
      <c r="FG67" s="3569">
        <f>4163.54/1.06</f>
        <v>3927.8679245283015</v>
      </c>
      <c r="FH67" s="3562">
        <f>12490.62/3/1.06</f>
        <v>3927.8679245283015</v>
      </c>
      <c r="FI67" s="3547">
        <f t="shared" si="118"/>
        <v>0</v>
      </c>
      <c r="FJ67" s="3568">
        <v>22310.666666666701</v>
      </c>
      <c r="FK67" s="3559">
        <f>23426.2/1.05</f>
        <v>22310.666666666668</v>
      </c>
      <c r="FL67" s="3562">
        <f>70278.6/3/1.05</f>
        <v>22310.666666666668</v>
      </c>
      <c r="FM67" s="3547">
        <f t="shared" si="119"/>
        <v>-3.2741809263825417E-11</v>
      </c>
      <c r="FN67" s="3568">
        <v>3927.8679245283001</v>
      </c>
      <c r="FO67" s="3559">
        <f>4163.54/1.06</f>
        <v>3927.8679245283015</v>
      </c>
      <c r="FP67" s="3562">
        <f>12490.62/3/1.06</f>
        <v>3927.8679245283015</v>
      </c>
      <c r="FQ67" s="3547">
        <f t="shared" si="120"/>
        <v>0</v>
      </c>
      <c r="FR67" s="3568">
        <v>22310.666666666701</v>
      </c>
      <c r="FS67" s="3559">
        <f>23426.2/1.05</f>
        <v>22310.666666666668</v>
      </c>
      <c r="FT67" s="3560">
        <f>70278.6/3/1.05</f>
        <v>22310.666666666668</v>
      </c>
      <c r="FU67" s="3547">
        <f t="shared" si="69"/>
        <v>-3.2741809263825417E-11</v>
      </c>
      <c r="FV67" s="3568">
        <v>3927.8679245283001</v>
      </c>
      <c r="FW67" s="3559">
        <f>4163.54/1.06</f>
        <v>3927.8679245283015</v>
      </c>
      <c r="FX67" s="3560">
        <f>12490.62/3/1.06</f>
        <v>3927.8679245283015</v>
      </c>
      <c r="FY67" s="3547">
        <f t="shared" si="70"/>
        <v>0</v>
      </c>
      <c r="FZ67" s="3568">
        <v>22310.666666666701</v>
      </c>
      <c r="GA67" s="3569">
        <f>23426.2/1.05</f>
        <v>22310.666666666668</v>
      </c>
      <c r="GB67" s="3560">
        <f>70278.6/3/1.05</f>
        <v>22310.666666666668</v>
      </c>
      <c r="GC67" s="3547">
        <f t="shared" si="71"/>
        <v>-3.2741809263825417E-11</v>
      </c>
      <c r="GD67" s="3568">
        <v>3927.8679245283001</v>
      </c>
      <c r="GE67" s="3569">
        <f>4163.54/1.06</f>
        <v>3927.8679245283015</v>
      </c>
      <c r="GF67" s="3560">
        <f>12490.62/3/1.06</f>
        <v>3927.8679245283015</v>
      </c>
      <c r="GG67" s="3547">
        <f t="shared" si="72"/>
        <v>0</v>
      </c>
      <c r="GH67" s="3568">
        <v>22310.666666666701</v>
      </c>
      <c r="GI67" s="3569">
        <f>23426.2/1.05</f>
        <v>22310.666666666668</v>
      </c>
      <c r="GJ67" s="3560">
        <f>70278.6/3/1.05</f>
        <v>22310.666666666668</v>
      </c>
      <c r="GK67" s="3547">
        <f t="shared" si="73"/>
        <v>-3.2741809263825417E-11</v>
      </c>
      <c r="GL67" s="3568">
        <v>3927.8679245283001</v>
      </c>
      <c r="GM67" s="3569">
        <f>4163.54/1.06</f>
        <v>3927.8679245283015</v>
      </c>
      <c r="GN67" s="3560">
        <f>12490.62/1.06/3</f>
        <v>3927.867924528302</v>
      </c>
      <c r="GO67" s="3547">
        <f t="shared" si="74"/>
        <v>0</v>
      </c>
      <c r="GP67" s="3568">
        <v>22310.666666666701</v>
      </c>
      <c r="GQ67" s="3569">
        <f>23426.2/1.05</f>
        <v>22310.666666666668</v>
      </c>
      <c r="GR67" s="3560">
        <f>70278.6/3/1.05</f>
        <v>22310.666666666668</v>
      </c>
      <c r="GS67" s="3547">
        <f t="shared" si="75"/>
        <v>-3.2741809263825417E-11</v>
      </c>
      <c r="GT67" s="3568">
        <v>3927.8679245283001</v>
      </c>
      <c r="GU67" s="3569">
        <f>4163.54/1.06</f>
        <v>3927.8679245283015</v>
      </c>
      <c r="GV67" s="3560">
        <f>12490.62/1.06/3</f>
        <v>3927.867924528302</v>
      </c>
      <c r="GW67" s="3547">
        <f t="shared" si="76"/>
        <v>0</v>
      </c>
      <c r="GX67" s="3568">
        <v>22310.666666666701</v>
      </c>
      <c r="GY67" s="3569">
        <f>23426.2/1.05</f>
        <v>22310.666666666668</v>
      </c>
      <c r="GZ67" s="3562">
        <f>70278.6/3/1.05</f>
        <v>22310.666666666668</v>
      </c>
      <c r="HA67" s="3547">
        <f t="shared" si="77"/>
        <v>-3.2741809263825417E-11</v>
      </c>
      <c r="HB67" s="3568">
        <v>3927.8679245283001</v>
      </c>
      <c r="HC67" s="3569">
        <f>4163.54/1.06</f>
        <v>3927.8679245283015</v>
      </c>
      <c r="HD67" s="3562">
        <f>12490.62/1.06/3</f>
        <v>3927.867924528302</v>
      </c>
      <c r="HE67" s="3547">
        <f t="shared" si="78"/>
        <v>0</v>
      </c>
      <c r="HF67" s="3568">
        <v>22310.666666666701</v>
      </c>
      <c r="HG67" s="3569">
        <f>23426.2/1.05</f>
        <v>22310.666666666668</v>
      </c>
      <c r="HH67" s="3562">
        <f>70278.6/3/1.05</f>
        <v>22310.666666666668</v>
      </c>
      <c r="HI67" s="3547">
        <f t="shared" si="79"/>
        <v>-3.2741809263825417E-11</v>
      </c>
      <c r="HJ67" s="3568">
        <v>3927.8679245283001</v>
      </c>
      <c r="HK67" s="3569">
        <f>4163.54/1.06</f>
        <v>3927.8679245283015</v>
      </c>
      <c r="HL67" s="3562">
        <f>12490.62/3/1.06</f>
        <v>3927.8679245283015</v>
      </c>
      <c r="HM67" s="3547">
        <f t="shared" si="80"/>
        <v>0</v>
      </c>
      <c r="HN67" s="3568">
        <v>22310.666666666701</v>
      </c>
      <c r="HO67" s="3569">
        <f>23426.2/1.05</f>
        <v>22310.666666666668</v>
      </c>
      <c r="HP67" s="3562">
        <f>70278.6/3/1.05</f>
        <v>22310.666666666668</v>
      </c>
      <c r="HQ67" s="3547">
        <f t="shared" si="81"/>
        <v>-3.2741809263825417E-11</v>
      </c>
      <c r="HR67" s="3568">
        <v>3927.8679245283001</v>
      </c>
      <c r="HS67" s="3569">
        <f>4163.54/1.06</f>
        <v>3927.8679245283015</v>
      </c>
      <c r="HT67" s="3562">
        <f>12490.62/3/1.06</f>
        <v>3927.8679245283015</v>
      </c>
      <c r="HU67" s="3547">
        <f t="shared" si="82"/>
        <v>0</v>
      </c>
      <c r="HV67" s="3568">
        <v>22310.666666666701</v>
      </c>
      <c r="HW67" s="3569">
        <f>23426.2/1.05</f>
        <v>22310.666666666668</v>
      </c>
      <c r="HX67" s="3562">
        <f>70278.6/3/1.05</f>
        <v>22310.666666666668</v>
      </c>
      <c r="HY67" s="3547">
        <f t="shared" si="83"/>
        <v>-3.2741809263825417E-11</v>
      </c>
      <c r="HZ67" s="3568">
        <v>3927.8679245283001</v>
      </c>
      <c r="IA67" s="3569">
        <f>4163.54/1.06</f>
        <v>3927.8679245283015</v>
      </c>
      <c r="IB67" s="3562">
        <f>12490.62/3/1.06</f>
        <v>3927.8679245283015</v>
      </c>
      <c r="IC67" s="3547">
        <f t="shared" si="84"/>
        <v>0</v>
      </c>
      <c r="ID67" s="3568">
        <v>22310.666666666701</v>
      </c>
      <c r="IE67" s="3569">
        <f>23426.2/1.05</f>
        <v>22310.666666666668</v>
      </c>
      <c r="IF67" s="3562"/>
      <c r="IG67" s="3547">
        <f t="shared" si="85"/>
        <v>-22310.666666666701</v>
      </c>
      <c r="IH67" s="3568">
        <v>3927.8679245283001</v>
      </c>
      <c r="II67" s="3569">
        <f>4163.54/1.06</f>
        <v>3927.8679245283015</v>
      </c>
      <c r="IJ67" s="3562"/>
      <c r="IK67" s="3547">
        <f t="shared" si="86"/>
        <v>-3927.8679245283001</v>
      </c>
      <c r="IL67" s="3547" t="s">
        <v>4224</v>
      </c>
      <c r="IM67" s="3569">
        <f>23426.2/1.05*2</f>
        <v>44621.333333333336</v>
      </c>
      <c r="IN67" s="3569">
        <f>4163.54/1.06*2</f>
        <v>7855.735849056603</v>
      </c>
      <c r="IO67" s="3547"/>
      <c r="IP67" s="3560">
        <f t="shared" si="87"/>
        <v>0</v>
      </c>
      <c r="IQ67" s="3568"/>
      <c r="IR67" s="3568"/>
      <c r="IS67" s="3568"/>
      <c r="IT67" s="3568"/>
      <c r="IU67" s="3568"/>
      <c r="IV67" s="3568"/>
      <c r="IW67" s="3568"/>
      <c r="IX67" s="3568"/>
      <c r="IY67" s="3568"/>
      <c r="IZ67" s="3560"/>
      <c r="JA67" s="3560"/>
      <c r="JB67" s="3560"/>
      <c r="JC67" s="3560">
        <f t="shared" si="11"/>
        <v>0</v>
      </c>
      <c r="JD67" s="3547"/>
      <c r="JE67" s="3568"/>
      <c r="JF67" s="3568"/>
      <c r="JG67" s="3568"/>
      <c r="JH67" s="3568"/>
      <c r="JI67" s="3568"/>
      <c r="JJ67" s="3568"/>
      <c r="JK67" s="3568"/>
      <c r="JL67" s="3568"/>
      <c r="JM67" s="3568"/>
      <c r="JN67" s="3560"/>
      <c r="JO67" s="3560"/>
      <c r="JP67" s="3607" t="s">
        <v>4204</v>
      </c>
      <c r="JQ67" s="3583">
        <f>23426.2/1.05*2</f>
        <v>44621.333333333336</v>
      </c>
      <c r="JR67" s="3583">
        <f>4163.54/1.06*2</f>
        <v>7855.735849056603</v>
      </c>
      <c r="JS67" s="3573">
        <f t="shared" si="28"/>
        <v>0</v>
      </c>
      <c r="JT67" s="3573">
        <f t="shared" si="35"/>
        <v>8.1854523159563541E-12</v>
      </c>
      <c r="JU67" s="3574">
        <f t="shared" si="29"/>
        <v>0</v>
      </c>
      <c r="JV67" s="3574">
        <f t="shared" si="30"/>
        <v>0</v>
      </c>
      <c r="JW67" s="3575"/>
      <c r="JX67" s="3576">
        <f t="shared" si="31"/>
        <v>44621.333333333336</v>
      </c>
      <c r="JY67" s="3576">
        <f t="shared" si="32"/>
        <v>7855.735849056603</v>
      </c>
      <c r="JZ67" s="3577"/>
      <c r="KA67" s="3573">
        <f t="shared" si="131"/>
        <v>-3.2741809263825417E-11</v>
      </c>
      <c r="KB67" s="3573"/>
      <c r="KC67" s="3573"/>
      <c r="KD67" s="3573">
        <f t="shared" si="33"/>
        <v>-3.2741809263825417E-11</v>
      </c>
      <c r="KE67" s="3571"/>
      <c r="KF67" s="3579"/>
      <c r="KG67" s="3579"/>
      <c r="KH67" s="3579"/>
      <c r="KI67" s="3579"/>
      <c r="KJ67" s="3579"/>
      <c r="KK67" s="3579"/>
      <c r="KL67" s="3579"/>
      <c r="KM67" s="3579"/>
      <c r="KN67" s="3579"/>
      <c r="KO67" s="3579"/>
      <c r="KP67" s="3579"/>
      <c r="KQ67" s="3579">
        <f t="shared" si="34"/>
        <v>0</v>
      </c>
      <c r="KR67" s="3579">
        <f t="shared" si="88"/>
        <v>-3.2014213502407076E-14</v>
      </c>
      <c r="KS67" s="3577"/>
      <c r="KT67" s="3577"/>
      <c r="KU67" s="3577"/>
      <c r="KV67" s="3577"/>
      <c r="KW67" s="3577"/>
      <c r="KX67" s="3577"/>
      <c r="KY67" s="3577"/>
      <c r="KZ67" s="3577"/>
      <c r="LA67" s="3577"/>
      <c r="LB67" s="3577"/>
      <c r="LC67" s="3577"/>
      <c r="LD67" s="3577"/>
      <c r="LE67" s="3577"/>
      <c r="LF67" s="3577"/>
      <c r="LG67" s="3577"/>
      <c r="LH67" s="3577"/>
      <c r="LJ67" s="3575"/>
      <c r="LK67" s="3626">
        <v>12</v>
      </c>
      <c r="LL67" s="3627">
        <v>33960.46</v>
      </c>
      <c r="LM67" s="3580" t="s">
        <v>3954</v>
      </c>
    </row>
    <row r="68" spans="1:325" s="3580" customFormat="1" ht="18" customHeight="1">
      <c r="A68" s="3545">
        <v>65</v>
      </c>
      <c r="B68" s="3546" t="s">
        <v>4346</v>
      </c>
      <c r="C68" s="3546">
        <v>1306</v>
      </c>
      <c r="D68" s="3547">
        <v>54.09</v>
      </c>
      <c r="E68" s="3548" t="s">
        <v>3799</v>
      </c>
      <c r="F68" s="3546" t="s">
        <v>3790</v>
      </c>
      <c r="G68" s="3549" t="s">
        <v>4379</v>
      </c>
      <c r="H68" s="3546" t="s">
        <v>4380</v>
      </c>
      <c r="I68" s="3594" t="s">
        <v>4381</v>
      </c>
      <c r="J68" s="3594" t="s">
        <v>4382</v>
      </c>
      <c r="K68" s="3545" t="s">
        <v>3925</v>
      </c>
      <c r="L68" s="3555"/>
      <c r="M68" s="3551">
        <v>21569.07</v>
      </c>
      <c r="N68" s="3551">
        <f>15394+1085.06+16442.13</f>
        <v>32921.19</v>
      </c>
      <c r="O68" s="3551">
        <f t="shared" si="13"/>
        <v>11352.120000000003</v>
      </c>
      <c r="P68" s="3547">
        <v>4096.6499999999996</v>
      </c>
      <c r="Q68" s="3547">
        <f>2704.5+1392.15</f>
        <v>4096.6499999999996</v>
      </c>
      <c r="R68" s="3547">
        <f t="shared" si="132"/>
        <v>0</v>
      </c>
      <c r="S68" s="3547">
        <f t="shared" si="125"/>
        <v>4.3700012916068349</v>
      </c>
      <c r="T68" s="3552">
        <v>7189.69</v>
      </c>
      <c r="U68" s="3553">
        <f t="shared" si="15"/>
        <v>86276.28</v>
      </c>
      <c r="V68" s="3547">
        <f>8670.4*12</f>
        <v>104044.79999999999</v>
      </c>
      <c r="W68" s="3547">
        <f t="shared" si="126"/>
        <v>0.83000174746807054</v>
      </c>
      <c r="X68" s="3658">
        <v>1365.55</v>
      </c>
      <c r="Y68" s="3547">
        <f t="shared" si="17"/>
        <v>16386.599999999999</v>
      </c>
      <c r="Z68" s="3554"/>
      <c r="AA68" s="3555"/>
      <c r="AB68" s="3650" t="s">
        <v>3804</v>
      </c>
      <c r="AC68" s="3556">
        <f t="shared" si="18"/>
        <v>93283.898219178081</v>
      </c>
      <c r="AD68" s="3556">
        <f t="shared" si="121"/>
        <v>71714.828219178075</v>
      </c>
      <c r="AE68" s="3556">
        <f t="shared" si="121"/>
        <v>71714.829999999987</v>
      </c>
      <c r="AF68" s="3556">
        <f t="shared" si="20"/>
        <v>1.7808219126891345E-3</v>
      </c>
      <c r="AG68" s="3556"/>
      <c r="AH68" s="3557">
        <f t="shared" si="21"/>
        <v>16790.653150684928</v>
      </c>
      <c r="AI68" s="3558">
        <f t="shared" si="122"/>
        <v>12694.00315068493</v>
      </c>
      <c r="AJ68" s="3558">
        <f t="shared" si="122"/>
        <v>12693.999999999998</v>
      </c>
      <c r="AK68" s="3557">
        <f t="shared" si="43"/>
        <v>-3.1506849318247987E-3</v>
      </c>
      <c r="AL68" s="3557"/>
      <c r="AM68" s="3547" t="s">
        <v>3822</v>
      </c>
      <c r="AN68" s="3609">
        <v>8670.4</v>
      </c>
      <c r="AO68" s="3562">
        <v>8670.4</v>
      </c>
      <c r="AP68" s="3561">
        <f t="shared" si="113"/>
        <v>0</v>
      </c>
      <c r="AQ68" s="3559">
        <v>1365.55</v>
      </c>
      <c r="AR68" s="3562">
        <v>1365.55</v>
      </c>
      <c r="AS68" s="3561">
        <f t="shared" si="127"/>
        <v>0</v>
      </c>
      <c r="AT68" s="3563" t="s">
        <v>3871</v>
      </c>
      <c r="AU68" s="3547" t="s">
        <v>3824</v>
      </c>
      <c r="AV68" s="3609">
        <v>8670.4</v>
      </c>
      <c r="AW68" s="3562">
        <v>8670.4</v>
      </c>
      <c r="AX68" s="3561">
        <f t="shared" si="114"/>
        <v>0</v>
      </c>
      <c r="AY68" s="3559">
        <v>1365.55</v>
      </c>
      <c r="AZ68" s="3562">
        <v>1365.55</v>
      </c>
      <c r="BA68" s="3561">
        <f t="shared" si="128"/>
        <v>0</v>
      </c>
      <c r="BB68" s="3563" t="s">
        <v>4383</v>
      </c>
      <c r="BC68" s="3547" t="s">
        <v>3826</v>
      </c>
      <c r="BD68" s="3609">
        <v>8670.4</v>
      </c>
      <c r="BE68" s="3562">
        <f>8670.4</f>
        <v>8670.4</v>
      </c>
      <c r="BF68" s="3561">
        <f t="shared" si="115"/>
        <v>0</v>
      </c>
      <c r="BG68" s="3559">
        <v>1365.55</v>
      </c>
      <c r="BH68" s="3562">
        <v>1365.55</v>
      </c>
      <c r="BI68" s="3561">
        <f t="shared" si="116"/>
        <v>0</v>
      </c>
      <c r="BJ68" s="3563" t="s">
        <v>4199</v>
      </c>
      <c r="BK68" s="3584" t="s">
        <v>4384</v>
      </c>
      <c r="BL68" s="3614">
        <f>8670.4*12/365*9</f>
        <v>2565.4882191780821</v>
      </c>
      <c r="BM68" s="3562">
        <v>2565.4899999999998</v>
      </c>
      <c r="BN68" s="3561">
        <f t="shared" si="48"/>
        <v>1.7808219176913553E-3</v>
      </c>
      <c r="BO68" s="3559">
        <f>1365.55*12/365*9</f>
        <v>404.05315068493144</v>
      </c>
      <c r="BP68" s="3603">
        <v>404.05</v>
      </c>
      <c r="BQ68" s="3602">
        <f t="shared" si="49"/>
        <v>-3.1506849314268948E-3</v>
      </c>
      <c r="BR68" s="3630" t="s">
        <v>4385</v>
      </c>
      <c r="BS68" s="3547" t="s">
        <v>4386</v>
      </c>
      <c r="BT68" s="3559">
        <v>21569.07</v>
      </c>
      <c r="BU68" s="3603">
        <v>21569.07</v>
      </c>
      <c r="BV68" s="3602">
        <f t="shared" si="50"/>
        <v>0</v>
      </c>
      <c r="BW68" s="3604">
        <v>4096.6499999999996</v>
      </c>
      <c r="BX68" s="3603">
        <v>4096.6499999999996</v>
      </c>
      <c r="BY68" s="3561">
        <f t="shared" si="51"/>
        <v>0</v>
      </c>
      <c r="BZ68" s="3630" t="s">
        <v>4387</v>
      </c>
      <c r="CA68" s="3547"/>
      <c r="CB68" s="3621"/>
      <c r="CC68" s="3603"/>
      <c r="CD68" s="3602">
        <f t="shared" si="52"/>
        <v>0</v>
      </c>
      <c r="CE68" s="3604"/>
      <c r="CF68" s="3562"/>
      <c r="CG68" s="3561">
        <f t="shared" si="53"/>
        <v>0</v>
      </c>
      <c r="CH68" s="3630" t="s">
        <v>4387</v>
      </c>
      <c r="CI68" s="3547" t="s">
        <v>4388</v>
      </c>
      <c r="CJ68" s="3609">
        <v>21569.07</v>
      </c>
      <c r="CK68" s="3603">
        <v>21569.07</v>
      </c>
      <c r="CL68" s="3561">
        <f t="shared" ref="CL68:CL131" si="133">CK68-CJ68</f>
        <v>0</v>
      </c>
      <c r="CM68" s="3559">
        <v>4096.6499999999996</v>
      </c>
      <c r="CN68" s="3562">
        <v>4096.6499999999996</v>
      </c>
      <c r="CO68" s="3561">
        <f t="shared" si="54"/>
        <v>0</v>
      </c>
      <c r="CP68" s="3563" t="s">
        <v>4389</v>
      </c>
      <c r="CQ68" s="3547"/>
      <c r="CR68" s="3609"/>
      <c r="CS68" s="3562"/>
      <c r="CT68" s="3561">
        <f t="shared" si="55"/>
        <v>0</v>
      </c>
      <c r="CU68" s="3604"/>
      <c r="CV68" s="3562"/>
      <c r="CW68" s="3561">
        <f t="shared" si="56"/>
        <v>0</v>
      </c>
      <c r="CX68" s="3563" t="s">
        <v>4389</v>
      </c>
      <c r="CY68" s="3547"/>
      <c r="CZ68" s="3609"/>
      <c r="DA68" s="3562"/>
      <c r="DB68" s="3561">
        <f t="shared" si="57"/>
        <v>0</v>
      </c>
      <c r="DC68" s="3559"/>
      <c r="DD68" s="3562"/>
      <c r="DE68" s="3561">
        <f t="shared" si="58"/>
        <v>0</v>
      </c>
      <c r="DF68" s="3563" t="s">
        <v>4389</v>
      </c>
      <c r="DG68" s="3547" t="s">
        <v>4390</v>
      </c>
      <c r="DH68" s="3609">
        <v>21569.07</v>
      </c>
      <c r="DI68" s="3562"/>
      <c r="DJ68" s="3561">
        <f t="shared" si="59"/>
        <v>-21569.07</v>
      </c>
      <c r="DK68" s="3559">
        <v>4096.6499999999996</v>
      </c>
      <c r="DL68" s="3562"/>
      <c r="DM68" s="3561">
        <f t="shared" si="60"/>
        <v>-4096.6499999999996</v>
      </c>
      <c r="DN68" s="3563"/>
      <c r="DO68" s="3547"/>
      <c r="DP68" s="3609"/>
      <c r="DQ68" s="3562"/>
      <c r="DR68" s="3561">
        <f t="shared" si="61"/>
        <v>0</v>
      </c>
      <c r="DS68" s="3559"/>
      <c r="DT68" s="3562"/>
      <c r="DU68" s="3561">
        <f t="shared" si="62"/>
        <v>0</v>
      </c>
      <c r="DV68" s="3563"/>
      <c r="DW68" s="3547"/>
      <c r="DX68" s="3609"/>
      <c r="DY68" s="3562"/>
      <c r="DZ68" s="3561">
        <f t="shared" si="63"/>
        <v>0</v>
      </c>
      <c r="EA68" s="3559"/>
      <c r="EB68" s="3562"/>
      <c r="EC68" s="3561">
        <f t="shared" si="64"/>
        <v>0</v>
      </c>
      <c r="ED68" s="3563"/>
      <c r="EE68" s="3564"/>
      <c r="EF68" s="3565">
        <f t="shared" si="37"/>
        <v>55341.618780169607</v>
      </c>
      <c r="EG68" s="3565">
        <f t="shared" si="123"/>
        <v>40440.467708741038</v>
      </c>
      <c r="EH68" s="3565">
        <f t="shared" si="123"/>
        <v>67683.978943248512</v>
      </c>
      <c r="EI68" s="3565">
        <f t="shared" si="123"/>
        <v>67683.980639269386</v>
      </c>
      <c r="EJ68" s="3565">
        <f t="shared" si="38"/>
        <v>27243.512930528348</v>
      </c>
      <c r="EK68" s="3566">
        <f t="shared" si="39"/>
        <v>1.6960208740783855E-3</v>
      </c>
      <c r="EL68" s="3610"/>
      <c r="EM68" s="3567">
        <f t="shared" si="40"/>
        <v>10687.209104419735</v>
      </c>
      <c r="EN68" s="3557">
        <f t="shared" si="124"/>
        <v>6822.4530902687948</v>
      </c>
      <c r="EO68" s="3557">
        <f t="shared" si="124"/>
        <v>11594.292452830185</v>
      </c>
      <c r="EP68" s="3557">
        <f t="shared" si="124"/>
        <v>11594.28948048591</v>
      </c>
      <c r="EQ68" s="3557">
        <f t="shared" si="41"/>
        <v>4771.836390217115</v>
      </c>
      <c r="ER68" s="3557">
        <f t="shared" si="42"/>
        <v>-2.9723442748945672E-3</v>
      </c>
      <c r="ES68" s="3557"/>
      <c r="ET68" s="3568">
        <v>8257.5238095238092</v>
      </c>
      <c r="EU68" s="3569">
        <f>8670.4/1.05</f>
        <v>8257.5238095238092</v>
      </c>
      <c r="EV68" s="3562">
        <f>8670.4/1.05</f>
        <v>8257.5238095238092</v>
      </c>
      <c r="EW68" s="3547">
        <f t="shared" si="129"/>
        <v>0</v>
      </c>
      <c r="EX68" s="3568">
        <v>1288.2547169811301</v>
      </c>
      <c r="EY68" s="3569">
        <f>1365.55/1.06</f>
        <v>1288.2547169811319</v>
      </c>
      <c r="EZ68" s="3562">
        <f>1365.55/1.06</f>
        <v>1288.2547169811319</v>
      </c>
      <c r="FA68" s="3547">
        <f t="shared" si="130"/>
        <v>1.8189894035458565E-12</v>
      </c>
      <c r="FB68" s="3568">
        <v>8257.5238095238092</v>
      </c>
      <c r="FC68" s="3569">
        <f>8670.4/1.05</f>
        <v>8257.5238095238092</v>
      </c>
      <c r="FD68" s="3562">
        <f>8670.4/1.05</f>
        <v>8257.5238095238092</v>
      </c>
      <c r="FE68" s="3547">
        <f t="shared" si="117"/>
        <v>0</v>
      </c>
      <c r="FF68" s="3568">
        <v>1288.2547169811301</v>
      </c>
      <c r="FG68" s="3569">
        <f>1365.55/1.06</f>
        <v>1288.2547169811319</v>
      </c>
      <c r="FH68" s="3562">
        <f>1365.55/1.06</f>
        <v>1288.2547169811319</v>
      </c>
      <c r="FI68" s="3547">
        <f t="shared" si="118"/>
        <v>1.8189894035458565E-12</v>
      </c>
      <c r="FJ68" s="3568">
        <v>8257.5238095238092</v>
      </c>
      <c r="FK68" s="3559">
        <f>8670.4/1.05</f>
        <v>8257.5238095238092</v>
      </c>
      <c r="FL68" s="3562">
        <f>8670.4/1.05</f>
        <v>8257.5238095238092</v>
      </c>
      <c r="FM68" s="3547">
        <f t="shared" si="119"/>
        <v>0</v>
      </c>
      <c r="FN68" s="3568">
        <v>1288.2547169811301</v>
      </c>
      <c r="FO68" s="3559">
        <f>1365.55/1.06</f>
        <v>1288.2547169811319</v>
      </c>
      <c r="FP68" s="3562">
        <f>1365.55/1.06</f>
        <v>1288.2547169811319</v>
      </c>
      <c r="FQ68" s="3547">
        <f t="shared" si="120"/>
        <v>1.8189894035458565E-12</v>
      </c>
      <c r="FR68" s="3568">
        <v>8257.5238095238092</v>
      </c>
      <c r="FS68" s="3559">
        <f>8670.4/1.05</f>
        <v>8257.5238095238092</v>
      </c>
      <c r="FT68" s="3560">
        <f>8670.4/1.05</f>
        <v>8257.5238095238092</v>
      </c>
      <c r="FU68" s="3547">
        <f t="shared" si="69"/>
        <v>0</v>
      </c>
      <c r="FV68" s="3568">
        <v>1288.2547169811301</v>
      </c>
      <c r="FW68" s="3559">
        <f>1365.55/1.06</f>
        <v>1288.2547169811319</v>
      </c>
      <c r="FX68" s="3560">
        <f>1365.55/1.06</f>
        <v>1288.2547169811319</v>
      </c>
      <c r="FY68" s="3547">
        <f t="shared" si="70"/>
        <v>1.8189894035458565E-12</v>
      </c>
      <c r="FZ68" s="3568">
        <v>2443.3221135029398</v>
      </c>
      <c r="GA68" s="3592">
        <f>8670.4/1.05*12/365*9+7189.69/1.05-7189.69/1.05*12/365*9</f>
        <v>7264.5884670580544</v>
      </c>
      <c r="GB68" s="3560">
        <f>2565.49/1.05+21569.07/3/1.05-21569.07/3/1.05*12/365*9</f>
        <v>7264.5901630789285</v>
      </c>
      <c r="GC68" s="3547">
        <f t="shared" si="71"/>
        <v>4821.2680495759887</v>
      </c>
      <c r="GD68" s="3568">
        <v>381.18221762729399</v>
      </c>
      <c r="GE68" s="3592">
        <f>1365.55/1.06*12/365*9+1365.55/1.06-1365.55/1.06*12/365*9</f>
        <v>1288.2547169811319</v>
      </c>
      <c r="GF68" s="3560">
        <f>404.05/1.06+4096.65/3/1.06-4096.65/3/1.06*12/365*9</f>
        <v>1288.251744636857</v>
      </c>
      <c r="GG68" s="3547">
        <f t="shared" si="72"/>
        <v>907.06952700956299</v>
      </c>
      <c r="GH68" s="3568"/>
      <c r="GI68" s="3569">
        <f>7189.69/1.05</f>
        <v>6847.3238095238084</v>
      </c>
      <c r="GJ68" s="3560">
        <f>21569.07/3/1.05</f>
        <v>6847.3238095238084</v>
      </c>
      <c r="GK68" s="3547">
        <f t="shared" si="73"/>
        <v>6847.3238095238084</v>
      </c>
      <c r="GL68" s="3568"/>
      <c r="GM68" s="3569">
        <f>1365.55/1.06</f>
        <v>1288.2547169811319</v>
      </c>
      <c r="GN68" s="3562">
        <f>4096.65/3/1.06</f>
        <v>1288.2547169811319</v>
      </c>
      <c r="GO68" s="3547">
        <f t="shared" si="74"/>
        <v>1288.2547169811319</v>
      </c>
      <c r="GP68" s="3568"/>
      <c r="GQ68" s="3569">
        <f>7189.69/1.05</f>
        <v>6847.3238095238084</v>
      </c>
      <c r="GR68" s="3560">
        <f>21569.07/3/1.05</f>
        <v>6847.3238095238084</v>
      </c>
      <c r="GS68" s="3547">
        <f t="shared" si="75"/>
        <v>6847.3238095238084</v>
      </c>
      <c r="GT68" s="3568"/>
      <c r="GU68" s="3569">
        <f>1365.55/1.06</f>
        <v>1288.2547169811319</v>
      </c>
      <c r="GV68" s="3562">
        <f>4096.65/3/1.06</f>
        <v>1288.2547169811319</v>
      </c>
      <c r="GW68" s="3547">
        <f t="shared" si="76"/>
        <v>1288.2547169811319</v>
      </c>
      <c r="GX68" s="3568"/>
      <c r="GY68" s="3569">
        <f>7189.69/1.05</f>
        <v>6847.3238095238084</v>
      </c>
      <c r="GZ68" s="3562">
        <f>21569.07/3/1.05*12/365*9+21569.07/3/1.05-21569.07/3/1.05*12/365*9</f>
        <v>6847.3238095238084</v>
      </c>
      <c r="HA68" s="3547">
        <f t="shared" si="77"/>
        <v>6847.3238095238084</v>
      </c>
      <c r="HB68" s="3568"/>
      <c r="HC68" s="3569">
        <f>1365.55/1.06</f>
        <v>1288.2547169811319</v>
      </c>
      <c r="HD68" s="3562">
        <f>4096.65/3/1.06*12/365*9+4096.65/3/1.06-4096.65/3/1.06*12/365*9</f>
        <v>1288.2547169811319</v>
      </c>
      <c r="HE68" s="3547">
        <f t="shared" si="78"/>
        <v>1288.2547169811319</v>
      </c>
      <c r="HF68" s="3568">
        <v>4967.0503571428599</v>
      </c>
      <c r="HG68" s="3569">
        <f>7189.69/1.05</f>
        <v>6847.3238095238084</v>
      </c>
      <c r="HH68" s="3562">
        <f>21569.07/3/1.05</f>
        <v>6847.3238095238084</v>
      </c>
      <c r="HI68" s="3547">
        <f t="shared" si="79"/>
        <v>1880.2734523809486</v>
      </c>
      <c r="HJ68" s="3568">
        <v>1288.2520047169801</v>
      </c>
      <c r="HK68" s="3569">
        <f>1365.55/1.06</f>
        <v>1288.2547169811319</v>
      </c>
      <c r="HL68" s="3562">
        <f>4096.65/3/1.06</f>
        <v>1288.2547169811319</v>
      </c>
      <c r="HM68" s="3547">
        <f t="shared" si="80"/>
        <v>2.712264151796262E-3</v>
      </c>
      <c r="HN68" s="3568">
        <v>4967.0503571428599</v>
      </c>
      <c r="HO68" s="3569">
        <f>7189.69/1.05</f>
        <v>6847.3238095238084</v>
      </c>
      <c r="HP68" s="3562">
        <f>21569.07/3/1.05</f>
        <v>6847.3238095238084</v>
      </c>
      <c r="HQ68" s="3547">
        <f t="shared" si="81"/>
        <v>1880.2734523809486</v>
      </c>
      <c r="HR68" s="3568">
        <v>1288.2520047169801</v>
      </c>
      <c r="HS68" s="3569">
        <f>1365.55/1.06</f>
        <v>1288.2547169811319</v>
      </c>
      <c r="HT68" s="3562">
        <f>4096.65/3/1.06</f>
        <v>1288.2547169811319</v>
      </c>
      <c r="HU68" s="3547">
        <f t="shared" si="82"/>
        <v>2.712264151796262E-3</v>
      </c>
      <c r="HV68" s="3568">
        <v>4967.0503571428599</v>
      </c>
      <c r="HW68" s="3569">
        <f>7189.69/1.05</f>
        <v>6847.3238095238084</v>
      </c>
      <c r="HX68" s="3562">
        <f>21569.07/3/1.05*12/365*9</f>
        <v>2026.0574559686886</v>
      </c>
      <c r="HY68" s="3547">
        <f t="shared" si="83"/>
        <v>-2940.9929011741715</v>
      </c>
      <c r="HZ68" s="3568">
        <v>1288.2520047169801</v>
      </c>
      <c r="IA68" s="3569">
        <f>1365.55/1.06</f>
        <v>1288.2547169811319</v>
      </c>
      <c r="IB68" s="3562">
        <f>4096.65/3/1.06*12/365*9</f>
        <v>381.18221762729382</v>
      </c>
      <c r="IC68" s="3547">
        <f t="shared" si="84"/>
        <v>-907.06978708968632</v>
      </c>
      <c r="ID68" s="3568">
        <v>4967.0503571428599</v>
      </c>
      <c r="IE68" s="3569">
        <f>7189.69/1.05</f>
        <v>6847.3238095238084</v>
      </c>
      <c r="IF68" s="3562"/>
      <c r="IG68" s="3547">
        <f t="shared" si="85"/>
        <v>-4967.0503571428599</v>
      </c>
      <c r="IH68" s="3568">
        <v>1288.2520047169801</v>
      </c>
      <c r="II68" s="3569">
        <f>1365.55/1.06</f>
        <v>1288.2547169811319</v>
      </c>
      <c r="IJ68" s="3562"/>
      <c r="IK68" s="3547">
        <f t="shared" si="86"/>
        <v>-1288.2520047169801</v>
      </c>
      <c r="IL68" s="3547" t="s">
        <v>4391</v>
      </c>
      <c r="IM68" s="3569">
        <f>7189.69/1.05+7189.69/1.05*12/365*9</f>
        <v>8873.3812654924968</v>
      </c>
      <c r="IN68" s="3569">
        <f>1365.55/1.06+1365.55/1.06*12/365*9</f>
        <v>1669.4369346084256</v>
      </c>
      <c r="IO68" s="3547"/>
      <c r="IP68" s="3560">
        <f t="shared" si="87"/>
        <v>0</v>
      </c>
      <c r="IQ68" s="3568"/>
      <c r="IR68" s="3568"/>
      <c r="IS68" s="3568"/>
      <c r="IT68" s="3568"/>
      <c r="IU68" s="3568"/>
      <c r="IV68" s="3568"/>
      <c r="IW68" s="3568"/>
      <c r="IX68" s="3568"/>
      <c r="IY68" s="3568"/>
      <c r="IZ68" s="3681"/>
      <c r="JA68" s="3681"/>
      <c r="JB68" s="3681"/>
      <c r="JC68" s="3560">
        <f t="shared" ref="JC68:JC131" si="134">SUM(JD68:JO68)</f>
        <v>0</v>
      </c>
      <c r="JD68" s="3547"/>
      <c r="JE68" s="3568"/>
      <c r="JF68" s="3568"/>
      <c r="JG68" s="3568"/>
      <c r="JH68" s="3568"/>
      <c r="JI68" s="3568"/>
      <c r="JJ68" s="3568"/>
      <c r="JK68" s="3568"/>
      <c r="JL68" s="3568"/>
      <c r="JM68" s="3568"/>
      <c r="JN68" s="3681"/>
      <c r="JO68" s="3681"/>
      <c r="JP68" s="3547" t="s">
        <v>3837</v>
      </c>
      <c r="JQ68" s="3583">
        <f>8670.4/1.05</f>
        <v>8257.5238095238092</v>
      </c>
      <c r="JR68" s="3583">
        <f>1365.55/1.06</f>
        <v>1288.2547169811319</v>
      </c>
      <c r="JS68" s="3573">
        <f t="shared" si="28"/>
        <v>3.092281986027956E-11</v>
      </c>
      <c r="JT68" s="3573">
        <f t="shared" si="35"/>
        <v>3.865352482534945E-12</v>
      </c>
      <c r="JU68" s="3574">
        <f t="shared" si="29"/>
        <v>1.6370904631912708E-11</v>
      </c>
      <c r="JV68" s="3574">
        <f t="shared" si="30"/>
        <v>2.0463630789890885E-12</v>
      </c>
      <c r="JW68" s="3575"/>
      <c r="JX68" s="3576">
        <f t="shared" si="31"/>
        <v>8873.3812654924968</v>
      </c>
      <c r="JY68" s="3576">
        <f t="shared" si="32"/>
        <v>1669.4369346084256</v>
      </c>
      <c r="JZ68" s="3577"/>
      <c r="KA68" s="3573">
        <f t="shared" si="131"/>
        <v>1880.2761646451004</v>
      </c>
      <c r="KB68" s="3573"/>
      <c r="KC68" s="3573"/>
      <c r="KD68" s="3573">
        <f t="shared" si="33"/>
        <v>1880.2761646451004</v>
      </c>
      <c r="KE68" s="3578" t="s">
        <v>4069</v>
      </c>
      <c r="KF68" s="3579"/>
      <c r="KG68" s="3579"/>
      <c r="KH68" s="3579">
        <f>5728.34/10000+8135.58/10000*3</f>
        <v>3.0135079999999999</v>
      </c>
      <c r="KI68" s="3579">
        <f>1880.28/10000</f>
        <v>0.188028</v>
      </c>
      <c r="KJ68" s="3579"/>
      <c r="KK68" s="3579"/>
      <c r="KL68" s="3579"/>
      <c r="KM68" s="3579"/>
      <c r="KN68" s="3579"/>
      <c r="KO68" s="3579"/>
      <c r="KP68" s="3579"/>
      <c r="KQ68" s="3579">
        <f t="shared" si="34"/>
        <v>3.2015359999999999</v>
      </c>
      <c r="KR68" s="3579">
        <f t="shared" si="88"/>
        <v>-1.0679254538459304E-6</v>
      </c>
      <c r="KS68" s="3577"/>
      <c r="KT68" s="3577"/>
      <c r="KU68" s="3577"/>
      <c r="KV68" s="3577"/>
      <c r="KW68" s="3577"/>
      <c r="KX68" s="3577"/>
      <c r="KY68" s="3577"/>
      <c r="KZ68" s="3577"/>
      <c r="LA68" s="3577"/>
      <c r="LB68" s="3577"/>
      <c r="LC68" s="3577"/>
      <c r="LD68" s="3577"/>
      <c r="LE68" s="3577"/>
      <c r="LF68" s="3577"/>
      <c r="LG68" s="3577"/>
      <c r="LH68" s="3577"/>
      <c r="LJ68" s="3575"/>
      <c r="LK68" s="3626">
        <v>12</v>
      </c>
      <c r="LL68" s="3627">
        <v>9493.02</v>
      </c>
      <c r="LM68" s="3580" t="s">
        <v>3954</v>
      </c>
    </row>
    <row r="69" spans="1:325" s="3580" customFormat="1" ht="18" customHeight="1">
      <c r="A69" s="3545">
        <v>66</v>
      </c>
      <c r="B69" s="3546" t="s">
        <v>4346</v>
      </c>
      <c r="C69" s="3546" t="s">
        <v>4392</v>
      </c>
      <c r="D69" s="3547">
        <v>234.93</v>
      </c>
      <c r="E69" s="3548" t="s">
        <v>3799</v>
      </c>
      <c r="F69" s="3546" t="s">
        <v>3790</v>
      </c>
      <c r="G69" s="3666" t="s">
        <v>4393</v>
      </c>
      <c r="H69" s="3546" t="s">
        <v>4394</v>
      </c>
      <c r="I69" s="3594" t="s">
        <v>3958</v>
      </c>
      <c r="J69" s="3653" t="s">
        <v>4395</v>
      </c>
      <c r="K69" s="3545" t="s">
        <v>3885</v>
      </c>
      <c r="L69" s="3545"/>
      <c r="M69" s="3551">
        <v>115577.97</v>
      </c>
      <c r="N69" s="3551">
        <v>115577.97</v>
      </c>
      <c r="O69" s="3551">
        <f t="shared" ref="O69:O132" si="135">N69-M69</f>
        <v>0</v>
      </c>
      <c r="P69" s="3547">
        <v>22309.23</v>
      </c>
      <c r="Q69" s="3547">
        <v>22309.23</v>
      </c>
      <c r="R69" s="3547">
        <f t="shared" si="132"/>
        <v>0</v>
      </c>
      <c r="S69" s="3547">
        <f t="shared" si="125"/>
        <v>5.3914267671687686</v>
      </c>
      <c r="T69" s="3682">
        <v>38525.99</v>
      </c>
      <c r="U69" s="3553">
        <f t="shared" ref="U69:U132" si="136">T69*12</f>
        <v>462311.88</v>
      </c>
      <c r="V69" s="3547">
        <f>38525.99*2*12-38525.99*2+39869.92*2*12-39869.92*1</f>
        <v>1764579.94</v>
      </c>
      <c r="W69" s="3547">
        <f t="shared" si="126"/>
        <v>1.0406704649417577</v>
      </c>
      <c r="X69" s="3663">
        <v>7436.41</v>
      </c>
      <c r="Y69" s="3547">
        <f t="shared" ref="Y69:Y95" si="137">X69*12</f>
        <v>89236.92</v>
      </c>
      <c r="Z69" s="3554"/>
      <c r="AA69" s="3555"/>
      <c r="AB69" s="3680" t="s">
        <v>4396</v>
      </c>
      <c r="AC69" s="3556">
        <f t="shared" ref="AC69:AC132" si="138">SUM(AN69,AV69,BD69,BL69,BT69,CB69,CJ69,CR69,CZ69,DH69,DP69,DX69)</f>
        <v>423785.89</v>
      </c>
      <c r="AD69" s="3556">
        <f t="shared" ref="AD69:AE100" si="139">SUM(AN69,AV69,BD69,BL69,BT69,CB69,CJ69,CR69,CZ69)</f>
        <v>308207.92000000004</v>
      </c>
      <c r="AE69" s="3556">
        <f t="shared" si="139"/>
        <v>308207.92000000004</v>
      </c>
      <c r="AF69" s="3556">
        <f t="shared" ref="AF69:AF132" si="140">AE69-AD69</f>
        <v>0</v>
      </c>
      <c r="AG69" s="3556"/>
      <c r="AH69" s="3557">
        <f t="shared" ref="AH69:AH132" si="141">SUM(AQ69,AY69,BG69,BO69,BW69,CE69,CM69,CU69,DC69,DK69,DS69,EA69)</f>
        <v>89236.92</v>
      </c>
      <c r="AI69" s="3558">
        <f t="shared" ref="AI69:AJ100" si="142">SUM(AQ69,AY69,BG69,BO69,BW69,CE69,CM69,CU69,DC69)</f>
        <v>66927.69</v>
      </c>
      <c r="AJ69" s="3558">
        <f t="shared" si="142"/>
        <v>66927.69</v>
      </c>
      <c r="AK69" s="3557">
        <f t="shared" si="43"/>
        <v>0</v>
      </c>
      <c r="AL69" s="3557"/>
      <c r="AM69" s="3547"/>
      <c r="AN69" s="3609"/>
      <c r="AO69" s="3562"/>
      <c r="AP69" s="3561">
        <f t="shared" si="113"/>
        <v>0</v>
      </c>
      <c r="AQ69" s="3559"/>
      <c r="AR69" s="3562"/>
      <c r="AS69" s="3561">
        <f t="shared" si="127"/>
        <v>0</v>
      </c>
      <c r="AT69" s="3563" t="s">
        <v>4397</v>
      </c>
      <c r="AU69" s="3547"/>
      <c r="AV69" s="3609"/>
      <c r="AW69" s="3562"/>
      <c r="AX69" s="3561">
        <f t="shared" si="114"/>
        <v>0</v>
      </c>
      <c r="AY69" s="3559"/>
      <c r="AZ69" s="3562"/>
      <c r="BA69" s="3561">
        <f t="shared" si="128"/>
        <v>0</v>
      </c>
      <c r="BB69" s="3563" t="s">
        <v>4397</v>
      </c>
      <c r="BC69" s="3547" t="s">
        <v>4398</v>
      </c>
      <c r="BD69" s="3609">
        <f>38525.99*3</f>
        <v>115577.97</v>
      </c>
      <c r="BE69" s="3562">
        <f>25577.97+90000</f>
        <v>115577.97</v>
      </c>
      <c r="BF69" s="3561">
        <f t="shared" si="115"/>
        <v>0</v>
      </c>
      <c r="BG69" s="3559">
        <f>7436.41*3</f>
        <v>22309.23</v>
      </c>
      <c r="BH69" s="3562">
        <f>22309.23</f>
        <v>22309.23</v>
      </c>
      <c r="BI69" s="3561">
        <f t="shared" si="116"/>
        <v>0</v>
      </c>
      <c r="BJ69" s="3563" t="s">
        <v>4399</v>
      </c>
      <c r="BK69" s="3547"/>
      <c r="BL69" s="3609"/>
      <c r="BM69" s="3562"/>
      <c r="BN69" s="3561">
        <f t="shared" si="48"/>
        <v>0</v>
      </c>
      <c r="BO69" s="3559"/>
      <c r="BP69" s="3562"/>
      <c r="BQ69" s="3561">
        <f t="shared" si="49"/>
        <v>0</v>
      </c>
      <c r="BR69" s="3563" t="s">
        <v>4399</v>
      </c>
      <c r="BS69" s="3547"/>
      <c r="BT69" s="3559"/>
      <c r="BU69" s="3562"/>
      <c r="BV69" s="3561">
        <f t="shared" si="50"/>
        <v>0</v>
      </c>
      <c r="BW69" s="3559"/>
      <c r="BX69" s="3562"/>
      <c r="BY69" s="3561">
        <f t="shared" si="51"/>
        <v>0</v>
      </c>
      <c r="BZ69" s="3563" t="s">
        <v>4399</v>
      </c>
      <c r="CA69" s="3584" t="s">
        <v>4400</v>
      </c>
      <c r="CB69" s="3601">
        <f>38525.99*2</f>
        <v>77051.98</v>
      </c>
      <c r="CC69" s="3603">
        <v>77051.98</v>
      </c>
      <c r="CD69" s="3561">
        <f t="shared" si="52"/>
        <v>0</v>
      </c>
      <c r="CE69" s="3559">
        <f>7436.41*3</f>
        <v>22309.23</v>
      </c>
      <c r="CF69" s="3562">
        <v>22309.23</v>
      </c>
      <c r="CG69" s="3561">
        <f t="shared" si="53"/>
        <v>0</v>
      </c>
      <c r="CH69" s="3563" t="s">
        <v>4401</v>
      </c>
      <c r="CI69" s="3547"/>
      <c r="CJ69" s="3609"/>
      <c r="CK69" s="3562"/>
      <c r="CL69" s="3561">
        <f t="shared" si="133"/>
        <v>0</v>
      </c>
      <c r="CM69" s="3559"/>
      <c r="CN69" s="3562"/>
      <c r="CO69" s="3561">
        <f t="shared" si="54"/>
        <v>0</v>
      </c>
      <c r="CP69" s="3563" t="s">
        <v>4401</v>
      </c>
      <c r="CQ69" s="3547"/>
      <c r="CR69" s="3609"/>
      <c r="CS69" s="3562"/>
      <c r="CT69" s="3561">
        <f t="shared" si="55"/>
        <v>0</v>
      </c>
      <c r="CU69" s="3604"/>
      <c r="CV69" s="3562"/>
      <c r="CW69" s="3561">
        <f t="shared" si="56"/>
        <v>0</v>
      </c>
      <c r="CX69" s="3563" t="s">
        <v>4401</v>
      </c>
      <c r="CY69" s="3547" t="s">
        <v>4402</v>
      </c>
      <c r="CZ69" s="3609">
        <f>38525.99*3</f>
        <v>115577.97</v>
      </c>
      <c r="DA69" s="3562">
        <v>115577.97</v>
      </c>
      <c r="DB69" s="3561">
        <f t="shared" si="57"/>
        <v>0</v>
      </c>
      <c r="DC69" s="3559">
        <f>7436.41*3</f>
        <v>22309.23</v>
      </c>
      <c r="DD69" s="3562">
        <v>22309.23</v>
      </c>
      <c r="DE69" s="3561">
        <f t="shared" si="58"/>
        <v>0</v>
      </c>
      <c r="DF69" s="3563" t="s">
        <v>4403</v>
      </c>
      <c r="DG69" s="3547"/>
      <c r="DH69" s="3609"/>
      <c r="DI69" s="3562"/>
      <c r="DJ69" s="3561">
        <f t="shared" si="59"/>
        <v>0</v>
      </c>
      <c r="DK69" s="3559"/>
      <c r="DL69" s="3562"/>
      <c r="DM69" s="3561">
        <f t="shared" si="60"/>
        <v>0</v>
      </c>
      <c r="DN69" s="3563"/>
      <c r="DO69" s="3547"/>
      <c r="DP69" s="3609"/>
      <c r="DQ69" s="3562"/>
      <c r="DR69" s="3561">
        <f t="shared" si="61"/>
        <v>0</v>
      </c>
      <c r="DS69" s="3559"/>
      <c r="DT69" s="3562"/>
      <c r="DU69" s="3561">
        <f t="shared" si="62"/>
        <v>0</v>
      </c>
      <c r="DV69" s="3563"/>
      <c r="DW69" s="3547" t="s">
        <v>4404</v>
      </c>
      <c r="DX69" s="3609">
        <f>38525.99*3</f>
        <v>115577.97</v>
      </c>
      <c r="DY69" s="3562"/>
      <c r="DZ69" s="3561">
        <f t="shared" si="63"/>
        <v>-115577.97</v>
      </c>
      <c r="EA69" s="3559">
        <f>7436.41*3</f>
        <v>22309.23</v>
      </c>
      <c r="EB69" s="3562"/>
      <c r="EC69" s="3561">
        <f t="shared" si="64"/>
        <v>-22309.23</v>
      </c>
      <c r="ED69" s="3563"/>
      <c r="EE69" s="3564"/>
      <c r="EF69" s="3565">
        <f t="shared" si="37"/>
        <v>322461.97411611251</v>
      </c>
      <c r="EG69" s="3565">
        <f t="shared" ref="EG69:EI100" si="143">SUM(ET69,FB69,FJ69,FR69,FZ69,GH69,GP69,GX69,HF69)</f>
        <v>234670.85983039814</v>
      </c>
      <c r="EH69" s="3565">
        <f t="shared" si="143"/>
        <v>293531.35238095233</v>
      </c>
      <c r="EI69" s="3565">
        <f t="shared" si="143"/>
        <v>293531.35238095233</v>
      </c>
      <c r="EJ69" s="3565">
        <f t="shared" si="38"/>
        <v>58860.492550554191</v>
      </c>
      <c r="EK69" s="3566">
        <f t="shared" si="39"/>
        <v>0</v>
      </c>
      <c r="EL69" s="3610"/>
      <c r="EM69" s="3567">
        <f t="shared" si="40"/>
        <v>67143.396226415047</v>
      </c>
      <c r="EN69" s="3557">
        <f t="shared" ref="EN69:EP100" si="144">SUM(EX69,FF69,FN69,FV69,GD69,GL69,GT69,HB69,HJ69)</f>
        <v>50357.547169811289</v>
      </c>
      <c r="EO69" s="3557">
        <f t="shared" si="144"/>
        <v>63139.330188679254</v>
      </c>
      <c r="EP69" s="3557">
        <f t="shared" si="144"/>
        <v>63139.330188679247</v>
      </c>
      <c r="EQ69" s="3557">
        <f t="shared" si="41"/>
        <v>12781.783018867958</v>
      </c>
      <c r="ER69" s="3557">
        <f t="shared" si="42"/>
        <v>0</v>
      </c>
      <c r="ES69" s="3645"/>
      <c r="ET69" s="3568">
        <v>29263.704761904799</v>
      </c>
      <c r="EU69" s="3569">
        <f>38525.99/1.05</f>
        <v>36691.419047619042</v>
      </c>
      <c r="EV69" s="3562">
        <f>115577.97/3/1.05*12/365*9+115577.97/3/1.05-115577.97/3/1.05*12/365*9</f>
        <v>36691.419047619042</v>
      </c>
      <c r="EW69" s="3547">
        <f t="shared" si="129"/>
        <v>7427.7142857142426</v>
      </c>
      <c r="EX69" s="3568">
        <v>5595.28301886792</v>
      </c>
      <c r="EY69" s="3569">
        <f>7436.41/1.06</f>
        <v>7015.4811320754716</v>
      </c>
      <c r="EZ69" s="3562">
        <f>22309.23/3/1.06*12/365*9+22309.23/3/1.06-22309.23/3/1.06*12/365*9</f>
        <v>7015.4811320754716</v>
      </c>
      <c r="FA69" s="3547">
        <f t="shared" si="130"/>
        <v>1420.1981132075516</v>
      </c>
      <c r="FB69" s="3568">
        <v>29263.704761904799</v>
      </c>
      <c r="FC69" s="3569">
        <f>38525.99/1.05</f>
        <v>36691.419047619042</v>
      </c>
      <c r="FD69" s="3562">
        <f>115577.97/3/1.05</f>
        <v>36691.419047619042</v>
      </c>
      <c r="FE69" s="3547">
        <f t="shared" si="117"/>
        <v>7427.7142857142426</v>
      </c>
      <c r="FF69" s="3568">
        <v>5595.28301886792</v>
      </c>
      <c r="FG69" s="3569">
        <f>7436.41/1.06</f>
        <v>7015.4811320754716</v>
      </c>
      <c r="FH69" s="3562">
        <f>22309.23/1.06/3</f>
        <v>7015.4811320754707</v>
      </c>
      <c r="FI69" s="3547">
        <f t="shared" si="118"/>
        <v>1420.1981132075507</v>
      </c>
      <c r="FJ69" s="3568">
        <v>29263.704761904799</v>
      </c>
      <c r="FK69" s="3559">
        <f>38525.99/1.05</f>
        <v>36691.419047619042</v>
      </c>
      <c r="FL69" s="3562">
        <f>115577.97/3/1.05</f>
        <v>36691.419047619042</v>
      </c>
      <c r="FM69" s="3547">
        <f t="shared" si="119"/>
        <v>7427.7142857142426</v>
      </c>
      <c r="FN69" s="3568">
        <v>5595.28301886792</v>
      </c>
      <c r="FO69" s="3559">
        <f>7436.41/1.06</f>
        <v>7015.4811320754716</v>
      </c>
      <c r="FP69" s="3562">
        <f>22309.23/1.06/3</f>
        <v>7015.4811320754707</v>
      </c>
      <c r="FQ69" s="3547">
        <f t="shared" si="120"/>
        <v>1420.1981132075507</v>
      </c>
      <c r="FR69" s="3568">
        <v>29263.704761904799</v>
      </c>
      <c r="FS69" s="3559">
        <f>38525.99/1.05</f>
        <v>36691.419047619042</v>
      </c>
      <c r="FT69" s="3560">
        <f>115577.97/3/1.05*12/365*9+115577.97/3/1.05-115577.97/3/1.05*12/365*9</f>
        <v>36691.419047619042</v>
      </c>
      <c r="FU69" s="3547">
        <f t="shared" si="69"/>
        <v>7427.7142857142426</v>
      </c>
      <c r="FV69" s="3568">
        <v>5595.28301886792</v>
      </c>
      <c r="FW69" s="3559">
        <f>7436.41/1.06</f>
        <v>7015.4811320754716</v>
      </c>
      <c r="FX69" s="3560">
        <f>22309.23/3/1.06*12/365*9+22309.23/3/1.06-22309.23/3/1.06*12/365*9</f>
        <v>7015.4811320754716</v>
      </c>
      <c r="FY69" s="3547">
        <f t="shared" si="70"/>
        <v>1420.1981132075516</v>
      </c>
      <c r="FZ69" s="3568">
        <v>29263.704761904799</v>
      </c>
      <c r="GA69" s="3569">
        <f>38525.99/1.05</f>
        <v>36691.419047619042</v>
      </c>
      <c r="GB69" s="3560">
        <f>115577.97/3/1.05</f>
        <v>36691.419047619042</v>
      </c>
      <c r="GC69" s="3547">
        <f t="shared" si="71"/>
        <v>7427.7142857142426</v>
      </c>
      <c r="GD69" s="3568">
        <v>5595.28301886792</v>
      </c>
      <c r="GE69" s="3569">
        <f>7436.41/1.06</f>
        <v>7015.4811320754716</v>
      </c>
      <c r="GF69" s="3560">
        <f>22309.23/3/1.06</f>
        <v>7015.4811320754716</v>
      </c>
      <c r="GG69" s="3547">
        <f t="shared" si="72"/>
        <v>1420.1981132075516</v>
      </c>
      <c r="GH69" s="3568">
        <v>29263.704761904799</v>
      </c>
      <c r="GI69" s="3569">
        <f>38525.99/1.05</f>
        <v>36691.419047619042</v>
      </c>
      <c r="GJ69" s="3560">
        <f>115577.97/3/1.05</f>
        <v>36691.419047619042</v>
      </c>
      <c r="GK69" s="3547">
        <f t="shared" si="73"/>
        <v>7427.7142857142426</v>
      </c>
      <c r="GL69" s="3568">
        <v>5595.28301886792</v>
      </c>
      <c r="GM69" s="3569">
        <f>7436.41/1.06</f>
        <v>7015.4811320754716</v>
      </c>
      <c r="GN69" s="3562">
        <f>22309.23/3/1.06</f>
        <v>7015.4811320754716</v>
      </c>
      <c r="GO69" s="3547">
        <f t="shared" si="74"/>
        <v>1420.1981132075516</v>
      </c>
      <c r="GP69" s="3568">
        <v>8658.8496281800399</v>
      </c>
      <c r="GQ69" s="3592">
        <f>38525.99/1.05*12/365*9</f>
        <v>10856.639060665359</v>
      </c>
      <c r="GR69" s="3605">
        <f>115577.97/3/1.05*12/365*9</f>
        <v>10856.639060665359</v>
      </c>
      <c r="GS69" s="3547">
        <f t="shared" si="75"/>
        <v>2197.7894324853187</v>
      </c>
      <c r="GT69" s="3568">
        <v>5595.28301886792</v>
      </c>
      <c r="GU69" s="3569">
        <f>7436.41/1.06</f>
        <v>7015.4811320754716</v>
      </c>
      <c r="GV69" s="3562">
        <f>22309.23/3/1.06*12/365*9+22309.23/3/1.06-22309.23/3/1.06*12/365*9</f>
        <v>7015.4811320754716</v>
      </c>
      <c r="GW69" s="3547">
        <f t="shared" si="76"/>
        <v>1420.1981132075516</v>
      </c>
      <c r="GX69" s="3568">
        <v>21166.076868884498</v>
      </c>
      <c r="GY69" s="3592">
        <f>38525.99/1.05-38525.99/1.05*12/365*9</f>
        <v>25834.779986953683</v>
      </c>
      <c r="GZ69" s="3562">
        <f>77051.98/2/1.05-77051.98/2/1.05*12/365*9</f>
        <v>25834.779986953683</v>
      </c>
      <c r="HA69" s="3547">
        <f t="shared" si="77"/>
        <v>4668.7031180691847</v>
      </c>
      <c r="HB69" s="3568">
        <v>5595.28301886792</v>
      </c>
      <c r="HC69" s="3569">
        <f>7436.41/1.06</f>
        <v>7015.4811320754716</v>
      </c>
      <c r="HD69" s="3562">
        <f>22309.23/1.06/3</f>
        <v>7015.4811320754707</v>
      </c>
      <c r="HE69" s="3547">
        <f t="shared" si="78"/>
        <v>1420.1981132075507</v>
      </c>
      <c r="HF69" s="3568">
        <v>29263.704761904799</v>
      </c>
      <c r="HG69" s="3569">
        <f>38525.99/1.05</f>
        <v>36691.419047619042</v>
      </c>
      <c r="HH69" s="3562">
        <f>77051.98/2/1.05</f>
        <v>36691.419047619042</v>
      </c>
      <c r="HI69" s="3547">
        <f t="shared" si="79"/>
        <v>7427.7142857142426</v>
      </c>
      <c r="HJ69" s="3568">
        <v>5595.28301886792</v>
      </c>
      <c r="HK69" s="3569">
        <f>7436.41/1.06</f>
        <v>7015.4811320754716</v>
      </c>
      <c r="HL69" s="3562">
        <f>22309.23/1.06/3</f>
        <v>7015.4811320754707</v>
      </c>
      <c r="HM69" s="3547">
        <f t="shared" si="80"/>
        <v>1420.1981132075507</v>
      </c>
      <c r="HN69" s="3568">
        <v>29263.704761904799</v>
      </c>
      <c r="HO69" s="3569">
        <f>38525.99/1.05</f>
        <v>36691.419047619042</v>
      </c>
      <c r="HP69" s="3562">
        <f>77051.98/2/1.05*12/365*9+115577.97/3/1.05-115577.97/3/1.05*12/365*9</f>
        <v>36691.419047619042</v>
      </c>
      <c r="HQ69" s="3547">
        <f t="shared" si="81"/>
        <v>7427.7142857142426</v>
      </c>
      <c r="HR69" s="3568">
        <v>5595.28301886792</v>
      </c>
      <c r="HS69" s="3569">
        <f>7436.41/1.06</f>
        <v>7015.4811320754716</v>
      </c>
      <c r="HT69" s="3562">
        <f>22309.23/3/1.06*12/365*9+22309.23/1.06/3-22309.23/1.06/3*12/365*9</f>
        <v>7015.4811320754716</v>
      </c>
      <c r="HU69" s="3547">
        <f t="shared" si="82"/>
        <v>1420.1981132075516</v>
      </c>
      <c r="HV69" s="3568">
        <v>29263.704761904799</v>
      </c>
      <c r="HW69" s="3569">
        <f>38525.99/1.05</f>
        <v>36691.419047619042</v>
      </c>
      <c r="HX69" s="3562">
        <f>115577.97/3/1.05</f>
        <v>36691.419047619042</v>
      </c>
      <c r="HY69" s="3547">
        <f t="shared" si="83"/>
        <v>7427.7142857142426</v>
      </c>
      <c r="HZ69" s="3568">
        <v>5595.28301886792</v>
      </c>
      <c r="IA69" s="3569">
        <f>7436.41/1.06</f>
        <v>7015.4811320754716</v>
      </c>
      <c r="IB69" s="3562">
        <f>22309.23/3/1.06</f>
        <v>7015.4811320754716</v>
      </c>
      <c r="IC69" s="3547">
        <f t="shared" si="84"/>
        <v>1420.1981132075516</v>
      </c>
      <c r="ID69" s="3568">
        <v>29263.704761904799</v>
      </c>
      <c r="IE69" s="3569">
        <f>38525.99/1.05</f>
        <v>36691.419047619042</v>
      </c>
      <c r="IF69" s="3562">
        <f>115577.97/3/1.05</f>
        <v>36691.419047619042</v>
      </c>
      <c r="IG69" s="3547">
        <f t="shared" si="85"/>
        <v>7427.7142857142426</v>
      </c>
      <c r="IH69" s="3568">
        <v>5595.28301886792</v>
      </c>
      <c r="II69" s="3569">
        <f>7436.41/1.06</f>
        <v>7015.4811320754716</v>
      </c>
      <c r="IJ69" s="3562">
        <f>22309.23/3/1.06</f>
        <v>7015.4811320754716</v>
      </c>
      <c r="IK69" s="3547">
        <f t="shared" si="86"/>
        <v>1420.1981132075516</v>
      </c>
      <c r="IL69" s="3547" t="s">
        <v>4405</v>
      </c>
      <c r="IM69" s="3569">
        <f>38525.99/1.05*3+38525.99/1.05*12/365*9</f>
        <v>120930.89620352248</v>
      </c>
      <c r="IN69" s="3569">
        <f>7436.41/1.06*3+7436.41/1.06*12/365*9</f>
        <v>23122.256991470666</v>
      </c>
      <c r="IO69" s="3547" t="s">
        <v>4406</v>
      </c>
      <c r="IP69" s="3560">
        <f t="shared" si="87"/>
        <v>10856.639060665359</v>
      </c>
      <c r="IQ69" s="3562">
        <f>115577.97/3/1.05*12/365*9</f>
        <v>10856.639060665359</v>
      </c>
      <c r="IR69" s="3568"/>
      <c r="IS69" s="3568"/>
      <c r="IT69" s="3568"/>
      <c r="IU69" s="3568"/>
      <c r="IV69" s="3568"/>
      <c r="IW69" s="3568"/>
      <c r="IX69" s="3568"/>
      <c r="IY69" s="3568"/>
      <c r="IZ69" s="3562"/>
      <c r="JA69" s="3562"/>
      <c r="JB69" s="3562"/>
      <c r="JC69" s="3560">
        <f t="shared" si="134"/>
        <v>2075.813595244249</v>
      </c>
      <c r="JD69" s="3562">
        <f>22309.23/3/1.06*12/365*9</f>
        <v>2075.813595244249</v>
      </c>
      <c r="JE69" s="3568"/>
      <c r="JF69" s="3568"/>
      <c r="JG69" s="3568"/>
      <c r="JH69" s="3568"/>
      <c r="JI69" s="3568"/>
      <c r="JJ69" s="3568"/>
      <c r="JK69" s="3568"/>
      <c r="JL69" s="3568"/>
      <c r="JM69" s="3568"/>
      <c r="JN69" s="3562"/>
      <c r="JO69" s="3562"/>
      <c r="JP69" s="3547" t="s">
        <v>4407</v>
      </c>
      <c r="JQ69" s="3583">
        <f>38525.99*3/1.05+38525.99*12/365*9/1.05</f>
        <v>120930.8962035225</v>
      </c>
      <c r="JR69" s="3583">
        <f>7436.41*3/1.06+7436.41*12/365*9/1.06</f>
        <v>23122.256991470662</v>
      </c>
      <c r="JS69" s="3573">
        <f t="shared" ref="JS69:JS132" si="145">JQ69+(AN69+AV69+BD69+BL69+BT69+CB69+CJ69+CR69+CZ69+DH69+DP69+DX69)/1.05-(EU69+FC69+FK69+FS69+GA69+GI69+GQ69+GY69+HG69+HO69+HW69+IE69)-IM69</f>
        <v>0</v>
      </c>
      <c r="JT69" s="3573">
        <f t="shared" si="35"/>
        <v>0</v>
      </c>
      <c r="JU69" s="3574">
        <f t="shared" ref="JU69:JU132" si="146">JQ69+AE69/1.05-EI69-JX69</f>
        <v>0</v>
      </c>
      <c r="JV69" s="3574">
        <f t="shared" ref="JV69:JV132" si="147">JR69+AJ69/1.06-EP69-JY69</f>
        <v>0</v>
      </c>
      <c r="JW69" s="3575"/>
      <c r="JX69" s="3576">
        <f t="shared" ref="JX69:JX132" si="148">HP69+HX69+IF69+IP69</f>
        <v>120930.89620352248</v>
      </c>
      <c r="JY69" s="3576">
        <f t="shared" ref="JY69:JY132" si="149">HT69+IB69+IJ69+JC69</f>
        <v>23122.256991470666</v>
      </c>
      <c r="JZ69" s="3577"/>
      <c r="KA69" s="3573">
        <f t="shared" si="131"/>
        <v>8847.9123989217933</v>
      </c>
      <c r="KB69" s="3573"/>
      <c r="KC69" s="3573"/>
      <c r="KD69" s="3573">
        <f t="shared" ref="KD69:KD132" si="150">SUM(KA69:KC69)</f>
        <v>8847.9123989217933</v>
      </c>
      <c r="KE69" s="3587" t="s">
        <v>3971</v>
      </c>
      <c r="KF69" s="3579"/>
      <c r="KG69" s="3579"/>
      <c r="KH69" s="3579"/>
      <c r="KI69" s="3579"/>
      <c r="KJ69" s="3579"/>
      <c r="KK69" s="3579"/>
      <c r="KL69" s="3579"/>
      <c r="KM69" s="3579">
        <f>-703.68/10000</f>
        <v>-7.0368E-2</v>
      </c>
      <c r="KN69" s="3579"/>
      <c r="KO69" s="3579"/>
      <c r="KP69" s="3579"/>
      <c r="KQ69" s="3579">
        <f t="shared" ref="KQ69:KQ132" si="151">SUM(KF69:KP69)</f>
        <v>-7.0368E-2</v>
      </c>
      <c r="KR69" s="3657">
        <f t="shared" si="88"/>
        <v>7.2345955569422147</v>
      </c>
      <c r="KS69" s="3577"/>
      <c r="KT69" s="3577"/>
      <c r="KU69" s="3577"/>
      <c r="KV69" s="3577"/>
      <c r="KW69" s="3577"/>
      <c r="KX69" s="3577"/>
      <c r="KY69" s="3577"/>
      <c r="KZ69" s="3577"/>
      <c r="LA69" s="3577"/>
      <c r="LB69" s="3577"/>
      <c r="LC69" s="3577"/>
      <c r="LD69" s="3577"/>
      <c r="LE69" s="3577"/>
      <c r="LF69" s="3577"/>
      <c r="LG69" s="3577"/>
      <c r="LH69" s="3577"/>
      <c r="LJ69" s="3575"/>
      <c r="LK69" s="3626">
        <v>12</v>
      </c>
      <c r="LL69" s="3627">
        <v>47662.400000000001</v>
      </c>
      <c r="LM69" s="3580" t="s">
        <v>3972</v>
      </c>
    </row>
    <row r="70" spans="1:325" s="3580" customFormat="1" ht="18" customHeight="1">
      <c r="A70" s="3545">
        <v>67</v>
      </c>
      <c r="B70" s="3546" t="s">
        <v>4346</v>
      </c>
      <c r="C70" s="3546" t="s">
        <v>4408</v>
      </c>
      <c r="D70" s="3547">
        <v>59.63</v>
      </c>
      <c r="E70" s="3548" t="s">
        <v>3799</v>
      </c>
      <c r="F70" s="3546" t="s">
        <v>3790</v>
      </c>
      <c r="G70" s="3666" t="s">
        <v>4393</v>
      </c>
      <c r="H70" s="3546" t="s">
        <v>4394</v>
      </c>
      <c r="I70" s="3594" t="s">
        <v>3958</v>
      </c>
      <c r="J70" s="3594" t="s">
        <v>4395</v>
      </c>
      <c r="K70" s="3545" t="s">
        <v>4409</v>
      </c>
      <c r="L70" s="3545"/>
      <c r="M70" s="3551">
        <f>36293.04-36293.04</f>
        <v>0</v>
      </c>
      <c r="N70" s="3551">
        <f>36293.04-36293.04</f>
        <v>0</v>
      </c>
      <c r="O70" s="3551">
        <f t="shared" si="135"/>
        <v>0</v>
      </c>
      <c r="P70" s="3547">
        <f>4516.23-4516.23</f>
        <v>0</v>
      </c>
      <c r="Q70" s="3547">
        <f>4516.23-4516.23</f>
        <v>0</v>
      </c>
      <c r="R70" s="3547">
        <f t="shared" si="132"/>
        <v>0</v>
      </c>
      <c r="S70" s="3547">
        <f t="shared" si="125"/>
        <v>0</v>
      </c>
      <c r="T70" s="3658"/>
      <c r="U70" s="3553">
        <f t="shared" si="136"/>
        <v>0</v>
      </c>
      <c r="V70" s="3547"/>
      <c r="W70" s="3547">
        <f t="shared" si="126"/>
        <v>0</v>
      </c>
      <c r="X70" s="3663"/>
      <c r="Y70" s="3547">
        <f t="shared" si="137"/>
        <v>0</v>
      </c>
      <c r="Z70" s="3554"/>
      <c r="AA70" s="3555"/>
      <c r="AB70" s="3680"/>
      <c r="AC70" s="3556">
        <f t="shared" si="138"/>
        <v>0</v>
      </c>
      <c r="AD70" s="3556">
        <f t="shared" si="139"/>
        <v>0</v>
      </c>
      <c r="AE70" s="3556">
        <f t="shared" si="139"/>
        <v>0</v>
      </c>
      <c r="AF70" s="3556">
        <f t="shared" si="140"/>
        <v>0</v>
      </c>
      <c r="AG70" s="3556"/>
      <c r="AH70" s="3557">
        <f t="shared" si="141"/>
        <v>0</v>
      </c>
      <c r="AI70" s="3558">
        <f t="shared" si="142"/>
        <v>0</v>
      </c>
      <c r="AJ70" s="3558">
        <f t="shared" si="142"/>
        <v>0</v>
      </c>
      <c r="AK70" s="3557">
        <f t="shared" si="43"/>
        <v>0</v>
      </c>
      <c r="AL70" s="3557"/>
      <c r="AM70" s="3547"/>
      <c r="AN70" s="3609"/>
      <c r="AO70" s="3562"/>
      <c r="AP70" s="3561">
        <f t="shared" si="113"/>
        <v>0</v>
      </c>
      <c r="AQ70" s="3559"/>
      <c r="AR70" s="3562"/>
      <c r="AS70" s="3561">
        <f t="shared" si="127"/>
        <v>0</v>
      </c>
      <c r="AT70" s="3563"/>
      <c r="AU70" s="3547"/>
      <c r="AV70" s="3609"/>
      <c r="AW70" s="3562"/>
      <c r="AX70" s="3561">
        <f t="shared" si="114"/>
        <v>0</v>
      </c>
      <c r="AY70" s="3559"/>
      <c r="AZ70" s="3562"/>
      <c r="BA70" s="3561">
        <f t="shared" si="128"/>
        <v>0</v>
      </c>
      <c r="BB70" s="3563"/>
      <c r="BC70" s="3547"/>
      <c r="BD70" s="3609"/>
      <c r="BE70" s="3562"/>
      <c r="BF70" s="3561">
        <f t="shared" si="115"/>
        <v>0</v>
      </c>
      <c r="BG70" s="3559"/>
      <c r="BH70" s="3562"/>
      <c r="BI70" s="3561">
        <f t="shared" si="116"/>
        <v>0</v>
      </c>
      <c r="BJ70" s="3563"/>
      <c r="BK70" s="3547"/>
      <c r="BL70" s="3609"/>
      <c r="BM70" s="3562"/>
      <c r="BN70" s="3561">
        <f t="shared" si="48"/>
        <v>0</v>
      </c>
      <c r="BO70" s="3559"/>
      <c r="BP70" s="3562"/>
      <c r="BQ70" s="3561">
        <f t="shared" si="49"/>
        <v>0</v>
      </c>
      <c r="BR70" s="3563"/>
      <c r="BS70" s="3547"/>
      <c r="BT70" s="3559"/>
      <c r="BU70" s="3562"/>
      <c r="BV70" s="3561">
        <f t="shared" si="50"/>
        <v>0</v>
      </c>
      <c r="BW70" s="3559"/>
      <c r="BX70" s="3562"/>
      <c r="BY70" s="3561">
        <f t="shared" si="51"/>
        <v>0</v>
      </c>
      <c r="BZ70" s="3563"/>
      <c r="CA70" s="3547"/>
      <c r="CB70" s="3621"/>
      <c r="CC70" s="3603"/>
      <c r="CD70" s="3602">
        <f t="shared" si="52"/>
        <v>0</v>
      </c>
      <c r="CE70" s="3604"/>
      <c r="CF70" s="3562"/>
      <c r="CG70" s="3561">
        <f t="shared" si="53"/>
        <v>0</v>
      </c>
      <c r="CH70" s="3563"/>
      <c r="CI70" s="3547"/>
      <c r="CJ70" s="3609"/>
      <c r="CK70" s="3562"/>
      <c r="CL70" s="3561">
        <f t="shared" si="133"/>
        <v>0</v>
      </c>
      <c r="CM70" s="3559"/>
      <c r="CN70" s="3562"/>
      <c r="CO70" s="3561">
        <f t="shared" si="54"/>
        <v>0</v>
      </c>
      <c r="CP70" s="3630"/>
      <c r="CQ70" s="3547"/>
      <c r="CR70" s="3609"/>
      <c r="CS70" s="3562"/>
      <c r="CT70" s="3561">
        <f t="shared" si="55"/>
        <v>0</v>
      </c>
      <c r="CU70" s="3604"/>
      <c r="CV70" s="3562"/>
      <c r="CW70" s="3561">
        <f t="shared" si="56"/>
        <v>0</v>
      </c>
      <c r="CX70" s="3630"/>
      <c r="CY70" s="3547"/>
      <c r="CZ70" s="3609"/>
      <c r="DA70" s="3562"/>
      <c r="DB70" s="3561">
        <f t="shared" si="57"/>
        <v>0</v>
      </c>
      <c r="DC70" s="3559"/>
      <c r="DD70" s="3562"/>
      <c r="DE70" s="3561">
        <f t="shared" si="58"/>
        <v>0</v>
      </c>
      <c r="DF70" s="3630"/>
      <c r="DG70" s="3547"/>
      <c r="DH70" s="3609"/>
      <c r="DI70" s="3562"/>
      <c r="DJ70" s="3561">
        <f t="shared" si="59"/>
        <v>0</v>
      </c>
      <c r="DK70" s="3559"/>
      <c r="DL70" s="3562"/>
      <c r="DM70" s="3561">
        <f t="shared" si="60"/>
        <v>0</v>
      </c>
      <c r="DN70" s="3563"/>
      <c r="DO70" s="3547"/>
      <c r="DP70" s="3609"/>
      <c r="DQ70" s="3562"/>
      <c r="DR70" s="3561">
        <f t="shared" si="61"/>
        <v>0</v>
      </c>
      <c r="DS70" s="3559"/>
      <c r="DT70" s="3562"/>
      <c r="DU70" s="3561">
        <f t="shared" si="62"/>
        <v>0</v>
      </c>
      <c r="DV70" s="3563"/>
      <c r="DW70" s="3547"/>
      <c r="DX70" s="3609"/>
      <c r="DY70" s="3562"/>
      <c r="DZ70" s="3561">
        <f t="shared" si="63"/>
        <v>0</v>
      </c>
      <c r="EA70" s="3559"/>
      <c r="EB70" s="3562"/>
      <c r="EC70" s="3561">
        <f t="shared" si="64"/>
        <v>0</v>
      </c>
      <c r="ED70" s="3563"/>
      <c r="EE70" s="3564"/>
      <c r="EF70" s="3565">
        <f t="shared" si="37"/>
        <v>81847.411402478829</v>
      </c>
      <c r="EG70" s="3565">
        <f t="shared" si="143"/>
        <v>59564.239973907388</v>
      </c>
      <c r="EH70" s="3565">
        <f t="shared" si="143"/>
        <v>0</v>
      </c>
      <c r="EI70" s="3565">
        <f t="shared" si="143"/>
        <v>0</v>
      </c>
      <c r="EJ70" s="3565">
        <f t="shared" si="38"/>
        <v>-59564.239973907388</v>
      </c>
      <c r="EK70" s="3566">
        <f t="shared" si="39"/>
        <v>0</v>
      </c>
      <c r="EL70" s="3610"/>
      <c r="EM70" s="3567">
        <f t="shared" si="40"/>
        <v>17042.377358490605</v>
      </c>
      <c r="EN70" s="3557">
        <f t="shared" si="144"/>
        <v>12781.783018867953</v>
      </c>
      <c r="EO70" s="3557">
        <f t="shared" si="144"/>
        <v>0</v>
      </c>
      <c r="EP70" s="3557">
        <f t="shared" si="144"/>
        <v>0</v>
      </c>
      <c r="EQ70" s="3557">
        <f t="shared" si="41"/>
        <v>-12781.783018867953</v>
      </c>
      <c r="ER70" s="3557">
        <f t="shared" si="42"/>
        <v>0</v>
      </c>
      <c r="ES70" s="3645"/>
      <c r="ET70" s="3568">
        <v>7427.7238095238099</v>
      </c>
      <c r="EU70" s="3569"/>
      <c r="EV70" s="3562"/>
      <c r="EW70" s="3547">
        <f t="shared" si="129"/>
        <v>-7427.7238095238099</v>
      </c>
      <c r="EX70" s="3568">
        <v>1420.19811320755</v>
      </c>
      <c r="EY70" s="3569"/>
      <c r="EZ70" s="3562"/>
      <c r="FA70" s="3547">
        <f t="shared" si="130"/>
        <v>-1420.19811320755</v>
      </c>
      <c r="FB70" s="3568">
        <v>7427.7238095238099</v>
      </c>
      <c r="FC70" s="3569"/>
      <c r="FD70" s="3562"/>
      <c r="FE70" s="3547">
        <f t="shared" si="117"/>
        <v>-7427.7238095238099</v>
      </c>
      <c r="FF70" s="3568">
        <v>1420.19811320755</v>
      </c>
      <c r="FG70" s="3569"/>
      <c r="FH70" s="3562"/>
      <c r="FI70" s="3547">
        <f t="shared" si="118"/>
        <v>-1420.19811320755</v>
      </c>
      <c r="FJ70" s="3568">
        <v>7427.7238095238099</v>
      </c>
      <c r="FK70" s="3559"/>
      <c r="FL70" s="3562"/>
      <c r="FM70" s="3547">
        <f t="shared" si="119"/>
        <v>-7427.7238095238099</v>
      </c>
      <c r="FN70" s="3568">
        <v>1420.19811320755</v>
      </c>
      <c r="FO70" s="3559"/>
      <c r="FP70" s="3562"/>
      <c r="FQ70" s="3547">
        <f t="shared" si="120"/>
        <v>-1420.19811320755</v>
      </c>
      <c r="FR70" s="3568">
        <v>7427.7238095238099</v>
      </c>
      <c r="FS70" s="3559"/>
      <c r="FT70" s="3560"/>
      <c r="FU70" s="3547">
        <f t="shared" si="69"/>
        <v>-7427.7238095238099</v>
      </c>
      <c r="FV70" s="3568">
        <v>1420.19811320755</v>
      </c>
      <c r="FW70" s="3559"/>
      <c r="FX70" s="3560"/>
      <c r="FY70" s="3547">
        <f t="shared" si="70"/>
        <v>-1420.19811320755</v>
      </c>
      <c r="FZ70" s="3568">
        <v>7427.7238095238099</v>
      </c>
      <c r="GA70" s="3569"/>
      <c r="GB70" s="3560"/>
      <c r="GC70" s="3547">
        <f t="shared" si="71"/>
        <v>-7427.7238095238099</v>
      </c>
      <c r="GD70" s="3568">
        <v>1420.19811320755</v>
      </c>
      <c r="GE70" s="3569"/>
      <c r="GF70" s="3560"/>
      <c r="GG70" s="3547">
        <f t="shared" si="72"/>
        <v>-1420.19811320755</v>
      </c>
      <c r="GH70" s="3568">
        <v>7427.7238095238099</v>
      </c>
      <c r="GI70" s="3569"/>
      <c r="GJ70" s="3560"/>
      <c r="GK70" s="3547">
        <f t="shared" si="73"/>
        <v>-7427.7238095238099</v>
      </c>
      <c r="GL70" s="3568">
        <v>1420.19811320755</v>
      </c>
      <c r="GM70" s="3569"/>
      <c r="GN70" s="3560"/>
      <c r="GO70" s="3547">
        <f t="shared" si="74"/>
        <v>-1420.19811320755</v>
      </c>
      <c r="GP70" s="3568">
        <v>2197.7922504892399</v>
      </c>
      <c r="GQ70" s="3569"/>
      <c r="GR70" s="3562"/>
      <c r="GS70" s="3547">
        <f t="shared" si="75"/>
        <v>-2197.7922504892399</v>
      </c>
      <c r="GT70" s="3568">
        <v>1420.19811320755</v>
      </c>
      <c r="GU70" s="3569"/>
      <c r="GV70" s="3562"/>
      <c r="GW70" s="3547">
        <f t="shared" si="76"/>
        <v>-1420.19811320755</v>
      </c>
      <c r="GX70" s="3568">
        <v>5372.3810567514702</v>
      </c>
      <c r="GY70" s="3569"/>
      <c r="GZ70" s="3562"/>
      <c r="HA70" s="3547">
        <f t="shared" si="77"/>
        <v>-5372.3810567514702</v>
      </c>
      <c r="HB70" s="3568">
        <v>1420.19811320755</v>
      </c>
      <c r="HC70" s="3569"/>
      <c r="HD70" s="3562"/>
      <c r="HE70" s="3547">
        <f t="shared" si="78"/>
        <v>-1420.19811320755</v>
      </c>
      <c r="HF70" s="3568">
        <v>7427.7238095238099</v>
      </c>
      <c r="HG70" s="3569"/>
      <c r="HH70" s="3562"/>
      <c r="HI70" s="3547">
        <f t="shared" si="79"/>
        <v>-7427.7238095238099</v>
      </c>
      <c r="HJ70" s="3568">
        <v>1420.19811320755</v>
      </c>
      <c r="HK70" s="3569"/>
      <c r="HL70" s="3562"/>
      <c r="HM70" s="3547">
        <f t="shared" si="80"/>
        <v>-1420.19811320755</v>
      </c>
      <c r="HN70" s="3568">
        <v>7427.7238095238099</v>
      </c>
      <c r="HO70" s="3569"/>
      <c r="HP70" s="3562"/>
      <c r="HQ70" s="3547">
        <f t="shared" si="81"/>
        <v>-7427.7238095238099</v>
      </c>
      <c r="HR70" s="3568">
        <v>1420.19811320755</v>
      </c>
      <c r="HS70" s="3569"/>
      <c r="HT70" s="3562"/>
      <c r="HU70" s="3547">
        <f t="shared" si="82"/>
        <v>-1420.19811320755</v>
      </c>
      <c r="HV70" s="3568">
        <v>7427.7238095238099</v>
      </c>
      <c r="HW70" s="3569"/>
      <c r="HX70" s="3562"/>
      <c r="HY70" s="3547">
        <f t="shared" si="83"/>
        <v>-7427.7238095238099</v>
      </c>
      <c r="HZ70" s="3568">
        <v>1420.19811320755</v>
      </c>
      <c r="IA70" s="3569"/>
      <c r="IB70" s="3562"/>
      <c r="IC70" s="3547">
        <f t="shared" si="84"/>
        <v>-1420.19811320755</v>
      </c>
      <c r="ID70" s="3568">
        <v>7427.7238095238099</v>
      </c>
      <c r="IE70" s="3569"/>
      <c r="IF70" s="3562"/>
      <c r="IG70" s="3547">
        <f t="shared" si="85"/>
        <v>-7427.7238095238099</v>
      </c>
      <c r="IH70" s="3568">
        <v>1420.19811320755</v>
      </c>
      <c r="II70" s="3569"/>
      <c r="IJ70" s="3562"/>
      <c r="IK70" s="3547">
        <f t="shared" si="86"/>
        <v>-1420.19811320755</v>
      </c>
      <c r="IL70" s="3547"/>
      <c r="IM70" s="3569"/>
      <c r="IN70" s="3569"/>
      <c r="IO70" s="3547"/>
      <c r="IP70" s="3560">
        <f t="shared" si="87"/>
        <v>0</v>
      </c>
      <c r="IQ70" s="3568"/>
      <c r="IR70" s="3568"/>
      <c r="IS70" s="3568"/>
      <c r="IT70" s="3568"/>
      <c r="IU70" s="3568"/>
      <c r="IV70" s="3568"/>
      <c r="IW70" s="3568"/>
      <c r="IX70" s="3568"/>
      <c r="IY70" s="3568"/>
      <c r="IZ70" s="3562"/>
      <c r="JA70" s="3562"/>
      <c r="JB70" s="3562"/>
      <c r="JC70" s="3560">
        <f t="shared" si="134"/>
        <v>0</v>
      </c>
      <c r="JD70" s="3547"/>
      <c r="JE70" s="3568"/>
      <c r="JF70" s="3568"/>
      <c r="JG70" s="3568"/>
      <c r="JH70" s="3568"/>
      <c r="JI70" s="3568"/>
      <c r="JJ70" s="3568"/>
      <c r="JK70" s="3568"/>
      <c r="JL70" s="3568"/>
      <c r="JM70" s="3568"/>
      <c r="JN70" s="3562"/>
      <c r="JO70" s="3562"/>
      <c r="JP70" s="3547"/>
      <c r="JQ70" s="3583"/>
      <c r="JR70" s="3583"/>
      <c r="JS70" s="3573">
        <f t="shared" si="145"/>
        <v>0</v>
      </c>
      <c r="JT70" s="3573">
        <f t="shared" ref="JT70:JT132" si="152">JR70+(AQ70+AY70+BG70+BO70+BW70+CE70+CM70+CU70+DC70+DK70+DS70+EA70)/1.06-(EY70+FG70+FO70+FW70+GE70+GM70+GU70+HC70+HK70+HS70+IA70+II70)-IN70</f>
        <v>0</v>
      </c>
      <c r="JU70" s="3574">
        <f t="shared" si="146"/>
        <v>0</v>
      </c>
      <c r="JV70" s="3574">
        <f t="shared" si="147"/>
        <v>0</v>
      </c>
      <c r="JW70" s="3575"/>
      <c r="JX70" s="3576">
        <f t="shared" si="148"/>
        <v>0</v>
      </c>
      <c r="JY70" s="3576">
        <f t="shared" si="149"/>
        <v>0</v>
      </c>
      <c r="JZ70" s="3577"/>
      <c r="KA70" s="3573">
        <f t="shared" si="131"/>
        <v>-8847.9219227313606</v>
      </c>
      <c r="KB70" s="3573"/>
      <c r="KC70" s="3573"/>
      <c r="KD70" s="3573">
        <f t="shared" si="150"/>
        <v>-8847.9219227313606</v>
      </c>
      <c r="KE70" s="3587" t="s">
        <v>3971</v>
      </c>
      <c r="KF70" s="3579"/>
      <c r="KG70" s="3579"/>
      <c r="KH70" s="3579"/>
      <c r="KI70" s="3579"/>
      <c r="KJ70" s="3579"/>
      <c r="KK70" s="3579"/>
      <c r="KL70" s="3579"/>
      <c r="KM70" s="3579"/>
      <c r="KN70" s="3579"/>
      <c r="KO70" s="3579"/>
      <c r="KP70" s="3579"/>
      <c r="KQ70" s="3579">
        <f t="shared" si="151"/>
        <v>0</v>
      </c>
      <c r="KR70" s="3657">
        <f t="shared" si="88"/>
        <v>-7.2346022992775341</v>
      </c>
      <c r="KS70" s="3577"/>
      <c r="KT70" s="3577"/>
      <c r="KU70" s="3577"/>
      <c r="KV70" s="3577"/>
      <c r="KW70" s="3577"/>
      <c r="KX70" s="3577"/>
      <c r="KY70" s="3577"/>
      <c r="KZ70" s="3577"/>
      <c r="LA70" s="3577"/>
      <c r="LB70" s="3577"/>
      <c r="LC70" s="3577"/>
      <c r="LD70" s="3577"/>
      <c r="LE70" s="3577"/>
      <c r="LF70" s="3577"/>
      <c r="LG70" s="3577"/>
      <c r="LH70" s="3577"/>
      <c r="LJ70" s="3575"/>
      <c r="LK70" s="3571"/>
      <c r="LL70" s="3576"/>
    </row>
    <row r="71" spans="1:325" s="3580" customFormat="1" ht="18" customHeight="1">
      <c r="A71" s="3545">
        <v>68</v>
      </c>
      <c r="B71" s="3546" t="s">
        <v>4346</v>
      </c>
      <c r="C71" s="3546" t="s">
        <v>4410</v>
      </c>
      <c r="D71" s="3547">
        <v>43.25</v>
      </c>
      <c r="E71" s="3548" t="s">
        <v>3799</v>
      </c>
      <c r="F71" s="3546" t="s">
        <v>3790</v>
      </c>
      <c r="G71" s="3546" t="s">
        <v>4411</v>
      </c>
      <c r="H71" s="3546" t="s">
        <v>4412</v>
      </c>
      <c r="I71" s="3594" t="s">
        <v>4413</v>
      </c>
      <c r="J71" s="3594" t="s">
        <v>4414</v>
      </c>
      <c r="K71" s="3545"/>
      <c r="L71" s="3555"/>
      <c r="M71" s="3551">
        <v>23724.36</v>
      </c>
      <c r="N71" s="3551">
        <v>23724.36</v>
      </c>
      <c r="O71" s="3551">
        <f t="shared" si="135"/>
        <v>0</v>
      </c>
      <c r="P71" s="3547">
        <v>3275.64</v>
      </c>
      <c r="Q71" s="3547">
        <v>3275.64</v>
      </c>
      <c r="R71" s="3547">
        <f t="shared" si="132"/>
        <v>0</v>
      </c>
      <c r="S71" s="3547">
        <f t="shared" si="125"/>
        <v>6.0113985271993027</v>
      </c>
      <c r="T71" s="3658">
        <v>7908.12</v>
      </c>
      <c r="U71" s="3553">
        <f t="shared" si="136"/>
        <v>94897.44</v>
      </c>
      <c r="V71" s="3547">
        <f>7908.12*12</f>
        <v>94897.44</v>
      </c>
      <c r="W71" s="3547">
        <f t="shared" si="126"/>
        <v>0.82999825797767057</v>
      </c>
      <c r="X71" s="3658">
        <v>1091.8800000000001</v>
      </c>
      <c r="Y71" s="3547">
        <f t="shared" si="137"/>
        <v>13102.560000000001</v>
      </c>
      <c r="Z71" s="3554"/>
      <c r="AA71" s="3555"/>
      <c r="AB71" s="3593" t="s">
        <v>3804</v>
      </c>
      <c r="AC71" s="3556">
        <f t="shared" si="138"/>
        <v>94897.44</v>
      </c>
      <c r="AD71" s="3556">
        <f t="shared" si="139"/>
        <v>47448.72</v>
      </c>
      <c r="AE71" s="3556">
        <f t="shared" si="139"/>
        <v>47448.72</v>
      </c>
      <c r="AF71" s="3556">
        <f t="shared" si="140"/>
        <v>0</v>
      </c>
      <c r="AG71" s="3556"/>
      <c r="AH71" s="3557">
        <f t="shared" si="141"/>
        <v>13102.560000000001</v>
      </c>
      <c r="AI71" s="3558">
        <f t="shared" si="142"/>
        <v>6551.2800000000007</v>
      </c>
      <c r="AJ71" s="3558">
        <f t="shared" si="142"/>
        <v>6551.28</v>
      </c>
      <c r="AK71" s="3557">
        <f t="shared" si="43"/>
        <v>0</v>
      </c>
      <c r="AL71" s="3557"/>
      <c r="AM71" s="3547"/>
      <c r="AN71" s="3609"/>
      <c r="AO71" s="3562"/>
      <c r="AP71" s="3561">
        <f t="shared" si="113"/>
        <v>0</v>
      </c>
      <c r="AQ71" s="3559"/>
      <c r="AR71" s="3562"/>
      <c r="AS71" s="3561">
        <f t="shared" si="127"/>
        <v>0</v>
      </c>
      <c r="AT71" s="3563" t="s">
        <v>4415</v>
      </c>
      <c r="AU71" s="3547"/>
      <c r="AV71" s="3609"/>
      <c r="AW71" s="3562">
        <v>23724.36</v>
      </c>
      <c r="AX71" s="3561">
        <f t="shared" si="114"/>
        <v>23724.36</v>
      </c>
      <c r="AY71" s="3559"/>
      <c r="AZ71" s="3562">
        <v>3275.64</v>
      </c>
      <c r="BA71" s="3561">
        <f t="shared" si="128"/>
        <v>3275.64</v>
      </c>
      <c r="BB71" s="3589" t="s">
        <v>4416</v>
      </c>
      <c r="BC71" s="3547" t="s">
        <v>4417</v>
      </c>
      <c r="BD71" s="3609">
        <f>3*7908.12</f>
        <v>23724.36</v>
      </c>
      <c r="BE71" s="3562"/>
      <c r="BF71" s="3561">
        <f t="shared" si="115"/>
        <v>-23724.36</v>
      </c>
      <c r="BG71" s="3559">
        <f>3*1091.88</f>
        <v>3275.6400000000003</v>
      </c>
      <c r="BH71" s="3562"/>
      <c r="BI71" s="3561">
        <f t="shared" si="116"/>
        <v>-3275.6400000000003</v>
      </c>
      <c r="BJ71" s="3589" t="s">
        <v>4416</v>
      </c>
      <c r="BK71" s="3547"/>
      <c r="BL71" s="3609"/>
      <c r="BM71" s="3562"/>
      <c r="BN71" s="3561">
        <f t="shared" si="48"/>
        <v>0</v>
      </c>
      <c r="BO71" s="3559"/>
      <c r="BP71" s="3562"/>
      <c r="BQ71" s="3561">
        <f t="shared" si="49"/>
        <v>0</v>
      </c>
      <c r="BR71" s="3589" t="s">
        <v>4416</v>
      </c>
      <c r="BS71" s="3547"/>
      <c r="BT71" s="3559"/>
      <c r="BU71" s="3603">
        <v>23724.36</v>
      </c>
      <c r="BV71" s="3602">
        <f t="shared" si="50"/>
        <v>23724.36</v>
      </c>
      <c r="BW71" s="3604"/>
      <c r="BX71" s="3603">
        <v>3275.64</v>
      </c>
      <c r="BY71" s="3561">
        <f t="shared" si="51"/>
        <v>3275.64</v>
      </c>
      <c r="BZ71" s="3589" t="s">
        <v>4418</v>
      </c>
      <c r="CA71" s="3547" t="s">
        <v>4419</v>
      </c>
      <c r="CB71" s="3621">
        <f>3*7908.12</f>
        <v>23724.36</v>
      </c>
      <c r="CC71" s="3603"/>
      <c r="CD71" s="3602">
        <f t="shared" si="52"/>
        <v>-23724.36</v>
      </c>
      <c r="CE71" s="3604">
        <f>3*1091.88</f>
        <v>3275.6400000000003</v>
      </c>
      <c r="CF71" s="3562"/>
      <c r="CG71" s="3561">
        <f t="shared" si="53"/>
        <v>-3275.6400000000003</v>
      </c>
      <c r="CH71" s="3589" t="s">
        <v>4420</v>
      </c>
      <c r="CI71" s="3547"/>
      <c r="CJ71" s="3609"/>
      <c r="CK71" s="3562"/>
      <c r="CL71" s="3561">
        <f t="shared" si="133"/>
        <v>0</v>
      </c>
      <c r="CM71" s="3559"/>
      <c r="CN71" s="3562"/>
      <c r="CO71" s="3561">
        <f t="shared" si="54"/>
        <v>0</v>
      </c>
      <c r="CP71" s="3630" t="s">
        <v>4420</v>
      </c>
      <c r="CQ71" s="3547"/>
      <c r="CR71" s="3609"/>
      <c r="CS71" s="3562"/>
      <c r="CT71" s="3561">
        <f t="shared" si="55"/>
        <v>0</v>
      </c>
      <c r="CU71" s="3559"/>
      <c r="CV71" s="3562"/>
      <c r="CW71" s="3561">
        <f t="shared" si="56"/>
        <v>0</v>
      </c>
      <c r="CX71" s="3630" t="s">
        <v>4420</v>
      </c>
      <c r="CY71" s="3547"/>
      <c r="CZ71" s="3609"/>
      <c r="DA71" s="3562"/>
      <c r="DB71" s="3561">
        <f t="shared" si="57"/>
        <v>0</v>
      </c>
      <c r="DC71" s="3559"/>
      <c r="DD71" s="3562"/>
      <c r="DE71" s="3561">
        <f t="shared" si="58"/>
        <v>0</v>
      </c>
      <c r="DF71" s="3630" t="s">
        <v>4420</v>
      </c>
      <c r="DG71" s="3547" t="s">
        <v>4421</v>
      </c>
      <c r="DH71" s="3609">
        <f>7908.12*3</f>
        <v>23724.36</v>
      </c>
      <c r="DI71" s="3562"/>
      <c r="DJ71" s="3561">
        <f t="shared" si="59"/>
        <v>-23724.36</v>
      </c>
      <c r="DK71" s="3559">
        <f>1091.88*3</f>
        <v>3275.6400000000003</v>
      </c>
      <c r="DL71" s="3562"/>
      <c r="DM71" s="3561">
        <f t="shared" si="60"/>
        <v>-3275.6400000000003</v>
      </c>
      <c r="DN71" s="3563"/>
      <c r="DO71" s="3547"/>
      <c r="DP71" s="3609"/>
      <c r="DQ71" s="3562"/>
      <c r="DR71" s="3561">
        <f t="shared" si="61"/>
        <v>0</v>
      </c>
      <c r="DS71" s="3559"/>
      <c r="DT71" s="3562"/>
      <c r="DU71" s="3561">
        <f t="shared" si="62"/>
        <v>0</v>
      </c>
      <c r="DV71" s="3563"/>
      <c r="DW71" s="3547" t="s">
        <v>4422</v>
      </c>
      <c r="DX71" s="3609">
        <f>7908.12*3</f>
        <v>23724.36</v>
      </c>
      <c r="DY71" s="3562"/>
      <c r="DZ71" s="3561">
        <f t="shared" si="63"/>
        <v>-23724.36</v>
      </c>
      <c r="EA71" s="3559">
        <f>1091.88*3</f>
        <v>3275.6400000000003</v>
      </c>
      <c r="EB71" s="3562"/>
      <c r="EC71" s="3561">
        <f t="shared" si="64"/>
        <v>-3275.6400000000003</v>
      </c>
      <c r="ED71" s="3563"/>
      <c r="EE71" s="3564"/>
      <c r="EF71" s="3565">
        <f t="shared" si="37"/>
        <v>93743.652028701938</v>
      </c>
      <c r="EG71" s="3565">
        <f t="shared" si="143"/>
        <v>93743.652028701938</v>
      </c>
      <c r="EH71" s="3565">
        <f t="shared" si="143"/>
        <v>66937.87679060665</v>
      </c>
      <c r="EI71" s="3565">
        <f t="shared" si="143"/>
        <v>66937.87679060665</v>
      </c>
      <c r="EJ71" s="3565">
        <f t="shared" si="38"/>
        <v>-26805.775238095288</v>
      </c>
      <c r="EK71" s="3566">
        <f t="shared" si="39"/>
        <v>0</v>
      </c>
      <c r="EL71" s="3610"/>
      <c r="EM71" s="3567">
        <f t="shared" si="40"/>
        <v>9154.9721375032059</v>
      </c>
      <c r="EN71" s="3557">
        <f t="shared" si="144"/>
        <v>9154.9721375032059</v>
      </c>
      <c r="EO71" s="3557">
        <f t="shared" si="144"/>
        <v>9154.9721375032332</v>
      </c>
      <c r="EP71" s="3557">
        <f t="shared" si="144"/>
        <v>9154.9721375032295</v>
      </c>
      <c r="EQ71" s="3557">
        <f t="shared" si="41"/>
        <v>2.3646862246096134E-11</v>
      </c>
      <c r="ER71" s="3557">
        <f t="shared" si="42"/>
        <v>0</v>
      </c>
      <c r="ES71" s="3645"/>
      <c r="ET71" s="3568">
        <v>7529.7904761904801</v>
      </c>
      <c r="EU71" s="3569">
        <f>7908.12/1.05</f>
        <v>7531.5428571428565</v>
      </c>
      <c r="EV71" s="3562">
        <f>23724.36/1.05/3</f>
        <v>7531.5428571428565</v>
      </c>
      <c r="EW71" s="3547">
        <f t="shared" si="129"/>
        <v>1.7523809523763703</v>
      </c>
      <c r="EX71" s="3568">
        <v>1030.0754716981101</v>
      </c>
      <c r="EY71" s="3569">
        <f>1091.88/1.06</f>
        <v>1030.0754716981132</v>
      </c>
      <c r="EZ71" s="3562">
        <f>3275.64/3/1.06</f>
        <v>1030.075471698113</v>
      </c>
      <c r="FA71" s="3547">
        <f t="shared" si="130"/>
        <v>2.9558577807620168E-12</v>
      </c>
      <c r="FB71" s="3568">
        <v>7529.7904761904801</v>
      </c>
      <c r="FC71" s="3569">
        <f>7908.12/1.05</f>
        <v>7531.5428571428565</v>
      </c>
      <c r="FD71" s="3562">
        <f>23724.36/1.05/3</f>
        <v>7531.5428571428565</v>
      </c>
      <c r="FE71" s="3547">
        <f t="shared" si="117"/>
        <v>1.7523809523763703</v>
      </c>
      <c r="FF71" s="3568">
        <v>1030.0754716981101</v>
      </c>
      <c r="FG71" s="3569">
        <f>1091.88/1.06</f>
        <v>1030.0754716981132</v>
      </c>
      <c r="FH71" s="3562">
        <f>3275.64/3/1.06</f>
        <v>1030.075471698113</v>
      </c>
      <c r="FI71" s="3547">
        <f t="shared" si="118"/>
        <v>2.9558577807620168E-12</v>
      </c>
      <c r="FJ71" s="3568">
        <v>7529.7904761904801</v>
      </c>
      <c r="FK71" s="3559">
        <f>7908.12/1.05</f>
        <v>7531.5428571428565</v>
      </c>
      <c r="FL71" s="3562">
        <f>23724.36/1.05/3*12/365*27+23724.36/1.05/3-23724.36/1.05/3*12/365*27</f>
        <v>7531.5428571428565</v>
      </c>
      <c r="FM71" s="3547">
        <f t="shared" si="119"/>
        <v>1.7523809523763703</v>
      </c>
      <c r="FN71" s="3568">
        <v>1030.0754716981101</v>
      </c>
      <c r="FO71" s="3559">
        <f>1091.88/1.06</f>
        <v>1030.0754716981132</v>
      </c>
      <c r="FP71" s="3562">
        <f>3275.64/3*12/365*27/1.06+3275.64/3/1.06-3275.64/3*12/365*27/1.06</f>
        <v>1030.075471698113</v>
      </c>
      <c r="FQ71" s="3547">
        <f t="shared" si="120"/>
        <v>2.9558577807620168E-12</v>
      </c>
      <c r="FR71" s="3568">
        <v>7529.7904761904801</v>
      </c>
      <c r="FS71" s="3559">
        <f>7908.12/1.05</f>
        <v>7531.5428571428565</v>
      </c>
      <c r="FT71" s="3560">
        <f>23724.36/1.05/3</f>
        <v>7531.5428571428565</v>
      </c>
      <c r="FU71" s="3547">
        <f t="shared" si="69"/>
        <v>1.7523809523763703</v>
      </c>
      <c r="FV71" s="3568">
        <v>1030.0754716981101</v>
      </c>
      <c r="FW71" s="3559">
        <f>1091.88/1.06</f>
        <v>1030.0754716981132</v>
      </c>
      <c r="FX71" s="3560">
        <f>3275.64/1.06/3</f>
        <v>1030.075471698113</v>
      </c>
      <c r="FY71" s="3547">
        <f t="shared" si="70"/>
        <v>2.9558577807620168E-12</v>
      </c>
      <c r="FZ71" s="3568">
        <v>7529.7904761904801</v>
      </c>
      <c r="GA71" s="3569">
        <f>7908.12/1.05</f>
        <v>7531.5428571428565</v>
      </c>
      <c r="GB71" s="3560">
        <f>23724.36/1.05/3</f>
        <v>7531.5428571428565</v>
      </c>
      <c r="GC71" s="3547">
        <f t="shared" si="71"/>
        <v>1.7523809523763703</v>
      </c>
      <c r="GD71" s="3568">
        <v>1030.0754716981101</v>
      </c>
      <c r="GE71" s="3569">
        <f>1091.88/1.06</f>
        <v>1030.0754716981132</v>
      </c>
      <c r="GF71" s="3560">
        <f>3275.64/1.06/3</f>
        <v>1030.075471698113</v>
      </c>
      <c r="GG71" s="3547">
        <f t="shared" si="72"/>
        <v>2.9558577807620168E-12</v>
      </c>
      <c r="GH71" s="3568">
        <v>7529.7904761904801</v>
      </c>
      <c r="GI71" s="3569">
        <f>7908.12/1.05</f>
        <v>7531.5428571428565</v>
      </c>
      <c r="GJ71" s="3560">
        <f>23724.36/1.05/3*12/365*27+23724.36/3/1.05-23724.36/1.05/3*12/365*27</f>
        <v>7531.5428571428565</v>
      </c>
      <c r="GK71" s="3547">
        <f t="shared" si="73"/>
        <v>1.7523809523763703</v>
      </c>
      <c r="GL71" s="3568">
        <v>1030.0754716981101</v>
      </c>
      <c r="GM71" s="3569">
        <f>1091.88/1.06</f>
        <v>1030.0754716981132</v>
      </c>
      <c r="GN71" s="3562">
        <f>3275.64/3*12/365*27/1.06+3275.64/3/1.06-3275.64/3*12/365*27/1.06</f>
        <v>1030.075471698113</v>
      </c>
      <c r="GO71" s="3547">
        <f t="shared" si="74"/>
        <v>2.9558577807620168E-12</v>
      </c>
      <c r="GP71" s="3568">
        <v>7529.7904761904801</v>
      </c>
      <c r="GQ71" s="3569">
        <f>7908.12/1.05</f>
        <v>7531.5428571428565</v>
      </c>
      <c r="GR71" s="3562">
        <f>23724.36/3/1.05</f>
        <v>7531.5428571428565</v>
      </c>
      <c r="GS71" s="3547">
        <f t="shared" si="75"/>
        <v>1.7523809523763703</v>
      </c>
      <c r="GT71" s="3568">
        <v>1030.0754716981101</v>
      </c>
      <c r="GU71" s="3569">
        <f>1091.88/1.06</f>
        <v>1030.0754716981132</v>
      </c>
      <c r="GV71" s="3562">
        <f>3275.64/3/1.06</f>
        <v>1030.075471698113</v>
      </c>
      <c r="GW71" s="3547">
        <f t="shared" si="76"/>
        <v>2.9558577807620168E-12</v>
      </c>
      <c r="GX71" s="3568">
        <v>7529.7904761904801</v>
      </c>
      <c r="GY71" s="3569">
        <f>7908.12/1.05</f>
        <v>7531.5428571428565</v>
      </c>
      <c r="GZ71" s="3562">
        <f>23724.36/3/1.05</f>
        <v>7531.5428571428565</v>
      </c>
      <c r="HA71" s="3547">
        <f t="shared" si="77"/>
        <v>1.7523809523763703</v>
      </c>
      <c r="HB71" s="3568">
        <v>1030.0754716981101</v>
      </c>
      <c r="HC71" s="3569">
        <f>1091.88/1.06</f>
        <v>1030.0754716981132</v>
      </c>
      <c r="HD71" s="3562">
        <f>3275.64/3/1.06</f>
        <v>1030.075471698113</v>
      </c>
      <c r="HE71" s="3547">
        <f t="shared" si="78"/>
        <v>2.9558577807620168E-12</v>
      </c>
      <c r="HF71" s="3568">
        <v>33505.328219178104</v>
      </c>
      <c r="HG71" s="3592">
        <f>7908.12/1.05*12/365*27</f>
        <v>6685.5339334637956</v>
      </c>
      <c r="HH71" s="3560">
        <f>23724.36/1.05/3*12/365*27</f>
        <v>6685.5339334637956</v>
      </c>
      <c r="HI71" s="3547">
        <f t="shared" si="79"/>
        <v>-26819.794285714306</v>
      </c>
      <c r="HJ71" s="3568">
        <v>914.36836391832503</v>
      </c>
      <c r="HK71" s="3592">
        <f>1091.88/1.06*12/365*27</f>
        <v>914.36836391832514</v>
      </c>
      <c r="HL71" s="3562">
        <f>3275.64/3*12/365*27/1.06</f>
        <v>914.3683639183248</v>
      </c>
      <c r="HM71" s="3547">
        <f t="shared" si="80"/>
        <v>0</v>
      </c>
      <c r="HN71" s="3568"/>
      <c r="HO71" s="3569">
        <f>7908.12/1.05-7908.12/1.05*12/365*27+7908.12/1.05</f>
        <v>8377.5517808219174</v>
      </c>
      <c r="HP71" s="3562"/>
      <c r="HQ71" s="3547">
        <f t="shared" si="81"/>
        <v>0</v>
      </c>
      <c r="HR71" s="3568"/>
      <c r="HS71" s="3569">
        <f>1091.88/1.06-1091.88/1.06*12/365*27+1091.88/1.06</f>
        <v>1145.7825794779014</v>
      </c>
      <c r="HT71" s="3562"/>
      <c r="HU71" s="3547">
        <f t="shared" si="82"/>
        <v>0</v>
      </c>
      <c r="HV71" s="3568"/>
      <c r="HW71" s="3569">
        <f>7908.12/1.05</f>
        <v>7531.5428571428565</v>
      </c>
      <c r="HX71" s="3562"/>
      <c r="HY71" s="3547">
        <f t="shared" si="83"/>
        <v>0</v>
      </c>
      <c r="HZ71" s="3568"/>
      <c r="IA71" s="3569">
        <f>1091.88/1.06</f>
        <v>1030.0754716981132</v>
      </c>
      <c r="IB71" s="3562"/>
      <c r="IC71" s="3547">
        <f t="shared" si="84"/>
        <v>0</v>
      </c>
      <c r="ID71" s="3568"/>
      <c r="IE71" s="3569">
        <f>7908.12/1.05</f>
        <v>7531.5428571428565</v>
      </c>
      <c r="IF71" s="3562"/>
      <c r="IG71" s="3547">
        <f t="shared" si="85"/>
        <v>0</v>
      </c>
      <c r="IH71" s="3568"/>
      <c r="II71" s="3569">
        <f>1091.88/1.06</f>
        <v>1030.0754716981132</v>
      </c>
      <c r="IJ71" s="3562"/>
      <c r="IK71" s="3547">
        <f t="shared" si="86"/>
        <v>0</v>
      </c>
      <c r="IL71" s="3607" t="s">
        <v>4423</v>
      </c>
      <c r="IM71" s="3569">
        <f>7908.12*2/1.05+7908.12*12/365*27/1.05</f>
        <v>21748.61964774951</v>
      </c>
      <c r="IN71" s="3569">
        <f>1091.88*2/1.06+1091.88*12/365*27/1.06</f>
        <v>2974.519307314552</v>
      </c>
      <c r="IO71" s="3547"/>
      <c r="IP71" s="3560">
        <f t="shared" si="87"/>
        <v>0</v>
      </c>
      <c r="IQ71" s="3568"/>
      <c r="IR71" s="3568"/>
      <c r="IS71" s="3568"/>
      <c r="IT71" s="3568"/>
      <c r="IU71" s="3568"/>
      <c r="IV71" s="3568"/>
      <c r="IW71" s="3568"/>
      <c r="IX71" s="3568"/>
      <c r="IY71" s="3568"/>
      <c r="IZ71" s="3560"/>
      <c r="JA71" s="3560"/>
      <c r="JB71" s="3560"/>
      <c r="JC71" s="3560">
        <f t="shared" si="134"/>
        <v>0</v>
      </c>
      <c r="JD71" s="3547"/>
      <c r="JE71" s="3568"/>
      <c r="JF71" s="3568"/>
      <c r="JG71" s="3568"/>
      <c r="JH71" s="3568"/>
      <c r="JI71" s="3568"/>
      <c r="JJ71" s="3568"/>
      <c r="JK71" s="3568"/>
      <c r="JL71" s="3568"/>
      <c r="JM71" s="3568"/>
      <c r="JN71" s="3560"/>
      <c r="JO71" s="3560"/>
      <c r="JP71" s="3607" t="s">
        <v>4424</v>
      </c>
      <c r="JQ71" s="3583">
        <f>23724.36/3/1.05*2+23724.36/3/1.05*12/365*27</f>
        <v>21748.61964774951</v>
      </c>
      <c r="JR71" s="3583">
        <f>3275.64/1.06/3*2+3275.64/1.06/3*12/365*27</f>
        <v>2974.519307314551</v>
      </c>
      <c r="JS71" s="3573">
        <f t="shared" si="145"/>
        <v>0</v>
      </c>
      <c r="JT71" s="3573">
        <f t="shared" si="152"/>
        <v>-4.5474735088646412E-12</v>
      </c>
      <c r="JU71" s="3574">
        <f t="shared" si="146"/>
        <v>0</v>
      </c>
      <c r="JV71" s="3574">
        <f t="shared" si="147"/>
        <v>0</v>
      </c>
      <c r="JW71" s="3575"/>
      <c r="JX71" s="3576">
        <f t="shared" si="148"/>
        <v>0</v>
      </c>
      <c r="JY71" s="3576">
        <f t="shared" si="149"/>
        <v>0</v>
      </c>
      <c r="JZ71" s="3577"/>
      <c r="KA71" s="3573">
        <f t="shared" si="131"/>
        <v>-26819.794285714306</v>
      </c>
      <c r="KB71" s="3573"/>
      <c r="KC71" s="3573"/>
      <c r="KD71" s="3573">
        <f t="shared" si="150"/>
        <v>-26819.794285714306</v>
      </c>
      <c r="KE71" s="3578" t="s">
        <v>3986</v>
      </c>
      <c r="KF71" s="3579"/>
      <c r="KG71" s="3579"/>
      <c r="KH71" s="3579"/>
      <c r="KI71" s="3579"/>
      <c r="KJ71" s="3579"/>
      <c r="KK71" s="3579"/>
      <c r="KL71" s="3579"/>
      <c r="KM71" s="3579"/>
      <c r="KN71" s="3579"/>
      <c r="KO71" s="3579"/>
      <c r="KP71" s="3579">
        <f>1.75/10000*6-26819.79/10000</f>
        <v>-2.6809289999999999</v>
      </c>
      <c r="KQ71" s="3579">
        <f t="shared" si="151"/>
        <v>-2.6809289999999999</v>
      </c>
      <c r="KR71" s="3683">
        <f t="shared" si="88"/>
        <v>3.5147619047348755E-4</v>
      </c>
      <c r="KS71" s="3577"/>
      <c r="KT71" s="3577"/>
      <c r="KU71" s="3577"/>
      <c r="KV71" s="3577"/>
      <c r="KW71" s="3577"/>
      <c r="KX71" s="3577"/>
      <c r="KY71" s="3577"/>
      <c r="KZ71" s="3577"/>
      <c r="LA71" s="3577"/>
      <c r="LB71" s="3577"/>
      <c r="LC71" s="3577"/>
      <c r="LD71" s="3577"/>
      <c r="LE71" s="3577"/>
      <c r="LF71" s="3577"/>
      <c r="LG71" s="3577"/>
      <c r="LH71" s="3577"/>
      <c r="LJ71" s="3575"/>
      <c r="LK71" s="3571"/>
      <c r="LL71" s="3576"/>
    </row>
    <row r="72" spans="1:325" s="3580" customFormat="1" ht="18" customHeight="1">
      <c r="A72" s="3545">
        <v>69</v>
      </c>
      <c r="B72" s="3546" t="s">
        <v>4346</v>
      </c>
      <c r="C72" s="3546" t="s">
        <v>4425</v>
      </c>
      <c r="D72" s="3547">
        <v>29.92</v>
      </c>
      <c r="E72" s="3548" t="s">
        <v>3799</v>
      </c>
      <c r="F72" s="3546" t="s">
        <v>3790</v>
      </c>
      <c r="G72" s="3549" t="s">
        <v>4426</v>
      </c>
      <c r="H72" s="3546" t="s">
        <v>4427</v>
      </c>
      <c r="I72" s="3594" t="s">
        <v>4428</v>
      </c>
      <c r="J72" s="3594" t="s">
        <v>4429</v>
      </c>
      <c r="K72" s="3545" t="s">
        <v>3925</v>
      </c>
      <c r="L72" s="3555"/>
      <c r="M72" s="3551">
        <v>12750.03</v>
      </c>
      <c r="N72" s="3551">
        <f>19575.54+1365.09</f>
        <v>20940.63</v>
      </c>
      <c r="O72" s="3551">
        <f t="shared" si="135"/>
        <v>8190.6</v>
      </c>
      <c r="P72" s="3547">
        <v>2266.08</v>
      </c>
      <c r="Q72" s="3547">
        <v>2266.08</v>
      </c>
      <c r="R72" s="3547">
        <f t="shared" si="132"/>
        <v>0</v>
      </c>
      <c r="S72" s="3547">
        <f t="shared" si="125"/>
        <v>4.6699985349058677</v>
      </c>
      <c r="T72" s="3658">
        <v>4250.01</v>
      </c>
      <c r="U72" s="3553">
        <f t="shared" si="136"/>
        <v>51000.12</v>
      </c>
      <c r="V72" s="3547">
        <f>51000.12*2</f>
        <v>102000.24</v>
      </c>
      <c r="W72" s="3547">
        <f t="shared" si="126"/>
        <v>0.83000512782946301</v>
      </c>
      <c r="X72" s="3658">
        <v>755.36</v>
      </c>
      <c r="Y72" s="3547">
        <f t="shared" si="137"/>
        <v>9064.32</v>
      </c>
      <c r="Z72" s="3554"/>
      <c r="AA72" s="3555"/>
      <c r="AB72" s="3650" t="s">
        <v>3804</v>
      </c>
      <c r="AC72" s="3556">
        <f t="shared" si="138"/>
        <v>56615.229999999996</v>
      </c>
      <c r="AD72" s="3556">
        <f t="shared" si="139"/>
        <v>43865.2</v>
      </c>
      <c r="AE72" s="3556">
        <f t="shared" si="139"/>
        <v>43865.2</v>
      </c>
      <c r="AF72" s="3556">
        <f t="shared" si="140"/>
        <v>0</v>
      </c>
      <c r="AG72" s="3556"/>
      <c r="AH72" s="3557">
        <f t="shared" si="141"/>
        <v>9819.68</v>
      </c>
      <c r="AI72" s="3558">
        <f t="shared" si="142"/>
        <v>7553.6</v>
      </c>
      <c r="AJ72" s="3558">
        <f t="shared" si="142"/>
        <v>7553.6</v>
      </c>
      <c r="AK72" s="3557">
        <f t="shared" si="43"/>
        <v>0</v>
      </c>
      <c r="AL72" s="3557"/>
      <c r="AM72" s="3547" t="s">
        <v>4430</v>
      </c>
      <c r="AN72" s="3609">
        <v>5615.11</v>
      </c>
      <c r="AO72" s="3562">
        <v>5615.11</v>
      </c>
      <c r="AP72" s="3561">
        <f t="shared" si="113"/>
        <v>0</v>
      </c>
      <c r="AQ72" s="3559">
        <v>755.36</v>
      </c>
      <c r="AR72" s="3562">
        <v>755.36</v>
      </c>
      <c r="AS72" s="3561">
        <f t="shared" si="127"/>
        <v>0</v>
      </c>
      <c r="AT72" s="3563" t="s">
        <v>4431</v>
      </c>
      <c r="AU72" s="3547" t="s">
        <v>4217</v>
      </c>
      <c r="AV72" s="3609">
        <v>12750.03</v>
      </c>
      <c r="AW72" s="3562">
        <v>12750.03</v>
      </c>
      <c r="AX72" s="3561">
        <f t="shared" si="114"/>
        <v>0</v>
      </c>
      <c r="AY72" s="3559">
        <v>2266.08</v>
      </c>
      <c r="AZ72" s="3562">
        <v>2266.08</v>
      </c>
      <c r="BA72" s="3561">
        <f t="shared" si="128"/>
        <v>0</v>
      </c>
      <c r="BB72" s="3563" t="s">
        <v>4432</v>
      </c>
      <c r="BC72" s="3547"/>
      <c r="BD72" s="3609"/>
      <c r="BE72" s="3562"/>
      <c r="BF72" s="3561">
        <f t="shared" si="115"/>
        <v>0</v>
      </c>
      <c r="BG72" s="3559"/>
      <c r="BH72" s="3562"/>
      <c r="BI72" s="3561">
        <f t="shared" si="116"/>
        <v>0</v>
      </c>
      <c r="BJ72" s="3563" t="s">
        <v>4432</v>
      </c>
      <c r="BK72" s="3547"/>
      <c r="BL72" s="3609"/>
      <c r="BM72" s="3562"/>
      <c r="BN72" s="3561">
        <f t="shared" si="48"/>
        <v>0</v>
      </c>
      <c r="BO72" s="3559"/>
      <c r="BP72" s="3562"/>
      <c r="BQ72" s="3561">
        <f t="shared" si="49"/>
        <v>0</v>
      </c>
      <c r="BR72" s="3563" t="s">
        <v>4432</v>
      </c>
      <c r="BS72" s="3547" t="s">
        <v>4219</v>
      </c>
      <c r="BT72" s="3559">
        <v>12750.03</v>
      </c>
      <c r="BU72" s="3603">
        <v>12750.03</v>
      </c>
      <c r="BV72" s="3602">
        <f t="shared" si="50"/>
        <v>0</v>
      </c>
      <c r="BW72" s="3604">
        <v>2266.08</v>
      </c>
      <c r="BX72" s="3603">
        <v>2266.08</v>
      </c>
      <c r="BY72" s="3561">
        <f t="shared" si="51"/>
        <v>0</v>
      </c>
      <c r="BZ72" s="3563" t="s">
        <v>4377</v>
      </c>
      <c r="CA72" s="3547"/>
      <c r="CB72" s="3621"/>
      <c r="CC72" s="3603"/>
      <c r="CD72" s="3602">
        <f t="shared" si="52"/>
        <v>0</v>
      </c>
      <c r="CE72" s="3604"/>
      <c r="CF72" s="3562"/>
      <c r="CG72" s="3561">
        <f t="shared" si="53"/>
        <v>0</v>
      </c>
      <c r="CH72" s="3563" t="s">
        <v>4377</v>
      </c>
      <c r="CI72" s="3547"/>
      <c r="CJ72" s="3609"/>
      <c r="CK72" s="3562"/>
      <c r="CL72" s="3561">
        <f t="shared" si="133"/>
        <v>0</v>
      </c>
      <c r="CM72" s="3559"/>
      <c r="CN72" s="3562"/>
      <c r="CO72" s="3561">
        <f t="shared" si="54"/>
        <v>0</v>
      </c>
      <c r="CP72" s="3563" t="s">
        <v>4377</v>
      </c>
      <c r="CQ72" s="3597" t="s">
        <v>4221</v>
      </c>
      <c r="CR72" s="3609">
        <v>12750.03</v>
      </c>
      <c r="CS72" s="3603">
        <v>12750.03</v>
      </c>
      <c r="CT72" s="3561">
        <f t="shared" si="55"/>
        <v>0</v>
      </c>
      <c r="CU72" s="3559">
        <v>2266.08</v>
      </c>
      <c r="CV72" s="3562">
        <v>2266.08</v>
      </c>
      <c r="CW72" s="3561">
        <f t="shared" si="56"/>
        <v>0</v>
      </c>
      <c r="CX72" s="3563" t="s">
        <v>4433</v>
      </c>
      <c r="CY72" s="3547"/>
      <c r="CZ72" s="3609"/>
      <c r="DA72" s="3562"/>
      <c r="DB72" s="3561">
        <f t="shared" si="57"/>
        <v>0</v>
      </c>
      <c r="DC72" s="3559"/>
      <c r="DD72" s="3562"/>
      <c r="DE72" s="3561">
        <f t="shared" si="58"/>
        <v>0</v>
      </c>
      <c r="DF72" s="3563" t="s">
        <v>4433</v>
      </c>
      <c r="DG72" s="3547"/>
      <c r="DH72" s="3609"/>
      <c r="DI72" s="3562"/>
      <c r="DJ72" s="3561">
        <f t="shared" si="59"/>
        <v>0</v>
      </c>
      <c r="DK72" s="3559"/>
      <c r="DL72" s="3562"/>
      <c r="DM72" s="3561">
        <f t="shared" si="60"/>
        <v>0</v>
      </c>
      <c r="DN72" s="3563"/>
      <c r="DO72" s="3547" t="s">
        <v>4223</v>
      </c>
      <c r="DP72" s="3609">
        <v>12750.03</v>
      </c>
      <c r="DQ72" s="3562"/>
      <c r="DR72" s="3561">
        <f t="shared" si="61"/>
        <v>-12750.03</v>
      </c>
      <c r="DS72" s="3559">
        <v>2266.08</v>
      </c>
      <c r="DT72" s="3562"/>
      <c r="DU72" s="3561">
        <f t="shared" si="62"/>
        <v>-2266.08</v>
      </c>
      <c r="DV72" s="3563"/>
      <c r="DW72" s="3547"/>
      <c r="DX72" s="3609"/>
      <c r="DY72" s="3562"/>
      <c r="DZ72" s="3561">
        <f t="shared" si="63"/>
        <v>0</v>
      </c>
      <c r="EA72" s="3559"/>
      <c r="EB72" s="3562"/>
      <c r="EC72" s="3561">
        <f t="shared" si="64"/>
        <v>0</v>
      </c>
      <c r="ED72" s="3563"/>
      <c r="EE72" s="3564"/>
      <c r="EF72" s="3565">
        <f t="shared" ref="EF72:EF132" si="153">SUM(ET72,FB72,FJ72,FR72,FZ72,GH72,GP72,GX72,HF72,HN72,HV72,ID72)</f>
        <v>35995.303492063482</v>
      </c>
      <c r="EG72" s="3565">
        <f t="shared" si="143"/>
        <v>25152.509206349201</v>
      </c>
      <c r="EH72" s="3565">
        <f t="shared" si="143"/>
        <v>39028.847619047607</v>
      </c>
      <c r="EI72" s="3565">
        <f t="shared" si="143"/>
        <v>39028.847619047607</v>
      </c>
      <c r="EJ72" s="3565">
        <f t="shared" ref="EJ72:EJ132" si="154">EI72-EG72</f>
        <v>13876.338412698406</v>
      </c>
      <c r="EK72" s="3566">
        <f t="shared" ref="EK72:EK132" si="155">EI72-EH72</f>
        <v>0</v>
      </c>
      <c r="EL72" s="3610"/>
      <c r="EM72" s="3567">
        <f t="shared" ref="EM72:EM132" si="156">SUM(EX72,FF72,FN72,FV72,GD72,GL72,GT72,HB72,HJ72,HR72,HZ72,IH72)</f>
        <v>6413.3943396226377</v>
      </c>
      <c r="EN72" s="3557">
        <f t="shared" si="144"/>
        <v>4275.5962264150921</v>
      </c>
      <c r="EO72" s="3557">
        <f t="shared" si="144"/>
        <v>6413.4339622641519</v>
      </c>
      <c r="EP72" s="3557">
        <f t="shared" si="144"/>
        <v>6413.433962264151</v>
      </c>
      <c r="EQ72" s="3557">
        <f t="shared" ref="EQ72:EQ132" si="157">EP72-EN72</f>
        <v>2137.8377358490588</v>
      </c>
      <c r="ER72" s="3557">
        <f t="shared" ref="ER72:ER132" si="158">EP72-EO72</f>
        <v>0</v>
      </c>
      <c r="ES72" s="3557"/>
      <c r="ET72" s="3568">
        <v>5347.7250793650801</v>
      </c>
      <c r="EU72" s="3569">
        <f>5615.11/1.05</f>
        <v>5347.723809523809</v>
      </c>
      <c r="EV72" s="3562">
        <f>5615.11/1.05</f>
        <v>5347.723809523809</v>
      </c>
      <c r="EW72" s="3547">
        <f t="shared" si="129"/>
        <v>-1.2698412710960838E-3</v>
      </c>
      <c r="EX72" s="3568">
        <v>712.59937106918198</v>
      </c>
      <c r="EY72" s="3569">
        <f>755.36/1.06</f>
        <v>712.60377358490564</v>
      </c>
      <c r="EZ72" s="3562">
        <f>755.36/1.06</f>
        <v>712.60377358490564</v>
      </c>
      <c r="FA72" s="3547">
        <f t="shared" si="130"/>
        <v>4.4025157236546875E-3</v>
      </c>
      <c r="FB72" s="3568">
        <v>5347.7250793650801</v>
      </c>
      <c r="FC72" s="3569">
        <f>5615.11/1.05</f>
        <v>5347.723809523809</v>
      </c>
      <c r="FD72" s="3562">
        <f>5615.11/1.05</f>
        <v>5347.723809523809</v>
      </c>
      <c r="FE72" s="3547">
        <f t="shared" si="117"/>
        <v>-1.2698412710960838E-3</v>
      </c>
      <c r="FF72" s="3568">
        <v>712.59937106918198</v>
      </c>
      <c r="FG72" s="3569">
        <f>755.36/1.06</f>
        <v>712.60377358490564</v>
      </c>
      <c r="FH72" s="3562">
        <f>755.36/1.06</f>
        <v>712.60377358490564</v>
      </c>
      <c r="FI72" s="3547">
        <f t="shared" si="118"/>
        <v>4.4025157236546875E-3</v>
      </c>
      <c r="FJ72" s="3568"/>
      <c r="FK72" s="3559">
        <f>4250.01/1.05</f>
        <v>4047.6285714285714</v>
      </c>
      <c r="FL72" s="3562">
        <f>12750.03/1.05/3</f>
        <v>4047.6285714285714</v>
      </c>
      <c r="FM72" s="3547">
        <f t="shared" si="119"/>
        <v>4047.6285714285714</v>
      </c>
      <c r="FN72" s="3568"/>
      <c r="FO72" s="3559">
        <f>755.36/1.06</f>
        <v>712.60377358490564</v>
      </c>
      <c r="FP72" s="3562">
        <f>2266.08/1.06/3</f>
        <v>712.60377358490553</v>
      </c>
      <c r="FQ72" s="3547">
        <f t="shared" si="120"/>
        <v>712.60377358490553</v>
      </c>
      <c r="FR72" s="3568"/>
      <c r="FS72" s="3559">
        <f>4250.01/1.05</f>
        <v>4047.6285714285714</v>
      </c>
      <c r="FT72" s="3560">
        <f>12750.03/1.05/3</f>
        <v>4047.6285714285714</v>
      </c>
      <c r="FU72" s="3547">
        <f t="shared" si="69"/>
        <v>4047.6285714285714</v>
      </c>
      <c r="FV72" s="3568"/>
      <c r="FW72" s="3559">
        <f>755.36/1.06</f>
        <v>712.60377358490564</v>
      </c>
      <c r="FX72" s="3560">
        <f>2266.08/1.06/3</f>
        <v>712.60377358490553</v>
      </c>
      <c r="FY72" s="3547">
        <f t="shared" si="70"/>
        <v>712.60377358490553</v>
      </c>
      <c r="FZ72" s="3568"/>
      <c r="GA72" s="3569">
        <f>4250.01/1.05</f>
        <v>4047.6285714285714</v>
      </c>
      <c r="GB72" s="3560">
        <f>12750.03/1.05/3</f>
        <v>4047.6285714285714</v>
      </c>
      <c r="GC72" s="3547">
        <f t="shared" si="71"/>
        <v>4047.6285714285714</v>
      </c>
      <c r="GD72" s="3568"/>
      <c r="GE72" s="3569">
        <f>755.36/1.06</f>
        <v>712.60377358490564</v>
      </c>
      <c r="GF72" s="3560">
        <f>2266.08/1.06/3</f>
        <v>712.60377358490553</v>
      </c>
      <c r="GG72" s="3547">
        <f t="shared" si="72"/>
        <v>712.60377358490553</v>
      </c>
      <c r="GH72" s="3568">
        <v>3614.2647619047598</v>
      </c>
      <c r="GI72" s="3569">
        <f>4250.01/1.05</f>
        <v>4047.6285714285714</v>
      </c>
      <c r="GJ72" s="3560">
        <f>12750.03/3/1.05</f>
        <v>4047.6285714285714</v>
      </c>
      <c r="GK72" s="3547">
        <f t="shared" si="73"/>
        <v>433.3638095238116</v>
      </c>
      <c r="GL72" s="3568">
        <v>712.59937106918198</v>
      </c>
      <c r="GM72" s="3569">
        <f>755.36/1.06</f>
        <v>712.60377358490564</v>
      </c>
      <c r="GN72" s="3560">
        <f>2266.08/3/1.06</f>
        <v>712.60377358490564</v>
      </c>
      <c r="GO72" s="3547">
        <f t="shared" si="74"/>
        <v>4.4025157236546875E-3</v>
      </c>
      <c r="GP72" s="3568">
        <v>3614.2647619047598</v>
      </c>
      <c r="GQ72" s="3569">
        <f>4250.01/1.05</f>
        <v>4047.6285714285714</v>
      </c>
      <c r="GR72" s="3560">
        <f>12750.03/3/1.05</f>
        <v>4047.6285714285714</v>
      </c>
      <c r="GS72" s="3547">
        <f t="shared" si="75"/>
        <v>433.3638095238116</v>
      </c>
      <c r="GT72" s="3568">
        <v>712.59937106918198</v>
      </c>
      <c r="GU72" s="3569">
        <f>755.36/1.06</f>
        <v>712.60377358490564</v>
      </c>
      <c r="GV72" s="3560">
        <f>2266.08/3/1.06</f>
        <v>712.60377358490564</v>
      </c>
      <c r="GW72" s="3547">
        <f t="shared" si="76"/>
        <v>4.4025157236546875E-3</v>
      </c>
      <c r="GX72" s="3568">
        <v>3614.2647619047598</v>
      </c>
      <c r="GY72" s="3569">
        <f>4250.01/1.05</f>
        <v>4047.6285714285714</v>
      </c>
      <c r="GZ72" s="3562">
        <f>12750.03/3/1.05</f>
        <v>4047.6285714285714</v>
      </c>
      <c r="HA72" s="3547">
        <f t="shared" si="77"/>
        <v>433.3638095238116</v>
      </c>
      <c r="HB72" s="3568">
        <v>712.59937106918198</v>
      </c>
      <c r="HC72" s="3569">
        <f>755.36/1.06</f>
        <v>712.60377358490564</v>
      </c>
      <c r="HD72" s="3562">
        <f>2266.08/3/1.06</f>
        <v>712.60377358490564</v>
      </c>
      <c r="HE72" s="3547">
        <f t="shared" si="78"/>
        <v>4.4025157236546875E-3</v>
      </c>
      <c r="HF72" s="3568">
        <v>3614.2647619047598</v>
      </c>
      <c r="HG72" s="3569">
        <f>4250.01/1.05</f>
        <v>4047.6285714285714</v>
      </c>
      <c r="HH72" s="3562">
        <f>12750.03/3/1.05</f>
        <v>4047.6285714285714</v>
      </c>
      <c r="HI72" s="3547">
        <f t="shared" si="79"/>
        <v>433.3638095238116</v>
      </c>
      <c r="HJ72" s="3568">
        <v>712.59937106918198</v>
      </c>
      <c r="HK72" s="3569">
        <f>755.36/1.06</f>
        <v>712.60377358490564</v>
      </c>
      <c r="HL72" s="3562">
        <f>2266.08/3/1.06</f>
        <v>712.60377358490564</v>
      </c>
      <c r="HM72" s="3547">
        <f t="shared" si="80"/>
        <v>4.4025157236546875E-3</v>
      </c>
      <c r="HN72" s="3568">
        <v>3614.2647619047598</v>
      </c>
      <c r="HO72" s="3569">
        <f>4250.01/1.05</f>
        <v>4047.6285714285714</v>
      </c>
      <c r="HP72" s="3562">
        <f>12750.03/3/1.05</f>
        <v>4047.6285714285714</v>
      </c>
      <c r="HQ72" s="3547">
        <f t="shared" si="81"/>
        <v>433.3638095238116</v>
      </c>
      <c r="HR72" s="3568">
        <v>712.59937106918198</v>
      </c>
      <c r="HS72" s="3569">
        <f>2266.08/3/1.06</f>
        <v>712.60377358490564</v>
      </c>
      <c r="HT72" s="3562">
        <f>2266.08/3/1.06</f>
        <v>712.60377358490564</v>
      </c>
      <c r="HU72" s="3547">
        <f t="shared" si="82"/>
        <v>4.4025157236546875E-3</v>
      </c>
      <c r="HV72" s="3568">
        <v>3614.2647619047598</v>
      </c>
      <c r="HW72" s="3569">
        <f>4250.01/1.05</f>
        <v>4047.6285714285714</v>
      </c>
      <c r="HX72" s="3562">
        <f>12750.03/3/1.05</f>
        <v>4047.6285714285714</v>
      </c>
      <c r="HY72" s="3547">
        <f t="shared" si="83"/>
        <v>433.3638095238116</v>
      </c>
      <c r="HZ72" s="3568">
        <v>712.59937106918198</v>
      </c>
      <c r="IA72" s="3569">
        <f>755.36/1.06</f>
        <v>712.60377358490564</v>
      </c>
      <c r="IB72" s="3562">
        <f>2266.08/3/1.06</f>
        <v>712.60377358490564</v>
      </c>
      <c r="IC72" s="3547">
        <f t="shared" si="84"/>
        <v>4.4025157236546875E-3</v>
      </c>
      <c r="ID72" s="3568">
        <v>3614.2647619047598</v>
      </c>
      <c r="IE72" s="3569">
        <f>4250.01/1.05</f>
        <v>4047.6285714285714</v>
      </c>
      <c r="IF72" s="3562"/>
      <c r="IG72" s="3547">
        <f t="shared" si="85"/>
        <v>-3614.2647619047598</v>
      </c>
      <c r="IH72" s="3568">
        <v>712.59937106918198</v>
      </c>
      <c r="II72" s="3569">
        <f>755.36/1.06</f>
        <v>712.60377358490564</v>
      </c>
      <c r="IJ72" s="3562"/>
      <c r="IK72" s="3547">
        <f t="shared" si="86"/>
        <v>-712.59937106918198</v>
      </c>
      <c r="IL72" s="3547" t="s">
        <v>4224</v>
      </c>
      <c r="IM72" s="3569">
        <f>4250.01/1.05*2</f>
        <v>8095.2571428571428</v>
      </c>
      <c r="IN72" s="3569">
        <f>755.36/1.06*2</f>
        <v>1425.2075471698113</v>
      </c>
      <c r="IO72" s="3547"/>
      <c r="IP72" s="3560">
        <f t="shared" si="87"/>
        <v>0</v>
      </c>
      <c r="IQ72" s="3569"/>
      <c r="IR72" s="3568"/>
      <c r="IS72" s="3568"/>
      <c r="IT72" s="3568"/>
      <c r="IU72" s="3568"/>
      <c r="IV72" s="3568"/>
      <c r="IW72" s="3568"/>
      <c r="IX72" s="3568"/>
      <c r="IY72" s="3568"/>
      <c r="IZ72" s="3560"/>
      <c r="JA72" s="3560"/>
      <c r="JB72" s="3560"/>
      <c r="JC72" s="3560">
        <f t="shared" si="134"/>
        <v>0</v>
      </c>
      <c r="JD72" s="3547"/>
      <c r="JE72" s="3569"/>
      <c r="JF72" s="3568"/>
      <c r="JG72" s="3568"/>
      <c r="JH72" s="3568"/>
      <c r="JI72" s="3568"/>
      <c r="JJ72" s="3568"/>
      <c r="JK72" s="3568"/>
      <c r="JL72" s="3568"/>
      <c r="JM72" s="3568"/>
      <c r="JN72" s="3560"/>
      <c r="JO72" s="3560"/>
      <c r="JP72" s="3547" t="s">
        <v>3837</v>
      </c>
      <c r="JQ72" s="3583">
        <f>5615.11/1.05</f>
        <v>5347.723809523809</v>
      </c>
      <c r="JR72" s="3583">
        <f>755.36/1.06</f>
        <v>712.60377358490564</v>
      </c>
      <c r="JS72" s="3573">
        <f t="shared" si="145"/>
        <v>1.0913936421275139E-11</v>
      </c>
      <c r="JT72" s="3573">
        <f t="shared" si="152"/>
        <v>0</v>
      </c>
      <c r="JU72" s="3574">
        <f t="shared" si="146"/>
        <v>0</v>
      </c>
      <c r="JV72" s="3574">
        <f t="shared" si="147"/>
        <v>0</v>
      </c>
      <c r="JW72" s="3575"/>
      <c r="JX72" s="3576">
        <f t="shared" si="148"/>
        <v>8095.2571428571428</v>
      </c>
      <c r="JY72" s="3576">
        <f t="shared" si="149"/>
        <v>1425.2075471698113</v>
      </c>
      <c r="JZ72" s="3577"/>
      <c r="KA72" s="3573">
        <f t="shared" si="131"/>
        <v>433.36821203953525</v>
      </c>
      <c r="KB72" s="3573"/>
      <c r="KC72" s="3573"/>
      <c r="KD72" s="3573">
        <f t="shared" si="150"/>
        <v>433.36821203953525</v>
      </c>
      <c r="KE72" s="3578" t="s">
        <v>4069</v>
      </c>
      <c r="KF72" s="3579"/>
      <c r="KG72" s="3579"/>
      <c r="KH72" s="3579">
        <f>4760.23/10000*3</f>
        <v>1.4280689999999998</v>
      </c>
      <c r="KI72" s="3579">
        <f>433.37/10000*4</f>
        <v>0.173348</v>
      </c>
      <c r="KJ72" s="3579"/>
      <c r="KK72" s="3579"/>
      <c r="KL72" s="3579"/>
      <c r="KM72" s="3579"/>
      <c r="KN72" s="3579"/>
      <c r="KO72" s="3579"/>
      <c r="KP72" s="3579"/>
      <c r="KQ72" s="3579">
        <f t="shared" si="151"/>
        <v>1.6014169999999999</v>
      </c>
      <c r="KR72" s="3579">
        <f t="shared" si="88"/>
        <v>6.1485474645017746E-7</v>
      </c>
      <c r="KS72" s="3577"/>
      <c r="KT72" s="3577"/>
      <c r="KU72" s="3577"/>
      <c r="KV72" s="3577"/>
      <c r="KW72" s="3577"/>
      <c r="KX72" s="3577"/>
      <c r="KY72" s="3577"/>
      <c r="KZ72" s="3577"/>
      <c r="LA72" s="3577"/>
      <c r="LB72" s="3577"/>
      <c r="LC72" s="3577"/>
      <c r="LD72" s="3577"/>
      <c r="LE72" s="3577"/>
      <c r="LF72" s="3577"/>
      <c r="LG72" s="3577"/>
      <c r="LH72" s="3577"/>
      <c r="LJ72" s="3575"/>
      <c r="LK72" s="3626">
        <v>12</v>
      </c>
      <c r="LL72" s="3627">
        <v>6161.15</v>
      </c>
      <c r="LM72" s="3580" t="s">
        <v>3954</v>
      </c>
    </row>
    <row r="73" spans="1:325" s="3580" customFormat="1" ht="18" customHeight="1">
      <c r="A73" s="3545">
        <v>70</v>
      </c>
      <c r="B73" s="3546" t="s">
        <v>4346</v>
      </c>
      <c r="C73" s="3546" t="s">
        <v>4434</v>
      </c>
      <c r="D73" s="3547">
        <v>34.270000000000003</v>
      </c>
      <c r="E73" s="3548" t="s">
        <v>3799</v>
      </c>
      <c r="F73" s="3546" t="s">
        <v>3790</v>
      </c>
      <c r="G73" s="3684" t="s">
        <v>4435</v>
      </c>
      <c r="H73" s="3546" t="s">
        <v>4436</v>
      </c>
      <c r="I73" s="3594" t="s">
        <v>4437</v>
      </c>
      <c r="J73" s="3594" t="s">
        <v>4438</v>
      </c>
      <c r="K73" s="3545" t="s">
        <v>4005</v>
      </c>
      <c r="L73" s="3555"/>
      <c r="M73" s="3551">
        <v>14603.73</v>
      </c>
      <c r="N73" s="3551">
        <v>14603.73</v>
      </c>
      <c r="O73" s="3551">
        <f t="shared" si="135"/>
        <v>0</v>
      </c>
      <c r="P73" s="3547">
        <v>2595.5100000000002</v>
      </c>
      <c r="Q73" s="3547">
        <v>2595.5100000000002</v>
      </c>
      <c r="R73" s="3547">
        <f t="shared" si="132"/>
        <v>0</v>
      </c>
      <c r="S73" s="3547">
        <f t="shared" si="125"/>
        <v>4.6699993204648012</v>
      </c>
      <c r="T73" s="3658">
        <v>4867.91</v>
      </c>
      <c r="U73" s="3553">
        <f t="shared" si="136"/>
        <v>58414.92</v>
      </c>
      <c r="V73" s="3547">
        <f>T73*12</f>
        <v>58414.92</v>
      </c>
      <c r="W73" s="3547">
        <f t="shared" si="126"/>
        <v>0.8299954830895665</v>
      </c>
      <c r="X73" s="3658">
        <v>865.17</v>
      </c>
      <c r="Y73" s="3547">
        <f t="shared" si="137"/>
        <v>10382.039999999999</v>
      </c>
      <c r="Z73" s="3554"/>
      <c r="AA73" s="3555"/>
      <c r="AB73" s="3680" t="s">
        <v>3899</v>
      </c>
      <c r="AC73" s="3556">
        <f t="shared" si="138"/>
        <v>63282.830000000016</v>
      </c>
      <c r="AD73" s="3556">
        <f t="shared" si="139"/>
        <v>48679.100000000006</v>
      </c>
      <c r="AE73" s="3556">
        <f t="shared" si="139"/>
        <v>48679.100000000006</v>
      </c>
      <c r="AF73" s="3556">
        <f t="shared" si="140"/>
        <v>0</v>
      </c>
      <c r="AG73" s="3556"/>
      <c r="AH73" s="3557">
        <f t="shared" si="141"/>
        <v>11247.21</v>
      </c>
      <c r="AI73" s="3558">
        <f t="shared" si="142"/>
        <v>8651.6999999999989</v>
      </c>
      <c r="AJ73" s="3558">
        <f t="shared" si="142"/>
        <v>8651.6999999999989</v>
      </c>
      <c r="AK73" s="3557">
        <f t="shared" ref="AK73:AK132" si="159">AJ73-AI73</f>
        <v>0</v>
      </c>
      <c r="AL73" s="3557"/>
      <c r="AM73" s="3547" t="s">
        <v>4439</v>
      </c>
      <c r="AN73" s="3609">
        <f>4867.91*2</f>
        <v>9735.82</v>
      </c>
      <c r="AO73" s="3562">
        <f>4867.91+4867.91</f>
        <v>9735.82</v>
      </c>
      <c r="AP73" s="3561">
        <f t="shared" si="113"/>
        <v>0</v>
      </c>
      <c r="AQ73" s="3559">
        <f>865.17*2</f>
        <v>1730.34</v>
      </c>
      <c r="AR73" s="3562">
        <f>865.17+865.17</f>
        <v>1730.34</v>
      </c>
      <c r="AS73" s="3561">
        <f t="shared" si="127"/>
        <v>0</v>
      </c>
      <c r="AT73" s="3685" t="s">
        <v>4440</v>
      </c>
      <c r="AU73" s="3547" t="s">
        <v>4441</v>
      </c>
      <c r="AV73" s="3609">
        <v>4867.91</v>
      </c>
      <c r="AW73" s="3562">
        <v>4867.91</v>
      </c>
      <c r="AX73" s="3561">
        <f t="shared" si="114"/>
        <v>0</v>
      </c>
      <c r="AY73" s="3559">
        <v>865.17</v>
      </c>
      <c r="AZ73" s="3562">
        <v>865.17</v>
      </c>
      <c r="BA73" s="3561">
        <f t="shared" si="128"/>
        <v>0</v>
      </c>
      <c r="BB73" s="3685" t="s">
        <v>4442</v>
      </c>
      <c r="BC73" s="3547" t="s">
        <v>4443</v>
      </c>
      <c r="BD73" s="3609">
        <v>4867.91</v>
      </c>
      <c r="BE73" s="3562">
        <f>4867.19+0.72</f>
        <v>4867.91</v>
      </c>
      <c r="BF73" s="3561">
        <f t="shared" si="115"/>
        <v>0</v>
      </c>
      <c r="BG73" s="3559">
        <v>865.17</v>
      </c>
      <c r="BH73" s="3562">
        <v>865.17</v>
      </c>
      <c r="BI73" s="3561">
        <f t="shared" si="116"/>
        <v>0</v>
      </c>
      <c r="BJ73" s="3685" t="s">
        <v>4444</v>
      </c>
      <c r="BK73" s="3547" t="s">
        <v>4445</v>
      </c>
      <c r="BL73" s="3609">
        <v>4867.91</v>
      </c>
      <c r="BM73" s="3562">
        <v>4867.91</v>
      </c>
      <c r="BN73" s="3602">
        <f t="shared" ref="BN73:BN94" si="160">BM73-BL73</f>
        <v>0</v>
      </c>
      <c r="BO73" s="3559">
        <v>865.17</v>
      </c>
      <c r="BP73" s="3562">
        <v>865.17</v>
      </c>
      <c r="BQ73" s="3602">
        <f t="shared" ref="BQ73:BQ94" si="161">BP73-BO73</f>
        <v>0</v>
      </c>
      <c r="BR73" s="3685" t="s">
        <v>4446</v>
      </c>
      <c r="BS73" s="3547" t="s">
        <v>4447</v>
      </c>
      <c r="BT73" s="3559">
        <v>4867.91</v>
      </c>
      <c r="BU73" s="3603">
        <v>4867.91</v>
      </c>
      <c r="BV73" s="3602">
        <f t="shared" ref="BV73:BV94" si="162">BU73-BT73</f>
        <v>0</v>
      </c>
      <c r="BW73" s="3604">
        <v>865.17</v>
      </c>
      <c r="BX73" s="3603">
        <v>865.17</v>
      </c>
      <c r="BY73" s="3561">
        <f t="shared" ref="BY73:BY94" si="163">BX73-BW73</f>
        <v>0</v>
      </c>
      <c r="BZ73" s="3563" t="s">
        <v>4448</v>
      </c>
      <c r="CA73" s="3547" t="s">
        <v>4449</v>
      </c>
      <c r="CB73" s="3621">
        <v>4867.91</v>
      </c>
      <c r="CC73" s="3603">
        <v>4867.91</v>
      </c>
      <c r="CD73" s="3602">
        <f t="shared" ref="CD73:CD132" si="164">CC73-CB73</f>
        <v>0</v>
      </c>
      <c r="CE73" s="3604">
        <v>865.17</v>
      </c>
      <c r="CF73" s="3562">
        <v>865.17</v>
      </c>
      <c r="CG73" s="3561">
        <f t="shared" ref="CG73:CG132" si="165">CF73-CE73</f>
        <v>0</v>
      </c>
      <c r="CH73" s="3563" t="s">
        <v>4450</v>
      </c>
      <c r="CI73" s="3547" t="s">
        <v>4451</v>
      </c>
      <c r="CJ73" s="3609">
        <v>4867.91</v>
      </c>
      <c r="CK73" s="3603">
        <v>4867.91</v>
      </c>
      <c r="CL73" s="3561">
        <f t="shared" si="133"/>
        <v>0</v>
      </c>
      <c r="CM73" s="3559">
        <v>865.17</v>
      </c>
      <c r="CN73" s="3562">
        <v>865.17</v>
      </c>
      <c r="CO73" s="3561">
        <f t="shared" ref="CO73:CO132" si="166">CN73-CM73</f>
        <v>0</v>
      </c>
      <c r="CP73" s="3563" t="s">
        <v>4452</v>
      </c>
      <c r="CQ73" s="3597" t="s">
        <v>4453</v>
      </c>
      <c r="CR73" s="3609">
        <v>4867.91</v>
      </c>
      <c r="CS73" s="3603">
        <v>4867.91</v>
      </c>
      <c r="CT73" s="3561">
        <f t="shared" ref="CT73:CT132" si="167">CS73-CR73</f>
        <v>0</v>
      </c>
      <c r="CU73" s="3559">
        <v>865.17</v>
      </c>
      <c r="CV73" s="3562">
        <v>865.17</v>
      </c>
      <c r="CW73" s="3561">
        <f t="shared" ref="CW73:CW132" si="168">CV73-CU73</f>
        <v>0</v>
      </c>
      <c r="CX73" s="3563" t="s">
        <v>4454</v>
      </c>
      <c r="CY73" s="3547" t="s">
        <v>4455</v>
      </c>
      <c r="CZ73" s="3609">
        <v>4867.91</v>
      </c>
      <c r="DA73" s="3562">
        <v>4867.91</v>
      </c>
      <c r="DB73" s="3561">
        <f t="shared" ref="DB73:DB132" si="169">DA73-CZ73</f>
        <v>0</v>
      </c>
      <c r="DC73" s="3559">
        <v>865.17</v>
      </c>
      <c r="DD73" s="3562">
        <v>865.17</v>
      </c>
      <c r="DE73" s="3561">
        <f t="shared" ref="DE73:DE132" si="170">DD73-DC73</f>
        <v>0</v>
      </c>
      <c r="DF73" s="3563" t="s">
        <v>4456</v>
      </c>
      <c r="DG73" s="3547" t="s">
        <v>4457</v>
      </c>
      <c r="DH73" s="3609">
        <v>4867.91</v>
      </c>
      <c r="DI73" s="3562"/>
      <c r="DJ73" s="3561">
        <f t="shared" ref="DJ73:DJ132" si="171">DI73-DH73</f>
        <v>-4867.91</v>
      </c>
      <c r="DK73" s="3559">
        <v>865.17</v>
      </c>
      <c r="DL73" s="3562"/>
      <c r="DM73" s="3561">
        <f t="shared" ref="DM73:DM132" si="172">DL73-DK73</f>
        <v>-865.17</v>
      </c>
      <c r="DN73" s="3563"/>
      <c r="DO73" s="3547" t="s">
        <v>4458</v>
      </c>
      <c r="DP73" s="3609">
        <v>4867.91</v>
      </c>
      <c r="DQ73" s="3562"/>
      <c r="DR73" s="3561">
        <f t="shared" ref="DR73:DR132" si="173">DQ73-DP73</f>
        <v>-4867.91</v>
      </c>
      <c r="DS73" s="3559">
        <v>865.17</v>
      </c>
      <c r="DT73" s="3562"/>
      <c r="DU73" s="3561">
        <f t="shared" ref="DU73:DU94" si="174">DT73-DS73</f>
        <v>-865.17</v>
      </c>
      <c r="DV73" s="3563"/>
      <c r="DW73" s="3547" t="s">
        <v>4459</v>
      </c>
      <c r="DX73" s="3609">
        <v>4867.91</v>
      </c>
      <c r="DY73" s="3562"/>
      <c r="DZ73" s="3561">
        <f t="shared" ref="DZ73:DZ132" si="175">DY73-DX73</f>
        <v>-4867.91</v>
      </c>
      <c r="EA73" s="3559">
        <v>865.17</v>
      </c>
      <c r="EB73" s="3562"/>
      <c r="EC73" s="3561">
        <f t="shared" ref="EC73:EC132" si="176">EB73-EA73</f>
        <v>-865.17</v>
      </c>
      <c r="ED73" s="3563"/>
      <c r="EE73" s="3564"/>
      <c r="EF73" s="3565">
        <f t="shared" si="153"/>
        <v>37533.156960208697</v>
      </c>
      <c r="EG73" s="3565">
        <f t="shared" si="143"/>
        <v>25113.953745923001</v>
      </c>
      <c r="EH73" s="3565">
        <f t="shared" si="143"/>
        <v>43244.246810176119</v>
      </c>
      <c r="EI73" s="3565">
        <f t="shared" si="143"/>
        <v>43244.250802348324</v>
      </c>
      <c r="EJ73" s="3565">
        <f t="shared" si="154"/>
        <v>18130.297056425323</v>
      </c>
      <c r="EK73" s="3565">
        <f t="shared" si="155"/>
        <v>3.9921722054714337E-3</v>
      </c>
      <c r="EL73" s="3610"/>
      <c r="EM73" s="3557">
        <f t="shared" si="156"/>
        <v>7039.4675157232723</v>
      </c>
      <c r="EN73" s="3557">
        <f t="shared" si="144"/>
        <v>4590.8598506289327</v>
      </c>
      <c r="EO73" s="3557">
        <f t="shared" si="144"/>
        <v>7345.7830188679236</v>
      </c>
      <c r="EP73" s="3557">
        <f t="shared" si="144"/>
        <v>7345.7783406564986</v>
      </c>
      <c r="EQ73" s="3557">
        <f t="shared" si="157"/>
        <v>2754.9184900275659</v>
      </c>
      <c r="ER73" s="3557">
        <f t="shared" si="158"/>
        <v>-4.6782114250163431E-3</v>
      </c>
      <c r="ES73" s="3645"/>
      <c r="ET73" s="3568">
        <v>4415.2817221135001</v>
      </c>
      <c r="EU73" s="3569">
        <f>7421.74*12/365*19/1.05+(4867.91/1.05-4867.91/1.05*12/365*19)</f>
        <v>6155.4087149380302</v>
      </c>
      <c r="EV73" s="3562">
        <f>4636.05/1.05+4867.91/1.05-4867.91/1.05*12/365*19</f>
        <v>6155.4127071102412</v>
      </c>
      <c r="EW73" s="3547">
        <f t="shared" si="129"/>
        <v>1740.1309849967411</v>
      </c>
      <c r="EX73" s="3568">
        <v>509.84707547169802</v>
      </c>
      <c r="EY73" s="3569">
        <f>865.17*12/365*19/1.06+(865.17/1.06-865.17/1.06*12/365*19)</f>
        <v>816.19811320754707</v>
      </c>
      <c r="EZ73" s="3562">
        <f>540.43/1.06+865.17/1.06-865.17/1.06*12/365*19</f>
        <v>816.19343499612285</v>
      </c>
      <c r="FA73" s="3547">
        <f t="shared" si="130"/>
        <v>306.34635952442483</v>
      </c>
      <c r="FB73" s="3568"/>
      <c r="FC73" s="3569">
        <f>4867.91/1.05</f>
        <v>4636.1047619047613</v>
      </c>
      <c r="FD73" s="3562">
        <f>4867.91/1.05*12/365*19+4867.91/1.05-4867.91/1.05*12/365*19</f>
        <v>4636.1047619047613</v>
      </c>
      <c r="FE73" s="3547">
        <f t="shared" si="117"/>
        <v>4636.1047619047613</v>
      </c>
      <c r="FF73" s="3568"/>
      <c r="FG73" s="3569">
        <f>865.17/1.06</f>
        <v>816.19811320754707</v>
      </c>
      <c r="FH73" s="3562">
        <f>865.17/1.06*12/365*19+865.17/1.06-865.17/1.06*12/365*19</f>
        <v>816.19811320754695</v>
      </c>
      <c r="FI73" s="3547">
        <f t="shared" si="118"/>
        <v>816.19811320754695</v>
      </c>
      <c r="FJ73" s="3568"/>
      <c r="FK73" s="3559">
        <f>4867.91/1.05</f>
        <v>4636.1047619047613</v>
      </c>
      <c r="FL73" s="3562">
        <f>4867.91/1.05*12/365*19+4867.91/1.05-4867.91/1.05*12/365*19</f>
        <v>4636.1047619047613</v>
      </c>
      <c r="FM73" s="3547">
        <f t="shared" si="119"/>
        <v>4636.1047619047613</v>
      </c>
      <c r="FN73" s="3568"/>
      <c r="FO73" s="3559">
        <f>865.17/1.06</f>
        <v>816.19811320754707</v>
      </c>
      <c r="FP73" s="3562">
        <f>865.17/1.06*12/365*19+865.17/1.06-865.17/1.06*12/365*19</f>
        <v>816.19811320754695</v>
      </c>
      <c r="FQ73" s="3547">
        <f t="shared" si="120"/>
        <v>816.19811320754695</v>
      </c>
      <c r="FR73" s="3568"/>
      <c r="FS73" s="3559">
        <f>4867.91/1.05</f>
        <v>4636.1047619047613</v>
      </c>
      <c r="FT73" s="3560">
        <f>4867.91/1.05*12/365*19+4867.91/1.05-4867.91/1.05*12/365*19</f>
        <v>4636.1047619047613</v>
      </c>
      <c r="FU73" s="3547">
        <f t="shared" ref="FU73:FU94" si="177">FT73-FR73</f>
        <v>4636.1047619047613</v>
      </c>
      <c r="FV73" s="3568"/>
      <c r="FW73" s="3559">
        <f>865.17/1.06</f>
        <v>816.19811320754707</v>
      </c>
      <c r="FX73" s="3560">
        <f>865.17/1.06*12/365*19+865.17/1.06-865.17/1.06*12/365*19</f>
        <v>816.19811320754695</v>
      </c>
      <c r="FY73" s="3547">
        <f t="shared" ref="FY73:FY94" si="178">FX73-FV73</f>
        <v>816.19811320754695</v>
      </c>
      <c r="FZ73" s="3568">
        <v>4139.7344047618999</v>
      </c>
      <c r="GA73" s="3569">
        <f>4867.91/1.05</f>
        <v>4636.1047619047613</v>
      </c>
      <c r="GB73" s="3560">
        <f>4867.19/1.05*12/365*19+0.72/1.05*12/365*19+4867.91/1.05-4867.91/1.05*12/365*19</f>
        <v>4636.1047619047604</v>
      </c>
      <c r="GC73" s="3547">
        <f t="shared" ref="GC73:GC94" si="179">GB73-FZ73</f>
        <v>496.37035714286048</v>
      </c>
      <c r="GD73" s="3568">
        <v>816.20255503144699</v>
      </c>
      <c r="GE73" s="3569">
        <f>865.17/1.06</f>
        <v>816.19811320754707</v>
      </c>
      <c r="GF73" s="3560">
        <f>865.17/1.06*12/365*19+865.17/1.06-865.17/1.06*12/365*19</f>
        <v>816.19811320754695</v>
      </c>
      <c r="GG73" s="3547">
        <f t="shared" ref="GG73:GG94" si="180">GF73-GD73</f>
        <v>-4.441823900037889E-3</v>
      </c>
      <c r="GH73" s="3568">
        <v>4139.7344047618999</v>
      </c>
      <c r="GI73" s="3569">
        <f>4867.91/1.05</f>
        <v>4636.1047619047613</v>
      </c>
      <c r="GJ73" s="3560">
        <f>4867.91/1.05*12/365*19+4867.91/1.05-4867.91/1.05*12/365*19</f>
        <v>4636.1047619047613</v>
      </c>
      <c r="GK73" s="3547">
        <f t="shared" ref="GK73:GK132" si="181">GJ73-GH73</f>
        <v>496.37035714286139</v>
      </c>
      <c r="GL73" s="3568">
        <v>816.20255503144699</v>
      </c>
      <c r="GM73" s="3569">
        <f>865.17/1.06</f>
        <v>816.19811320754707</v>
      </c>
      <c r="GN73" s="3560">
        <f>865.17/1.06*12/365*19+865.17/1.06-865.17/1.06*12/365*19</f>
        <v>816.19811320754695</v>
      </c>
      <c r="GO73" s="3547">
        <f t="shared" ref="GO73:GO132" si="182">GN73-GL73</f>
        <v>-4.441823900037889E-3</v>
      </c>
      <c r="GP73" s="3568">
        <v>4139.7344047618999</v>
      </c>
      <c r="GQ73" s="3569">
        <f>4867.91/1.05</f>
        <v>4636.1047619047613</v>
      </c>
      <c r="GR73" s="3562">
        <f>4867.91/1.05*12/365*19+4867.91/1.05-4867.91/1.05*12/365*19</f>
        <v>4636.1047619047613</v>
      </c>
      <c r="GS73" s="3547">
        <f t="shared" ref="GS73:GS132" si="183">GR73-GP73</f>
        <v>496.37035714286139</v>
      </c>
      <c r="GT73" s="3568">
        <v>816.20255503144699</v>
      </c>
      <c r="GU73" s="3569">
        <f>865.17/1.06</f>
        <v>816.19811320754707</v>
      </c>
      <c r="GV73" s="3562">
        <f>865.17/1.06*12/365*19+865.17/1.06-865.17/1.06*12/365*19</f>
        <v>816.19811320754695</v>
      </c>
      <c r="GW73" s="3547">
        <f t="shared" ref="GW73:GW132" si="184">GV73-GT73</f>
        <v>-4.441823900037889E-3</v>
      </c>
      <c r="GX73" s="3568">
        <v>4139.7344047618999</v>
      </c>
      <c r="GY73" s="3569">
        <f>4867.91/1.05</f>
        <v>4636.1047619047613</v>
      </c>
      <c r="GZ73" s="3562">
        <f>4867.91/1.05*12/365*19+4867.91/1.05-4867.91/1.05*12/365*19</f>
        <v>4636.1047619047613</v>
      </c>
      <c r="HA73" s="3547">
        <f t="shared" ref="HA73:HA132" si="185">GZ73-GX73</f>
        <v>496.37035714286139</v>
      </c>
      <c r="HB73" s="3568">
        <v>816.20255503144699</v>
      </c>
      <c r="HC73" s="3569">
        <f>865.17/1.06</f>
        <v>816.19811320754707</v>
      </c>
      <c r="HD73" s="3562">
        <f>865.17/1.06*12/365*19+865.17/1.06-865.17/1.06*12/365*19</f>
        <v>816.19811320754695</v>
      </c>
      <c r="HE73" s="3547">
        <f t="shared" ref="HE73:HE132" si="186">HD73-HB73</f>
        <v>-4.441823900037889E-3</v>
      </c>
      <c r="HF73" s="3568">
        <v>4139.7344047618999</v>
      </c>
      <c r="HG73" s="3569">
        <f>4867.91/1.05</f>
        <v>4636.1047619047613</v>
      </c>
      <c r="HH73" s="3562">
        <f>4867.91/1.05*12/365*19+4867.91/1.05-4867.91/1.05*12/365*19</f>
        <v>4636.1047619047613</v>
      </c>
      <c r="HI73" s="3547">
        <f t="shared" ref="HI73:HI95" si="187">HH73-HF73</f>
        <v>496.37035714286139</v>
      </c>
      <c r="HJ73" s="3568">
        <v>816.20255503144699</v>
      </c>
      <c r="HK73" s="3569">
        <f>865.17/1.06</f>
        <v>816.19811320754707</v>
      </c>
      <c r="HL73" s="3562">
        <f>865.17/1.06*12/365*19+865.17/1.06-865.17/1.06*12/365*19</f>
        <v>816.19811320754695</v>
      </c>
      <c r="HM73" s="3547">
        <f t="shared" ref="HM73:HM95" si="188">HL73-HJ73</f>
        <v>-4.441823900037889E-3</v>
      </c>
      <c r="HN73" s="3568">
        <v>4139.7344047618999</v>
      </c>
      <c r="HO73" s="3569">
        <f>4867.91/1.05</f>
        <v>4636.1047619047613</v>
      </c>
      <c r="HP73" s="3562">
        <f>4867.91/1.05*12/365*19+4867.91/1.05-4867.91/1.05*12/365*19</f>
        <v>4636.1047619047613</v>
      </c>
      <c r="HQ73" s="3547">
        <f t="shared" ref="HQ73:HQ95" si="189">HP73-HN73</f>
        <v>496.37035714286139</v>
      </c>
      <c r="HR73" s="3568">
        <v>816.20255503144699</v>
      </c>
      <c r="HS73" s="3569">
        <f>865.17/1.06</f>
        <v>816.19811320754707</v>
      </c>
      <c r="HT73" s="3562">
        <f>865.17/1.06*12/365*19+865.17/1.06-865.17/1.06*12/365*19</f>
        <v>816.19811320754695</v>
      </c>
      <c r="HU73" s="3547">
        <f t="shared" ref="HU73:HU95" si="190">HT73-HR73</f>
        <v>-4.441823900037889E-3</v>
      </c>
      <c r="HV73" s="3568">
        <v>4139.7344047618999</v>
      </c>
      <c r="HW73" s="3569">
        <f>4867.91/1.05</f>
        <v>4636.1047619047613</v>
      </c>
      <c r="HX73" s="3562">
        <f>4867.91/1.05*12/365*19</f>
        <v>2895.9777690802348</v>
      </c>
      <c r="HY73" s="3547">
        <f t="shared" ref="HY73:HY95" si="191">HX73-HV73</f>
        <v>-1243.7566356816651</v>
      </c>
      <c r="HZ73" s="3568">
        <v>816.20255503144699</v>
      </c>
      <c r="IA73" s="3569">
        <f>865.17/1.06</f>
        <v>816.19811320754707</v>
      </c>
      <c r="IB73" s="3562">
        <f>865.17/1.06*12/365*19</f>
        <v>509.84430085293354</v>
      </c>
      <c r="IC73" s="3547">
        <f t="shared" ref="IC73:IC95" si="192">IB73-HZ73</f>
        <v>-306.35825417851345</v>
      </c>
      <c r="ID73" s="3568">
        <v>4139.7344047618999</v>
      </c>
      <c r="IE73" s="3569">
        <f>4867.91/1.05</f>
        <v>4636.1047619047613</v>
      </c>
      <c r="IF73" s="3562"/>
      <c r="IG73" s="3547">
        <f t="shared" ref="IG73:IG95" si="193">IF73-ID73</f>
        <v>-4139.7344047618999</v>
      </c>
      <c r="IH73" s="3568">
        <v>816.20255503144699</v>
      </c>
      <c r="II73" s="3569">
        <f>865.17/1.06</f>
        <v>816.19811320754707</v>
      </c>
      <c r="IJ73" s="3562"/>
      <c r="IK73" s="3547">
        <f t="shared" ref="IK73:IK95" si="194">IJ73-IH73</f>
        <v>-816.20255503144699</v>
      </c>
      <c r="IL73" s="3547" t="s">
        <v>4460</v>
      </c>
      <c r="IM73" s="3569">
        <f>4867.91/1.05+4867.91/1.05*12/365*19</f>
        <v>7532.0825309849961</v>
      </c>
      <c r="IN73" s="3569">
        <f>865.17/1.06+865.17/1.06*12/365*19</f>
        <v>1326.0424140604805</v>
      </c>
      <c r="IO73" s="3547"/>
      <c r="IP73" s="3560">
        <f t="shared" ref="IP73:IP132" si="195">SUM(IQ73:JB73)</f>
        <v>0</v>
      </c>
      <c r="IQ73" s="3568"/>
      <c r="IR73" s="3568"/>
      <c r="IS73" s="3568"/>
      <c r="IT73" s="3568"/>
      <c r="IU73" s="3568"/>
      <c r="IV73" s="3568"/>
      <c r="IW73" s="3568"/>
      <c r="IX73" s="3568"/>
      <c r="IY73" s="3568"/>
      <c r="IZ73" s="3560"/>
      <c r="JA73" s="3560"/>
      <c r="JB73" s="3560"/>
      <c r="JC73" s="3560">
        <f t="shared" si="134"/>
        <v>0</v>
      </c>
      <c r="JD73" s="3547"/>
      <c r="JE73" s="3568"/>
      <c r="JF73" s="3568"/>
      <c r="JG73" s="3568"/>
      <c r="JH73" s="3568"/>
      <c r="JI73" s="3568"/>
      <c r="JJ73" s="3568"/>
      <c r="JK73" s="3568"/>
      <c r="JL73" s="3568"/>
      <c r="JM73" s="3568"/>
      <c r="JN73" s="3560"/>
      <c r="JO73" s="3560"/>
      <c r="JP73" s="3584" t="s">
        <v>4461</v>
      </c>
      <c r="JQ73" s="3583">
        <f>7421.74*12/365*19/1.05</f>
        <v>4415.2817221135037</v>
      </c>
      <c r="JR73" s="3583">
        <f>865.17*12/365*19/1.06</f>
        <v>509.84430085293349</v>
      </c>
      <c r="JS73" s="3573">
        <f t="shared" si="145"/>
        <v>3.0013325158506632E-11</v>
      </c>
      <c r="JT73" s="3573">
        <f t="shared" si="152"/>
        <v>0</v>
      </c>
      <c r="JU73" s="3574">
        <f t="shared" si="146"/>
        <v>-3.9921721900100238E-3</v>
      </c>
      <c r="JV73" s="3574">
        <f t="shared" si="147"/>
        <v>4.6782114254710905E-3</v>
      </c>
      <c r="JW73" s="3575"/>
      <c r="JX73" s="3576">
        <f t="shared" si="148"/>
        <v>7532.0825309849961</v>
      </c>
      <c r="JY73" s="3576">
        <f t="shared" si="149"/>
        <v>1326.0424140604805</v>
      </c>
      <c r="JZ73" s="3577"/>
      <c r="KA73" s="3573">
        <f t="shared" si="131"/>
        <v>496.36591531896136</v>
      </c>
      <c r="KB73" s="3573"/>
      <c r="KC73" s="3573"/>
      <c r="KD73" s="3573">
        <f t="shared" si="150"/>
        <v>496.36591531896136</v>
      </c>
      <c r="KE73" s="3578" t="s">
        <v>4069</v>
      </c>
      <c r="KF73" s="3579"/>
      <c r="KG73" s="3579"/>
      <c r="KH73" s="3579">
        <f>2046.48/10000+5452.3/10000*3</f>
        <v>1.8403379999999998</v>
      </c>
      <c r="KI73" s="3579">
        <f>496.37/10000*5</f>
        <v>0.24818499999999999</v>
      </c>
      <c r="KJ73" s="3579"/>
      <c r="KK73" s="3579"/>
      <c r="KL73" s="3579"/>
      <c r="KM73" s="3579"/>
      <c r="KN73" s="3579"/>
      <c r="KO73" s="3579"/>
      <c r="KP73" s="3579"/>
      <c r="KQ73" s="3579">
        <f t="shared" si="151"/>
        <v>2.0885229999999999</v>
      </c>
      <c r="KR73" s="3579">
        <f t="shared" ref="KR73:KR132" si="196">(EJ73+EQ73)/10000-KQ73</f>
        <v>-1.4453547110271359E-6</v>
      </c>
      <c r="KS73" s="3577"/>
      <c r="KT73" s="3577"/>
      <c r="KU73" s="3577"/>
      <c r="KV73" s="3577"/>
      <c r="KW73" s="3577"/>
      <c r="KX73" s="3577"/>
      <c r="KY73" s="3577"/>
      <c r="KZ73" s="3577"/>
      <c r="LA73" s="3577"/>
      <c r="LB73" s="3577"/>
      <c r="LC73" s="3577"/>
      <c r="LD73" s="3577"/>
      <c r="LE73" s="3577"/>
      <c r="LF73" s="3577"/>
      <c r="LG73" s="3577"/>
      <c r="LH73" s="3577"/>
      <c r="LJ73" s="3575"/>
      <c r="LK73" s="3626">
        <v>12</v>
      </c>
      <c r="LL73" s="3627">
        <v>6952.67</v>
      </c>
      <c r="LM73" s="3580" t="s">
        <v>3954</v>
      </c>
    </row>
    <row r="74" spans="1:325" s="3580" customFormat="1" ht="18" customHeight="1">
      <c r="A74" s="3545">
        <v>71</v>
      </c>
      <c r="B74" s="3546" t="s">
        <v>4346</v>
      </c>
      <c r="C74" s="3667" t="s">
        <v>4462</v>
      </c>
      <c r="D74" s="3562">
        <v>102.32</v>
      </c>
      <c r="E74" s="3596" t="s">
        <v>3845</v>
      </c>
      <c r="F74" s="3546" t="s">
        <v>3790</v>
      </c>
      <c r="G74" s="3595" t="s">
        <v>4463</v>
      </c>
      <c r="H74" s="3546"/>
      <c r="I74" s="3594"/>
      <c r="J74" s="3594"/>
      <c r="K74" s="3545"/>
      <c r="L74" s="3555"/>
      <c r="M74" s="3551"/>
      <c r="N74" s="3551"/>
      <c r="O74" s="3551">
        <f t="shared" si="135"/>
        <v>0</v>
      </c>
      <c r="P74" s="3551"/>
      <c r="Q74" s="3551"/>
      <c r="R74" s="3547">
        <f t="shared" si="132"/>
        <v>0</v>
      </c>
      <c r="S74" s="3547">
        <f t="shared" si="125"/>
        <v>0</v>
      </c>
      <c r="T74" s="3658"/>
      <c r="U74" s="3553">
        <f t="shared" si="136"/>
        <v>0</v>
      </c>
      <c r="V74" s="3547"/>
      <c r="W74" s="3547">
        <f t="shared" si="126"/>
        <v>0</v>
      </c>
      <c r="X74" s="3658"/>
      <c r="Y74" s="3547">
        <f t="shared" si="137"/>
        <v>0</v>
      </c>
      <c r="Z74" s="3554"/>
      <c r="AA74" s="3555"/>
      <c r="AB74" s="3593"/>
      <c r="AC74" s="3556">
        <f t="shared" si="138"/>
        <v>0</v>
      </c>
      <c r="AD74" s="3556">
        <f t="shared" si="139"/>
        <v>0</v>
      </c>
      <c r="AE74" s="3556">
        <f t="shared" si="139"/>
        <v>0</v>
      </c>
      <c r="AF74" s="3556">
        <f t="shared" si="140"/>
        <v>0</v>
      </c>
      <c r="AG74" s="3556"/>
      <c r="AH74" s="3557">
        <f t="shared" si="141"/>
        <v>0</v>
      </c>
      <c r="AI74" s="3558">
        <f t="shared" si="142"/>
        <v>0</v>
      </c>
      <c r="AJ74" s="3558">
        <f t="shared" si="142"/>
        <v>0</v>
      </c>
      <c r="AK74" s="3557">
        <f t="shared" si="159"/>
        <v>0</v>
      </c>
      <c r="AL74" s="3557"/>
      <c r="AM74" s="3547"/>
      <c r="AN74" s="3609"/>
      <c r="AO74" s="3562"/>
      <c r="AP74" s="3561">
        <f t="shared" si="113"/>
        <v>0</v>
      </c>
      <c r="AQ74" s="3559"/>
      <c r="AR74" s="3562"/>
      <c r="AS74" s="3561">
        <f t="shared" si="127"/>
        <v>0</v>
      </c>
      <c r="AT74" s="3563" t="s">
        <v>4464</v>
      </c>
      <c r="AU74" s="3547"/>
      <c r="AV74" s="3609"/>
      <c r="AW74" s="3562"/>
      <c r="AX74" s="3561">
        <f t="shared" si="114"/>
        <v>0</v>
      </c>
      <c r="AY74" s="3559"/>
      <c r="AZ74" s="3562"/>
      <c r="BA74" s="3561">
        <f t="shared" si="128"/>
        <v>0</v>
      </c>
      <c r="BB74" s="3563" t="s">
        <v>4464</v>
      </c>
      <c r="BC74" s="3547"/>
      <c r="BD74" s="3609"/>
      <c r="BE74" s="3562"/>
      <c r="BF74" s="3561">
        <f t="shared" si="115"/>
        <v>0</v>
      </c>
      <c r="BG74" s="3559"/>
      <c r="BH74" s="3562"/>
      <c r="BI74" s="3561">
        <f t="shared" si="116"/>
        <v>0</v>
      </c>
      <c r="BJ74" s="3563" t="s">
        <v>4464</v>
      </c>
      <c r="BK74" s="3547"/>
      <c r="BL74" s="3609"/>
      <c r="BM74" s="3562"/>
      <c r="BN74" s="3561">
        <f t="shared" si="160"/>
        <v>0</v>
      </c>
      <c r="BO74" s="3559"/>
      <c r="BP74" s="3562"/>
      <c r="BQ74" s="3561">
        <f t="shared" si="161"/>
        <v>0</v>
      </c>
      <c r="BR74" s="3563" t="s">
        <v>4464</v>
      </c>
      <c r="BS74" s="3547"/>
      <c r="BT74" s="3559"/>
      <c r="BU74" s="3562"/>
      <c r="BV74" s="3561">
        <f t="shared" si="162"/>
        <v>0</v>
      </c>
      <c r="BW74" s="3559"/>
      <c r="BX74" s="3562"/>
      <c r="BY74" s="3561">
        <f t="shared" si="163"/>
        <v>0</v>
      </c>
      <c r="BZ74" s="3563" t="s">
        <v>4464</v>
      </c>
      <c r="CA74" s="3547"/>
      <c r="CB74" s="3609"/>
      <c r="CC74" s="3562"/>
      <c r="CD74" s="3561">
        <f t="shared" si="164"/>
        <v>0</v>
      </c>
      <c r="CE74" s="3559"/>
      <c r="CF74" s="3562"/>
      <c r="CG74" s="3561">
        <f t="shared" si="165"/>
        <v>0</v>
      </c>
      <c r="CH74" s="3563" t="s">
        <v>4464</v>
      </c>
      <c r="CI74" s="3547"/>
      <c r="CJ74" s="3609"/>
      <c r="CK74" s="3562"/>
      <c r="CL74" s="3561">
        <f t="shared" si="133"/>
        <v>0</v>
      </c>
      <c r="CM74" s="3559"/>
      <c r="CN74" s="3562"/>
      <c r="CO74" s="3561">
        <f t="shared" si="166"/>
        <v>0</v>
      </c>
      <c r="CP74" s="3563" t="s">
        <v>4464</v>
      </c>
      <c r="CQ74" s="3547"/>
      <c r="CR74" s="3609"/>
      <c r="CS74" s="3562"/>
      <c r="CT74" s="3561">
        <f t="shared" si="167"/>
        <v>0</v>
      </c>
      <c r="CU74" s="3559"/>
      <c r="CV74" s="3562"/>
      <c r="CW74" s="3561">
        <f t="shared" si="168"/>
        <v>0</v>
      </c>
      <c r="CX74" s="3563" t="s">
        <v>4464</v>
      </c>
      <c r="CY74" s="3547"/>
      <c r="CZ74" s="3609"/>
      <c r="DA74" s="3562"/>
      <c r="DB74" s="3561">
        <f t="shared" si="169"/>
        <v>0</v>
      </c>
      <c r="DC74" s="3559"/>
      <c r="DD74" s="3562"/>
      <c r="DE74" s="3561">
        <f t="shared" si="170"/>
        <v>0</v>
      </c>
      <c r="DF74" s="3563" t="s">
        <v>4464</v>
      </c>
      <c r="DG74" s="3547"/>
      <c r="DH74" s="3609"/>
      <c r="DI74" s="3562"/>
      <c r="DJ74" s="3561">
        <f t="shared" si="171"/>
        <v>0</v>
      </c>
      <c r="DK74" s="3559"/>
      <c r="DL74" s="3562"/>
      <c r="DM74" s="3561">
        <f t="shared" si="172"/>
        <v>0</v>
      </c>
      <c r="DN74" s="3563"/>
      <c r="DO74" s="3547"/>
      <c r="DP74" s="3609"/>
      <c r="DQ74" s="3562"/>
      <c r="DR74" s="3561">
        <f t="shared" si="173"/>
        <v>0</v>
      </c>
      <c r="DS74" s="3559"/>
      <c r="DT74" s="3562"/>
      <c r="DU74" s="3561">
        <f t="shared" si="174"/>
        <v>0</v>
      </c>
      <c r="DV74" s="3563"/>
      <c r="DW74" s="3547"/>
      <c r="DX74" s="3609"/>
      <c r="DY74" s="3562"/>
      <c r="DZ74" s="3561">
        <f t="shared" si="175"/>
        <v>0</v>
      </c>
      <c r="EA74" s="3559"/>
      <c r="EB74" s="3562"/>
      <c r="EC74" s="3561">
        <f t="shared" si="176"/>
        <v>0</v>
      </c>
      <c r="ED74" s="3563"/>
      <c r="EF74" s="3565">
        <f t="shared" si="153"/>
        <v>0</v>
      </c>
      <c r="EG74" s="3565">
        <f t="shared" si="143"/>
        <v>0</v>
      </c>
      <c r="EH74" s="3565">
        <f t="shared" si="143"/>
        <v>0</v>
      </c>
      <c r="EI74" s="3565">
        <f t="shared" si="143"/>
        <v>0</v>
      </c>
      <c r="EJ74" s="3565">
        <f t="shared" si="154"/>
        <v>0</v>
      </c>
      <c r="EK74" s="3566">
        <f t="shared" si="155"/>
        <v>0</v>
      </c>
      <c r="EL74" s="3610"/>
      <c r="EM74" s="3567">
        <f t="shared" si="156"/>
        <v>0</v>
      </c>
      <c r="EN74" s="3557">
        <f t="shared" si="144"/>
        <v>0</v>
      </c>
      <c r="EO74" s="3557">
        <f t="shared" si="144"/>
        <v>0</v>
      </c>
      <c r="EP74" s="3557">
        <f t="shared" si="144"/>
        <v>0</v>
      </c>
      <c r="EQ74" s="3557">
        <f t="shared" si="157"/>
        <v>0</v>
      </c>
      <c r="ER74" s="3557">
        <f t="shared" si="158"/>
        <v>0</v>
      </c>
      <c r="ES74" s="3645"/>
      <c r="ET74" s="3568"/>
      <c r="EU74" s="3569"/>
      <c r="EV74" s="3562"/>
      <c r="EW74" s="3547">
        <f t="shared" si="129"/>
        <v>0</v>
      </c>
      <c r="EX74" s="3568"/>
      <c r="EY74" s="3569"/>
      <c r="EZ74" s="3562"/>
      <c r="FA74" s="3547">
        <f t="shared" si="130"/>
        <v>0</v>
      </c>
      <c r="FB74" s="3568"/>
      <c r="FC74" s="3569"/>
      <c r="FD74" s="3562"/>
      <c r="FE74" s="3547">
        <f t="shared" si="117"/>
        <v>0</v>
      </c>
      <c r="FF74" s="3568"/>
      <c r="FG74" s="3569"/>
      <c r="FH74" s="3562"/>
      <c r="FI74" s="3547">
        <f t="shared" si="118"/>
        <v>0</v>
      </c>
      <c r="FJ74" s="3568"/>
      <c r="FK74" s="3559"/>
      <c r="FL74" s="3562"/>
      <c r="FM74" s="3547">
        <f t="shared" si="119"/>
        <v>0</v>
      </c>
      <c r="FN74" s="3568"/>
      <c r="FO74" s="3559"/>
      <c r="FP74" s="3562"/>
      <c r="FQ74" s="3547">
        <f t="shared" si="120"/>
        <v>0</v>
      </c>
      <c r="FR74" s="3568"/>
      <c r="FS74" s="3559"/>
      <c r="FT74" s="3560"/>
      <c r="FU74" s="3547">
        <f t="shared" si="177"/>
        <v>0</v>
      </c>
      <c r="FV74" s="3568"/>
      <c r="FW74" s="3559"/>
      <c r="FX74" s="3560"/>
      <c r="FY74" s="3547">
        <f t="shared" si="178"/>
        <v>0</v>
      </c>
      <c r="FZ74" s="3568"/>
      <c r="GA74" s="3569"/>
      <c r="GB74" s="3560"/>
      <c r="GC74" s="3547">
        <f t="shared" si="179"/>
        <v>0</v>
      </c>
      <c r="GD74" s="3568"/>
      <c r="GE74" s="3569"/>
      <c r="GF74" s="3560"/>
      <c r="GG74" s="3547">
        <f t="shared" si="180"/>
        <v>0</v>
      </c>
      <c r="GH74" s="3568"/>
      <c r="GI74" s="3569"/>
      <c r="GJ74" s="3560"/>
      <c r="GK74" s="3547">
        <f t="shared" si="181"/>
        <v>0</v>
      </c>
      <c r="GL74" s="3568"/>
      <c r="GM74" s="3569"/>
      <c r="GN74" s="3560"/>
      <c r="GO74" s="3547">
        <f t="shared" si="182"/>
        <v>0</v>
      </c>
      <c r="GP74" s="3568"/>
      <c r="GQ74" s="3569"/>
      <c r="GR74" s="3562"/>
      <c r="GS74" s="3547">
        <f t="shared" si="183"/>
        <v>0</v>
      </c>
      <c r="GT74" s="3568"/>
      <c r="GU74" s="3569"/>
      <c r="GV74" s="3562"/>
      <c r="GW74" s="3547">
        <f t="shared" si="184"/>
        <v>0</v>
      </c>
      <c r="GX74" s="3568"/>
      <c r="GY74" s="3569"/>
      <c r="GZ74" s="3562"/>
      <c r="HA74" s="3547">
        <f t="shared" si="185"/>
        <v>0</v>
      </c>
      <c r="HB74" s="3568"/>
      <c r="HC74" s="3569"/>
      <c r="HD74" s="3562"/>
      <c r="HE74" s="3547">
        <f t="shared" si="186"/>
        <v>0</v>
      </c>
      <c r="HF74" s="3568"/>
      <c r="HG74" s="3569"/>
      <c r="HH74" s="3562"/>
      <c r="HI74" s="3547">
        <f t="shared" si="187"/>
        <v>0</v>
      </c>
      <c r="HJ74" s="3568"/>
      <c r="HK74" s="3569"/>
      <c r="HL74" s="3562"/>
      <c r="HM74" s="3547">
        <f t="shared" si="188"/>
        <v>0</v>
      </c>
      <c r="HN74" s="3568"/>
      <c r="HO74" s="3569"/>
      <c r="HP74" s="3562"/>
      <c r="HQ74" s="3547">
        <f t="shared" si="189"/>
        <v>0</v>
      </c>
      <c r="HR74" s="3568"/>
      <c r="HS74" s="3569"/>
      <c r="HT74" s="3562"/>
      <c r="HU74" s="3547">
        <f t="shared" si="190"/>
        <v>0</v>
      </c>
      <c r="HV74" s="3568"/>
      <c r="HW74" s="3569"/>
      <c r="HX74" s="3562"/>
      <c r="HY74" s="3547">
        <f t="shared" si="191"/>
        <v>0</v>
      </c>
      <c r="HZ74" s="3568"/>
      <c r="IA74" s="3569"/>
      <c r="IB74" s="3562"/>
      <c r="IC74" s="3547">
        <f t="shared" si="192"/>
        <v>0</v>
      </c>
      <c r="ID74" s="3568"/>
      <c r="IE74" s="3569"/>
      <c r="IF74" s="3562"/>
      <c r="IG74" s="3547">
        <f t="shared" si="193"/>
        <v>0</v>
      </c>
      <c r="IH74" s="3568"/>
      <c r="II74" s="3569"/>
      <c r="IJ74" s="3562"/>
      <c r="IK74" s="3547">
        <f t="shared" si="194"/>
        <v>0</v>
      </c>
      <c r="IL74" s="3570"/>
      <c r="IM74" s="3569"/>
      <c r="IN74" s="3569"/>
      <c r="IO74" s="3547"/>
      <c r="IP74" s="3560">
        <f t="shared" si="195"/>
        <v>0</v>
      </c>
      <c r="IQ74" s="3568"/>
      <c r="IR74" s="3568"/>
      <c r="IS74" s="3568"/>
      <c r="IT74" s="3568"/>
      <c r="IU74" s="3568"/>
      <c r="IV74" s="3568"/>
      <c r="IW74" s="3568"/>
      <c r="IX74" s="3568"/>
      <c r="IY74" s="3568"/>
      <c r="IZ74" s="3560"/>
      <c r="JA74" s="3560"/>
      <c r="JB74" s="3560"/>
      <c r="JC74" s="3560">
        <f t="shared" si="134"/>
        <v>0</v>
      </c>
      <c r="JD74" s="3547"/>
      <c r="JE74" s="3568"/>
      <c r="JF74" s="3568"/>
      <c r="JG74" s="3568"/>
      <c r="JH74" s="3568"/>
      <c r="JI74" s="3568"/>
      <c r="JJ74" s="3568"/>
      <c r="JK74" s="3568"/>
      <c r="JL74" s="3568"/>
      <c r="JM74" s="3568"/>
      <c r="JN74" s="3560"/>
      <c r="JO74" s="3560"/>
      <c r="JP74" s="3570"/>
      <c r="JQ74" s="3583"/>
      <c r="JR74" s="3583"/>
      <c r="JS74" s="3573">
        <f t="shared" si="145"/>
        <v>0</v>
      </c>
      <c r="JT74" s="3573">
        <f t="shared" si="152"/>
        <v>0</v>
      </c>
      <c r="JU74" s="3574">
        <f t="shared" si="146"/>
        <v>0</v>
      </c>
      <c r="JV74" s="3574">
        <f t="shared" si="147"/>
        <v>0</v>
      </c>
      <c r="JW74" s="3575"/>
      <c r="JX74" s="3576">
        <f t="shared" si="148"/>
        <v>0</v>
      </c>
      <c r="JY74" s="3576">
        <f t="shared" si="149"/>
        <v>0</v>
      </c>
      <c r="JZ74" s="3577"/>
      <c r="KA74" s="3573">
        <f t="shared" si="131"/>
        <v>0</v>
      </c>
      <c r="KB74" s="3573"/>
      <c r="KC74" s="3573"/>
      <c r="KD74" s="3573">
        <f t="shared" si="150"/>
        <v>0</v>
      </c>
      <c r="KE74" s="3571"/>
      <c r="KF74" s="3579"/>
      <c r="KG74" s="3579"/>
      <c r="KH74" s="3579"/>
      <c r="KI74" s="3579"/>
      <c r="KJ74" s="3579"/>
      <c r="KK74" s="3579"/>
      <c r="KL74" s="3579"/>
      <c r="KM74" s="3579"/>
      <c r="KN74" s="3579"/>
      <c r="KO74" s="3579"/>
      <c r="KP74" s="3579"/>
      <c r="KQ74" s="3579">
        <f t="shared" si="151"/>
        <v>0</v>
      </c>
      <c r="KR74" s="3579">
        <f t="shared" si="196"/>
        <v>0</v>
      </c>
      <c r="KS74" s="3577"/>
      <c r="KT74" s="3577"/>
      <c r="KU74" s="3577"/>
      <c r="KV74" s="3577"/>
      <c r="KW74" s="3577"/>
      <c r="KX74" s="3577"/>
      <c r="KY74" s="3577"/>
      <c r="KZ74" s="3577"/>
      <c r="LA74" s="3577"/>
      <c r="LB74" s="3577"/>
      <c r="LC74" s="3577"/>
      <c r="LD74" s="3577"/>
      <c r="LE74" s="3577"/>
      <c r="LF74" s="3577"/>
      <c r="LG74" s="3577"/>
      <c r="LH74" s="3577"/>
      <c r="LJ74" s="3575"/>
      <c r="LK74" s="3571"/>
      <c r="LL74" s="3576"/>
    </row>
    <row r="75" spans="1:325" s="3580" customFormat="1" ht="18" customHeight="1">
      <c r="A75" s="3545">
        <v>72</v>
      </c>
      <c r="B75" s="3546" t="s">
        <v>4346</v>
      </c>
      <c r="C75" s="3667" t="s">
        <v>4465</v>
      </c>
      <c r="D75" s="3562">
        <v>1198.1500000000001</v>
      </c>
      <c r="E75" s="3596" t="s">
        <v>3845</v>
      </c>
      <c r="F75" s="3546" t="s">
        <v>3790</v>
      </c>
      <c r="G75" s="3595" t="s">
        <v>4466</v>
      </c>
      <c r="H75" s="3546"/>
      <c r="I75" s="3594"/>
      <c r="J75" s="3594"/>
      <c r="K75" s="3545" t="s">
        <v>3885</v>
      </c>
      <c r="L75" s="3555"/>
      <c r="M75" s="3551"/>
      <c r="N75" s="3551"/>
      <c r="O75" s="3551">
        <f t="shared" si="135"/>
        <v>0</v>
      </c>
      <c r="P75" s="3551"/>
      <c r="Q75" s="3551"/>
      <c r="R75" s="3547">
        <f t="shared" si="132"/>
        <v>0</v>
      </c>
      <c r="S75" s="3547">
        <f t="shared" si="125"/>
        <v>0</v>
      </c>
      <c r="T75" s="3658"/>
      <c r="U75" s="3553">
        <f t="shared" si="136"/>
        <v>0</v>
      </c>
      <c r="V75" s="3547"/>
      <c r="W75" s="3547">
        <f t="shared" si="126"/>
        <v>0</v>
      </c>
      <c r="X75" s="3658"/>
      <c r="Y75" s="3547">
        <f t="shared" si="137"/>
        <v>0</v>
      </c>
      <c r="Z75" s="3554"/>
      <c r="AA75" s="3555"/>
      <c r="AB75" s="3593"/>
      <c r="AC75" s="3556">
        <f t="shared" si="138"/>
        <v>0</v>
      </c>
      <c r="AD75" s="3556">
        <f t="shared" si="139"/>
        <v>0</v>
      </c>
      <c r="AE75" s="3556">
        <f t="shared" si="139"/>
        <v>0</v>
      </c>
      <c r="AF75" s="3556">
        <f t="shared" si="140"/>
        <v>0</v>
      </c>
      <c r="AG75" s="3556"/>
      <c r="AH75" s="3557">
        <f t="shared" si="141"/>
        <v>0</v>
      </c>
      <c r="AI75" s="3558">
        <f t="shared" si="142"/>
        <v>0</v>
      </c>
      <c r="AJ75" s="3558">
        <f t="shared" si="142"/>
        <v>0</v>
      </c>
      <c r="AK75" s="3557">
        <f t="shared" si="159"/>
        <v>0</v>
      </c>
      <c r="AL75" s="3557"/>
      <c r="AM75" s="3547"/>
      <c r="AN75" s="3609"/>
      <c r="AO75" s="3562"/>
      <c r="AP75" s="3561">
        <f t="shared" si="113"/>
        <v>0</v>
      </c>
      <c r="AQ75" s="3559"/>
      <c r="AR75" s="3562"/>
      <c r="AS75" s="3561">
        <f t="shared" si="127"/>
        <v>0</v>
      </c>
      <c r="AT75" s="3563" t="s">
        <v>4467</v>
      </c>
      <c r="AU75" s="3547"/>
      <c r="AV75" s="3609"/>
      <c r="AW75" s="3562"/>
      <c r="AX75" s="3561">
        <f t="shared" si="114"/>
        <v>0</v>
      </c>
      <c r="AY75" s="3559"/>
      <c r="AZ75" s="3562"/>
      <c r="BA75" s="3561">
        <f t="shared" si="128"/>
        <v>0</v>
      </c>
      <c r="BB75" s="3563" t="s">
        <v>4467</v>
      </c>
      <c r="BC75" s="3547"/>
      <c r="BD75" s="3609"/>
      <c r="BE75" s="3562"/>
      <c r="BF75" s="3561">
        <f t="shared" si="115"/>
        <v>0</v>
      </c>
      <c r="BG75" s="3559"/>
      <c r="BH75" s="3562"/>
      <c r="BI75" s="3561">
        <f t="shared" si="116"/>
        <v>0</v>
      </c>
      <c r="BJ75" s="3563" t="s">
        <v>4467</v>
      </c>
      <c r="BK75" s="3547"/>
      <c r="BL75" s="3609"/>
      <c r="BM75" s="3562"/>
      <c r="BN75" s="3561">
        <f t="shared" si="160"/>
        <v>0</v>
      </c>
      <c r="BO75" s="3559"/>
      <c r="BP75" s="3562"/>
      <c r="BQ75" s="3561">
        <f t="shared" si="161"/>
        <v>0</v>
      </c>
      <c r="BR75" s="3563" t="s">
        <v>4467</v>
      </c>
      <c r="BS75" s="3547"/>
      <c r="BT75" s="3559"/>
      <c r="BU75" s="3562"/>
      <c r="BV75" s="3561">
        <f t="shared" si="162"/>
        <v>0</v>
      </c>
      <c r="BW75" s="3559"/>
      <c r="BX75" s="3562"/>
      <c r="BY75" s="3561">
        <f t="shared" si="163"/>
        <v>0</v>
      </c>
      <c r="BZ75" s="3563" t="s">
        <v>4467</v>
      </c>
      <c r="CA75" s="3547"/>
      <c r="CB75" s="3609"/>
      <c r="CC75" s="3562"/>
      <c r="CD75" s="3561">
        <f t="shared" si="164"/>
        <v>0</v>
      </c>
      <c r="CE75" s="3559"/>
      <c r="CF75" s="3562"/>
      <c r="CG75" s="3561">
        <f t="shared" si="165"/>
        <v>0</v>
      </c>
      <c r="CH75" s="3563" t="s">
        <v>4467</v>
      </c>
      <c r="CI75" s="3547"/>
      <c r="CJ75" s="3609"/>
      <c r="CK75" s="3562"/>
      <c r="CL75" s="3561">
        <f t="shared" si="133"/>
        <v>0</v>
      </c>
      <c r="CM75" s="3559"/>
      <c r="CN75" s="3562"/>
      <c r="CO75" s="3561">
        <f t="shared" si="166"/>
        <v>0</v>
      </c>
      <c r="CP75" s="3563" t="s">
        <v>4467</v>
      </c>
      <c r="CQ75" s="3547"/>
      <c r="CR75" s="3609"/>
      <c r="CS75" s="3562"/>
      <c r="CT75" s="3561">
        <f t="shared" si="167"/>
        <v>0</v>
      </c>
      <c r="CU75" s="3559"/>
      <c r="CV75" s="3603"/>
      <c r="CW75" s="3561">
        <f t="shared" si="168"/>
        <v>0</v>
      </c>
      <c r="CX75" s="3563" t="s">
        <v>4467</v>
      </c>
      <c r="CY75" s="3547"/>
      <c r="CZ75" s="3609"/>
      <c r="DA75" s="3562"/>
      <c r="DB75" s="3561">
        <f t="shared" si="169"/>
        <v>0</v>
      </c>
      <c r="DC75" s="3559"/>
      <c r="DD75" s="3562"/>
      <c r="DE75" s="3561">
        <f t="shared" si="170"/>
        <v>0</v>
      </c>
      <c r="DF75" s="3563" t="s">
        <v>4467</v>
      </c>
      <c r="DG75" s="3547"/>
      <c r="DH75" s="3609"/>
      <c r="DI75" s="3562"/>
      <c r="DJ75" s="3561">
        <f t="shared" si="171"/>
        <v>0</v>
      </c>
      <c r="DK75" s="3559"/>
      <c r="DL75" s="3562"/>
      <c r="DM75" s="3561">
        <f t="shared" si="172"/>
        <v>0</v>
      </c>
      <c r="DN75" s="3563"/>
      <c r="DO75" s="3547"/>
      <c r="DP75" s="3609"/>
      <c r="DQ75" s="3562"/>
      <c r="DR75" s="3561">
        <f t="shared" si="173"/>
        <v>0</v>
      </c>
      <c r="DS75" s="3559"/>
      <c r="DT75" s="3562"/>
      <c r="DU75" s="3561">
        <f t="shared" si="174"/>
        <v>0</v>
      </c>
      <c r="DV75" s="3563"/>
      <c r="DW75" s="3547"/>
      <c r="DX75" s="3609"/>
      <c r="DY75" s="3562"/>
      <c r="DZ75" s="3561">
        <f t="shared" si="175"/>
        <v>0</v>
      </c>
      <c r="EA75" s="3559"/>
      <c r="EB75" s="3562"/>
      <c r="EC75" s="3561">
        <f t="shared" si="176"/>
        <v>0</v>
      </c>
      <c r="ED75" s="3563"/>
      <c r="EF75" s="3565">
        <f t="shared" si="153"/>
        <v>0</v>
      </c>
      <c r="EG75" s="3565">
        <f t="shared" si="143"/>
        <v>0</v>
      </c>
      <c r="EH75" s="3565">
        <f t="shared" si="143"/>
        <v>0</v>
      </c>
      <c r="EI75" s="3565">
        <f t="shared" si="143"/>
        <v>0</v>
      </c>
      <c r="EJ75" s="3565">
        <f t="shared" si="154"/>
        <v>0</v>
      </c>
      <c r="EK75" s="3566">
        <f t="shared" si="155"/>
        <v>0</v>
      </c>
      <c r="EL75" s="3610"/>
      <c r="EM75" s="3567">
        <f t="shared" si="156"/>
        <v>0</v>
      </c>
      <c r="EN75" s="3557">
        <f t="shared" si="144"/>
        <v>0</v>
      </c>
      <c r="EO75" s="3557">
        <f t="shared" si="144"/>
        <v>0</v>
      </c>
      <c r="EP75" s="3557">
        <f t="shared" si="144"/>
        <v>0</v>
      </c>
      <c r="EQ75" s="3557">
        <f t="shared" si="157"/>
        <v>0</v>
      </c>
      <c r="ER75" s="3557">
        <f t="shared" si="158"/>
        <v>0</v>
      </c>
      <c r="ES75" s="3557"/>
      <c r="ET75" s="3568"/>
      <c r="EU75" s="3569"/>
      <c r="EV75" s="3562"/>
      <c r="EW75" s="3547">
        <f t="shared" si="129"/>
        <v>0</v>
      </c>
      <c r="EX75" s="3568"/>
      <c r="EY75" s="3569"/>
      <c r="EZ75" s="3562"/>
      <c r="FA75" s="3547">
        <f t="shared" si="130"/>
        <v>0</v>
      </c>
      <c r="FB75" s="3568"/>
      <c r="FC75" s="3569"/>
      <c r="FD75" s="3562"/>
      <c r="FE75" s="3547">
        <f t="shared" si="117"/>
        <v>0</v>
      </c>
      <c r="FF75" s="3568"/>
      <c r="FG75" s="3569"/>
      <c r="FH75" s="3562"/>
      <c r="FI75" s="3547">
        <f t="shared" si="118"/>
        <v>0</v>
      </c>
      <c r="FJ75" s="3568"/>
      <c r="FK75" s="3559"/>
      <c r="FL75" s="3562"/>
      <c r="FM75" s="3547">
        <f t="shared" si="119"/>
        <v>0</v>
      </c>
      <c r="FN75" s="3568"/>
      <c r="FO75" s="3559"/>
      <c r="FP75" s="3562"/>
      <c r="FQ75" s="3547">
        <f t="shared" si="120"/>
        <v>0</v>
      </c>
      <c r="FR75" s="3568"/>
      <c r="FS75" s="3559"/>
      <c r="FT75" s="3560"/>
      <c r="FU75" s="3547">
        <f t="shared" si="177"/>
        <v>0</v>
      </c>
      <c r="FV75" s="3568"/>
      <c r="FW75" s="3559"/>
      <c r="FX75" s="3560"/>
      <c r="FY75" s="3547">
        <f t="shared" si="178"/>
        <v>0</v>
      </c>
      <c r="FZ75" s="3568"/>
      <c r="GA75" s="3569"/>
      <c r="GB75" s="3560"/>
      <c r="GC75" s="3547">
        <f t="shared" si="179"/>
        <v>0</v>
      </c>
      <c r="GD75" s="3568"/>
      <c r="GE75" s="3569"/>
      <c r="GF75" s="3560"/>
      <c r="GG75" s="3547">
        <f t="shared" si="180"/>
        <v>0</v>
      </c>
      <c r="GH75" s="3568"/>
      <c r="GI75" s="3569"/>
      <c r="GJ75" s="3560"/>
      <c r="GK75" s="3547">
        <f t="shared" si="181"/>
        <v>0</v>
      </c>
      <c r="GL75" s="3568"/>
      <c r="GM75" s="3569"/>
      <c r="GN75" s="3560"/>
      <c r="GO75" s="3547">
        <f t="shared" si="182"/>
        <v>0</v>
      </c>
      <c r="GP75" s="3568"/>
      <c r="GQ75" s="3569"/>
      <c r="GR75" s="3562"/>
      <c r="GS75" s="3547">
        <f t="shared" si="183"/>
        <v>0</v>
      </c>
      <c r="GT75" s="3568"/>
      <c r="GU75" s="3569"/>
      <c r="GV75" s="3562"/>
      <c r="GW75" s="3547">
        <f t="shared" si="184"/>
        <v>0</v>
      </c>
      <c r="GX75" s="3568"/>
      <c r="GY75" s="3569"/>
      <c r="GZ75" s="3562"/>
      <c r="HA75" s="3547">
        <f t="shared" si="185"/>
        <v>0</v>
      </c>
      <c r="HB75" s="3568"/>
      <c r="HC75" s="3569"/>
      <c r="HD75" s="3562"/>
      <c r="HE75" s="3547">
        <f t="shared" si="186"/>
        <v>0</v>
      </c>
      <c r="HF75" s="3568"/>
      <c r="HG75" s="3569"/>
      <c r="HH75" s="3562"/>
      <c r="HI75" s="3547">
        <f t="shared" si="187"/>
        <v>0</v>
      </c>
      <c r="HJ75" s="3568"/>
      <c r="HK75" s="3569"/>
      <c r="HL75" s="3562"/>
      <c r="HM75" s="3547">
        <f t="shared" si="188"/>
        <v>0</v>
      </c>
      <c r="HN75" s="3568"/>
      <c r="HO75" s="3569"/>
      <c r="HP75" s="3562"/>
      <c r="HQ75" s="3547">
        <f t="shared" si="189"/>
        <v>0</v>
      </c>
      <c r="HR75" s="3568"/>
      <c r="HS75" s="3569"/>
      <c r="HT75" s="3562"/>
      <c r="HU75" s="3547">
        <f t="shared" si="190"/>
        <v>0</v>
      </c>
      <c r="HV75" s="3568"/>
      <c r="HW75" s="3569"/>
      <c r="HX75" s="3562"/>
      <c r="HY75" s="3547">
        <f t="shared" si="191"/>
        <v>0</v>
      </c>
      <c r="HZ75" s="3568"/>
      <c r="IA75" s="3569"/>
      <c r="IB75" s="3562"/>
      <c r="IC75" s="3547">
        <f t="shared" si="192"/>
        <v>0</v>
      </c>
      <c r="ID75" s="3568"/>
      <c r="IE75" s="3569"/>
      <c r="IF75" s="3562"/>
      <c r="IG75" s="3547">
        <f t="shared" si="193"/>
        <v>0</v>
      </c>
      <c r="IH75" s="3568"/>
      <c r="II75" s="3569"/>
      <c r="IJ75" s="3562"/>
      <c r="IK75" s="3547">
        <f t="shared" si="194"/>
        <v>0</v>
      </c>
      <c r="IL75" s="3571"/>
      <c r="IM75" s="3569"/>
      <c r="IN75" s="3569"/>
      <c r="IO75" s="3547"/>
      <c r="IP75" s="3560">
        <f t="shared" si="195"/>
        <v>0</v>
      </c>
      <c r="IQ75" s="3568"/>
      <c r="IR75" s="3568"/>
      <c r="IS75" s="3568"/>
      <c r="IT75" s="3568"/>
      <c r="IU75" s="3568"/>
      <c r="IV75" s="3568"/>
      <c r="IW75" s="3568"/>
      <c r="IX75" s="3568"/>
      <c r="IY75" s="3568"/>
      <c r="IZ75" s="3560"/>
      <c r="JA75" s="3560"/>
      <c r="JB75" s="3560"/>
      <c r="JC75" s="3560">
        <f t="shared" si="134"/>
        <v>0</v>
      </c>
      <c r="JD75" s="3547"/>
      <c r="JE75" s="3568"/>
      <c r="JF75" s="3568"/>
      <c r="JG75" s="3568"/>
      <c r="JH75" s="3568"/>
      <c r="JI75" s="3568"/>
      <c r="JJ75" s="3568"/>
      <c r="JK75" s="3568"/>
      <c r="JL75" s="3568"/>
      <c r="JM75" s="3568"/>
      <c r="JN75" s="3560"/>
      <c r="JO75" s="3560"/>
      <c r="JP75" s="3571"/>
      <c r="JQ75" s="3583"/>
      <c r="JR75" s="3583"/>
      <c r="JS75" s="3573">
        <f t="shared" si="145"/>
        <v>0</v>
      </c>
      <c r="JT75" s="3573">
        <f t="shared" si="152"/>
        <v>0</v>
      </c>
      <c r="JU75" s="3574">
        <f t="shared" si="146"/>
        <v>0</v>
      </c>
      <c r="JV75" s="3574">
        <f t="shared" si="147"/>
        <v>0</v>
      </c>
      <c r="JW75" s="3575"/>
      <c r="JX75" s="3576">
        <f t="shared" si="148"/>
        <v>0</v>
      </c>
      <c r="JY75" s="3576">
        <f t="shared" si="149"/>
        <v>0</v>
      </c>
      <c r="JZ75" s="3577"/>
      <c r="KA75" s="3573">
        <f t="shared" si="131"/>
        <v>0</v>
      </c>
      <c r="KB75" s="3573"/>
      <c r="KC75" s="3573"/>
      <c r="KD75" s="3573">
        <f t="shared" si="150"/>
        <v>0</v>
      </c>
      <c r="KE75" s="3571"/>
      <c r="KF75" s="3579"/>
      <c r="KG75" s="3579"/>
      <c r="KH75" s="3579"/>
      <c r="KI75" s="3579"/>
      <c r="KJ75" s="3579"/>
      <c r="KK75" s="3579"/>
      <c r="KL75" s="3579"/>
      <c r="KM75" s="3579"/>
      <c r="KN75" s="3579"/>
      <c r="KO75" s="3579"/>
      <c r="KP75" s="3579"/>
      <c r="KQ75" s="3579">
        <f t="shared" si="151"/>
        <v>0</v>
      </c>
      <c r="KR75" s="3579">
        <f t="shared" si="196"/>
        <v>0</v>
      </c>
      <c r="KS75" s="3577"/>
      <c r="KT75" s="3577"/>
      <c r="KU75" s="3577"/>
      <c r="KV75" s="3577"/>
      <c r="KW75" s="3577"/>
      <c r="KX75" s="3577"/>
      <c r="KY75" s="3577"/>
      <c r="KZ75" s="3577"/>
      <c r="LA75" s="3577"/>
      <c r="LB75" s="3577"/>
      <c r="LC75" s="3577"/>
      <c r="LD75" s="3577"/>
      <c r="LE75" s="3577"/>
      <c r="LF75" s="3577"/>
      <c r="LG75" s="3577"/>
      <c r="LH75" s="3577"/>
      <c r="LJ75" s="3575"/>
      <c r="LK75" s="3571"/>
      <c r="LL75" s="3576"/>
    </row>
    <row r="76" spans="1:325" s="3580" customFormat="1" ht="18" customHeight="1">
      <c r="A76" s="3545">
        <v>73</v>
      </c>
      <c r="B76" s="3546" t="s">
        <v>4346</v>
      </c>
      <c r="C76" s="3667" t="s">
        <v>4468</v>
      </c>
      <c r="D76" s="3562">
        <v>218.32</v>
      </c>
      <c r="E76" s="3596" t="s">
        <v>3845</v>
      </c>
      <c r="F76" s="3546" t="s">
        <v>3790</v>
      </c>
      <c r="G76" s="3595" t="s">
        <v>4469</v>
      </c>
      <c r="H76" s="3546"/>
      <c r="I76" s="3594"/>
      <c r="J76" s="3594"/>
      <c r="K76" s="3545"/>
      <c r="L76" s="3555"/>
      <c r="M76" s="3551"/>
      <c r="N76" s="3551"/>
      <c r="O76" s="3551">
        <f t="shared" si="135"/>
        <v>0</v>
      </c>
      <c r="P76" s="3551"/>
      <c r="Q76" s="3551"/>
      <c r="R76" s="3547">
        <f t="shared" si="132"/>
        <v>0</v>
      </c>
      <c r="S76" s="3547">
        <f t="shared" si="125"/>
        <v>0</v>
      </c>
      <c r="T76" s="3658"/>
      <c r="U76" s="3553">
        <f t="shared" si="136"/>
        <v>0</v>
      </c>
      <c r="V76" s="3547"/>
      <c r="W76" s="3547">
        <f t="shared" si="126"/>
        <v>0</v>
      </c>
      <c r="X76" s="3663"/>
      <c r="Y76" s="3547">
        <f t="shared" si="137"/>
        <v>0</v>
      </c>
      <c r="Z76" s="3554"/>
      <c r="AA76" s="3555"/>
      <c r="AB76" s="3680"/>
      <c r="AC76" s="3556">
        <f t="shared" si="138"/>
        <v>0</v>
      </c>
      <c r="AD76" s="3556">
        <f t="shared" si="139"/>
        <v>0</v>
      </c>
      <c r="AE76" s="3556">
        <f t="shared" si="139"/>
        <v>0</v>
      </c>
      <c r="AF76" s="3556">
        <f t="shared" si="140"/>
        <v>0</v>
      </c>
      <c r="AG76" s="3556"/>
      <c r="AH76" s="3557">
        <f t="shared" si="141"/>
        <v>0</v>
      </c>
      <c r="AI76" s="3558">
        <f t="shared" si="142"/>
        <v>0</v>
      </c>
      <c r="AJ76" s="3558">
        <f t="shared" si="142"/>
        <v>0</v>
      </c>
      <c r="AK76" s="3557">
        <f t="shared" si="159"/>
        <v>0</v>
      </c>
      <c r="AL76" s="3557"/>
      <c r="AM76" s="3547"/>
      <c r="AN76" s="3609"/>
      <c r="AO76" s="3562"/>
      <c r="AP76" s="3561">
        <f t="shared" si="113"/>
        <v>0</v>
      </c>
      <c r="AQ76" s="3559"/>
      <c r="AR76" s="3562"/>
      <c r="AS76" s="3561">
        <f t="shared" si="127"/>
        <v>0</v>
      </c>
      <c r="AT76" s="3563"/>
      <c r="AU76" s="3547"/>
      <c r="AV76" s="3609"/>
      <c r="AW76" s="3562"/>
      <c r="AX76" s="3561">
        <f t="shared" si="114"/>
        <v>0</v>
      </c>
      <c r="AY76" s="3559"/>
      <c r="AZ76" s="3562"/>
      <c r="BA76" s="3561">
        <f t="shared" si="128"/>
        <v>0</v>
      </c>
      <c r="BB76" s="3563"/>
      <c r="BC76" s="3547"/>
      <c r="BD76" s="3609"/>
      <c r="BE76" s="3562"/>
      <c r="BF76" s="3561">
        <f t="shared" si="115"/>
        <v>0</v>
      </c>
      <c r="BG76" s="3559"/>
      <c r="BH76" s="3562"/>
      <c r="BI76" s="3561">
        <f t="shared" si="116"/>
        <v>0</v>
      </c>
      <c r="BJ76" s="3563"/>
      <c r="BK76" s="3547"/>
      <c r="BL76" s="3609"/>
      <c r="BM76" s="3562"/>
      <c r="BN76" s="3561">
        <f t="shared" si="160"/>
        <v>0</v>
      </c>
      <c r="BO76" s="3559"/>
      <c r="BP76" s="3562"/>
      <c r="BQ76" s="3561">
        <f t="shared" si="161"/>
        <v>0</v>
      </c>
      <c r="BR76" s="3563"/>
      <c r="BS76" s="3547"/>
      <c r="BT76" s="3559"/>
      <c r="BU76" s="3562"/>
      <c r="BV76" s="3561">
        <f t="shared" si="162"/>
        <v>0</v>
      </c>
      <c r="BW76" s="3559"/>
      <c r="BX76" s="3562"/>
      <c r="BY76" s="3561">
        <f t="shared" si="163"/>
        <v>0</v>
      </c>
      <c r="BZ76" s="3563"/>
      <c r="CA76" s="3547"/>
      <c r="CB76" s="3609"/>
      <c r="CC76" s="3562"/>
      <c r="CD76" s="3561">
        <f t="shared" si="164"/>
        <v>0</v>
      </c>
      <c r="CE76" s="3559"/>
      <c r="CF76" s="3562"/>
      <c r="CG76" s="3561">
        <f t="shared" si="165"/>
        <v>0</v>
      </c>
      <c r="CH76" s="3563"/>
      <c r="CI76" s="3547"/>
      <c r="CJ76" s="3609"/>
      <c r="CK76" s="3562"/>
      <c r="CL76" s="3561">
        <f t="shared" si="133"/>
        <v>0</v>
      </c>
      <c r="CM76" s="3559"/>
      <c r="CN76" s="3562"/>
      <c r="CO76" s="3561">
        <f t="shared" si="166"/>
        <v>0</v>
      </c>
      <c r="CP76" s="3563"/>
      <c r="CQ76" s="3547"/>
      <c r="CR76" s="3609"/>
      <c r="CS76" s="3562"/>
      <c r="CT76" s="3561">
        <f t="shared" si="167"/>
        <v>0</v>
      </c>
      <c r="CU76" s="3559"/>
      <c r="CV76" s="3603"/>
      <c r="CW76" s="3561">
        <f t="shared" si="168"/>
        <v>0</v>
      </c>
      <c r="CX76" s="3563"/>
      <c r="CY76" s="3547"/>
      <c r="CZ76" s="3609"/>
      <c r="DA76" s="3562"/>
      <c r="DB76" s="3561">
        <f t="shared" si="169"/>
        <v>0</v>
      </c>
      <c r="DC76" s="3559"/>
      <c r="DD76" s="3562"/>
      <c r="DE76" s="3561">
        <f t="shared" si="170"/>
        <v>0</v>
      </c>
      <c r="DF76" s="3563"/>
      <c r="DG76" s="3547"/>
      <c r="DH76" s="3609"/>
      <c r="DI76" s="3562"/>
      <c r="DJ76" s="3561">
        <f t="shared" si="171"/>
        <v>0</v>
      </c>
      <c r="DK76" s="3559"/>
      <c r="DL76" s="3562"/>
      <c r="DM76" s="3561">
        <f t="shared" si="172"/>
        <v>0</v>
      </c>
      <c r="DN76" s="3563"/>
      <c r="DO76" s="3547"/>
      <c r="DP76" s="3609"/>
      <c r="DQ76" s="3562"/>
      <c r="DR76" s="3561">
        <f t="shared" si="173"/>
        <v>0</v>
      </c>
      <c r="DS76" s="3559"/>
      <c r="DT76" s="3562"/>
      <c r="DU76" s="3561">
        <f t="shared" si="174"/>
        <v>0</v>
      </c>
      <c r="DV76" s="3563"/>
      <c r="DW76" s="3547"/>
      <c r="DX76" s="3609"/>
      <c r="DY76" s="3562"/>
      <c r="DZ76" s="3561">
        <f t="shared" si="175"/>
        <v>0</v>
      </c>
      <c r="EA76" s="3559"/>
      <c r="EB76" s="3562"/>
      <c r="EC76" s="3561">
        <f t="shared" si="176"/>
        <v>0</v>
      </c>
      <c r="ED76" s="3563"/>
      <c r="EF76" s="3565">
        <f t="shared" si="153"/>
        <v>0</v>
      </c>
      <c r="EG76" s="3565">
        <f t="shared" si="143"/>
        <v>0</v>
      </c>
      <c r="EH76" s="3565">
        <f t="shared" si="143"/>
        <v>0</v>
      </c>
      <c r="EI76" s="3565">
        <f t="shared" si="143"/>
        <v>0</v>
      </c>
      <c r="EJ76" s="3565">
        <f t="shared" si="154"/>
        <v>0</v>
      </c>
      <c r="EK76" s="3566">
        <f t="shared" si="155"/>
        <v>0</v>
      </c>
      <c r="EL76" s="3610"/>
      <c r="EM76" s="3567">
        <f t="shared" si="156"/>
        <v>0</v>
      </c>
      <c r="EN76" s="3557">
        <f t="shared" si="144"/>
        <v>0</v>
      </c>
      <c r="EO76" s="3557">
        <f t="shared" si="144"/>
        <v>0</v>
      </c>
      <c r="EP76" s="3557">
        <f t="shared" si="144"/>
        <v>0</v>
      </c>
      <c r="EQ76" s="3557">
        <f t="shared" si="157"/>
        <v>0</v>
      </c>
      <c r="ER76" s="3557">
        <f t="shared" si="158"/>
        <v>0</v>
      </c>
      <c r="ES76" s="3557"/>
      <c r="ET76" s="3568"/>
      <c r="EU76" s="3569"/>
      <c r="EV76" s="3562"/>
      <c r="EW76" s="3547">
        <f t="shared" si="129"/>
        <v>0</v>
      </c>
      <c r="EX76" s="3568"/>
      <c r="EY76" s="3569"/>
      <c r="EZ76" s="3562"/>
      <c r="FA76" s="3547">
        <f t="shared" si="130"/>
        <v>0</v>
      </c>
      <c r="FB76" s="3568"/>
      <c r="FC76" s="3569"/>
      <c r="FD76" s="3562"/>
      <c r="FE76" s="3547">
        <f t="shared" si="117"/>
        <v>0</v>
      </c>
      <c r="FF76" s="3568"/>
      <c r="FG76" s="3569"/>
      <c r="FH76" s="3562"/>
      <c r="FI76" s="3547">
        <f t="shared" si="118"/>
        <v>0</v>
      </c>
      <c r="FJ76" s="3568"/>
      <c r="FK76" s="3559"/>
      <c r="FL76" s="3562"/>
      <c r="FM76" s="3547">
        <f t="shared" si="119"/>
        <v>0</v>
      </c>
      <c r="FN76" s="3568"/>
      <c r="FO76" s="3559"/>
      <c r="FP76" s="3562"/>
      <c r="FQ76" s="3547">
        <f t="shared" si="120"/>
        <v>0</v>
      </c>
      <c r="FR76" s="3568"/>
      <c r="FS76" s="3559"/>
      <c r="FT76" s="3560"/>
      <c r="FU76" s="3547">
        <f t="shared" si="177"/>
        <v>0</v>
      </c>
      <c r="FV76" s="3568"/>
      <c r="FW76" s="3559"/>
      <c r="FX76" s="3560"/>
      <c r="FY76" s="3547">
        <f t="shared" si="178"/>
        <v>0</v>
      </c>
      <c r="FZ76" s="3568"/>
      <c r="GA76" s="3569"/>
      <c r="GB76" s="3560"/>
      <c r="GC76" s="3547">
        <f t="shared" si="179"/>
        <v>0</v>
      </c>
      <c r="GD76" s="3568"/>
      <c r="GE76" s="3569"/>
      <c r="GF76" s="3560"/>
      <c r="GG76" s="3547">
        <f t="shared" si="180"/>
        <v>0</v>
      </c>
      <c r="GH76" s="3568"/>
      <c r="GI76" s="3569"/>
      <c r="GJ76" s="3560"/>
      <c r="GK76" s="3547">
        <f t="shared" si="181"/>
        <v>0</v>
      </c>
      <c r="GL76" s="3568"/>
      <c r="GM76" s="3569"/>
      <c r="GN76" s="3560"/>
      <c r="GO76" s="3547">
        <f t="shared" si="182"/>
        <v>0</v>
      </c>
      <c r="GP76" s="3568"/>
      <c r="GQ76" s="3569"/>
      <c r="GR76" s="3562"/>
      <c r="GS76" s="3547">
        <f t="shared" si="183"/>
        <v>0</v>
      </c>
      <c r="GT76" s="3568"/>
      <c r="GU76" s="3569"/>
      <c r="GV76" s="3562"/>
      <c r="GW76" s="3547">
        <f t="shared" si="184"/>
        <v>0</v>
      </c>
      <c r="GX76" s="3568"/>
      <c r="GY76" s="3569"/>
      <c r="GZ76" s="3562"/>
      <c r="HA76" s="3547">
        <f t="shared" si="185"/>
        <v>0</v>
      </c>
      <c r="HB76" s="3568"/>
      <c r="HC76" s="3569"/>
      <c r="HD76" s="3562"/>
      <c r="HE76" s="3547">
        <f t="shared" si="186"/>
        <v>0</v>
      </c>
      <c r="HF76" s="3568"/>
      <c r="HG76" s="3569"/>
      <c r="HH76" s="3562"/>
      <c r="HI76" s="3547">
        <f t="shared" si="187"/>
        <v>0</v>
      </c>
      <c r="HJ76" s="3568"/>
      <c r="HK76" s="3569"/>
      <c r="HL76" s="3562"/>
      <c r="HM76" s="3547">
        <f t="shared" si="188"/>
        <v>0</v>
      </c>
      <c r="HN76" s="3568"/>
      <c r="HO76" s="3569"/>
      <c r="HP76" s="3562"/>
      <c r="HQ76" s="3547">
        <f t="shared" si="189"/>
        <v>0</v>
      </c>
      <c r="HR76" s="3568"/>
      <c r="HS76" s="3569"/>
      <c r="HT76" s="3562"/>
      <c r="HU76" s="3547">
        <f t="shared" si="190"/>
        <v>0</v>
      </c>
      <c r="HV76" s="3568"/>
      <c r="HW76" s="3569"/>
      <c r="HX76" s="3562"/>
      <c r="HY76" s="3547">
        <f t="shared" si="191"/>
        <v>0</v>
      </c>
      <c r="HZ76" s="3568"/>
      <c r="IA76" s="3569"/>
      <c r="IB76" s="3562"/>
      <c r="IC76" s="3547">
        <f t="shared" si="192"/>
        <v>0</v>
      </c>
      <c r="ID76" s="3568"/>
      <c r="IE76" s="3569"/>
      <c r="IF76" s="3562"/>
      <c r="IG76" s="3547">
        <f t="shared" si="193"/>
        <v>0</v>
      </c>
      <c r="IH76" s="3568"/>
      <c r="II76" s="3569"/>
      <c r="IJ76" s="3562"/>
      <c r="IK76" s="3547">
        <f t="shared" si="194"/>
        <v>0</v>
      </c>
      <c r="IL76" s="3570"/>
      <c r="IM76" s="3569"/>
      <c r="IN76" s="3569"/>
      <c r="IO76" s="3547"/>
      <c r="IP76" s="3560">
        <f t="shared" si="195"/>
        <v>0</v>
      </c>
      <c r="IQ76" s="3568"/>
      <c r="IR76" s="3568"/>
      <c r="IS76" s="3568"/>
      <c r="IT76" s="3568"/>
      <c r="IU76" s="3568"/>
      <c r="IV76" s="3568"/>
      <c r="IW76" s="3568"/>
      <c r="IX76" s="3568"/>
      <c r="IY76" s="3568"/>
      <c r="IZ76" s="3560"/>
      <c r="JA76" s="3560"/>
      <c r="JB76" s="3560"/>
      <c r="JC76" s="3560">
        <f t="shared" si="134"/>
        <v>0</v>
      </c>
      <c r="JD76" s="3547"/>
      <c r="JE76" s="3568"/>
      <c r="JF76" s="3568"/>
      <c r="JG76" s="3568"/>
      <c r="JH76" s="3568"/>
      <c r="JI76" s="3568"/>
      <c r="JJ76" s="3568"/>
      <c r="JK76" s="3568"/>
      <c r="JL76" s="3568"/>
      <c r="JM76" s="3568"/>
      <c r="JN76" s="3560"/>
      <c r="JO76" s="3560"/>
      <c r="JP76" s="3570"/>
      <c r="JQ76" s="3583"/>
      <c r="JR76" s="3583"/>
      <c r="JS76" s="3573">
        <f t="shared" si="145"/>
        <v>0</v>
      </c>
      <c r="JT76" s="3573">
        <f t="shared" si="152"/>
        <v>0</v>
      </c>
      <c r="JU76" s="3574">
        <f t="shared" si="146"/>
        <v>0</v>
      </c>
      <c r="JV76" s="3574">
        <f t="shared" si="147"/>
        <v>0</v>
      </c>
      <c r="JW76" s="3575"/>
      <c r="JX76" s="3576">
        <f t="shared" si="148"/>
        <v>0</v>
      </c>
      <c r="JY76" s="3576">
        <f t="shared" si="149"/>
        <v>0</v>
      </c>
      <c r="JZ76" s="3577"/>
      <c r="KA76" s="3573">
        <f t="shared" si="131"/>
        <v>0</v>
      </c>
      <c r="KB76" s="3573"/>
      <c r="KC76" s="3573"/>
      <c r="KD76" s="3573">
        <f t="shared" si="150"/>
        <v>0</v>
      </c>
      <c r="KE76" s="3571"/>
      <c r="KF76" s="3579"/>
      <c r="KG76" s="3579"/>
      <c r="KH76" s="3579"/>
      <c r="KI76" s="3579"/>
      <c r="KJ76" s="3579"/>
      <c r="KK76" s="3579"/>
      <c r="KL76" s="3579"/>
      <c r="KM76" s="3579"/>
      <c r="KN76" s="3579"/>
      <c r="KO76" s="3579"/>
      <c r="KP76" s="3579"/>
      <c r="KQ76" s="3579">
        <f t="shared" si="151"/>
        <v>0</v>
      </c>
      <c r="KR76" s="3579">
        <f t="shared" si="196"/>
        <v>0</v>
      </c>
      <c r="KS76" s="3577"/>
      <c r="KT76" s="3577"/>
      <c r="KU76" s="3577"/>
      <c r="KV76" s="3577"/>
      <c r="KW76" s="3577"/>
      <c r="KX76" s="3577"/>
      <c r="KY76" s="3577"/>
      <c r="KZ76" s="3577"/>
      <c r="LA76" s="3577"/>
      <c r="LB76" s="3577"/>
      <c r="LC76" s="3577"/>
      <c r="LD76" s="3577"/>
      <c r="LE76" s="3577"/>
      <c r="LF76" s="3577"/>
      <c r="LG76" s="3577"/>
      <c r="LH76" s="3577"/>
      <c r="LJ76" s="3575"/>
      <c r="LK76" s="3571"/>
      <c r="LL76" s="3576"/>
    </row>
    <row r="77" spans="1:325" s="3580" customFormat="1" ht="18" customHeight="1">
      <c r="A77" s="3545">
        <v>74</v>
      </c>
      <c r="B77" s="3546" t="s">
        <v>4346</v>
      </c>
      <c r="C77" s="3667" t="s">
        <v>4470</v>
      </c>
      <c r="D77" s="3562">
        <v>202.97</v>
      </c>
      <c r="E77" s="3596" t="s">
        <v>3845</v>
      </c>
      <c r="F77" s="3546" t="s">
        <v>3790</v>
      </c>
      <c r="G77" s="3595" t="s">
        <v>4336</v>
      </c>
      <c r="H77" s="3546"/>
      <c r="I77" s="3594"/>
      <c r="J77" s="3594"/>
      <c r="K77" s="3545"/>
      <c r="L77" s="3555"/>
      <c r="M77" s="3551"/>
      <c r="N77" s="3551"/>
      <c r="O77" s="3551">
        <f t="shared" si="135"/>
        <v>0</v>
      </c>
      <c r="P77" s="3551"/>
      <c r="Q77" s="3551"/>
      <c r="R77" s="3547">
        <f t="shared" si="132"/>
        <v>0</v>
      </c>
      <c r="S77" s="3547">
        <f t="shared" si="125"/>
        <v>0</v>
      </c>
      <c r="T77" s="3658"/>
      <c r="U77" s="3553">
        <f t="shared" si="136"/>
        <v>0</v>
      </c>
      <c r="V77" s="3547"/>
      <c r="W77" s="3547">
        <f t="shared" si="126"/>
        <v>0</v>
      </c>
      <c r="X77" s="3663"/>
      <c r="Y77" s="3547">
        <f t="shared" si="137"/>
        <v>0</v>
      </c>
      <c r="Z77" s="3554"/>
      <c r="AA77" s="3555"/>
      <c r="AB77" s="3593"/>
      <c r="AC77" s="3556">
        <f t="shared" si="138"/>
        <v>0</v>
      </c>
      <c r="AD77" s="3556">
        <f t="shared" si="139"/>
        <v>0</v>
      </c>
      <c r="AE77" s="3556">
        <f t="shared" si="139"/>
        <v>0</v>
      </c>
      <c r="AF77" s="3556">
        <f t="shared" si="140"/>
        <v>0</v>
      </c>
      <c r="AG77" s="3556"/>
      <c r="AH77" s="3557">
        <f t="shared" si="141"/>
        <v>0</v>
      </c>
      <c r="AI77" s="3558">
        <f t="shared" si="142"/>
        <v>0</v>
      </c>
      <c r="AJ77" s="3558">
        <f t="shared" si="142"/>
        <v>0</v>
      </c>
      <c r="AK77" s="3557">
        <f t="shared" si="159"/>
        <v>0</v>
      </c>
      <c r="AL77" s="3557"/>
      <c r="AM77" s="3547"/>
      <c r="AN77" s="3609"/>
      <c r="AO77" s="3562"/>
      <c r="AP77" s="3561">
        <f t="shared" si="113"/>
        <v>0</v>
      </c>
      <c r="AQ77" s="3559"/>
      <c r="AR77" s="3562"/>
      <c r="AS77" s="3561">
        <f t="shared" si="127"/>
        <v>0</v>
      </c>
      <c r="AT77" s="3686" t="s">
        <v>4471</v>
      </c>
      <c r="AU77" s="3547"/>
      <c r="AV77" s="3609"/>
      <c r="AW77" s="3562"/>
      <c r="AX77" s="3561">
        <f t="shared" si="114"/>
        <v>0</v>
      </c>
      <c r="AY77" s="3559"/>
      <c r="AZ77" s="3562"/>
      <c r="BA77" s="3561">
        <f t="shared" si="128"/>
        <v>0</v>
      </c>
      <c r="BB77" s="3686" t="s">
        <v>4471</v>
      </c>
      <c r="BC77" s="3547"/>
      <c r="BD77" s="3609"/>
      <c r="BE77" s="3562"/>
      <c r="BF77" s="3561">
        <f t="shared" si="115"/>
        <v>0</v>
      </c>
      <c r="BG77" s="3559"/>
      <c r="BH77" s="3562"/>
      <c r="BI77" s="3561">
        <f t="shared" si="116"/>
        <v>0</v>
      </c>
      <c r="BJ77" s="3686" t="s">
        <v>4471</v>
      </c>
      <c r="BK77" s="3547"/>
      <c r="BL77" s="3609"/>
      <c r="BM77" s="3562"/>
      <c r="BN77" s="3561">
        <f t="shared" si="160"/>
        <v>0</v>
      </c>
      <c r="BO77" s="3559"/>
      <c r="BP77" s="3562"/>
      <c r="BQ77" s="3561">
        <f t="shared" si="161"/>
        <v>0</v>
      </c>
      <c r="BR77" s="3686" t="s">
        <v>4471</v>
      </c>
      <c r="BS77" s="3547"/>
      <c r="BT77" s="3559"/>
      <c r="BU77" s="3562"/>
      <c r="BV77" s="3561">
        <f t="shared" si="162"/>
        <v>0</v>
      </c>
      <c r="BW77" s="3559"/>
      <c r="BX77" s="3562"/>
      <c r="BY77" s="3561">
        <f t="shared" si="163"/>
        <v>0</v>
      </c>
      <c r="BZ77" s="3686" t="s">
        <v>4471</v>
      </c>
      <c r="CA77" s="3547"/>
      <c r="CB77" s="3609"/>
      <c r="CC77" s="3562"/>
      <c r="CD77" s="3561">
        <f t="shared" si="164"/>
        <v>0</v>
      </c>
      <c r="CE77" s="3559"/>
      <c r="CF77" s="3562"/>
      <c r="CG77" s="3561">
        <f t="shared" si="165"/>
        <v>0</v>
      </c>
      <c r="CH77" s="3686" t="s">
        <v>4471</v>
      </c>
      <c r="CI77" s="3547"/>
      <c r="CJ77" s="3609"/>
      <c r="CK77" s="3562"/>
      <c r="CL77" s="3561">
        <f t="shared" si="133"/>
        <v>0</v>
      </c>
      <c r="CM77" s="3559"/>
      <c r="CN77" s="3562"/>
      <c r="CO77" s="3561">
        <f t="shared" si="166"/>
        <v>0</v>
      </c>
      <c r="CP77" s="3686" t="s">
        <v>4471</v>
      </c>
      <c r="CQ77" s="3547"/>
      <c r="CR77" s="3609"/>
      <c r="CS77" s="3603"/>
      <c r="CT77" s="3561">
        <f t="shared" si="167"/>
        <v>0</v>
      </c>
      <c r="CU77" s="3559"/>
      <c r="CV77" s="3603"/>
      <c r="CW77" s="3561">
        <f t="shared" si="168"/>
        <v>0</v>
      </c>
      <c r="CX77" s="3686" t="s">
        <v>4471</v>
      </c>
      <c r="CY77" s="3547"/>
      <c r="CZ77" s="3609"/>
      <c r="DA77" s="3562"/>
      <c r="DB77" s="3561">
        <f t="shared" si="169"/>
        <v>0</v>
      </c>
      <c r="DC77" s="3559"/>
      <c r="DD77" s="3562"/>
      <c r="DE77" s="3561">
        <f t="shared" si="170"/>
        <v>0</v>
      </c>
      <c r="DF77" s="3686" t="s">
        <v>4471</v>
      </c>
      <c r="DG77" s="3547"/>
      <c r="DH77" s="3609"/>
      <c r="DI77" s="3562"/>
      <c r="DJ77" s="3561">
        <f t="shared" si="171"/>
        <v>0</v>
      </c>
      <c r="DK77" s="3559"/>
      <c r="DL77" s="3562"/>
      <c r="DM77" s="3561">
        <f t="shared" si="172"/>
        <v>0</v>
      </c>
      <c r="DN77" s="3563"/>
      <c r="DO77" s="3547"/>
      <c r="DP77" s="3609"/>
      <c r="DQ77" s="3562"/>
      <c r="DR77" s="3561">
        <f t="shared" si="173"/>
        <v>0</v>
      </c>
      <c r="DS77" s="3559"/>
      <c r="DT77" s="3562"/>
      <c r="DU77" s="3561">
        <f t="shared" si="174"/>
        <v>0</v>
      </c>
      <c r="DV77" s="3563"/>
      <c r="DW77" s="3547"/>
      <c r="DX77" s="3609"/>
      <c r="DY77" s="3562"/>
      <c r="DZ77" s="3561">
        <f t="shared" si="175"/>
        <v>0</v>
      </c>
      <c r="EA77" s="3559"/>
      <c r="EB77" s="3562"/>
      <c r="EC77" s="3561">
        <f t="shared" si="176"/>
        <v>0</v>
      </c>
      <c r="ED77" s="3563"/>
      <c r="EF77" s="3565">
        <f t="shared" si="153"/>
        <v>0</v>
      </c>
      <c r="EG77" s="3565">
        <f t="shared" si="143"/>
        <v>0</v>
      </c>
      <c r="EH77" s="3565">
        <f t="shared" si="143"/>
        <v>0</v>
      </c>
      <c r="EI77" s="3565">
        <f t="shared" si="143"/>
        <v>0</v>
      </c>
      <c r="EJ77" s="3565">
        <f t="shared" si="154"/>
        <v>0</v>
      </c>
      <c r="EK77" s="3566">
        <f t="shared" si="155"/>
        <v>0</v>
      </c>
      <c r="EL77" s="3610"/>
      <c r="EM77" s="3567">
        <f t="shared" si="156"/>
        <v>0</v>
      </c>
      <c r="EN77" s="3557">
        <f t="shared" si="144"/>
        <v>0</v>
      </c>
      <c r="EO77" s="3557">
        <f t="shared" si="144"/>
        <v>0</v>
      </c>
      <c r="EP77" s="3557">
        <f t="shared" si="144"/>
        <v>0</v>
      </c>
      <c r="EQ77" s="3557">
        <f t="shared" si="157"/>
        <v>0</v>
      </c>
      <c r="ER77" s="3557">
        <f t="shared" si="158"/>
        <v>0</v>
      </c>
      <c r="ES77" s="3557"/>
      <c r="ET77" s="3568"/>
      <c r="EU77" s="3569"/>
      <c r="EV77" s="3562"/>
      <c r="EW77" s="3547">
        <f t="shared" si="129"/>
        <v>0</v>
      </c>
      <c r="EX77" s="3568"/>
      <c r="EY77" s="3569"/>
      <c r="EZ77" s="3562"/>
      <c r="FA77" s="3547">
        <f t="shared" si="130"/>
        <v>0</v>
      </c>
      <c r="FB77" s="3568"/>
      <c r="FC77" s="3569"/>
      <c r="FD77" s="3562"/>
      <c r="FE77" s="3547">
        <f t="shared" si="117"/>
        <v>0</v>
      </c>
      <c r="FF77" s="3568"/>
      <c r="FG77" s="3569"/>
      <c r="FH77" s="3562"/>
      <c r="FI77" s="3547">
        <f t="shared" si="118"/>
        <v>0</v>
      </c>
      <c r="FJ77" s="3568"/>
      <c r="FK77" s="3559"/>
      <c r="FL77" s="3562"/>
      <c r="FM77" s="3547">
        <f t="shared" si="119"/>
        <v>0</v>
      </c>
      <c r="FN77" s="3568"/>
      <c r="FO77" s="3559"/>
      <c r="FP77" s="3562"/>
      <c r="FQ77" s="3547">
        <f t="shared" si="120"/>
        <v>0</v>
      </c>
      <c r="FR77" s="3568"/>
      <c r="FS77" s="3559"/>
      <c r="FT77" s="3560"/>
      <c r="FU77" s="3547">
        <f t="shared" si="177"/>
        <v>0</v>
      </c>
      <c r="FV77" s="3568"/>
      <c r="FW77" s="3559"/>
      <c r="FX77" s="3560"/>
      <c r="FY77" s="3547">
        <f t="shared" si="178"/>
        <v>0</v>
      </c>
      <c r="FZ77" s="3568"/>
      <c r="GA77" s="3569"/>
      <c r="GB77" s="3560"/>
      <c r="GC77" s="3547">
        <f t="shared" si="179"/>
        <v>0</v>
      </c>
      <c r="GD77" s="3568"/>
      <c r="GE77" s="3569"/>
      <c r="GF77" s="3560"/>
      <c r="GG77" s="3547">
        <f t="shared" si="180"/>
        <v>0</v>
      </c>
      <c r="GH77" s="3568"/>
      <c r="GI77" s="3569"/>
      <c r="GJ77" s="3560"/>
      <c r="GK77" s="3547">
        <f t="shared" si="181"/>
        <v>0</v>
      </c>
      <c r="GL77" s="3568"/>
      <c r="GM77" s="3569"/>
      <c r="GN77" s="3560"/>
      <c r="GO77" s="3547">
        <f t="shared" si="182"/>
        <v>0</v>
      </c>
      <c r="GP77" s="3568"/>
      <c r="GQ77" s="3569"/>
      <c r="GR77" s="3562"/>
      <c r="GS77" s="3547">
        <f t="shared" si="183"/>
        <v>0</v>
      </c>
      <c r="GT77" s="3568"/>
      <c r="GU77" s="3569"/>
      <c r="GV77" s="3562"/>
      <c r="GW77" s="3547">
        <f t="shared" si="184"/>
        <v>0</v>
      </c>
      <c r="GX77" s="3568"/>
      <c r="GY77" s="3569"/>
      <c r="GZ77" s="3562"/>
      <c r="HA77" s="3547">
        <f t="shared" si="185"/>
        <v>0</v>
      </c>
      <c r="HB77" s="3568"/>
      <c r="HC77" s="3569"/>
      <c r="HD77" s="3562"/>
      <c r="HE77" s="3547">
        <f t="shared" si="186"/>
        <v>0</v>
      </c>
      <c r="HF77" s="3568"/>
      <c r="HG77" s="3569"/>
      <c r="HH77" s="3562"/>
      <c r="HI77" s="3547">
        <f t="shared" si="187"/>
        <v>0</v>
      </c>
      <c r="HJ77" s="3568"/>
      <c r="HK77" s="3569"/>
      <c r="HL77" s="3562"/>
      <c r="HM77" s="3547">
        <f t="shared" si="188"/>
        <v>0</v>
      </c>
      <c r="HN77" s="3568"/>
      <c r="HO77" s="3569"/>
      <c r="HP77" s="3562"/>
      <c r="HQ77" s="3547">
        <f t="shared" si="189"/>
        <v>0</v>
      </c>
      <c r="HR77" s="3568"/>
      <c r="HS77" s="3569"/>
      <c r="HT77" s="3562"/>
      <c r="HU77" s="3547">
        <f t="shared" si="190"/>
        <v>0</v>
      </c>
      <c r="HV77" s="3568"/>
      <c r="HW77" s="3569"/>
      <c r="HX77" s="3562"/>
      <c r="HY77" s="3547">
        <f t="shared" si="191"/>
        <v>0</v>
      </c>
      <c r="HZ77" s="3568"/>
      <c r="IA77" s="3569"/>
      <c r="IB77" s="3562"/>
      <c r="IC77" s="3547">
        <f t="shared" si="192"/>
        <v>0</v>
      </c>
      <c r="ID77" s="3568"/>
      <c r="IE77" s="3569"/>
      <c r="IF77" s="3562"/>
      <c r="IG77" s="3547">
        <f t="shared" si="193"/>
        <v>0</v>
      </c>
      <c r="IH77" s="3568"/>
      <c r="II77" s="3569"/>
      <c r="IJ77" s="3562"/>
      <c r="IK77" s="3547">
        <f t="shared" si="194"/>
        <v>0</v>
      </c>
      <c r="IL77" s="3570"/>
      <c r="IM77" s="3569"/>
      <c r="IN77" s="3569"/>
      <c r="IO77" s="3547"/>
      <c r="IP77" s="3560">
        <f t="shared" si="195"/>
        <v>0</v>
      </c>
      <c r="IQ77" s="3568"/>
      <c r="IR77" s="3568"/>
      <c r="IS77" s="3568"/>
      <c r="IT77" s="3568"/>
      <c r="IU77" s="3568"/>
      <c r="IV77" s="3568"/>
      <c r="IW77" s="3568"/>
      <c r="IX77" s="3568"/>
      <c r="IY77" s="3568"/>
      <c r="IZ77" s="3560"/>
      <c r="JA77" s="3560"/>
      <c r="JB77" s="3560"/>
      <c r="JC77" s="3560">
        <f t="shared" si="134"/>
        <v>0</v>
      </c>
      <c r="JD77" s="3547"/>
      <c r="JE77" s="3568"/>
      <c r="JF77" s="3568"/>
      <c r="JG77" s="3568"/>
      <c r="JH77" s="3568"/>
      <c r="JI77" s="3568"/>
      <c r="JJ77" s="3568"/>
      <c r="JK77" s="3568"/>
      <c r="JL77" s="3568"/>
      <c r="JM77" s="3568"/>
      <c r="JN77" s="3560"/>
      <c r="JO77" s="3560"/>
      <c r="JP77" s="3570"/>
      <c r="JQ77" s="3583"/>
      <c r="JR77" s="3583"/>
      <c r="JS77" s="3573">
        <f t="shared" si="145"/>
        <v>0</v>
      </c>
      <c r="JT77" s="3573">
        <f t="shared" si="152"/>
        <v>0</v>
      </c>
      <c r="JU77" s="3574">
        <f t="shared" si="146"/>
        <v>0</v>
      </c>
      <c r="JV77" s="3574">
        <f t="shared" si="147"/>
        <v>0</v>
      </c>
      <c r="JW77" s="3575"/>
      <c r="JX77" s="3576">
        <f t="shared" si="148"/>
        <v>0</v>
      </c>
      <c r="JY77" s="3576">
        <f t="shared" si="149"/>
        <v>0</v>
      </c>
      <c r="JZ77" s="3577"/>
      <c r="KA77" s="3573">
        <f t="shared" si="131"/>
        <v>0</v>
      </c>
      <c r="KB77" s="3573"/>
      <c r="KC77" s="3573"/>
      <c r="KD77" s="3573">
        <f t="shared" si="150"/>
        <v>0</v>
      </c>
      <c r="KE77" s="3571"/>
      <c r="KF77" s="3579"/>
      <c r="KG77" s="3579"/>
      <c r="KH77" s="3579"/>
      <c r="KI77" s="3579"/>
      <c r="KJ77" s="3579"/>
      <c r="KK77" s="3579"/>
      <c r="KL77" s="3579"/>
      <c r="KM77" s="3579"/>
      <c r="KN77" s="3579"/>
      <c r="KO77" s="3579"/>
      <c r="KP77" s="3579"/>
      <c r="KQ77" s="3579">
        <f t="shared" si="151"/>
        <v>0</v>
      </c>
      <c r="KR77" s="3579">
        <f t="shared" si="196"/>
        <v>0</v>
      </c>
      <c r="KS77" s="3577"/>
      <c r="KT77" s="3577"/>
      <c r="KU77" s="3577"/>
      <c r="KV77" s="3577"/>
      <c r="KW77" s="3577"/>
      <c r="KX77" s="3577"/>
      <c r="KY77" s="3577"/>
      <c r="KZ77" s="3577"/>
      <c r="LA77" s="3577"/>
      <c r="LB77" s="3577"/>
      <c r="LC77" s="3577"/>
      <c r="LD77" s="3577"/>
      <c r="LE77" s="3577"/>
      <c r="LF77" s="3577"/>
      <c r="LG77" s="3577"/>
      <c r="LH77" s="3577"/>
      <c r="LJ77" s="3575"/>
      <c r="LK77" s="3571"/>
      <c r="LL77" s="3576"/>
    </row>
    <row r="78" spans="1:325" s="3580" customFormat="1" ht="18" customHeight="1">
      <c r="A78" s="3545">
        <v>75</v>
      </c>
      <c r="B78" s="3546" t="s">
        <v>4346</v>
      </c>
      <c r="C78" s="3546" t="s">
        <v>4472</v>
      </c>
      <c r="D78" s="3547">
        <v>11.9</v>
      </c>
      <c r="E78" s="3548" t="s">
        <v>3799</v>
      </c>
      <c r="F78" s="3546" t="s">
        <v>3790</v>
      </c>
      <c r="G78" s="3549" t="s">
        <v>4473</v>
      </c>
      <c r="H78" s="3546" t="s">
        <v>4474</v>
      </c>
      <c r="I78" s="3594" t="s">
        <v>4475</v>
      </c>
      <c r="J78" s="3594" t="s">
        <v>4476</v>
      </c>
      <c r="K78" s="3545" t="s">
        <v>3925</v>
      </c>
      <c r="L78" s="3555"/>
      <c r="M78" s="3551">
        <v>6298.08</v>
      </c>
      <c r="N78" s="3551">
        <v>6298.08</v>
      </c>
      <c r="O78" s="3551">
        <f t="shared" si="135"/>
        <v>0</v>
      </c>
      <c r="P78" s="3547">
        <v>901.29</v>
      </c>
      <c r="Q78" s="3547">
        <v>901.29</v>
      </c>
      <c r="R78" s="3547">
        <f t="shared" si="132"/>
        <v>0</v>
      </c>
      <c r="S78" s="3547">
        <f t="shared" si="125"/>
        <v>5.8000046045815585</v>
      </c>
      <c r="T78" s="3658">
        <v>2099.36</v>
      </c>
      <c r="U78" s="3553">
        <f t="shared" si="136"/>
        <v>25192.32</v>
      </c>
      <c r="V78" s="3547">
        <f>T78*12</f>
        <v>25192.32</v>
      </c>
      <c r="W78" s="3547">
        <f t="shared" si="126"/>
        <v>0.83001266259928619</v>
      </c>
      <c r="X78" s="3658">
        <v>300.43</v>
      </c>
      <c r="Y78" s="3547">
        <f t="shared" si="137"/>
        <v>3605.16</v>
      </c>
      <c r="Z78" s="3554"/>
      <c r="AA78" s="3555"/>
      <c r="AB78" s="3593" t="s">
        <v>3804</v>
      </c>
      <c r="AC78" s="3556">
        <f t="shared" si="138"/>
        <v>26641.741150684931</v>
      </c>
      <c r="AD78" s="3556">
        <f t="shared" si="139"/>
        <v>26641.741150684931</v>
      </c>
      <c r="AE78" s="3556">
        <f t="shared" si="139"/>
        <v>26641.739999999998</v>
      </c>
      <c r="AF78" s="3556">
        <f t="shared" si="140"/>
        <v>-1.1506849332363345E-3</v>
      </c>
      <c r="AG78" s="3556"/>
      <c r="AH78" s="3557">
        <f t="shared" si="141"/>
        <v>3812.5801643835612</v>
      </c>
      <c r="AI78" s="3558">
        <f t="shared" si="142"/>
        <v>3812.5801643835612</v>
      </c>
      <c r="AJ78" s="3558">
        <f t="shared" si="142"/>
        <v>3812.58</v>
      </c>
      <c r="AK78" s="3557">
        <f t="shared" si="159"/>
        <v>-1.6438356124126585E-4</v>
      </c>
      <c r="AL78" s="3557"/>
      <c r="AM78" s="3547" t="s">
        <v>4477</v>
      </c>
      <c r="AN78" s="3609">
        <f>2099.36*12/365*21+2099.36*3</f>
        <v>7747.5011506849314</v>
      </c>
      <c r="AO78" s="3562">
        <f>1449.42+4848.66+1449.42</f>
        <v>7747.5</v>
      </c>
      <c r="AP78" s="3561">
        <f t="shared" si="113"/>
        <v>-1.1506849314173451E-3</v>
      </c>
      <c r="AQ78" s="3559">
        <f>300.43*12/365*21+300.43*3</f>
        <v>1108.7101643835615</v>
      </c>
      <c r="AR78" s="3562">
        <f>207.42+207.42+693.87</f>
        <v>1108.71</v>
      </c>
      <c r="AS78" s="3561">
        <f t="shared" si="127"/>
        <v>-1.6438356146863953E-4</v>
      </c>
      <c r="AT78" s="3687" t="s">
        <v>4478</v>
      </c>
      <c r="AU78" s="3547"/>
      <c r="AV78" s="3609"/>
      <c r="AW78" s="3562"/>
      <c r="AX78" s="3561">
        <f t="shared" si="114"/>
        <v>0</v>
      </c>
      <c r="AY78" s="3559"/>
      <c r="AZ78" s="3562"/>
      <c r="BA78" s="3561">
        <f t="shared" si="128"/>
        <v>0</v>
      </c>
      <c r="BB78" s="3686" t="s">
        <v>4478</v>
      </c>
      <c r="BC78" s="3547" t="s">
        <v>4479</v>
      </c>
      <c r="BD78" s="3609">
        <f>3*2099.36</f>
        <v>6298.08</v>
      </c>
      <c r="BE78" s="3562">
        <f>6298.08</f>
        <v>6298.08</v>
      </c>
      <c r="BF78" s="3561">
        <f t="shared" si="115"/>
        <v>0</v>
      </c>
      <c r="BG78" s="3559">
        <f>3*300.43</f>
        <v>901.29</v>
      </c>
      <c r="BH78" s="3562">
        <v>901.29</v>
      </c>
      <c r="BI78" s="3561">
        <f t="shared" si="116"/>
        <v>0</v>
      </c>
      <c r="BJ78" s="3686" t="s">
        <v>4480</v>
      </c>
      <c r="BK78" s="3547"/>
      <c r="BL78" s="3609"/>
      <c r="BM78" s="3562"/>
      <c r="BN78" s="3561">
        <f t="shared" si="160"/>
        <v>0</v>
      </c>
      <c r="BO78" s="3559"/>
      <c r="BP78" s="3562"/>
      <c r="BQ78" s="3561">
        <f t="shared" si="161"/>
        <v>0</v>
      </c>
      <c r="BR78" s="3686" t="s">
        <v>4480</v>
      </c>
      <c r="BS78" s="3547"/>
      <c r="BT78" s="3559"/>
      <c r="BU78" s="3562"/>
      <c r="BV78" s="3561">
        <f t="shared" si="162"/>
        <v>0</v>
      </c>
      <c r="BW78" s="3559"/>
      <c r="BX78" s="3562"/>
      <c r="BY78" s="3561">
        <f t="shared" si="163"/>
        <v>0</v>
      </c>
      <c r="BZ78" s="3686" t="s">
        <v>4480</v>
      </c>
      <c r="CA78" s="3547" t="s">
        <v>4481</v>
      </c>
      <c r="CB78" s="3609">
        <f>3*2099.36</f>
        <v>6298.08</v>
      </c>
      <c r="CC78" s="3603">
        <v>6298.08</v>
      </c>
      <c r="CD78" s="3561">
        <f t="shared" si="164"/>
        <v>0</v>
      </c>
      <c r="CE78" s="3559">
        <f>3*300.43</f>
        <v>901.29</v>
      </c>
      <c r="CF78" s="3562">
        <v>901.29</v>
      </c>
      <c r="CG78" s="3561">
        <f t="shared" si="165"/>
        <v>0</v>
      </c>
      <c r="CH78" s="3686" t="s">
        <v>4482</v>
      </c>
      <c r="CI78" s="3547"/>
      <c r="CJ78" s="3609"/>
      <c r="CK78" s="3562"/>
      <c r="CL78" s="3561">
        <f t="shared" si="133"/>
        <v>0</v>
      </c>
      <c r="CM78" s="3559"/>
      <c r="CN78" s="3562"/>
      <c r="CO78" s="3561">
        <f t="shared" si="166"/>
        <v>0</v>
      </c>
      <c r="CP78" s="3686" t="s">
        <v>4482</v>
      </c>
      <c r="CQ78" s="3547"/>
      <c r="CR78" s="3609"/>
      <c r="CS78" s="3603"/>
      <c r="CT78" s="3561">
        <f t="shared" si="167"/>
        <v>0</v>
      </c>
      <c r="CU78" s="3559"/>
      <c r="CV78" s="3603"/>
      <c r="CW78" s="3561">
        <f t="shared" si="168"/>
        <v>0</v>
      </c>
      <c r="CX78" s="3686" t="s">
        <v>4482</v>
      </c>
      <c r="CY78" s="3547" t="s">
        <v>4483</v>
      </c>
      <c r="CZ78" s="3609">
        <f>3*2099.36</f>
        <v>6298.08</v>
      </c>
      <c r="DA78" s="3603">
        <v>6298.08</v>
      </c>
      <c r="DB78" s="3561">
        <f t="shared" si="169"/>
        <v>0</v>
      </c>
      <c r="DC78" s="3559">
        <f>3*300.43</f>
        <v>901.29</v>
      </c>
      <c r="DD78" s="3603">
        <v>901.29</v>
      </c>
      <c r="DE78" s="3561">
        <f t="shared" si="170"/>
        <v>0</v>
      </c>
      <c r="DF78" s="3686" t="s">
        <v>4484</v>
      </c>
      <c r="DG78" s="3547"/>
      <c r="DH78" s="3609"/>
      <c r="DI78" s="3562"/>
      <c r="DJ78" s="3561">
        <f t="shared" si="171"/>
        <v>0</v>
      </c>
      <c r="DK78" s="3559"/>
      <c r="DL78" s="3562"/>
      <c r="DM78" s="3561">
        <f t="shared" si="172"/>
        <v>0</v>
      </c>
      <c r="DN78" s="3563"/>
      <c r="DO78" s="3547"/>
      <c r="DP78" s="3609"/>
      <c r="DQ78" s="3562"/>
      <c r="DR78" s="3561">
        <f t="shared" si="173"/>
        <v>0</v>
      </c>
      <c r="DS78" s="3559"/>
      <c r="DT78" s="3562"/>
      <c r="DU78" s="3561">
        <f t="shared" si="174"/>
        <v>0</v>
      </c>
      <c r="DV78" s="3563"/>
      <c r="DW78" s="3547"/>
      <c r="DX78" s="3609"/>
      <c r="DY78" s="3562"/>
      <c r="DZ78" s="3561">
        <f t="shared" si="175"/>
        <v>0</v>
      </c>
      <c r="EA78" s="3559"/>
      <c r="EB78" s="3562"/>
      <c r="EC78" s="3561">
        <f t="shared" si="176"/>
        <v>0</v>
      </c>
      <c r="ED78" s="3563"/>
      <c r="EE78" s="3564"/>
      <c r="EF78" s="3565">
        <f t="shared" si="153"/>
        <v>21386.56666666668</v>
      </c>
      <c r="EG78" s="3565">
        <f t="shared" si="143"/>
        <v>16039.925000000008</v>
      </c>
      <c r="EH78" s="3565">
        <f t="shared" si="143"/>
        <v>17994.514285714286</v>
      </c>
      <c r="EI78" s="3565">
        <f t="shared" si="143"/>
        <v>17994.513189823876</v>
      </c>
      <c r="EJ78" s="3565">
        <f t="shared" si="154"/>
        <v>1954.5881898238677</v>
      </c>
      <c r="EK78" s="3566">
        <f t="shared" si="155"/>
        <v>-1.0958904094877653E-3</v>
      </c>
      <c r="EL78" s="3610"/>
      <c r="EM78" s="3567">
        <f t="shared" si="156"/>
        <v>3401.0424528301919</v>
      </c>
      <c r="EN78" s="3557">
        <f t="shared" si="144"/>
        <v>2550.7818396226439</v>
      </c>
      <c r="EO78" s="3557">
        <f t="shared" si="144"/>
        <v>2550.8207547169809</v>
      </c>
      <c r="EP78" s="3557">
        <f t="shared" si="144"/>
        <v>2550.8205996381489</v>
      </c>
      <c r="EQ78" s="3557">
        <f t="shared" si="157"/>
        <v>3.8760015504976764E-2</v>
      </c>
      <c r="ER78" s="3557">
        <f t="shared" si="158"/>
        <v>-1.5507883199461503E-4</v>
      </c>
      <c r="ES78" s="3557"/>
      <c r="ET78" s="3568">
        <v>1782.2138888888901</v>
      </c>
      <c r="EU78" s="3569">
        <f>2099.36/1.05</f>
        <v>1999.3904761904762</v>
      </c>
      <c r="EV78" s="3606">
        <f>1449.42/1.05+4848.66/1.05-2099.36/1.05*2</f>
        <v>1999.3904761904755</v>
      </c>
      <c r="EW78" s="3547">
        <f t="shared" si="129"/>
        <v>217.17658730158541</v>
      </c>
      <c r="EX78" s="3568">
        <v>283.42020440251599</v>
      </c>
      <c r="EY78" s="3569">
        <f>300.43/1.06</f>
        <v>283.42452830188677</v>
      </c>
      <c r="EZ78" s="3606">
        <f>207.42/1.06+693.87/1.06-300.43/1.06*2</f>
        <v>283.42452830188677</v>
      </c>
      <c r="FA78" s="3547">
        <f t="shared" si="130"/>
        <v>4.3238993707745976E-3</v>
      </c>
      <c r="FB78" s="3568">
        <v>1782.2138888888901</v>
      </c>
      <c r="FC78" s="3569">
        <f>2099.36/1.05</f>
        <v>1999.3904761904762</v>
      </c>
      <c r="FD78" s="3562">
        <f>2099.36/1.05</f>
        <v>1999.3904761904762</v>
      </c>
      <c r="FE78" s="3547">
        <f t="shared" si="117"/>
        <v>217.1765873015861</v>
      </c>
      <c r="FF78" s="3568">
        <v>283.42020440251599</v>
      </c>
      <c r="FG78" s="3569">
        <f>300.43/1.06</f>
        <v>283.42452830188677</v>
      </c>
      <c r="FH78" s="3562">
        <f>901.29/3/1.06</f>
        <v>283.42452830188677</v>
      </c>
      <c r="FI78" s="3547">
        <f t="shared" si="118"/>
        <v>4.3238993707745976E-3</v>
      </c>
      <c r="FJ78" s="3568">
        <v>1782.2138888888901</v>
      </c>
      <c r="FK78" s="3559">
        <f>2099.36/1.05</f>
        <v>1999.3904761904762</v>
      </c>
      <c r="FL78" s="3562">
        <f>2099.36/1.05</f>
        <v>1999.3904761904762</v>
      </c>
      <c r="FM78" s="3547">
        <f t="shared" si="119"/>
        <v>217.1765873015861</v>
      </c>
      <c r="FN78" s="3568">
        <v>283.42020440251599</v>
      </c>
      <c r="FO78" s="3559">
        <f>300.43/1.06</f>
        <v>283.42452830188677</v>
      </c>
      <c r="FP78" s="3562">
        <f>901.29/3/1.06</f>
        <v>283.42452830188677</v>
      </c>
      <c r="FQ78" s="3547">
        <f t="shared" si="120"/>
        <v>4.3238993707745976E-3</v>
      </c>
      <c r="FR78" s="3568">
        <v>1782.2138888888901</v>
      </c>
      <c r="FS78" s="3559">
        <f>2099.36/1.05</f>
        <v>1999.3904761904762</v>
      </c>
      <c r="FT78" s="3560">
        <f>1449.42/1.05+6298.08/3/1.05-6298.08/3/1.05*12/365*21</f>
        <v>1999.3893803000653</v>
      </c>
      <c r="FU78" s="3547">
        <f t="shared" si="177"/>
        <v>217.17549141117524</v>
      </c>
      <c r="FV78" s="3568">
        <v>283.42020440251599</v>
      </c>
      <c r="FW78" s="3559">
        <f>300.43/1.06</f>
        <v>283.42452830188677</v>
      </c>
      <c r="FX78" s="3560">
        <f>207.42/1.06+901.29/3/1.06-901.29/3/1.06*12/365*21</f>
        <v>283.424373223055</v>
      </c>
      <c r="FY78" s="3547">
        <f t="shared" si="178"/>
        <v>4.1688205390073563E-3</v>
      </c>
      <c r="FZ78" s="3568">
        <v>1782.2138888888901</v>
      </c>
      <c r="GA78" s="3569">
        <f>2099.36/1.05</f>
        <v>1999.3904761904762</v>
      </c>
      <c r="GB78" s="3560">
        <f>6298.08/3/1.05</f>
        <v>1999.3904761904762</v>
      </c>
      <c r="GC78" s="3547">
        <f t="shared" si="179"/>
        <v>217.1765873015861</v>
      </c>
      <c r="GD78" s="3568">
        <v>283.42020440251599</v>
      </c>
      <c r="GE78" s="3569">
        <f>300.43/1.06</f>
        <v>283.42452830188677</v>
      </c>
      <c r="GF78" s="3560">
        <f>901.29/3/1.06</f>
        <v>283.42452830188677</v>
      </c>
      <c r="GG78" s="3547">
        <f t="shared" si="180"/>
        <v>4.3238993707745976E-3</v>
      </c>
      <c r="GH78" s="3568">
        <v>1782.2138888888901</v>
      </c>
      <c r="GI78" s="3569">
        <f>2099.36/1.05</f>
        <v>1999.3904761904762</v>
      </c>
      <c r="GJ78" s="3560">
        <f>6298.08/3/1.05</f>
        <v>1999.3904761904762</v>
      </c>
      <c r="GK78" s="3547">
        <f t="shared" si="181"/>
        <v>217.1765873015861</v>
      </c>
      <c r="GL78" s="3568">
        <v>283.42020440251599</v>
      </c>
      <c r="GM78" s="3569">
        <f>300.43/1.06</f>
        <v>283.42452830188677</v>
      </c>
      <c r="GN78" s="3560">
        <f>901.29/3/1.06</f>
        <v>283.42452830188677</v>
      </c>
      <c r="GO78" s="3547">
        <f t="shared" si="182"/>
        <v>4.3238993707745976E-3</v>
      </c>
      <c r="GP78" s="3568">
        <v>1782.2138888888901</v>
      </c>
      <c r="GQ78" s="3569">
        <f>2099.36/1.05</f>
        <v>1999.3904761904762</v>
      </c>
      <c r="GR78" s="3562">
        <f>6298.08/3/1.05*12/365*21+6298.08/3/1.05-6298.08/3/1.05*12/365*21</f>
        <v>1999.3904761904762</v>
      </c>
      <c r="GS78" s="3547">
        <f t="shared" si="183"/>
        <v>217.1765873015861</v>
      </c>
      <c r="GT78" s="3568">
        <v>283.42020440251599</v>
      </c>
      <c r="GU78" s="3569">
        <f>300.43/1.06</f>
        <v>283.42452830188677</v>
      </c>
      <c r="GV78" s="3562">
        <f>901.29/3/1.06*12/365*21+901.29/3/1.06-901.29/3/1.06*12/365*21</f>
        <v>283.42452830188677</v>
      </c>
      <c r="GW78" s="3547">
        <f t="shared" si="184"/>
        <v>4.3238993707745976E-3</v>
      </c>
      <c r="GX78" s="3568">
        <v>1782.2138888888901</v>
      </c>
      <c r="GY78" s="3569">
        <f>2099.36/1.05</f>
        <v>1999.3904761904762</v>
      </c>
      <c r="GZ78" s="3562">
        <f>6298.08/3/1.05</f>
        <v>1999.3904761904762</v>
      </c>
      <c r="HA78" s="3547">
        <f t="shared" si="185"/>
        <v>217.1765873015861</v>
      </c>
      <c r="HB78" s="3568">
        <v>283.42020440251599</v>
      </c>
      <c r="HC78" s="3569">
        <f>300.43/1.06</f>
        <v>283.42452830188677</v>
      </c>
      <c r="HD78" s="3562">
        <f>901.29/3/1.06</f>
        <v>283.42452830188677</v>
      </c>
      <c r="HE78" s="3547">
        <f t="shared" si="186"/>
        <v>4.3238993707745976E-3</v>
      </c>
      <c r="HF78" s="3568">
        <v>1782.2138888888901</v>
      </c>
      <c r="HG78" s="3569">
        <f>2099.36/1.05</f>
        <v>1999.3904761904762</v>
      </c>
      <c r="HH78" s="3562">
        <f>6298.08/3/1.05</f>
        <v>1999.3904761904762</v>
      </c>
      <c r="HI78" s="3547">
        <f t="shared" si="187"/>
        <v>217.1765873015861</v>
      </c>
      <c r="HJ78" s="3568">
        <v>283.42020440251599</v>
      </c>
      <c r="HK78" s="3569">
        <f>300.43/1.06</f>
        <v>283.42452830188677</v>
      </c>
      <c r="HL78" s="3562">
        <f>901.29/3/1.06</f>
        <v>283.42452830188677</v>
      </c>
      <c r="HM78" s="3547">
        <f t="shared" si="188"/>
        <v>4.3238993707745976E-3</v>
      </c>
      <c r="HN78" s="3568">
        <v>1782.2138888888901</v>
      </c>
      <c r="HO78" s="3569">
        <f>2099.36/1.05</f>
        <v>1999.3904761904762</v>
      </c>
      <c r="HP78" s="3562">
        <f>6298.08/3/1.05*12/365*21+6298.08/3/1.05-6298.08/3/1.05*12/365*21</f>
        <v>1999.3904761904762</v>
      </c>
      <c r="HQ78" s="3547">
        <f t="shared" si="189"/>
        <v>217.1765873015861</v>
      </c>
      <c r="HR78" s="3568">
        <v>283.42020440251599</v>
      </c>
      <c r="HS78" s="3569">
        <f>300.43/1.06</f>
        <v>283.42452830188677</v>
      </c>
      <c r="HT78" s="3562">
        <f>901.29/3/1.06*12/365*21+901.29/3/1.06-901.29/3/1.06*12/365*21</f>
        <v>283.42452830188677</v>
      </c>
      <c r="HU78" s="3547">
        <f t="shared" si="190"/>
        <v>4.3238993707745976E-3</v>
      </c>
      <c r="HV78" s="3568">
        <v>1782.2138888888901</v>
      </c>
      <c r="HW78" s="3569">
        <f>2099.36/1.05</f>
        <v>1999.3904761904762</v>
      </c>
      <c r="HX78" s="3603">
        <f>6298.08/3/1.05</f>
        <v>1999.3904761904762</v>
      </c>
      <c r="HY78" s="3547">
        <f t="shared" si="191"/>
        <v>217.1765873015861</v>
      </c>
      <c r="HZ78" s="3568">
        <v>283.42020440251599</v>
      </c>
      <c r="IA78" s="3569">
        <f>300.43/1.06</f>
        <v>283.42452830188677</v>
      </c>
      <c r="IB78" s="3562">
        <f>901.29/3/1.06</f>
        <v>283.42452830188677</v>
      </c>
      <c r="IC78" s="3547">
        <f t="shared" si="192"/>
        <v>4.3238993707745976E-3</v>
      </c>
      <c r="ID78" s="3568">
        <v>1782.2138888888901</v>
      </c>
      <c r="IE78" s="3569">
        <f>2099.36/1.05</f>
        <v>1999.3904761904762</v>
      </c>
      <c r="IF78" s="3603">
        <f>6298.08/3/1.05</f>
        <v>1999.3904761904762</v>
      </c>
      <c r="IG78" s="3547">
        <f t="shared" si="193"/>
        <v>217.1765873015861</v>
      </c>
      <c r="IH78" s="3568">
        <v>283.42020440251599</v>
      </c>
      <c r="II78" s="3569">
        <f>300.43/1.06</f>
        <v>283.42452830188677</v>
      </c>
      <c r="IJ78" s="3562">
        <f>901.29/3/1.06</f>
        <v>283.42452830188677</v>
      </c>
      <c r="IK78" s="3547">
        <f t="shared" si="194"/>
        <v>4.3238993707745976E-3</v>
      </c>
      <c r="IL78" s="3607" t="s">
        <v>4485</v>
      </c>
      <c r="IM78" s="3569">
        <f>2099.36*12/365*21/1.05</f>
        <v>1380.4010958904109</v>
      </c>
      <c r="IN78" s="3569">
        <f>300.43*12/365*21/1.06</f>
        <v>195.67940036185058</v>
      </c>
      <c r="IO78" s="3607" t="s">
        <v>4485</v>
      </c>
      <c r="IP78" s="3560">
        <f t="shared" si="195"/>
        <v>1380.4010958904112</v>
      </c>
      <c r="IQ78" s="3603">
        <f>6298.08/3/1.05*12/365*21</f>
        <v>1380.4010958904112</v>
      </c>
      <c r="IR78" s="3568"/>
      <c r="IS78" s="3568"/>
      <c r="IT78" s="3568"/>
      <c r="IU78" s="3568"/>
      <c r="IV78" s="3568"/>
      <c r="IW78" s="3568"/>
      <c r="IX78" s="3568"/>
      <c r="IY78" s="3568"/>
      <c r="IZ78" s="3560"/>
      <c r="JA78" s="3560"/>
      <c r="JB78" s="3560"/>
      <c r="JC78" s="3560">
        <f t="shared" si="134"/>
        <v>195.67940036185061</v>
      </c>
      <c r="JD78" s="3562">
        <f>901.29/3/1.06*12/365*21</f>
        <v>195.67940036185061</v>
      </c>
      <c r="JE78" s="3568"/>
      <c r="JF78" s="3568"/>
      <c r="JG78" s="3568"/>
      <c r="JH78" s="3568"/>
      <c r="JI78" s="3568"/>
      <c r="JJ78" s="3568"/>
      <c r="JK78" s="3568"/>
      <c r="JL78" s="3568"/>
      <c r="JM78" s="3568"/>
      <c r="JN78" s="3560"/>
      <c r="JO78" s="3560"/>
      <c r="JP78" s="3570"/>
      <c r="JQ78" s="3583"/>
      <c r="JR78" s="3583"/>
      <c r="JS78" s="3573">
        <f t="shared" si="145"/>
        <v>-7.2759576141834259E-12</v>
      </c>
      <c r="JT78" s="3573">
        <f t="shared" si="152"/>
        <v>-3.979039320256561E-13</v>
      </c>
      <c r="JU78" s="3574">
        <f t="shared" si="146"/>
        <v>0</v>
      </c>
      <c r="JV78" s="3574">
        <f t="shared" si="147"/>
        <v>0</v>
      </c>
      <c r="JW78" s="3575"/>
      <c r="JX78" s="3576">
        <f t="shared" si="148"/>
        <v>7378.5725244618397</v>
      </c>
      <c r="JY78" s="3576">
        <f t="shared" si="149"/>
        <v>1045.9529852675109</v>
      </c>
      <c r="JZ78" s="3577"/>
      <c r="KA78" s="3573">
        <f t="shared" si="131"/>
        <v>217.18091120095687</v>
      </c>
      <c r="KB78" s="3573"/>
      <c r="KC78" s="3573"/>
      <c r="KD78" s="3573">
        <f t="shared" si="150"/>
        <v>217.18091120095687</v>
      </c>
      <c r="KE78" s="3578" t="s">
        <v>4069</v>
      </c>
      <c r="KF78" s="3579"/>
      <c r="KG78" s="3579"/>
      <c r="KH78" s="3579"/>
      <c r="KI78" s="3579">
        <f>217.18/10000*9</f>
        <v>0.19546200000000002</v>
      </c>
      <c r="KJ78" s="3579"/>
      <c r="KK78" s="3579"/>
      <c r="KL78" s="3579"/>
      <c r="KM78" s="3579"/>
      <c r="KN78" s="3579"/>
      <c r="KO78" s="3579"/>
      <c r="KP78" s="3579"/>
      <c r="KQ78" s="3579">
        <f t="shared" si="151"/>
        <v>0.19546200000000002</v>
      </c>
      <c r="KR78" s="3579">
        <f t="shared" si="196"/>
        <v>6.9498393723277374E-7</v>
      </c>
      <c r="KS78" s="3577"/>
      <c r="KT78" s="3577"/>
      <c r="KU78" s="3577"/>
      <c r="KV78" s="3577"/>
      <c r="KW78" s="3577"/>
      <c r="KX78" s="3577"/>
      <c r="KY78" s="3577"/>
      <c r="KZ78" s="3577"/>
      <c r="LA78" s="3577"/>
      <c r="LB78" s="3577"/>
      <c r="LC78" s="3577"/>
      <c r="LD78" s="3577"/>
      <c r="LE78" s="3577"/>
      <c r="LF78" s="3577"/>
      <c r="LG78" s="3577"/>
      <c r="LH78" s="3577"/>
      <c r="LJ78" s="3575"/>
      <c r="LK78" s="3571" t="s">
        <v>4486</v>
      </c>
      <c r="LL78" s="3576">
        <v>2776.22</v>
      </c>
    </row>
    <row r="79" spans="1:325" s="3580" customFormat="1" ht="18" customHeight="1">
      <c r="A79" s="3545">
        <v>76</v>
      </c>
      <c r="B79" s="3546" t="s">
        <v>4346</v>
      </c>
      <c r="C79" s="3546" t="s">
        <v>4487</v>
      </c>
      <c r="D79" s="3547">
        <v>14.6</v>
      </c>
      <c r="E79" s="3608" t="s">
        <v>4022</v>
      </c>
      <c r="F79" s="3546" t="s">
        <v>3790</v>
      </c>
      <c r="G79" s="3546" t="s">
        <v>4488</v>
      </c>
      <c r="H79" s="3546" t="s">
        <v>4489</v>
      </c>
      <c r="I79" s="3594" t="s">
        <v>4490</v>
      </c>
      <c r="J79" s="3594" t="s">
        <v>4491</v>
      </c>
      <c r="K79" s="3545" t="s">
        <v>3925</v>
      </c>
      <c r="L79" s="3555"/>
      <c r="M79" s="3551">
        <v>2631.41</v>
      </c>
      <c r="N79" s="3551">
        <v>2631.41</v>
      </c>
      <c r="O79" s="3551">
        <f t="shared" si="135"/>
        <v>0</v>
      </c>
      <c r="P79" s="3547">
        <v>368.59</v>
      </c>
      <c r="Q79" s="3547">
        <v>368.59</v>
      </c>
      <c r="R79" s="3547">
        <f t="shared" si="132"/>
        <v>0</v>
      </c>
      <c r="S79" s="3547">
        <f t="shared" si="125"/>
        <v>5.925486958153499</v>
      </c>
      <c r="T79" s="3663">
        <v>2631.41</v>
      </c>
      <c r="U79" s="3553">
        <f t="shared" si="136"/>
        <v>31576.92</v>
      </c>
      <c r="V79" s="3547">
        <f>T79*12</f>
        <v>31576.92</v>
      </c>
      <c r="W79" s="3547">
        <f t="shared" si="126"/>
        <v>0.83000187652467627</v>
      </c>
      <c r="X79" s="3663">
        <v>368.59</v>
      </c>
      <c r="Y79" s="3547">
        <f t="shared" si="137"/>
        <v>4423.08</v>
      </c>
      <c r="Z79" s="3554"/>
      <c r="AA79" s="3555"/>
      <c r="AB79" s="3680" t="s">
        <v>3899</v>
      </c>
      <c r="AC79" s="3556">
        <f t="shared" si="138"/>
        <v>31576.92</v>
      </c>
      <c r="AD79" s="3556">
        <f t="shared" si="139"/>
        <v>23682.69</v>
      </c>
      <c r="AE79" s="3556">
        <f t="shared" si="139"/>
        <v>23682.69</v>
      </c>
      <c r="AF79" s="3556">
        <f t="shared" si="140"/>
        <v>0</v>
      </c>
      <c r="AG79" s="3556"/>
      <c r="AH79" s="3557">
        <f t="shared" si="141"/>
        <v>4423.0800000000008</v>
      </c>
      <c r="AI79" s="3558">
        <f t="shared" si="142"/>
        <v>3317.3100000000004</v>
      </c>
      <c r="AJ79" s="3558">
        <f t="shared" si="142"/>
        <v>3317.3100000000004</v>
      </c>
      <c r="AK79" s="3557">
        <f t="shared" si="159"/>
        <v>0</v>
      </c>
      <c r="AL79" s="3557"/>
      <c r="AM79" s="3547" t="s">
        <v>4492</v>
      </c>
      <c r="AN79" s="3609">
        <v>5262.82</v>
      </c>
      <c r="AO79" s="3562">
        <v>5262.82</v>
      </c>
      <c r="AP79" s="3561">
        <f t="shared" si="113"/>
        <v>0</v>
      </c>
      <c r="AQ79" s="3559">
        <v>737.18</v>
      </c>
      <c r="AR79" s="3562">
        <v>737.18</v>
      </c>
      <c r="AS79" s="3561">
        <f t="shared" si="127"/>
        <v>0</v>
      </c>
      <c r="AT79" s="3563" t="s">
        <v>4493</v>
      </c>
      <c r="AU79" s="3547"/>
      <c r="AV79" s="3609"/>
      <c r="AW79" s="3562"/>
      <c r="AX79" s="3561">
        <f t="shared" si="114"/>
        <v>0</v>
      </c>
      <c r="AY79" s="3559"/>
      <c r="AZ79" s="3562"/>
      <c r="BA79" s="3561">
        <f t="shared" si="128"/>
        <v>0</v>
      </c>
      <c r="BB79" s="3563" t="s">
        <v>4493</v>
      </c>
      <c r="BC79" s="3547" t="s">
        <v>3826</v>
      </c>
      <c r="BD79" s="3609">
        <v>2631.41</v>
      </c>
      <c r="BE79" s="3562">
        <v>2631.41</v>
      </c>
      <c r="BF79" s="3561">
        <f t="shared" si="115"/>
        <v>0</v>
      </c>
      <c r="BG79" s="3559">
        <v>368.59</v>
      </c>
      <c r="BH79" s="3562">
        <v>368.59</v>
      </c>
      <c r="BI79" s="3561">
        <f t="shared" si="116"/>
        <v>0</v>
      </c>
      <c r="BJ79" s="3563" t="s">
        <v>4199</v>
      </c>
      <c r="BK79" s="3547" t="s">
        <v>3873</v>
      </c>
      <c r="BL79" s="3609">
        <v>2631.41</v>
      </c>
      <c r="BM79" s="3603">
        <v>2631.41</v>
      </c>
      <c r="BN79" s="3602">
        <f t="shared" si="160"/>
        <v>0</v>
      </c>
      <c r="BO79" s="3604">
        <v>368.59</v>
      </c>
      <c r="BP79" s="3603">
        <v>368.59</v>
      </c>
      <c r="BQ79" s="3561">
        <f t="shared" si="161"/>
        <v>0</v>
      </c>
      <c r="BR79" s="3563" t="s">
        <v>3962</v>
      </c>
      <c r="BS79" s="3547" t="s">
        <v>3875</v>
      </c>
      <c r="BT79" s="3559">
        <v>2631.41</v>
      </c>
      <c r="BU79" s="3603">
        <v>2631.41</v>
      </c>
      <c r="BV79" s="3602">
        <f t="shared" si="162"/>
        <v>0</v>
      </c>
      <c r="BW79" s="3604">
        <v>368.59</v>
      </c>
      <c r="BX79" s="3603">
        <v>368.59</v>
      </c>
      <c r="BY79" s="3561">
        <f t="shared" si="163"/>
        <v>0</v>
      </c>
      <c r="BZ79" s="3563" t="s">
        <v>3963</v>
      </c>
      <c r="CA79" s="3547" t="s">
        <v>3877</v>
      </c>
      <c r="CB79" s="3609">
        <v>2631.41</v>
      </c>
      <c r="CC79" s="3603">
        <v>2631.41</v>
      </c>
      <c r="CD79" s="3561">
        <f t="shared" si="164"/>
        <v>0</v>
      </c>
      <c r="CE79" s="3559">
        <v>368.59</v>
      </c>
      <c r="CF79" s="3562">
        <v>368.59</v>
      </c>
      <c r="CG79" s="3561">
        <f t="shared" si="165"/>
        <v>0</v>
      </c>
      <c r="CH79" s="3563" t="s">
        <v>3947</v>
      </c>
      <c r="CI79" s="3547" t="s">
        <v>3948</v>
      </c>
      <c r="CJ79" s="3609">
        <v>2631.41</v>
      </c>
      <c r="CK79" s="3603">
        <v>2631.41</v>
      </c>
      <c r="CL79" s="3561">
        <f t="shared" si="133"/>
        <v>0</v>
      </c>
      <c r="CM79" s="3559">
        <v>368.59</v>
      </c>
      <c r="CN79" s="3562">
        <v>368.59</v>
      </c>
      <c r="CO79" s="3561">
        <f t="shared" si="166"/>
        <v>0</v>
      </c>
      <c r="CP79" s="3563" t="s">
        <v>4201</v>
      </c>
      <c r="CQ79" s="3597" t="s">
        <v>3950</v>
      </c>
      <c r="CR79" s="3609">
        <v>2631.41</v>
      </c>
      <c r="CS79" s="3603">
        <v>2631.41</v>
      </c>
      <c r="CT79" s="3561">
        <f t="shared" si="167"/>
        <v>0</v>
      </c>
      <c r="CU79" s="3559">
        <v>368.59</v>
      </c>
      <c r="CV79" s="3603">
        <v>368.59</v>
      </c>
      <c r="CW79" s="3561">
        <f t="shared" si="168"/>
        <v>0</v>
      </c>
      <c r="CX79" s="3563" t="s">
        <v>4016</v>
      </c>
      <c r="CY79" s="3547" t="s">
        <v>3966</v>
      </c>
      <c r="CZ79" s="3609">
        <v>2631.41</v>
      </c>
      <c r="DA79" s="3562">
        <v>2631.41</v>
      </c>
      <c r="DB79" s="3561">
        <f t="shared" si="169"/>
        <v>0</v>
      </c>
      <c r="DC79" s="3559">
        <v>368.59</v>
      </c>
      <c r="DD79" s="3562">
        <v>368.59</v>
      </c>
      <c r="DE79" s="3561">
        <f t="shared" si="170"/>
        <v>0</v>
      </c>
      <c r="DF79" s="3563" t="s">
        <v>4494</v>
      </c>
      <c r="DG79" s="3547" t="s">
        <v>3968</v>
      </c>
      <c r="DH79" s="3609">
        <v>2631.41</v>
      </c>
      <c r="DI79" s="3562"/>
      <c r="DJ79" s="3561">
        <f t="shared" si="171"/>
        <v>-2631.41</v>
      </c>
      <c r="DK79" s="3559">
        <v>368.59</v>
      </c>
      <c r="DL79" s="3562"/>
      <c r="DM79" s="3561">
        <f t="shared" si="172"/>
        <v>-368.59</v>
      </c>
      <c r="DN79" s="3563"/>
      <c r="DO79" s="3547" t="s">
        <v>3969</v>
      </c>
      <c r="DP79" s="3609">
        <v>2631.41</v>
      </c>
      <c r="DQ79" s="3562"/>
      <c r="DR79" s="3561">
        <f t="shared" si="173"/>
        <v>-2631.41</v>
      </c>
      <c r="DS79" s="3559">
        <v>368.59</v>
      </c>
      <c r="DT79" s="3562"/>
      <c r="DU79" s="3561">
        <f t="shared" si="174"/>
        <v>-368.59</v>
      </c>
      <c r="DV79" s="3563"/>
      <c r="DW79" s="3547" t="s">
        <v>3970</v>
      </c>
      <c r="DX79" s="3609">
        <v>2631.41</v>
      </c>
      <c r="DY79" s="3562"/>
      <c r="DZ79" s="3561">
        <f t="shared" si="175"/>
        <v>-2631.41</v>
      </c>
      <c r="EA79" s="3559">
        <v>368.59</v>
      </c>
      <c r="EB79" s="3562"/>
      <c r="EC79" s="3561">
        <f t="shared" si="176"/>
        <v>-368.59</v>
      </c>
      <c r="ED79" s="3563"/>
      <c r="EE79" s="3564"/>
      <c r="EF79" s="3565">
        <f t="shared" si="153"/>
        <v>26238.980952380993</v>
      </c>
      <c r="EG79" s="3565">
        <f t="shared" si="143"/>
        <v>19679.235714285747</v>
      </c>
      <c r="EH79" s="3565">
        <f t="shared" si="143"/>
        <v>20048.838095238094</v>
      </c>
      <c r="EI79" s="3565">
        <f t="shared" si="143"/>
        <v>20048.838095238094</v>
      </c>
      <c r="EJ79" s="3565">
        <f t="shared" si="154"/>
        <v>369.60238095234672</v>
      </c>
      <c r="EK79" s="3566">
        <f t="shared" si="155"/>
        <v>0</v>
      </c>
      <c r="EL79" s="3610"/>
      <c r="EM79" s="3567">
        <f t="shared" si="156"/>
        <v>4172.7075471698163</v>
      </c>
      <c r="EN79" s="3557">
        <f t="shared" si="144"/>
        <v>3129.530660377362</v>
      </c>
      <c r="EO79" s="3557">
        <f t="shared" si="144"/>
        <v>2781.8113207547171</v>
      </c>
      <c r="EP79" s="3557">
        <f t="shared" si="144"/>
        <v>2781.8113207547171</v>
      </c>
      <c r="EQ79" s="3557">
        <f t="shared" si="157"/>
        <v>-347.71933962264484</v>
      </c>
      <c r="ER79" s="3557">
        <f t="shared" si="158"/>
        <v>0</v>
      </c>
      <c r="ES79" s="3557"/>
      <c r="ET79" s="3568">
        <v>2186.5817460317498</v>
      </c>
      <c r="EU79" s="3569"/>
      <c r="EV79" s="3562"/>
      <c r="EW79" s="3547">
        <f t="shared" si="129"/>
        <v>-2186.5817460317498</v>
      </c>
      <c r="EX79" s="3568">
        <v>347.725628930818</v>
      </c>
      <c r="EY79" s="3569"/>
      <c r="EZ79" s="3562"/>
      <c r="FA79" s="3547">
        <f t="shared" si="130"/>
        <v>-347.725628930818</v>
      </c>
      <c r="FB79" s="3568">
        <v>2186.5817460317498</v>
      </c>
      <c r="FC79" s="3569">
        <f>2631.41/1.05</f>
        <v>2506.1047619047617</v>
      </c>
      <c r="FD79" s="3562">
        <f>5262.82/2/1.05</f>
        <v>2506.1047619047617</v>
      </c>
      <c r="FE79" s="3547">
        <f t="shared" si="117"/>
        <v>319.5230158730119</v>
      </c>
      <c r="FF79" s="3568">
        <v>347.725628930818</v>
      </c>
      <c r="FG79" s="3569">
        <f>368.59/1.06</f>
        <v>347.72641509433959</v>
      </c>
      <c r="FH79" s="3562">
        <f>737.18/2/1.06</f>
        <v>347.72641509433959</v>
      </c>
      <c r="FI79" s="3547">
        <f t="shared" si="118"/>
        <v>7.8616352158178415E-4</v>
      </c>
      <c r="FJ79" s="3568">
        <v>2186.5817460317498</v>
      </c>
      <c r="FK79" s="3559">
        <f>2631.41/1.05</f>
        <v>2506.1047619047617</v>
      </c>
      <c r="FL79" s="3562">
        <f>5262.82/2/1.05</f>
        <v>2506.1047619047617</v>
      </c>
      <c r="FM79" s="3547">
        <f t="shared" si="119"/>
        <v>319.5230158730119</v>
      </c>
      <c r="FN79" s="3568">
        <v>347.725628930818</v>
      </c>
      <c r="FO79" s="3559">
        <f>368.59/1.06</f>
        <v>347.72641509433959</v>
      </c>
      <c r="FP79" s="3562">
        <f>737.18/2/1.06</f>
        <v>347.72641509433959</v>
      </c>
      <c r="FQ79" s="3547">
        <f t="shared" si="120"/>
        <v>7.8616352158178415E-4</v>
      </c>
      <c r="FR79" s="3568">
        <v>2186.5817460317498</v>
      </c>
      <c r="FS79" s="3559">
        <f>2631.41/1.05</f>
        <v>2506.1047619047617</v>
      </c>
      <c r="FT79" s="3560">
        <f>2631.41/1.05</f>
        <v>2506.1047619047617</v>
      </c>
      <c r="FU79" s="3547">
        <f t="shared" si="177"/>
        <v>319.5230158730119</v>
      </c>
      <c r="FV79" s="3568">
        <v>347.725628930818</v>
      </c>
      <c r="FW79" s="3559">
        <f>368.59/1.06</f>
        <v>347.72641509433959</v>
      </c>
      <c r="FX79" s="3560">
        <f>368.59/1.06</f>
        <v>347.72641509433959</v>
      </c>
      <c r="FY79" s="3547">
        <f t="shared" si="178"/>
        <v>7.8616352158178415E-4</v>
      </c>
      <c r="FZ79" s="3568">
        <v>2186.5817460317498</v>
      </c>
      <c r="GA79" s="3569">
        <f>2631.41/1.05</f>
        <v>2506.1047619047617</v>
      </c>
      <c r="GB79" s="3560">
        <f>2631.41/1.05</f>
        <v>2506.1047619047617</v>
      </c>
      <c r="GC79" s="3547">
        <f t="shared" si="179"/>
        <v>319.5230158730119</v>
      </c>
      <c r="GD79" s="3568">
        <v>347.725628930818</v>
      </c>
      <c r="GE79" s="3569">
        <f>368.59/1.06</f>
        <v>347.72641509433959</v>
      </c>
      <c r="GF79" s="3560">
        <f>368.59/1.06</f>
        <v>347.72641509433959</v>
      </c>
      <c r="GG79" s="3547">
        <f t="shared" si="180"/>
        <v>7.8616352158178415E-4</v>
      </c>
      <c r="GH79" s="3568">
        <v>2186.5817460317498</v>
      </c>
      <c r="GI79" s="3569">
        <f>2631.41/1.05</f>
        <v>2506.1047619047617</v>
      </c>
      <c r="GJ79" s="3562">
        <f>2631.41/1.05</f>
        <v>2506.1047619047617</v>
      </c>
      <c r="GK79" s="3547">
        <f t="shared" si="181"/>
        <v>319.5230158730119</v>
      </c>
      <c r="GL79" s="3568">
        <v>347.725628930818</v>
      </c>
      <c r="GM79" s="3569">
        <f>368.59/1.06</f>
        <v>347.72641509433959</v>
      </c>
      <c r="GN79" s="3562">
        <f>368.59/1.06</f>
        <v>347.72641509433959</v>
      </c>
      <c r="GO79" s="3547">
        <f t="shared" si="182"/>
        <v>7.8616352158178415E-4</v>
      </c>
      <c r="GP79" s="3568">
        <v>2186.5817460317498</v>
      </c>
      <c r="GQ79" s="3569">
        <f>2631.41/1.05</f>
        <v>2506.1047619047617</v>
      </c>
      <c r="GR79" s="3562">
        <f>2631.41/1.05</f>
        <v>2506.1047619047617</v>
      </c>
      <c r="GS79" s="3547">
        <f t="shared" si="183"/>
        <v>319.5230158730119</v>
      </c>
      <c r="GT79" s="3568">
        <v>347.725628930818</v>
      </c>
      <c r="GU79" s="3569">
        <f>368.59/1.06</f>
        <v>347.72641509433959</v>
      </c>
      <c r="GV79" s="3562">
        <f>368.59/1.06</f>
        <v>347.72641509433959</v>
      </c>
      <c r="GW79" s="3547">
        <f t="shared" si="184"/>
        <v>7.8616352158178415E-4</v>
      </c>
      <c r="GX79" s="3568">
        <v>2186.5817460317498</v>
      </c>
      <c r="GY79" s="3569">
        <f>2631.41/1.05</f>
        <v>2506.1047619047617</v>
      </c>
      <c r="GZ79" s="3562">
        <f>2631.41/1.05</f>
        <v>2506.1047619047617</v>
      </c>
      <c r="HA79" s="3547">
        <f t="shared" si="185"/>
        <v>319.5230158730119</v>
      </c>
      <c r="HB79" s="3568">
        <v>347.725628930818</v>
      </c>
      <c r="HC79" s="3569">
        <f>368.59/1.06</f>
        <v>347.72641509433959</v>
      </c>
      <c r="HD79" s="3562">
        <f>368.59/1.06</f>
        <v>347.72641509433959</v>
      </c>
      <c r="HE79" s="3547">
        <f t="shared" si="186"/>
        <v>7.8616352158178415E-4</v>
      </c>
      <c r="HF79" s="3568">
        <v>2186.5817460317498</v>
      </c>
      <c r="HG79" s="3569">
        <f>2631.41/1.05</f>
        <v>2506.1047619047617</v>
      </c>
      <c r="HH79" s="3562">
        <f>2631.41/1.05</f>
        <v>2506.1047619047617</v>
      </c>
      <c r="HI79" s="3547">
        <f t="shared" si="187"/>
        <v>319.5230158730119</v>
      </c>
      <c r="HJ79" s="3568">
        <v>347.725628930818</v>
      </c>
      <c r="HK79" s="3569">
        <f>368.59/1.06</f>
        <v>347.72641509433959</v>
      </c>
      <c r="HL79" s="3562">
        <f>368.59/1.06</f>
        <v>347.72641509433959</v>
      </c>
      <c r="HM79" s="3547">
        <f t="shared" si="188"/>
        <v>7.8616352158178415E-4</v>
      </c>
      <c r="HN79" s="3568">
        <v>2186.5817460317498</v>
      </c>
      <c r="HO79" s="3569">
        <f>2631.41/1.05</f>
        <v>2506.1047619047617</v>
      </c>
      <c r="HP79" s="3562">
        <f>2631.41/1.05</f>
        <v>2506.1047619047617</v>
      </c>
      <c r="HQ79" s="3547">
        <f t="shared" si="189"/>
        <v>319.5230158730119</v>
      </c>
      <c r="HR79" s="3568">
        <v>347.725628930818</v>
      </c>
      <c r="HS79" s="3569">
        <f>368.59/1.06</f>
        <v>347.72641509433959</v>
      </c>
      <c r="HT79" s="3562">
        <f>368.59/1.06</f>
        <v>347.72641509433959</v>
      </c>
      <c r="HU79" s="3547">
        <f t="shared" si="190"/>
        <v>7.8616352158178415E-4</v>
      </c>
      <c r="HV79" s="3568">
        <v>2186.5817460317498</v>
      </c>
      <c r="HW79" s="3569">
        <f>2631.41/1.05</f>
        <v>2506.1047619047617</v>
      </c>
      <c r="HX79" s="3562"/>
      <c r="HY79" s="3547">
        <f t="shared" si="191"/>
        <v>-2186.5817460317498</v>
      </c>
      <c r="HZ79" s="3568">
        <v>347.725628930818</v>
      </c>
      <c r="IA79" s="3569">
        <f>368.59/1.06</f>
        <v>347.72641509433959</v>
      </c>
      <c r="IB79" s="3562"/>
      <c r="IC79" s="3547">
        <f t="shared" si="192"/>
        <v>-347.725628930818</v>
      </c>
      <c r="ID79" s="3568">
        <v>2186.5817460317498</v>
      </c>
      <c r="IE79" s="3569">
        <f>2631.41/1.05</f>
        <v>2506.1047619047617</v>
      </c>
      <c r="IF79" s="3562"/>
      <c r="IG79" s="3547">
        <f t="shared" si="193"/>
        <v>-2186.5817460317498</v>
      </c>
      <c r="IH79" s="3568">
        <v>347.725628930818</v>
      </c>
      <c r="II79" s="3569">
        <f>368.59/1.06</f>
        <v>347.72641509433959</v>
      </c>
      <c r="IJ79" s="3562"/>
      <c r="IK79" s="3547">
        <f t="shared" si="194"/>
        <v>-347.725628930818</v>
      </c>
      <c r="IL79" s="3547" t="s">
        <v>3970</v>
      </c>
      <c r="IM79" s="3569">
        <f>2631.41/1.05</f>
        <v>2506.1047619047617</v>
      </c>
      <c r="IN79" s="3569">
        <f>368.59/1.06</f>
        <v>347.72641509433959</v>
      </c>
      <c r="IO79" s="3547"/>
      <c r="IP79" s="3560">
        <f t="shared" si="195"/>
        <v>0</v>
      </c>
      <c r="IQ79" s="3568"/>
      <c r="IR79" s="3568"/>
      <c r="IS79" s="3568"/>
      <c r="IT79" s="3568"/>
      <c r="IU79" s="3568"/>
      <c r="IV79" s="3568"/>
      <c r="IW79" s="3568"/>
      <c r="IX79" s="3568"/>
      <c r="IY79" s="3568"/>
      <c r="IZ79" s="3560"/>
      <c r="JA79" s="3560"/>
      <c r="JB79" s="3560"/>
      <c r="JC79" s="3560">
        <f t="shared" si="134"/>
        <v>0</v>
      </c>
      <c r="JD79" s="3547"/>
      <c r="JE79" s="3568"/>
      <c r="JF79" s="3568"/>
      <c r="JG79" s="3568"/>
      <c r="JH79" s="3568"/>
      <c r="JI79" s="3568"/>
      <c r="JJ79" s="3568"/>
      <c r="JK79" s="3568"/>
      <c r="JL79" s="3568"/>
      <c r="JM79" s="3568"/>
      <c r="JN79" s="3560"/>
      <c r="JO79" s="3560"/>
      <c r="JP79" s="3570"/>
      <c r="JQ79" s="3583"/>
      <c r="JR79" s="3583"/>
      <c r="JS79" s="3573">
        <f t="shared" si="145"/>
        <v>0</v>
      </c>
      <c r="JT79" s="3573">
        <f t="shared" si="152"/>
        <v>5.6843418860808015E-13</v>
      </c>
      <c r="JU79" s="3574">
        <f t="shared" si="146"/>
        <v>0</v>
      </c>
      <c r="JV79" s="3574">
        <f t="shared" si="147"/>
        <v>0</v>
      </c>
      <c r="JW79" s="3575"/>
      <c r="JX79" s="3576">
        <f t="shared" si="148"/>
        <v>2506.1047619047617</v>
      </c>
      <c r="JY79" s="3576">
        <f t="shared" si="149"/>
        <v>347.72641509433959</v>
      </c>
      <c r="JZ79" s="3577"/>
      <c r="KA79" s="3573">
        <f t="shared" si="131"/>
        <v>319.52380203653348</v>
      </c>
      <c r="KB79" s="3573"/>
      <c r="KC79" s="3573"/>
      <c r="KD79" s="3573">
        <f t="shared" si="150"/>
        <v>319.52380203653348</v>
      </c>
      <c r="KE79" s="3578" t="s">
        <v>4069</v>
      </c>
      <c r="KF79" s="3579"/>
      <c r="KG79" s="3579"/>
      <c r="KH79" s="3579"/>
      <c r="KI79" s="3579">
        <f>319.52/10000*8</f>
        <v>0.25561600000000001</v>
      </c>
      <c r="KJ79" s="3579"/>
      <c r="KK79" s="3579"/>
      <c r="KL79" s="3579">
        <f>-2534.31/10000</f>
        <v>-0.25343100000000002</v>
      </c>
      <c r="KM79" s="3579"/>
      <c r="KN79" s="3579"/>
      <c r="KO79" s="3579"/>
      <c r="KP79" s="3579"/>
      <c r="KQ79" s="3579">
        <f t="shared" si="151"/>
        <v>2.1849999999999925E-3</v>
      </c>
      <c r="KR79" s="3579">
        <f t="shared" si="196"/>
        <v>3.3041329701955988E-6</v>
      </c>
      <c r="KS79" s="3577"/>
      <c r="KT79" s="3577"/>
      <c r="KU79" s="3577"/>
      <c r="KV79" s="3577"/>
      <c r="KW79" s="3577"/>
      <c r="KX79" s="3577"/>
      <c r="KY79" s="3577"/>
      <c r="KZ79" s="3577"/>
      <c r="LA79" s="3577"/>
      <c r="LB79" s="3577"/>
      <c r="LC79" s="3577"/>
      <c r="LD79" s="3577"/>
      <c r="LE79" s="3577"/>
      <c r="LF79" s="3577"/>
      <c r="LG79" s="3577"/>
      <c r="LH79" s="3577"/>
      <c r="LJ79" s="3575"/>
      <c r="LK79" s="3571" t="s">
        <v>4486</v>
      </c>
      <c r="LL79" s="3576">
        <v>3406.12</v>
      </c>
    </row>
    <row r="80" spans="1:325" s="3580" customFormat="1" ht="18" customHeight="1">
      <c r="A80" s="3545">
        <v>77</v>
      </c>
      <c r="B80" s="3546" t="s">
        <v>4346</v>
      </c>
      <c r="C80" s="3667" t="s">
        <v>4495</v>
      </c>
      <c r="D80" s="3562">
        <v>41.2</v>
      </c>
      <c r="E80" s="3596" t="s">
        <v>3845</v>
      </c>
      <c r="F80" s="3546" t="s">
        <v>3790</v>
      </c>
      <c r="G80" s="3595" t="s">
        <v>4463</v>
      </c>
      <c r="H80" s="3546"/>
      <c r="I80" s="3594"/>
      <c r="J80" s="3594"/>
      <c r="K80" s="3555"/>
      <c r="L80" s="3555"/>
      <c r="M80" s="3551"/>
      <c r="N80" s="3551"/>
      <c r="O80" s="3551">
        <f t="shared" si="135"/>
        <v>0</v>
      </c>
      <c r="P80" s="3547"/>
      <c r="Q80" s="3547"/>
      <c r="R80" s="3547">
        <f t="shared" si="132"/>
        <v>0</v>
      </c>
      <c r="S80" s="3547">
        <f t="shared" si="125"/>
        <v>0</v>
      </c>
      <c r="T80" s="3658"/>
      <c r="U80" s="3553">
        <f t="shared" si="136"/>
        <v>0</v>
      </c>
      <c r="V80" s="3547"/>
      <c r="W80" s="3547">
        <f t="shared" si="126"/>
        <v>0</v>
      </c>
      <c r="X80" s="3663"/>
      <c r="Y80" s="3547">
        <f t="shared" si="137"/>
        <v>0</v>
      </c>
      <c r="Z80" s="3554"/>
      <c r="AA80" s="3555"/>
      <c r="AB80" s="3680"/>
      <c r="AC80" s="3556">
        <f t="shared" si="138"/>
        <v>0</v>
      </c>
      <c r="AD80" s="3556">
        <f t="shared" si="139"/>
        <v>0</v>
      </c>
      <c r="AE80" s="3556">
        <f t="shared" si="139"/>
        <v>0</v>
      </c>
      <c r="AF80" s="3556">
        <f t="shared" si="140"/>
        <v>0</v>
      </c>
      <c r="AG80" s="3556"/>
      <c r="AH80" s="3557">
        <f t="shared" si="141"/>
        <v>0</v>
      </c>
      <c r="AI80" s="3558">
        <f t="shared" si="142"/>
        <v>0</v>
      </c>
      <c r="AJ80" s="3558">
        <f t="shared" si="142"/>
        <v>0</v>
      </c>
      <c r="AK80" s="3557">
        <f t="shared" si="159"/>
        <v>0</v>
      </c>
      <c r="AL80" s="3557"/>
      <c r="AM80" s="3547"/>
      <c r="AN80" s="3609"/>
      <c r="AO80" s="3562"/>
      <c r="AP80" s="3561">
        <f t="shared" si="113"/>
        <v>0</v>
      </c>
      <c r="AQ80" s="3559"/>
      <c r="AR80" s="3562"/>
      <c r="AS80" s="3561">
        <f t="shared" si="127"/>
        <v>0</v>
      </c>
      <c r="AT80" s="3563"/>
      <c r="AU80" s="3547"/>
      <c r="AV80" s="3609"/>
      <c r="AW80" s="3562"/>
      <c r="AX80" s="3561">
        <f t="shared" si="114"/>
        <v>0</v>
      </c>
      <c r="AY80" s="3559"/>
      <c r="AZ80" s="3562"/>
      <c r="BA80" s="3561">
        <f t="shared" si="128"/>
        <v>0</v>
      </c>
      <c r="BB80" s="3563"/>
      <c r="BC80" s="3547"/>
      <c r="BD80" s="3609"/>
      <c r="BE80" s="3562"/>
      <c r="BF80" s="3561">
        <f t="shared" si="115"/>
        <v>0</v>
      </c>
      <c r="BG80" s="3559"/>
      <c r="BH80" s="3562"/>
      <c r="BI80" s="3561">
        <f t="shared" si="116"/>
        <v>0</v>
      </c>
      <c r="BJ80" s="3563"/>
      <c r="BK80" s="3547"/>
      <c r="BL80" s="3609"/>
      <c r="BM80" s="3562"/>
      <c r="BN80" s="3561">
        <f t="shared" si="160"/>
        <v>0</v>
      </c>
      <c r="BO80" s="3559"/>
      <c r="BP80" s="3562"/>
      <c r="BQ80" s="3561">
        <f t="shared" si="161"/>
        <v>0</v>
      </c>
      <c r="BR80" s="3563"/>
      <c r="BS80" s="3547"/>
      <c r="BT80" s="3559"/>
      <c r="BU80" s="3562"/>
      <c r="BV80" s="3561">
        <f t="shared" si="162"/>
        <v>0</v>
      </c>
      <c r="BW80" s="3559"/>
      <c r="BX80" s="3562"/>
      <c r="BY80" s="3561">
        <f t="shared" si="163"/>
        <v>0</v>
      </c>
      <c r="BZ80" s="3563"/>
      <c r="CA80" s="3547"/>
      <c r="CB80" s="3609"/>
      <c r="CC80" s="3562"/>
      <c r="CD80" s="3561">
        <f t="shared" si="164"/>
        <v>0</v>
      </c>
      <c r="CE80" s="3559"/>
      <c r="CF80" s="3562"/>
      <c r="CG80" s="3561">
        <f t="shared" si="165"/>
        <v>0</v>
      </c>
      <c r="CH80" s="3563"/>
      <c r="CI80" s="3547"/>
      <c r="CJ80" s="3609"/>
      <c r="CK80" s="3562"/>
      <c r="CL80" s="3561">
        <f t="shared" si="133"/>
        <v>0</v>
      </c>
      <c r="CM80" s="3559"/>
      <c r="CN80" s="3562"/>
      <c r="CO80" s="3561">
        <f t="shared" si="166"/>
        <v>0</v>
      </c>
      <c r="CP80" s="3563"/>
      <c r="CQ80" s="3547"/>
      <c r="CR80" s="3609"/>
      <c r="CS80" s="3603"/>
      <c r="CT80" s="3561">
        <f t="shared" si="167"/>
        <v>0</v>
      </c>
      <c r="CU80" s="3559"/>
      <c r="CV80" s="3603"/>
      <c r="CW80" s="3561">
        <f t="shared" si="168"/>
        <v>0</v>
      </c>
      <c r="CX80" s="3563"/>
      <c r="CY80" s="3547"/>
      <c r="CZ80" s="3609"/>
      <c r="DA80" s="3562"/>
      <c r="DB80" s="3561">
        <f t="shared" si="169"/>
        <v>0</v>
      </c>
      <c r="DC80" s="3559"/>
      <c r="DD80" s="3562"/>
      <c r="DE80" s="3561">
        <f t="shared" si="170"/>
        <v>0</v>
      </c>
      <c r="DF80" s="3563"/>
      <c r="DG80" s="3547"/>
      <c r="DH80" s="3609"/>
      <c r="DI80" s="3562"/>
      <c r="DJ80" s="3561">
        <f t="shared" si="171"/>
        <v>0</v>
      </c>
      <c r="DK80" s="3559"/>
      <c r="DL80" s="3562"/>
      <c r="DM80" s="3561">
        <f t="shared" si="172"/>
        <v>0</v>
      </c>
      <c r="DN80" s="3563"/>
      <c r="DO80" s="3547"/>
      <c r="DP80" s="3609"/>
      <c r="DQ80" s="3562"/>
      <c r="DR80" s="3561">
        <f t="shared" si="173"/>
        <v>0</v>
      </c>
      <c r="DS80" s="3559"/>
      <c r="DT80" s="3562"/>
      <c r="DU80" s="3561">
        <f t="shared" si="174"/>
        <v>0</v>
      </c>
      <c r="DV80" s="3563"/>
      <c r="DW80" s="3547"/>
      <c r="DX80" s="3609"/>
      <c r="DY80" s="3562"/>
      <c r="DZ80" s="3561">
        <f t="shared" si="175"/>
        <v>0</v>
      </c>
      <c r="EA80" s="3559"/>
      <c r="EB80" s="3562"/>
      <c r="EC80" s="3561">
        <f t="shared" si="176"/>
        <v>0</v>
      </c>
      <c r="ED80" s="3563"/>
      <c r="EF80" s="3565">
        <f t="shared" si="153"/>
        <v>0</v>
      </c>
      <c r="EG80" s="3565">
        <f t="shared" si="143"/>
        <v>0</v>
      </c>
      <c r="EH80" s="3565">
        <f t="shared" si="143"/>
        <v>0</v>
      </c>
      <c r="EI80" s="3565">
        <f t="shared" si="143"/>
        <v>0</v>
      </c>
      <c r="EJ80" s="3565">
        <f t="shared" si="154"/>
        <v>0</v>
      </c>
      <c r="EK80" s="3566">
        <f t="shared" si="155"/>
        <v>0</v>
      </c>
      <c r="EL80" s="3610"/>
      <c r="EM80" s="3567">
        <f t="shared" si="156"/>
        <v>0</v>
      </c>
      <c r="EN80" s="3557">
        <f t="shared" si="144"/>
        <v>0</v>
      </c>
      <c r="EO80" s="3557">
        <f t="shared" si="144"/>
        <v>0</v>
      </c>
      <c r="EP80" s="3557">
        <f t="shared" si="144"/>
        <v>0</v>
      </c>
      <c r="EQ80" s="3557">
        <f t="shared" si="157"/>
        <v>0</v>
      </c>
      <c r="ER80" s="3557">
        <f t="shared" si="158"/>
        <v>0</v>
      </c>
      <c r="ES80" s="3557"/>
      <c r="ET80" s="3568"/>
      <c r="EU80" s="3569"/>
      <c r="EV80" s="3562"/>
      <c r="EW80" s="3547">
        <f t="shared" si="129"/>
        <v>0</v>
      </c>
      <c r="EX80" s="3568"/>
      <c r="EY80" s="3569"/>
      <c r="EZ80" s="3562"/>
      <c r="FA80" s="3547">
        <f t="shared" si="130"/>
        <v>0</v>
      </c>
      <c r="FB80" s="3568"/>
      <c r="FC80" s="3569"/>
      <c r="FD80" s="3562"/>
      <c r="FE80" s="3547">
        <f t="shared" si="117"/>
        <v>0</v>
      </c>
      <c r="FF80" s="3568"/>
      <c r="FG80" s="3569"/>
      <c r="FH80" s="3562"/>
      <c r="FI80" s="3547">
        <f t="shared" si="118"/>
        <v>0</v>
      </c>
      <c r="FJ80" s="3568"/>
      <c r="FK80" s="3559"/>
      <c r="FL80" s="3562"/>
      <c r="FM80" s="3547">
        <f t="shared" si="119"/>
        <v>0</v>
      </c>
      <c r="FN80" s="3568"/>
      <c r="FO80" s="3559"/>
      <c r="FP80" s="3562"/>
      <c r="FQ80" s="3547">
        <f t="shared" si="120"/>
        <v>0</v>
      </c>
      <c r="FR80" s="3568"/>
      <c r="FS80" s="3559"/>
      <c r="FT80" s="3560"/>
      <c r="FU80" s="3547">
        <f t="shared" si="177"/>
        <v>0</v>
      </c>
      <c r="FV80" s="3568"/>
      <c r="FW80" s="3559"/>
      <c r="FX80" s="3560"/>
      <c r="FY80" s="3547">
        <f t="shared" si="178"/>
        <v>0</v>
      </c>
      <c r="FZ80" s="3568"/>
      <c r="GA80" s="3569"/>
      <c r="GB80" s="3560"/>
      <c r="GC80" s="3547">
        <f t="shared" si="179"/>
        <v>0</v>
      </c>
      <c r="GD80" s="3568"/>
      <c r="GE80" s="3569"/>
      <c r="GF80" s="3560"/>
      <c r="GG80" s="3547">
        <f t="shared" si="180"/>
        <v>0</v>
      </c>
      <c r="GH80" s="3568"/>
      <c r="GI80" s="3569"/>
      <c r="GJ80" s="3560"/>
      <c r="GK80" s="3547">
        <f t="shared" si="181"/>
        <v>0</v>
      </c>
      <c r="GL80" s="3568"/>
      <c r="GM80" s="3569"/>
      <c r="GN80" s="3560"/>
      <c r="GO80" s="3547">
        <f t="shared" si="182"/>
        <v>0</v>
      </c>
      <c r="GP80" s="3568"/>
      <c r="GQ80" s="3569"/>
      <c r="GR80" s="3562"/>
      <c r="GS80" s="3547">
        <f t="shared" si="183"/>
        <v>0</v>
      </c>
      <c r="GT80" s="3568"/>
      <c r="GU80" s="3569"/>
      <c r="GV80" s="3562"/>
      <c r="GW80" s="3547">
        <f t="shared" si="184"/>
        <v>0</v>
      </c>
      <c r="GX80" s="3568"/>
      <c r="GY80" s="3569"/>
      <c r="GZ80" s="3562"/>
      <c r="HA80" s="3547">
        <f t="shared" si="185"/>
        <v>0</v>
      </c>
      <c r="HB80" s="3568"/>
      <c r="HC80" s="3569"/>
      <c r="HD80" s="3562"/>
      <c r="HE80" s="3547">
        <f t="shared" si="186"/>
        <v>0</v>
      </c>
      <c r="HF80" s="3568"/>
      <c r="HG80" s="3569"/>
      <c r="HH80" s="3562"/>
      <c r="HI80" s="3547">
        <f t="shared" si="187"/>
        <v>0</v>
      </c>
      <c r="HJ80" s="3568"/>
      <c r="HK80" s="3569"/>
      <c r="HL80" s="3562"/>
      <c r="HM80" s="3547">
        <f t="shared" si="188"/>
        <v>0</v>
      </c>
      <c r="HN80" s="3568"/>
      <c r="HO80" s="3569"/>
      <c r="HP80" s="3562"/>
      <c r="HQ80" s="3547">
        <f t="shared" si="189"/>
        <v>0</v>
      </c>
      <c r="HR80" s="3568"/>
      <c r="HS80" s="3569"/>
      <c r="HT80" s="3562"/>
      <c r="HU80" s="3547">
        <f t="shared" si="190"/>
        <v>0</v>
      </c>
      <c r="HV80" s="3568"/>
      <c r="HW80" s="3569"/>
      <c r="HX80" s="3562"/>
      <c r="HY80" s="3547">
        <f t="shared" si="191"/>
        <v>0</v>
      </c>
      <c r="HZ80" s="3568"/>
      <c r="IA80" s="3569"/>
      <c r="IB80" s="3562"/>
      <c r="IC80" s="3547">
        <f t="shared" si="192"/>
        <v>0</v>
      </c>
      <c r="ID80" s="3568"/>
      <c r="IE80" s="3569"/>
      <c r="IF80" s="3562"/>
      <c r="IG80" s="3547">
        <f t="shared" si="193"/>
        <v>0</v>
      </c>
      <c r="IH80" s="3568"/>
      <c r="II80" s="3569"/>
      <c r="IJ80" s="3562"/>
      <c r="IK80" s="3547">
        <f t="shared" si="194"/>
        <v>0</v>
      </c>
      <c r="IL80" s="3570"/>
      <c r="IM80" s="3569"/>
      <c r="IN80" s="3569"/>
      <c r="IO80" s="3547"/>
      <c r="IP80" s="3560">
        <f t="shared" si="195"/>
        <v>0</v>
      </c>
      <c r="IQ80" s="3568"/>
      <c r="IR80" s="3568"/>
      <c r="IS80" s="3568"/>
      <c r="IT80" s="3568"/>
      <c r="IU80" s="3568"/>
      <c r="IV80" s="3568"/>
      <c r="IW80" s="3568"/>
      <c r="IX80" s="3568"/>
      <c r="IY80" s="3568"/>
      <c r="IZ80" s="3560"/>
      <c r="JA80" s="3560"/>
      <c r="JB80" s="3560"/>
      <c r="JC80" s="3560">
        <f t="shared" si="134"/>
        <v>0</v>
      </c>
      <c r="JD80" s="3547"/>
      <c r="JE80" s="3568"/>
      <c r="JF80" s="3568"/>
      <c r="JG80" s="3568"/>
      <c r="JH80" s="3568"/>
      <c r="JI80" s="3568"/>
      <c r="JJ80" s="3568"/>
      <c r="JK80" s="3568"/>
      <c r="JL80" s="3568"/>
      <c r="JM80" s="3568"/>
      <c r="JN80" s="3560"/>
      <c r="JO80" s="3560"/>
      <c r="JP80" s="3570"/>
      <c r="JQ80" s="3583"/>
      <c r="JR80" s="3583"/>
      <c r="JS80" s="3573">
        <f t="shared" si="145"/>
        <v>0</v>
      </c>
      <c r="JT80" s="3573">
        <f t="shared" si="152"/>
        <v>0</v>
      </c>
      <c r="JU80" s="3574">
        <f t="shared" si="146"/>
        <v>0</v>
      </c>
      <c r="JV80" s="3574">
        <f t="shared" si="147"/>
        <v>0</v>
      </c>
      <c r="JW80" s="3575"/>
      <c r="JX80" s="3576">
        <f t="shared" si="148"/>
        <v>0</v>
      </c>
      <c r="JY80" s="3576">
        <f t="shared" si="149"/>
        <v>0</v>
      </c>
      <c r="JZ80" s="3577"/>
      <c r="KA80" s="3573">
        <f t="shared" si="131"/>
        <v>0</v>
      </c>
      <c r="KB80" s="3573"/>
      <c r="KC80" s="3573"/>
      <c r="KD80" s="3573">
        <f t="shared" si="150"/>
        <v>0</v>
      </c>
      <c r="KE80" s="3571"/>
      <c r="KF80" s="3579"/>
      <c r="KG80" s="3579"/>
      <c r="KH80" s="3579"/>
      <c r="KI80" s="3579"/>
      <c r="KJ80" s="3579"/>
      <c r="KK80" s="3579"/>
      <c r="KL80" s="3579"/>
      <c r="KM80" s="3579"/>
      <c r="KN80" s="3579"/>
      <c r="KO80" s="3579"/>
      <c r="KP80" s="3579"/>
      <c r="KQ80" s="3579">
        <f t="shared" si="151"/>
        <v>0</v>
      </c>
      <c r="KR80" s="3579">
        <f t="shared" si="196"/>
        <v>0</v>
      </c>
      <c r="KS80" s="3577"/>
      <c r="KT80" s="3577"/>
      <c r="KU80" s="3577"/>
      <c r="KV80" s="3577"/>
      <c r="KW80" s="3577"/>
      <c r="KX80" s="3577"/>
      <c r="KY80" s="3577"/>
      <c r="KZ80" s="3577"/>
      <c r="LA80" s="3577"/>
      <c r="LB80" s="3577"/>
      <c r="LC80" s="3577"/>
      <c r="LD80" s="3577"/>
      <c r="LE80" s="3577"/>
      <c r="LF80" s="3577"/>
      <c r="LG80" s="3577"/>
      <c r="LH80" s="3577"/>
      <c r="LJ80" s="3575"/>
      <c r="LK80" s="3571"/>
      <c r="LL80" s="3576"/>
    </row>
    <row r="81" spans="1:325" s="3580" customFormat="1" ht="18" customHeight="1">
      <c r="A81" s="3545">
        <v>78</v>
      </c>
      <c r="B81" s="3546" t="s">
        <v>4496</v>
      </c>
      <c r="C81" s="3546">
        <v>1406</v>
      </c>
      <c r="D81" s="3547">
        <v>56.59</v>
      </c>
      <c r="E81" s="3548" t="s">
        <v>3799</v>
      </c>
      <c r="F81" s="3546" t="s">
        <v>3790</v>
      </c>
      <c r="G81" s="3549" t="s">
        <v>4497</v>
      </c>
      <c r="H81" s="3546" t="s">
        <v>4498</v>
      </c>
      <c r="I81" s="3594" t="s">
        <v>4499</v>
      </c>
      <c r="J81" s="3594" t="s">
        <v>4500</v>
      </c>
      <c r="K81" s="3545" t="s">
        <v>3925</v>
      </c>
      <c r="L81" s="3555"/>
      <c r="M81" s="3551">
        <v>24115.11</v>
      </c>
      <c r="N81" s="3551">
        <f>30869.28+1714.53+1858.98</f>
        <v>34442.79</v>
      </c>
      <c r="O81" s="3551">
        <f t="shared" si="135"/>
        <v>10327.68</v>
      </c>
      <c r="P81" s="3547">
        <v>4285.9799999999996</v>
      </c>
      <c r="Q81" s="3547">
        <f>4244.25+41.73</f>
        <v>4285.9799999999996</v>
      </c>
      <c r="R81" s="3547">
        <f t="shared" si="132"/>
        <v>0</v>
      </c>
      <c r="S81" s="3547">
        <f t="shared" si="125"/>
        <v>4.6699978455944828</v>
      </c>
      <c r="T81" s="3663">
        <v>8038.37</v>
      </c>
      <c r="U81" s="3553">
        <f t="shared" si="136"/>
        <v>96460.44</v>
      </c>
      <c r="V81" s="3547">
        <f>T81*12</f>
        <v>96460.44</v>
      </c>
      <c r="W81" s="3547">
        <f t="shared" si="126"/>
        <v>0.82999900752105393</v>
      </c>
      <c r="X81" s="3663">
        <v>1428.66</v>
      </c>
      <c r="Y81" s="3547">
        <f t="shared" si="137"/>
        <v>17143.920000000002</v>
      </c>
      <c r="Z81" s="3554"/>
      <c r="AA81" s="3555"/>
      <c r="AB81" s="3593" t="s">
        <v>3804</v>
      </c>
      <c r="AC81" s="3556">
        <f t="shared" si="138"/>
        <v>96460.44</v>
      </c>
      <c r="AD81" s="3556">
        <f t="shared" si="139"/>
        <v>96460.44</v>
      </c>
      <c r="AE81" s="3556">
        <f t="shared" si="139"/>
        <v>96460.44</v>
      </c>
      <c r="AF81" s="3556">
        <f t="shared" si="140"/>
        <v>0</v>
      </c>
      <c r="AG81" s="3556"/>
      <c r="AH81" s="3557">
        <f t="shared" si="141"/>
        <v>17143.920000000002</v>
      </c>
      <c r="AI81" s="3558">
        <f t="shared" si="142"/>
        <v>17143.920000000002</v>
      </c>
      <c r="AJ81" s="3558">
        <f t="shared" si="142"/>
        <v>17143.919999999998</v>
      </c>
      <c r="AK81" s="3557">
        <f t="shared" si="159"/>
        <v>0</v>
      </c>
      <c r="AL81" s="3557"/>
      <c r="AM81" s="3547" t="s">
        <v>4094</v>
      </c>
      <c r="AN81" s="3609">
        <f>8038.37*3</f>
        <v>24115.11</v>
      </c>
      <c r="AO81" s="3562">
        <v>24115.11</v>
      </c>
      <c r="AP81" s="3561">
        <f t="shared" si="113"/>
        <v>0</v>
      </c>
      <c r="AQ81" s="3559">
        <f>1428.66*3</f>
        <v>4285.9800000000005</v>
      </c>
      <c r="AR81" s="3562">
        <v>4285.9799999999996</v>
      </c>
      <c r="AS81" s="3561">
        <f t="shared" si="127"/>
        <v>0</v>
      </c>
      <c r="AT81" s="3563" t="s">
        <v>4501</v>
      </c>
      <c r="AU81" s="3547"/>
      <c r="AV81" s="3609"/>
      <c r="AW81" s="3562"/>
      <c r="AX81" s="3561">
        <f t="shared" si="114"/>
        <v>0</v>
      </c>
      <c r="AY81" s="3559"/>
      <c r="AZ81" s="3562"/>
      <c r="BA81" s="3561">
        <f t="shared" si="128"/>
        <v>0</v>
      </c>
      <c r="BB81" s="3563" t="s">
        <v>4501</v>
      </c>
      <c r="BC81" s="3547" t="s">
        <v>4087</v>
      </c>
      <c r="BD81" s="3609">
        <f>3*8038.37</f>
        <v>24115.11</v>
      </c>
      <c r="BE81" s="3562">
        <v>24115.11</v>
      </c>
      <c r="BF81" s="3561">
        <f t="shared" si="115"/>
        <v>0</v>
      </c>
      <c r="BG81" s="3559">
        <f>3*1428.66</f>
        <v>4285.9800000000005</v>
      </c>
      <c r="BH81" s="3562">
        <v>4285.9799999999996</v>
      </c>
      <c r="BI81" s="3561">
        <f t="shared" si="116"/>
        <v>0</v>
      </c>
      <c r="BJ81" s="3563" t="s">
        <v>4502</v>
      </c>
      <c r="BK81" s="3547"/>
      <c r="BL81" s="3609"/>
      <c r="BM81" s="3562"/>
      <c r="BN81" s="3561">
        <f t="shared" si="160"/>
        <v>0</v>
      </c>
      <c r="BO81" s="3559"/>
      <c r="BP81" s="3562"/>
      <c r="BQ81" s="3561">
        <f t="shared" si="161"/>
        <v>0</v>
      </c>
      <c r="BR81" s="3563" t="s">
        <v>4502</v>
      </c>
      <c r="BS81" s="3547"/>
      <c r="BT81" s="3559"/>
      <c r="BU81" s="3562"/>
      <c r="BV81" s="3561">
        <f t="shared" si="162"/>
        <v>0</v>
      </c>
      <c r="BW81" s="3559"/>
      <c r="BX81" s="3562"/>
      <c r="BY81" s="3561">
        <f t="shared" si="163"/>
        <v>0</v>
      </c>
      <c r="BZ81" s="3563" t="s">
        <v>4502</v>
      </c>
      <c r="CA81" s="3547" t="s">
        <v>4089</v>
      </c>
      <c r="CB81" s="3609">
        <f>3*8038.37</f>
        <v>24115.11</v>
      </c>
      <c r="CC81" s="3603">
        <v>24115.11</v>
      </c>
      <c r="CD81" s="3561">
        <f t="shared" si="164"/>
        <v>0</v>
      </c>
      <c r="CE81" s="3559">
        <f>3*1428.66</f>
        <v>4285.9800000000005</v>
      </c>
      <c r="CF81" s="3562">
        <f>4285.98</f>
        <v>4285.9799999999996</v>
      </c>
      <c r="CG81" s="3561">
        <f t="shared" si="165"/>
        <v>0</v>
      </c>
      <c r="CH81" s="3563" t="s">
        <v>4503</v>
      </c>
      <c r="CI81" s="3547"/>
      <c r="CJ81" s="3609"/>
      <c r="CK81" s="3562"/>
      <c r="CL81" s="3561">
        <f t="shared" si="133"/>
        <v>0</v>
      </c>
      <c r="CM81" s="3559"/>
      <c r="CN81" s="3562"/>
      <c r="CO81" s="3561">
        <f t="shared" si="166"/>
        <v>0</v>
      </c>
      <c r="CP81" s="3563" t="s">
        <v>4503</v>
      </c>
      <c r="CQ81" s="3547"/>
      <c r="CR81" s="3609"/>
      <c r="CS81" s="3603"/>
      <c r="CT81" s="3561">
        <f t="shared" si="167"/>
        <v>0</v>
      </c>
      <c r="CU81" s="3559"/>
      <c r="CV81" s="3603"/>
      <c r="CW81" s="3561">
        <f t="shared" si="168"/>
        <v>0</v>
      </c>
      <c r="CX81" s="3563" t="s">
        <v>4503</v>
      </c>
      <c r="CY81" s="3547" t="s">
        <v>4504</v>
      </c>
      <c r="CZ81" s="3609">
        <f>3*8038.37</f>
        <v>24115.11</v>
      </c>
      <c r="DA81" s="3562">
        <v>24115.11</v>
      </c>
      <c r="DB81" s="3561">
        <f t="shared" si="169"/>
        <v>0</v>
      </c>
      <c r="DC81" s="3559">
        <f>3*1428.66</f>
        <v>4285.9800000000005</v>
      </c>
      <c r="DD81" s="3562">
        <v>4285.9799999999996</v>
      </c>
      <c r="DE81" s="3561">
        <f t="shared" si="170"/>
        <v>0</v>
      </c>
      <c r="DF81" s="3563" t="s">
        <v>4505</v>
      </c>
      <c r="DG81" s="3547"/>
      <c r="DH81" s="3609"/>
      <c r="DI81" s="3562"/>
      <c r="DJ81" s="3561">
        <f t="shared" si="171"/>
        <v>0</v>
      </c>
      <c r="DK81" s="3559"/>
      <c r="DL81" s="3562"/>
      <c r="DM81" s="3561">
        <f t="shared" si="172"/>
        <v>0</v>
      </c>
      <c r="DN81" s="3563"/>
      <c r="DO81" s="3547"/>
      <c r="DP81" s="3609"/>
      <c r="DQ81" s="3562"/>
      <c r="DR81" s="3561">
        <f t="shared" si="173"/>
        <v>0</v>
      </c>
      <c r="DS81" s="3559"/>
      <c r="DT81" s="3562"/>
      <c r="DU81" s="3561">
        <f t="shared" si="174"/>
        <v>0</v>
      </c>
      <c r="DV81" s="3563"/>
      <c r="DW81" s="3547"/>
      <c r="DX81" s="3609"/>
      <c r="DY81" s="3562"/>
      <c r="DZ81" s="3561">
        <f t="shared" si="175"/>
        <v>0</v>
      </c>
      <c r="EA81" s="3559"/>
      <c r="EB81" s="3562"/>
      <c r="EC81" s="3561">
        <f t="shared" si="176"/>
        <v>0</v>
      </c>
      <c r="ED81" s="3563"/>
      <c r="EE81" s="3564"/>
      <c r="EF81" s="3565">
        <f t="shared" si="153"/>
        <v>82031.247142857115</v>
      </c>
      <c r="EG81" s="3565">
        <f t="shared" si="143"/>
        <v>61523.435357142829</v>
      </c>
      <c r="EH81" s="3565">
        <f t="shared" si="143"/>
        <v>68900.314285714281</v>
      </c>
      <c r="EI81" s="3565">
        <f t="shared" si="143"/>
        <v>68900.314285714281</v>
      </c>
      <c r="EJ81" s="3565">
        <f t="shared" si="154"/>
        <v>7376.878928571452</v>
      </c>
      <c r="EK81" s="3566">
        <f t="shared" si="155"/>
        <v>0</v>
      </c>
      <c r="EL81" s="3610"/>
      <c r="EM81" s="3567">
        <f t="shared" si="156"/>
        <v>16173.52877358492</v>
      </c>
      <c r="EN81" s="3557">
        <f t="shared" si="144"/>
        <v>12130.14658018869</v>
      </c>
      <c r="EO81" s="3557">
        <f t="shared" si="144"/>
        <v>12130.132075471696</v>
      </c>
      <c r="EP81" s="3557">
        <f t="shared" si="144"/>
        <v>12130.132075471696</v>
      </c>
      <c r="EQ81" s="3557">
        <f t="shared" si="157"/>
        <v>-1.4504716993542388E-2</v>
      </c>
      <c r="ER81" s="3557">
        <f t="shared" si="158"/>
        <v>0</v>
      </c>
      <c r="ES81" s="3557"/>
      <c r="ET81" s="3568">
        <v>6835.9372619047599</v>
      </c>
      <c r="EU81" s="3569">
        <f>8038.37/1.05</f>
        <v>7655.5904761904758</v>
      </c>
      <c r="EV81" s="3562">
        <f>24115.11/3/1.05</f>
        <v>7655.5904761904758</v>
      </c>
      <c r="EW81" s="3547">
        <f t="shared" si="129"/>
        <v>819.65321428571588</v>
      </c>
      <c r="EX81" s="3568">
        <v>1347.79406446541</v>
      </c>
      <c r="EY81" s="3569">
        <f>1428.66/1.06</f>
        <v>1347.7924528301887</v>
      </c>
      <c r="EZ81" s="3562">
        <f>4285.98/3/1.06</f>
        <v>1347.7924528301885</v>
      </c>
      <c r="FA81" s="3547">
        <f t="shared" si="130"/>
        <v>-1.611635221479446E-3</v>
      </c>
      <c r="FB81" s="3568">
        <v>6835.9372619047599</v>
      </c>
      <c r="FC81" s="3569">
        <f>8038.37/1.05</f>
        <v>7655.5904761904758</v>
      </c>
      <c r="FD81" s="3562">
        <f>24115.11/3/1.05</f>
        <v>7655.5904761904758</v>
      </c>
      <c r="FE81" s="3547">
        <f t="shared" si="117"/>
        <v>819.65321428571588</v>
      </c>
      <c r="FF81" s="3568">
        <v>1347.79406446541</v>
      </c>
      <c r="FG81" s="3569">
        <f>1428.66/1.06</f>
        <v>1347.7924528301887</v>
      </c>
      <c r="FH81" s="3562">
        <f>4285.98/3/1.06</f>
        <v>1347.7924528301885</v>
      </c>
      <c r="FI81" s="3547">
        <f t="shared" si="118"/>
        <v>-1.611635221479446E-3</v>
      </c>
      <c r="FJ81" s="3568">
        <v>6835.9372619047599</v>
      </c>
      <c r="FK81" s="3559">
        <f>8038.37/1.05</f>
        <v>7655.5904761904758</v>
      </c>
      <c r="FL81" s="3562">
        <f>24115.11/3/1.05</f>
        <v>7655.5904761904758</v>
      </c>
      <c r="FM81" s="3547">
        <f t="shared" si="119"/>
        <v>819.65321428571588</v>
      </c>
      <c r="FN81" s="3568">
        <v>1347.79406446541</v>
      </c>
      <c r="FO81" s="3559">
        <f>1428.66/1.06</f>
        <v>1347.7924528301887</v>
      </c>
      <c r="FP81" s="3562">
        <f>4285.98/3/1.06</f>
        <v>1347.7924528301885</v>
      </c>
      <c r="FQ81" s="3547">
        <f t="shared" si="120"/>
        <v>-1.611635221479446E-3</v>
      </c>
      <c r="FR81" s="3568">
        <v>6835.9372619047599</v>
      </c>
      <c r="FS81" s="3559">
        <f>8038.37/1.05</f>
        <v>7655.5904761904758</v>
      </c>
      <c r="FT81" s="3560">
        <f>24115.11/3/1.05</f>
        <v>7655.5904761904758</v>
      </c>
      <c r="FU81" s="3547">
        <f t="shared" si="177"/>
        <v>819.65321428571588</v>
      </c>
      <c r="FV81" s="3568">
        <v>1347.79406446541</v>
      </c>
      <c r="FW81" s="3559">
        <f>1428.66/1.06</f>
        <v>1347.7924528301887</v>
      </c>
      <c r="FX81" s="3560">
        <f>4285.98/1.06/3</f>
        <v>1347.7924528301885</v>
      </c>
      <c r="FY81" s="3547">
        <f t="shared" si="178"/>
        <v>-1.611635221479446E-3</v>
      </c>
      <c r="FZ81" s="3568">
        <v>6835.9372619047599</v>
      </c>
      <c r="GA81" s="3569">
        <f>8038.37/1.05</f>
        <v>7655.5904761904758</v>
      </c>
      <c r="GB81" s="3560">
        <f>24115.11/3/1.05</f>
        <v>7655.5904761904758</v>
      </c>
      <c r="GC81" s="3547">
        <f t="shared" si="179"/>
        <v>819.65321428571588</v>
      </c>
      <c r="GD81" s="3568">
        <v>1347.79406446541</v>
      </c>
      <c r="GE81" s="3569">
        <f>1428.66/1.06</f>
        <v>1347.7924528301887</v>
      </c>
      <c r="GF81" s="3560">
        <f>4285.98/1.06/3</f>
        <v>1347.7924528301885</v>
      </c>
      <c r="GG81" s="3547">
        <f t="shared" si="180"/>
        <v>-1.611635221479446E-3</v>
      </c>
      <c r="GH81" s="3568">
        <v>6835.9372619047599</v>
      </c>
      <c r="GI81" s="3569">
        <f>8038.37/1.05</f>
        <v>7655.5904761904758</v>
      </c>
      <c r="GJ81" s="3560">
        <f>24115.11/3/1.05</f>
        <v>7655.5904761904758</v>
      </c>
      <c r="GK81" s="3547">
        <f t="shared" si="181"/>
        <v>819.65321428571588</v>
      </c>
      <c r="GL81" s="3568">
        <v>1347.79406446541</v>
      </c>
      <c r="GM81" s="3569">
        <f>1428.66/1.06</f>
        <v>1347.7924528301887</v>
      </c>
      <c r="GN81" s="3560">
        <f>4285.98/1.06/3</f>
        <v>1347.7924528301885</v>
      </c>
      <c r="GO81" s="3547">
        <f t="shared" si="182"/>
        <v>-1.611635221479446E-3</v>
      </c>
      <c r="GP81" s="3568">
        <v>6835.9372619047599</v>
      </c>
      <c r="GQ81" s="3569">
        <f>8038.37/1.05</f>
        <v>7655.5904761904758</v>
      </c>
      <c r="GR81" s="3562">
        <f>24115.11/3/1.05</f>
        <v>7655.5904761904758</v>
      </c>
      <c r="GS81" s="3547">
        <f t="shared" si="183"/>
        <v>819.65321428571588</v>
      </c>
      <c r="GT81" s="3568">
        <v>1347.79406446541</v>
      </c>
      <c r="GU81" s="3569">
        <f>1428.66/1.06</f>
        <v>1347.7924528301887</v>
      </c>
      <c r="GV81" s="3562">
        <f>4285.98/3/1.06</f>
        <v>1347.7924528301885</v>
      </c>
      <c r="GW81" s="3547">
        <f t="shared" si="184"/>
        <v>-1.611635221479446E-3</v>
      </c>
      <c r="GX81" s="3568">
        <v>6835.9372619047599</v>
      </c>
      <c r="GY81" s="3569">
        <f>8038.37/1.05</f>
        <v>7655.5904761904758</v>
      </c>
      <c r="GZ81" s="3562">
        <f>24115.11/3/1.05</f>
        <v>7655.5904761904758</v>
      </c>
      <c r="HA81" s="3547">
        <f t="shared" si="185"/>
        <v>819.65321428571588</v>
      </c>
      <c r="HB81" s="3568">
        <v>1347.79406446541</v>
      </c>
      <c r="HC81" s="3569">
        <f>1428.66/1.06</f>
        <v>1347.7924528301887</v>
      </c>
      <c r="HD81" s="3562">
        <f>4285.98/3/1.06</f>
        <v>1347.7924528301885</v>
      </c>
      <c r="HE81" s="3547">
        <f t="shared" si="186"/>
        <v>-1.611635221479446E-3</v>
      </c>
      <c r="HF81" s="3568">
        <v>6835.9372619047599</v>
      </c>
      <c r="HG81" s="3569">
        <f>8038.37/1.05</f>
        <v>7655.5904761904758</v>
      </c>
      <c r="HH81" s="3562">
        <f>24115.11/3/1.05</f>
        <v>7655.5904761904758</v>
      </c>
      <c r="HI81" s="3547">
        <f t="shared" si="187"/>
        <v>819.65321428571588</v>
      </c>
      <c r="HJ81" s="3568">
        <v>1347.79406446541</v>
      </c>
      <c r="HK81" s="3569">
        <f>1428.66/1.06</f>
        <v>1347.7924528301887</v>
      </c>
      <c r="HL81" s="3562">
        <f>4285.98/3/1.06</f>
        <v>1347.7924528301885</v>
      </c>
      <c r="HM81" s="3547">
        <f t="shared" si="188"/>
        <v>-1.611635221479446E-3</v>
      </c>
      <c r="HN81" s="3568">
        <v>6835.9372619047599</v>
      </c>
      <c r="HO81" s="3569">
        <f>8038.37/1.05</f>
        <v>7655.5904761904758</v>
      </c>
      <c r="HP81" s="3562">
        <f>24115.11/3/1.05</f>
        <v>7655.5904761904758</v>
      </c>
      <c r="HQ81" s="3547">
        <f t="shared" si="189"/>
        <v>819.65321428571588</v>
      </c>
      <c r="HR81" s="3568">
        <v>1347.79406446541</v>
      </c>
      <c r="HS81" s="3569">
        <f>1428.66/1.06</f>
        <v>1347.7924528301887</v>
      </c>
      <c r="HT81" s="3562">
        <f>4285.98/3/1.06</f>
        <v>1347.7924528301885</v>
      </c>
      <c r="HU81" s="3547">
        <f t="shared" si="190"/>
        <v>-1.611635221479446E-3</v>
      </c>
      <c r="HV81" s="3568">
        <v>6835.9372619047599</v>
      </c>
      <c r="HW81" s="3569">
        <f>8038.37/1.05</f>
        <v>7655.5904761904758</v>
      </c>
      <c r="HX81" s="3562">
        <f>24115.11/3/1.05</f>
        <v>7655.5904761904758</v>
      </c>
      <c r="HY81" s="3547">
        <f t="shared" si="191"/>
        <v>819.65321428571588</v>
      </c>
      <c r="HZ81" s="3568">
        <v>1347.79406446541</v>
      </c>
      <c r="IA81" s="3569">
        <f>1428.66/1.06</f>
        <v>1347.7924528301887</v>
      </c>
      <c r="IB81" s="3562">
        <f>4285.98/3/1.06</f>
        <v>1347.7924528301885</v>
      </c>
      <c r="IC81" s="3547">
        <f t="shared" si="192"/>
        <v>-1.611635221479446E-3</v>
      </c>
      <c r="ID81" s="3568">
        <v>6835.9372619047599</v>
      </c>
      <c r="IE81" s="3569">
        <f>8038.37/1.05</f>
        <v>7655.5904761904758</v>
      </c>
      <c r="IF81" s="3562">
        <f>24115.11/3/1.05</f>
        <v>7655.5904761904758</v>
      </c>
      <c r="IG81" s="3547">
        <f t="shared" si="193"/>
        <v>819.65321428571588</v>
      </c>
      <c r="IH81" s="3568">
        <v>1347.79406446541</v>
      </c>
      <c r="II81" s="3569">
        <f>1428.66/1.06</f>
        <v>1347.7924528301887</v>
      </c>
      <c r="IJ81" s="3562">
        <f>4285.98/3/1.06</f>
        <v>1347.7924528301885</v>
      </c>
      <c r="IK81" s="3547">
        <f t="shared" si="194"/>
        <v>-1.611635221479446E-3</v>
      </c>
      <c r="IL81" s="3570"/>
      <c r="IM81" s="3569"/>
      <c r="IN81" s="3569"/>
      <c r="IO81" s="3547"/>
      <c r="IP81" s="3560">
        <f t="shared" si="195"/>
        <v>0</v>
      </c>
      <c r="IQ81" s="3568"/>
      <c r="IR81" s="3568"/>
      <c r="IS81" s="3568"/>
      <c r="IT81" s="3568"/>
      <c r="IU81" s="3568"/>
      <c r="IV81" s="3568"/>
      <c r="IW81" s="3568"/>
      <c r="IX81" s="3568"/>
      <c r="IY81" s="3568"/>
      <c r="IZ81" s="3560"/>
      <c r="JA81" s="3560"/>
      <c r="JB81" s="3560"/>
      <c r="JC81" s="3560">
        <f t="shared" si="134"/>
        <v>0</v>
      </c>
      <c r="JD81" s="3547"/>
      <c r="JE81" s="3568"/>
      <c r="JF81" s="3568"/>
      <c r="JG81" s="3568"/>
      <c r="JH81" s="3568"/>
      <c r="JI81" s="3568"/>
      <c r="JJ81" s="3568"/>
      <c r="JK81" s="3568"/>
      <c r="JL81" s="3568"/>
      <c r="JM81" s="3568"/>
      <c r="JN81" s="3560"/>
      <c r="JO81" s="3560"/>
      <c r="JP81" s="3570"/>
      <c r="JQ81" s="3583"/>
      <c r="JR81" s="3583"/>
      <c r="JS81" s="3573">
        <f t="shared" si="145"/>
        <v>-1.4551915228366852E-11</v>
      </c>
      <c r="JT81" s="3573">
        <f t="shared" si="152"/>
        <v>3.637978807091713E-12</v>
      </c>
      <c r="JU81" s="3574">
        <f t="shared" si="146"/>
        <v>0</v>
      </c>
      <c r="JV81" s="3574">
        <f t="shared" si="147"/>
        <v>0</v>
      </c>
      <c r="JW81" s="3575"/>
      <c r="JX81" s="3576">
        <f t="shared" si="148"/>
        <v>22966.771428571428</v>
      </c>
      <c r="JY81" s="3576">
        <f t="shared" si="149"/>
        <v>4043.3773584905657</v>
      </c>
      <c r="JZ81" s="3577"/>
      <c r="KA81" s="3573">
        <f t="shared" si="131"/>
        <v>819.6516026504944</v>
      </c>
      <c r="KB81" s="3573"/>
      <c r="KC81" s="3573"/>
      <c r="KD81" s="3573">
        <f t="shared" si="150"/>
        <v>819.6516026504944</v>
      </c>
      <c r="KE81" s="3578" t="s">
        <v>4069</v>
      </c>
      <c r="KF81" s="3579"/>
      <c r="KG81" s="3579"/>
      <c r="KH81" s="3579"/>
      <c r="KI81" s="3579">
        <f>819.65/10000*9</f>
        <v>0.73768499999999992</v>
      </c>
      <c r="KJ81" s="3579"/>
      <c r="KK81" s="3579"/>
      <c r="KL81" s="3579"/>
      <c r="KM81" s="3579"/>
      <c r="KN81" s="3579"/>
      <c r="KO81" s="3579"/>
      <c r="KP81" s="3579"/>
      <c r="KQ81" s="3579">
        <f t="shared" si="151"/>
        <v>0.73768499999999992</v>
      </c>
      <c r="KR81" s="3579">
        <f t="shared" si="196"/>
        <v>1.4423854459710839E-6</v>
      </c>
      <c r="KS81" s="3577"/>
      <c r="KT81" s="3577"/>
      <c r="KU81" s="3577"/>
      <c r="KV81" s="3577"/>
      <c r="KW81" s="3577"/>
      <c r="KX81" s="3577"/>
      <c r="KY81" s="3577"/>
      <c r="KZ81" s="3577"/>
      <c r="LA81" s="3577"/>
      <c r="LB81" s="3577"/>
      <c r="LC81" s="3577"/>
      <c r="LD81" s="3577"/>
      <c r="LE81" s="3577"/>
      <c r="LF81" s="3577"/>
      <c r="LG81" s="3577"/>
      <c r="LH81" s="3577"/>
      <c r="LJ81" s="3575"/>
      <c r="LK81" s="3571" t="s">
        <v>4506</v>
      </c>
      <c r="LL81" s="3576">
        <v>11480.93</v>
      </c>
    </row>
    <row r="82" spans="1:325" s="3580" customFormat="1" ht="18" customHeight="1">
      <c r="A82" s="3545">
        <v>79</v>
      </c>
      <c r="B82" s="3546" t="s">
        <v>4496</v>
      </c>
      <c r="C82" s="3546" t="s">
        <v>4507</v>
      </c>
      <c r="D82" s="3547">
        <v>89.45</v>
      </c>
      <c r="E82" s="3548" t="s">
        <v>3799</v>
      </c>
      <c r="F82" s="3546" t="s">
        <v>3790</v>
      </c>
      <c r="G82" s="3549" t="s">
        <v>4508</v>
      </c>
      <c r="H82" s="3546" t="s">
        <v>4509</v>
      </c>
      <c r="I82" s="3594" t="s">
        <v>4510</v>
      </c>
      <c r="J82" s="3649" t="s">
        <v>4511</v>
      </c>
      <c r="K82" s="3545" t="s">
        <v>3925</v>
      </c>
      <c r="L82" s="3555"/>
      <c r="M82" s="3551">
        <v>34853.07</v>
      </c>
      <c r="N82" s="3551">
        <v>42199.17</v>
      </c>
      <c r="O82" s="3551">
        <f t="shared" si="135"/>
        <v>7346.0999999999985</v>
      </c>
      <c r="P82" s="3547">
        <v>6774.72</v>
      </c>
      <c r="Q82" s="3547">
        <v>6774.72</v>
      </c>
      <c r="R82" s="3547">
        <f t="shared" si="132"/>
        <v>0</v>
      </c>
      <c r="S82" s="3547">
        <f t="shared" si="125"/>
        <v>4.2699994639999383</v>
      </c>
      <c r="T82" s="3658">
        <v>11617.69</v>
      </c>
      <c r="U82" s="3553">
        <f t="shared" si="136"/>
        <v>139412.28</v>
      </c>
      <c r="V82" s="3547">
        <v>168796.68</v>
      </c>
      <c r="W82" s="3547">
        <f t="shared" si="126"/>
        <v>0.83000007657143726</v>
      </c>
      <c r="X82" s="3658">
        <v>2258.2399999999998</v>
      </c>
      <c r="Y82" s="3547">
        <f t="shared" si="137"/>
        <v>27098.879999999997</v>
      </c>
      <c r="Z82" s="3554"/>
      <c r="AA82" s="3555"/>
      <c r="AB82" s="3593" t="s">
        <v>3804</v>
      </c>
      <c r="AC82" s="3556">
        <f t="shared" si="138"/>
        <v>158103.23657534248</v>
      </c>
      <c r="AD82" s="3556">
        <f t="shared" si="139"/>
        <v>123250.16657534247</v>
      </c>
      <c r="AE82" s="3556">
        <f t="shared" si="139"/>
        <v>123250.17000000001</v>
      </c>
      <c r="AF82" s="3556">
        <f t="shared" si="140"/>
        <v>3.4246575378347188E-3</v>
      </c>
      <c r="AG82" s="3556"/>
      <c r="AH82" s="3557">
        <f t="shared" si="141"/>
        <v>32357.795068493153</v>
      </c>
      <c r="AI82" s="3558">
        <f t="shared" si="142"/>
        <v>25583.075068493152</v>
      </c>
      <c r="AJ82" s="3558">
        <f t="shared" si="142"/>
        <v>25583.08</v>
      </c>
      <c r="AK82" s="3557">
        <f t="shared" si="159"/>
        <v>4.9315068499709014E-3</v>
      </c>
      <c r="AL82" s="3557"/>
      <c r="AM82" s="3547" t="s">
        <v>3822</v>
      </c>
      <c r="AN82" s="3609">
        <v>14066.39</v>
      </c>
      <c r="AO82" s="3562">
        <v>14066.39</v>
      </c>
      <c r="AP82" s="3561">
        <f t="shared" si="113"/>
        <v>0</v>
      </c>
      <c r="AQ82" s="3559">
        <v>2258.2399999999998</v>
      </c>
      <c r="AR82" s="3562">
        <v>2258.2399999999998</v>
      </c>
      <c r="AS82" s="3561">
        <f t="shared" si="127"/>
        <v>0</v>
      </c>
      <c r="AT82" s="3563" t="s">
        <v>3943</v>
      </c>
      <c r="AU82" s="3584" t="s">
        <v>3824</v>
      </c>
      <c r="AV82" s="3601">
        <f>14066.39*12/365*10</f>
        <v>4624.5665753424655</v>
      </c>
      <c r="AW82" s="3562">
        <v>4624.57</v>
      </c>
      <c r="AX82" s="3561">
        <f t="shared" si="114"/>
        <v>3.42465753419674E-3</v>
      </c>
      <c r="AY82" s="3559">
        <v>2258.2399999999998</v>
      </c>
      <c r="AZ82" s="3562">
        <v>2258.2399999999998</v>
      </c>
      <c r="BA82" s="3561">
        <f t="shared" si="128"/>
        <v>0</v>
      </c>
      <c r="BB82" s="3563" t="s">
        <v>4512</v>
      </c>
      <c r="BC82" s="3547" t="s">
        <v>4513</v>
      </c>
      <c r="BD82" s="3601"/>
      <c r="BE82" s="3562"/>
      <c r="BF82" s="3561">
        <f t="shared" si="115"/>
        <v>0</v>
      </c>
      <c r="BG82" s="3559">
        <f>2258.24*12/365*10</f>
        <v>742.43506849315065</v>
      </c>
      <c r="BH82" s="3562">
        <v>742.44</v>
      </c>
      <c r="BI82" s="3561">
        <f t="shared" si="116"/>
        <v>4.9315068494024672E-3</v>
      </c>
      <c r="BJ82" s="3563" t="s">
        <v>4514</v>
      </c>
      <c r="BK82" s="3547" t="s">
        <v>4323</v>
      </c>
      <c r="BL82" s="3609">
        <v>34853.07</v>
      </c>
      <c r="BM82" s="3603">
        <v>34853.07</v>
      </c>
      <c r="BN82" s="3602">
        <f t="shared" si="160"/>
        <v>0</v>
      </c>
      <c r="BO82" s="3604">
        <v>6774.72</v>
      </c>
      <c r="BP82" s="3603">
        <v>6774.72</v>
      </c>
      <c r="BQ82" s="3602">
        <f t="shared" si="161"/>
        <v>0</v>
      </c>
      <c r="BR82" s="3563" t="s">
        <v>4515</v>
      </c>
      <c r="BS82" s="3547"/>
      <c r="BT82" s="3559"/>
      <c r="BU82" s="3562"/>
      <c r="BV82" s="3561">
        <f t="shared" si="162"/>
        <v>0</v>
      </c>
      <c r="BW82" s="3559"/>
      <c r="BX82" s="3562"/>
      <c r="BY82" s="3561">
        <f t="shared" si="163"/>
        <v>0</v>
      </c>
      <c r="BZ82" s="3563" t="s">
        <v>4515</v>
      </c>
      <c r="CA82" s="3547" t="s">
        <v>4325</v>
      </c>
      <c r="CB82" s="3609">
        <v>34853.07</v>
      </c>
      <c r="CC82" s="3562">
        <v>34853.07</v>
      </c>
      <c r="CD82" s="3561">
        <f t="shared" si="164"/>
        <v>0</v>
      </c>
      <c r="CE82" s="3559">
        <v>6774.72</v>
      </c>
      <c r="CF82" s="3562">
        <v>6774.72</v>
      </c>
      <c r="CG82" s="3561">
        <f t="shared" si="165"/>
        <v>0</v>
      </c>
      <c r="CH82" s="3563" t="s">
        <v>4516</v>
      </c>
      <c r="CI82" s="3547"/>
      <c r="CJ82" s="3609"/>
      <c r="CK82" s="3562"/>
      <c r="CL82" s="3561">
        <f t="shared" si="133"/>
        <v>0</v>
      </c>
      <c r="CM82" s="3559"/>
      <c r="CN82" s="3562"/>
      <c r="CO82" s="3561">
        <f t="shared" si="166"/>
        <v>0</v>
      </c>
      <c r="CP82" s="3563" t="s">
        <v>4516</v>
      </c>
      <c r="CQ82" s="3547"/>
      <c r="CR82" s="3609"/>
      <c r="CS82" s="3603"/>
      <c r="CT82" s="3561">
        <f t="shared" si="167"/>
        <v>0</v>
      </c>
      <c r="CU82" s="3559"/>
      <c r="CV82" s="3603"/>
      <c r="CW82" s="3561">
        <f t="shared" si="168"/>
        <v>0</v>
      </c>
      <c r="CX82" s="3563" t="s">
        <v>4516</v>
      </c>
      <c r="CY82" s="3547" t="s">
        <v>4327</v>
      </c>
      <c r="CZ82" s="3609">
        <v>34853.07</v>
      </c>
      <c r="DA82" s="3562">
        <v>34853.07</v>
      </c>
      <c r="DB82" s="3561">
        <f t="shared" si="169"/>
        <v>0</v>
      </c>
      <c r="DC82" s="3559">
        <v>6774.72</v>
      </c>
      <c r="DD82" s="3562">
        <v>6774.72</v>
      </c>
      <c r="DE82" s="3561">
        <f t="shared" si="170"/>
        <v>0</v>
      </c>
      <c r="DF82" s="3563" t="s">
        <v>4517</v>
      </c>
      <c r="DG82" s="3547"/>
      <c r="DH82" s="3609"/>
      <c r="DI82" s="3562"/>
      <c r="DJ82" s="3561">
        <f t="shared" si="171"/>
        <v>0</v>
      </c>
      <c r="DK82" s="3559"/>
      <c r="DL82" s="3562"/>
      <c r="DM82" s="3561">
        <f t="shared" si="172"/>
        <v>0</v>
      </c>
      <c r="DN82" s="3563"/>
      <c r="DO82" s="3547"/>
      <c r="DP82" s="3609"/>
      <c r="DQ82" s="3562"/>
      <c r="DR82" s="3561">
        <f t="shared" si="173"/>
        <v>0</v>
      </c>
      <c r="DS82" s="3559"/>
      <c r="DT82" s="3562"/>
      <c r="DU82" s="3561">
        <f t="shared" si="174"/>
        <v>0</v>
      </c>
      <c r="DV82" s="3563"/>
      <c r="DW82" s="3547" t="s">
        <v>4518</v>
      </c>
      <c r="DX82" s="3609">
        <v>34853.07</v>
      </c>
      <c r="DY82" s="3562"/>
      <c r="DZ82" s="3561">
        <f t="shared" si="175"/>
        <v>-34853.07</v>
      </c>
      <c r="EA82" s="3559">
        <v>6774.72</v>
      </c>
      <c r="EB82" s="3562"/>
      <c r="EC82" s="3561">
        <f t="shared" si="176"/>
        <v>-6774.72</v>
      </c>
      <c r="ED82" s="3563"/>
      <c r="EF82" s="3565">
        <f t="shared" si="153"/>
        <v>85224.208047945096</v>
      </c>
      <c r="EG82" s="3565">
        <f t="shared" si="143"/>
        <v>52808.166976516586</v>
      </c>
      <c r="EH82" s="3565">
        <f t="shared" si="143"/>
        <v>93946.640052185277</v>
      </c>
      <c r="EI82" s="3565">
        <f t="shared" si="143"/>
        <v>93946.643313763867</v>
      </c>
      <c r="EJ82" s="3565">
        <f t="shared" si="154"/>
        <v>41138.476337247281</v>
      </c>
      <c r="EK82" s="3566">
        <f t="shared" si="155"/>
        <v>3.26157858944498E-3</v>
      </c>
      <c r="EL82" s="3610"/>
      <c r="EM82" s="3567">
        <f t="shared" si="156"/>
        <v>19173.734866352181</v>
      </c>
      <c r="EN82" s="3557">
        <f t="shared" si="144"/>
        <v>12782.490172955961</v>
      </c>
      <c r="EO82" s="3557">
        <f t="shared" si="144"/>
        <v>19173.740501421558</v>
      </c>
      <c r="EP82" s="3557">
        <f t="shared" si="144"/>
        <v>19173.740501421558</v>
      </c>
      <c r="EQ82" s="3557">
        <f t="shared" si="157"/>
        <v>6391.2503284655977</v>
      </c>
      <c r="ER82" s="3557">
        <f t="shared" si="158"/>
        <v>0</v>
      </c>
      <c r="ES82" s="3557"/>
      <c r="ET82" s="3568">
        <v>13396.5619047619</v>
      </c>
      <c r="EU82" s="3569">
        <f>14066.39/1.05</f>
        <v>13396.561904761904</v>
      </c>
      <c r="EV82" s="3562">
        <f>14066.39/1.05</f>
        <v>13396.561904761904</v>
      </c>
      <c r="EW82" s="3547">
        <f t="shared" si="129"/>
        <v>0</v>
      </c>
      <c r="EX82" s="3568">
        <v>2130.4150943396198</v>
      </c>
      <c r="EY82" s="3569">
        <f>2258.24/1.06</f>
        <v>2130.4150943396226</v>
      </c>
      <c r="EZ82" s="3562">
        <f>2258.24/1.06</f>
        <v>2130.4150943396226</v>
      </c>
      <c r="FA82" s="3547">
        <f t="shared" si="130"/>
        <v>0</v>
      </c>
      <c r="FB82" s="3568">
        <v>13396.5619047619</v>
      </c>
      <c r="FC82" s="3569">
        <f>14066.39/1.05</f>
        <v>13396.561904761904</v>
      </c>
      <c r="FD82" s="3562">
        <f>14066.39/1.05</f>
        <v>13396.561904761904</v>
      </c>
      <c r="FE82" s="3547">
        <f t="shared" si="117"/>
        <v>0</v>
      </c>
      <c r="FF82" s="3568">
        <v>2130.4150943396198</v>
      </c>
      <c r="FG82" s="3569">
        <f>2258.24/1.06</f>
        <v>2130.4150943396226</v>
      </c>
      <c r="FH82" s="3562">
        <f>2258.24/1.06</f>
        <v>2130.4150943396226</v>
      </c>
      <c r="FI82" s="3547">
        <f t="shared" si="118"/>
        <v>0</v>
      </c>
      <c r="FJ82" s="3568">
        <v>4404.34911937378</v>
      </c>
      <c r="FK82" s="3559">
        <f>14066.39/1.05*12/365*10</f>
        <v>4404.3491193737764</v>
      </c>
      <c r="FL82" s="3562">
        <f>4624.57/1.05</f>
        <v>4404.3523809523804</v>
      </c>
      <c r="FM82" s="3547">
        <f t="shared" si="119"/>
        <v>3.2615786003589164E-3</v>
      </c>
      <c r="FN82" s="3568">
        <v>2130.4150943396198</v>
      </c>
      <c r="FO82" s="3559">
        <f>2258.24/1.06</f>
        <v>2130.4150943396226</v>
      </c>
      <c r="FP82" s="3562">
        <f>2258.24/1.06</f>
        <v>2130.4150943396226</v>
      </c>
      <c r="FQ82" s="3547">
        <f t="shared" si="120"/>
        <v>0</v>
      </c>
      <c r="FR82" s="3568"/>
      <c r="FS82" s="3631">
        <f>11617.69/1.05-11617.69/1.05*12/365*10</f>
        <v>7426.8337899543385</v>
      </c>
      <c r="FT82" s="3672">
        <f>34853.07/3/1.05-34853.07/3/1.05*12/365*10</f>
        <v>7426.8337899543385</v>
      </c>
      <c r="FU82" s="3547">
        <f t="shared" si="177"/>
        <v>7426.8337899543385</v>
      </c>
      <c r="FV82" s="3568">
        <v>2130.4150943396198</v>
      </c>
      <c r="FW82" s="3559">
        <f>742.44/1.06+2258.24/1.06-2258.24/1.06*12/365*10</f>
        <v>2130.4197467045747</v>
      </c>
      <c r="FX82" s="3560">
        <f>742.44/1.06+6774.72/3/1.06-6774.72/3/1.06*12/365*10</f>
        <v>2130.4197467045747</v>
      </c>
      <c r="FY82" s="3547">
        <f t="shared" si="178"/>
        <v>4.65236495483623E-3</v>
      </c>
      <c r="FZ82" s="3568"/>
      <c r="GA82" s="3569">
        <f>11617.69/1.05</f>
        <v>11064.466666666667</v>
      </c>
      <c r="GB82" s="3560">
        <f>34853.07/3/1.05</f>
        <v>11064.466666666667</v>
      </c>
      <c r="GC82" s="3547">
        <f t="shared" si="179"/>
        <v>11064.466666666667</v>
      </c>
      <c r="GD82" s="3568"/>
      <c r="GE82" s="3569">
        <f>2258.24/1.06</f>
        <v>2130.4150943396226</v>
      </c>
      <c r="GF82" s="3560">
        <f>6774.72/3/1.06</f>
        <v>2130.4150943396226</v>
      </c>
      <c r="GG82" s="3547">
        <f t="shared" si="180"/>
        <v>2130.4150943396226</v>
      </c>
      <c r="GH82" s="3568"/>
      <c r="GI82" s="3569">
        <f>11617.69/1.05</f>
        <v>11064.466666666667</v>
      </c>
      <c r="GJ82" s="3560">
        <f>34853.07/3/1.05</f>
        <v>11064.466666666667</v>
      </c>
      <c r="GK82" s="3547">
        <f t="shared" si="181"/>
        <v>11064.466666666667</v>
      </c>
      <c r="GL82" s="3568"/>
      <c r="GM82" s="3569">
        <f>2258.24/1.06</f>
        <v>2130.4150943396226</v>
      </c>
      <c r="GN82" s="3560">
        <f>6774.72/3/1.06</f>
        <v>2130.4150943396226</v>
      </c>
      <c r="GO82" s="3547">
        <f t="shared" si="182"/>
        <v>2130.4150943396226</v>
      </c>
      <c r="GP82" s="3568"/>
      <c r="GQ82" s="3569">
        <f>11617.69/1.05</f>
        <v>11064.466666666667</v>
      </c>
      <c r="GR82" s="3562">
        <f>34853.07/3/1.05*12/365*10+34853.07/3/1.05-34853.07/3/1.05*12/365*10</f>
        <v>11064.466666666667</v>
      </c>
      <c r="GS82" s="3547">
        <f t="shared" si="183"/>
        <v>11064.466666666667</v>
      </c>
      <c r="GT82" s="3568"/>
      <c r="GU82" s="3569">
        <f>2258.24/1.06</f>
        <v>2130.4150943396226</v>
      </c>
      <c r="GV82" s="3562">
        <f>6774.72/3/1.06*12/365*10+6774.72/3/1.06-6774.72/3/1.06*12/365*10</f>
        <v>2130.4150943396226</v>
      </c>
      <c r="GW82" s="3547">
        <f t="shared" si="184"/>
        <v>2130.4150943396226</v>
      </c>
      <c r="GX82" s="3568">
        <v>10805.3470238095</v>
      </c>
      <c r="GY82" s="3569">
        <f>11617.69/1.05</f>
        <v>11064.466666666667</v>
      </c>
      <c r="GZ82" s="3562">
        <f>34853.07/3/1.05</f>
        <v>11064.466666666667</v>
      </c>
      <c r="HA82" s="3547">
        <f t="shared" si="185"/>
        <v>259.11964285716749</v>
      </c>
      <c r="HB82" s="3568">
        <v>2130.4148977987402</v>
      </c>
      <c r="HC82" s="3569">
        <f>2258.24/1.06</f>
        <v>2130.4150943396226</v>
      </c>
      <c r="HD82" s="3562">
        <f>6774.72/3/1.06</f>
        <v>2130.4150943396226</v>
      </c>
      <c r="HE82" s="3547">
        <f t="shared" si="186"/>
        <v>1.9654088237075484E-4</v>
      </c>
      <c r="HF82" s="3568">
        <v>10805.3470238095</v>
      </c>
      <c r="HG82" s="3569">
        <f>11617.69/1.05</f>
        <v>11064.466666666667</v>
      </c>
      <c r="HH82" s="3562">
        <f>34853.07/3/1.05</f>
        <v>11064.466666666667</v>
      </c>
      <c r="HI82" s="3547">
        <f t="shared" si="187"/>
        <v>259.11964285716749</v>
      </c>
      <c r="HJ82" s="3568">
        <v>2130.4148977987402</v>
      </c>
      <c r="HK82" s="3569">
        <f>2258.24/1.06</f>
        <v>2130.4150943396226</v>
      </c>
      <c r="HL82" s="3562">
        <f>6774.72/3/1.06</f>
        <v>2130.4150943396226</v>
      </c>
      <c r="HM82" s="3547">
        <f t="shared" si="188"/>
        <v>1.9654088237075484E-4</v>
      </c>
      <c r="HN82" s="3568">
        <v>10805.3470238095</v>
      </c>
      <c r="HO82" s="3569">
        <f>11617.69/1.05</f>
        <v>11064.466666666667</v>
      </c>
      <c r="HP82" s="3562">
        <f>34853.07/3/1.05*12/365*10+34853.07/3/1.05-34853.07/3/1.05*12/365*10</f>
        <v>11064.466666666667</v>
      </c>
      <c r="HQ82" s="3547">
        <f t="shared" si="189"/>
        <v>259.11964285716749</v>
      </c>
      <c r="HR82" s="3568">
        <v>2130.4148977987402</v>
      </c>
      <c r="HS82" s="3569">
        <f>2258.24/1.06</f>
        <v>2130.4150943396226</v>
      </c>
      <c r="HT82" s="3562">
        <f>6774.72/3/1.06*12/365*10+6774.72/3/1.06-6774.72/3/1.06*12/365*10</f>
        <v>2130.4150943396226</v>
      </c>
      <c r="HU82" s="3547">
        <f t="shared" si="190"/>
        <v>1.9654088237075484E-4</v>
      </c>
      <c r="HV82" s="3568">
        <v>10805.3470238095</v>
      </c>
      <c r="HW82" s="3569">
        <f>11617.69/1.05</f>
        <v>11064.466666666667</v>
      </c>
      <c r="HX82" s="3562">
        <f>34853.07/3/1.05</f>
        <v>11064.466666666667</v>
      </c>
      <c r="HY82" s="3547">
        <f t="shared" si="191"/>
        <v>259.11964285716749</v>
      </c>
      <c r="HZ82" s="3568">
        <v>2130.4148977987402</v>
      </c>
      <c r="IA82" s="3569">
        <f>2258.24/1.06</f>
        <v>2130.4150943396226</v>
      </c>
      <c r="IB82" s="3562">
        <f>6774.72/3/1.06</f>
        <v>2130.4150943396226</v>
      </c>
      <c r="IC82" s="3547">
        <f t="shared" si="192"/>
        <v>1.9654088237075484E-4</v>
      </c>
      <c r="ID82" s="3568">
        <v>10805.3470238095</v>
      </c>
      <c r="IE82" s="3569">
        <f>11617.69/1.05</f>
        <v>11064.466666666667</v>
      </c>
      <c r="IF82" s="3562">
        <f>34853.07/3/1.05</f>
        <v>11064.466666666667</v>
      </c>
      <c r="IG82" s="3547">
        <f t="shared" si="193"/>
        <v>259.11964285716749</v>
      </c>
      <c r="IH82" s="3568">
        <v>2130.4148977987402</v>
      </c>
      <c r="II82" s="3569">
        <f>2258.24/1.06</f>
        <v>2130.4150943396226</v>
      </c>
      <c r="IJ82" s="3562">
        <f>6774.72/3/1.06</f>
        <v>2130.4150943396226</v>
      </c>
      <c r="IK82" s="3547">
        <f t="shared" si="194"/>
        <v>1.9654088237075484E-4</v>
      </c>
      <c r="IL82" s="3547" t="s">
        <v>4519</v>
      </c>
      <c r="IM82" s="3569">
        <f>11617.69/1.05*3+11617.69/1.05*12/365*10</f>
        <v>36831.032876712328</v>
      </c>
      <c r="IN82" s="3569">
        <f>2258.24/1.06*3+2258.24/1.06*12/365*10</f>
        <v>7091.6557249935377</v>
      </c>
      <c r="IO82" s="3547" t="s">
        <v>4329</v>
      </c>
      <c r="IP82" s="3560">
        <f t="shared" si="195"/>
        <v>3637.6328767123287</v>
      </c>
      <c r="IQ82" s="3562">
        <f>34853.07/3/1.05*12/365*10</f>
        <v>3637.6328767123287</v>
      </c>
      <c r="IR82" s="3568"/>
      <c r="IS82" s="3568"/>
      <c r="IT82" s="3568"/>
      <c r="IU82" s="3568"/>
      <c r="IV82" s="3568"/>
      <c r="IW82" s="3568"/>
      <c r="IX82" s="3568"/>
      <c r="IY82" s="3568"/>
      <c r="IZ82" s="3560"/>
      <c r="JA82" s="3560"/>
      <c r="JB82" s="3560"/>
      <c r="JC82" s="3560">
        <f t="shared" si="134"/>
        <v>700.41044197467045</v>
      </c>
      <c r="JD82" s="3562">
        <f>6774.72/3/1.06*12/365*10</f>
        <v>700.41044197467045</v>
      </c>
      <c r="JE82" s="3569"/>
      <c r="JF82" s="3568"/>
      <c r="JG82" s="3568"/>
      <c r="JH82" s="3568"/>
      <c r="JI82" s="3568"/>
      <c r="JJ82" s="3568"/>
      <c r="JK82" s="3568"/>
      <c r="JL82" s="3568"/>
      <c r="JM82" s="3568"/>
      <c r="JN82" s="3560"/>
      <c r="JO82" s="3560"/>
      <c r="JP82" s="3547" t="s">
        <v>3837</v>
      </c>
      <c r="JQ82" s="3583">
        <f>14066.39/1.05</f>
        <v>13396.561904761904</v>
      </c>
      <c r="JR82" s="3583">
        <f>2258.24/1.06</f>
        <v>2130.4150943396226</v>
      </c>
      <c r="JS82" s="3573">
        <f t="shared" si="145"/>
        <v>0</v>
      </c>
      <c r="JT82" s="3573">
        <f t="shared" si="152"/>
        <v>-4.6523649562004721E-3</v>
      </c>
      <c r="JU82" s="3574">
        <f t="shared" si="146"/>
        <v>0</v>
      </c>
      <c r="JV82" s="3574">
        <f t="shared" si="147"/>
        <v>0</v>
      </c>
      <c r="JW82" s="3575"/>
      <c r="JX82" s="3576">
        <f t="shared" si="148"/>
        <v>36831.032876712328</v>
      </c>
      <c r="JY82" s="3576">
        <f t="shared" si="149"/>
        <v>7091.6557249935377</v>
      </c>
      <c r="JZ82" s="3577"/>
      <c r="KA82" s="3573">
        <f t="shared" si="131"/>
        <v>259.11983939804986</v>
      </c>
      <c r="KB82" s="3573"/>
      <c r="KC82" s="3573"/>
      <c r="KD82" s="3573">
        <f t="shared" si="150"/>
        <v>259.11983939804986</v>
      </c>
      <c r="KE82" s="3578" t="s">
        <v>4069</v>
      </c>
      <c r="KF82" s="3579"/>
      <c r="KG82" s="3579"/>
      <c r="KH82" s="3579">
        <f>7426.84/10000+13194.88/10000*3</f>
        <v>4.7011479999999999</v>
      </c>
      <c r="KI82" s="3579">
        <f>259.12/10000*2</f>
        <v>5.1824000000000002E-2</v>
      </c>
      <c r="KJ82" s="3579"/>
      <c r="KK82" s="3579"/>
      <c r="KL82" s="3579"/>
      <c r="KM82" s="3579"/>
      <c r="KN82" s="3579"/>
      <c r="KO82" s="3579"/>
      <c r="KP82" s="3579"/>
      <c r="KQ82" s="3579">
        <f t="shared" si="151"/>
        <v>4.7529719999999998</v>
      </c>
      <c r="KR82" s="3579">
        <f t="shared" si="196"/>
        <v>6.6657128794389564E-7</v>
      </c>
      <c r="KS82" s="3577"/>
      <c r="KT82" s="3577"/>
      <c r="KU82" s="3577"/>
      <c r="KV82" s="3577"/>
      <c r="KW82" s="3577"/>
      <c r="KX82" s="3577"/>
      <c r="KY82" s="3577"/>
      <c r="KZ82" s="3577"/>
      <c r="LA82" s="3577"/>
      <c r="LB82" s="3577"/>
      <c r="LC82" s="3577"/>
      <c r="LD82" s="3577"/>
      <c r="LE82" s="3577"/>
      <c r="LF82" s="3577"/>
      <c r="LG82" s="3577"/>
      <c r="LH82" s="3577"/>
      <c r="LJ82" s="3575"/>
      <c r="LK82" s="3571"/>
      <c r="LL82" s="3576"/>
    </row>
    <row r="83" spans="1:325" s="3580" customFormat="1" ht="18" customHeight="1">
      <c r="A83" s="3545">
        <v>80</v>
      </c>
      <c r="B83" s="3546" t="s">
        <v>4496</v>
      </c>
      <c r="C83" s="3546" t="s">
        <v>4520</v>
      </c>
      <c r="D83" s="3547">
        <v>149.38999999999999</v>
      </c>
      <c r="E83" s="3548" t="s">
        <v>3799</v>
      </c>
      <c r="F83" s="3546" t="s">
        <v>3790</v>
      </c>
      <c r="G83" s="3546" t="s">
        <v>4521</v>
      </c>
      <c r="H83" s="3546" t="s">
        <v>4522</v>
      </c>
      <c r="I83" s="3594" t="s">
        <v>4523</v>
      </c>
      <c r="J83" s="3594" t="s">
        <v>4524</v>
      </c>
      <c r="K83" s="3545" t="s">
        <v>3925</v>
      </c>
      <c r="L83" s="3545"/>
      <c r="M83" s="3551">
        <v>56844.75</v>
      </c>
      <c r="N83" s="3551">
        <v>56844.75</v>
      </c>
      <c r="O83" s="3551">
        <f t="shared" si="135"/>
        <v>0</v>
      </c>
      <c r="P83" s="3547">
        <v>11314.44</v>
      </c>
      <c r="Q83" s="3547">
        <v>11314.44</v>
      </c>
      <c r="R83" s="3547">
        <f t="shared" si="132"/>
        <v>0</v>
      </c>
      <c r="S83" s="3547">
        <f t="shared" si="125"/>
        <v>4.1699990921986858</v>
      </c>
      <c r="T83" s="3658">
        <v>18948.25</v>
      </c>
      <c r="U83" s="3553">
        <f t="shared" si="136"/>
        <v>227379</v>
      </c>
      <c r="V83" s="3547">
        <f>18948.25*12</f>
        <v>227379</v>
      </c>
      <c r="W83" s="3547">
        <f t="shared" si="126"/>
        <v>0.83000109119551935</v>
      </c>
      <c r="X83" s="3658">
        <v>3771.48</v>
      </c>
      <c r="Y83" s="3547">
        <f t="shared" si="137"/>
        <v>45257.760000000002</v>
      </c>
      <c r="Z83" s="3554"/>
      <c r="AA83" s="3555"/>
      <c r="AB83" s="3593" t="s">
        <v>3804</v>
      </c>
      <c r="AC83" s="3556">
        <f t="shared" si="138"/>
        <v>289077.31994520547</v>
      </c>
      <c r="AD83" s="3556">
        <f t="shared" si="139"/>
        <v>232232.56994520547</v>
      </c>
      <c r="AE83" s="3556">
        <f t="shared" si="139"/>
        <v>232232.57</v>
      </c>
      <c r="AF83" s="3556">
        <f t="shared" si="140"/>
        <v>5.4794538300484419E-5</v>
      </c>
      <c r="AG83" s="3556"/>
      <c r="AH83" s="3557">
        <f t="shared" si="141"/>
        <v>53172.701589041098</v>
      </c>
      <c r="AI83" s="3558">
        <f t="shared" si="142"/>
        <v>41858.261589041096</v>
      </c>
      <c r="AJ83" s="3558">
        <f t="shared" si="142"/>
        <v>41858.26</v>
      </c>
      <c r="AK83" s="3557">
        <f t="shared" si="159"/>
        <v>-1.5890410941210575E-3</v>
      </c>
      <c r="AL83" s="3557"/>
      <c r="AM83" s="3584" t="s">
        <v>4525</v>
      </c>
      <c r="AN83" s="3609">
        <f>29399.33+29399.33+29399.33*12/365*3</f>
        <v>61698.319945205483</v>
      </c>
      <c r="AO83" s="3562">
        <v>61698.32</v>
      </c>
      <c r="AP83" s="3561">
        <f t="shared" si="113"/>
        <v>5.4794516472611576E-5</v>
      </c>
      <c r="AQ83" s="3559">
        <f>3771.48+3771.48+3771.48*12/365*3</f>
        <v>7914.9415890410955</v>
      </c>
      <c r="AR83" s="3562">
        <v>7914.94</v>
      </c>
      <c r="AS83" s="3561">
        <f t="shared" si="127"/>
        <v>-1.5890410959400469E-3</v>
      </c>
      <c r="AT83" s="3563" t="s">
        <v>4526</v>
      </c>
      <c r="AU83" s="3547"/>
      <c r="AV83" s="3609"/>
      <c r="AW83" s="3562"/>
      <c r="AX83" s="3561">
        <f t="shared" si="114"/>
        <v>0</v>
      </c>
      <c r="AY83" s="3559"/>
      <c r="AZ83" s="3562"/>
      <c r="BA83" s="3561">
        <f t="shared" si="128"/>
        <v>0</v>
      </c>
      <c r="BB83" s="3563" t="s">
        <v>4526</v>
      </c>
      <c r="BC83" s="3547" t="s">
        <v>4527</v>
      </c>
      <c r="BD83" s="3609">
        <v>56844.75</v>
      </c>
      <c r="BE83" s="3562">
        <v>56844.75</v>
      </c>
      <c r="BF83" s="3561">
        <f t="shared" si="115"/>
        <v>0</v>
      </c>
      <c r="BG83" s="3559">
        <v>11314.44</v>
      </c>
      <c r="BH83" s="3562">
        <v>11314.44</v>
      </c>
      <c r="BI83" s="3561">
        <f t="shared" si="116"/>
        <v>0</v>
      </c>
      <c r="BJ83" s="3563" t="s">
        <v>4528</v>
      </c>
      <c r="BK83" s="3547"/>
      <c r="BL83" s="3609"/>
      <c r="BM83" s="3562"/>
      <c r="BN83" s="3561">
        <f t="shared" si="160"/>
        <v>0</v>
      </c>
      <c r="BO83" s="3559"/>
      <c r="BP83" s="3562"/>
      <c r="BQ83" s="3561">
        <f t="shared" si="161"/>
        <v>0</v>
      </c>
      <c r="BR83" s="3563" t="s">
        <v>4528</v>
      </c>
      <c r="BS83" s="3547"/>
      <c r="BT83" s="3559"/>
      <c r="BU83" s="3562"/>
      <c r="BV83" s="3561">
        <f t="shared" si="162"/>
        <v>0</v>
      </c>
      <c r="BW83" s="3559"/>
      <c r="BX83" s="3562"/>
      <c r="BY83" s="3561">
        <f t="shared" si="163"/>
        <v>0</v>
      </c>
      <c r="BZ83" s="3563" t="s">
        <v>4528</v>
      </c>
      <c r="CA83" s="3547" t="s">
        <v>4529</v>
      </c>
      <c r="CB83" s="3609">
        <v>56844.75</v>
      </c>
      <c r="CC83" s="3562">
        <v>56844.75</v>
      </c>
      <c r="CD83" s="3561">
        <f t="shared" si="164"/>
        <v>0</v>
      </c>
      <c r="CE83" s="3559">
        <v>11314.44</v>
      </c>
      <c r="CF83" s="3562">
        <v>11314.44</v>
      </c>
      <c r="CG83" s="3561">
        <f t="shared" si="165"/>
        <v>0</v>
      </c>
      <c r="CH83" s="3563" t="s">
        <v>4530</v>
      </c>
      <c r="CI83" s="3547"/>
      <c r="CJ83" s="3609"/>
      <c r="CK83" s="3562"/>
      <c r="CL83" s="3561">
        <f t="shared" si="133"/>
        <v>0</v>
      </c>
      <c r="CM83" s="3559"/>
      <c r="CN83" s="3562"/>
      <c r="CO83" s="3561">
        <f t="shared" si="166"/>
        <v>0</v>
      </c>
      <c r="CP83" s="3563" t="s">
        <v>4530</v>
      </c>
      <c r="CQ83" s="3547"/>
      <c r="CR83" s="3609"/>
      <c r="CS83" s="3603"/>
      <c r="CT83" s="3561">
        <f t="shared" si="167"/>
        <v>0</v>
      </c>
      <c r="CU83" s="3559"/>
      <c r="CV83" s="3603"/>
      <c r="CW83" s="3561">
        <f t="shared" si="168"/>
        <v>0</v>
      </c>
      <c r="CX83" s="3563" t="s">
        <v>4530</v>
      </c>
      <c r="CY83" s="3547" t="s">
        <v>4531</v>
      </c>
      <c r="CZ83" s="3609">
        <v>56844.75</v>
      </c>
      <c r="DA83" s="3562">
        <v>56844.75</v>
      </c>
      <c r="DB83" s="3561">
        <f t="shared" si="169"/>
        <v>0</v>
      </c>
      <c r="DC83" s="3559">
        <v>11314.44</v>
      </c>
      <c r="DD83" s="3562">
        <v>11314.44</v>
      </c>
      <c r="DE83" s="3561">
        <f t="shared" si="170"/>
        <v>0</v>
      </c>
      <c r="DF83" s="3563" t="s">
        <v>4532</v>
      </c>
      <c r="DG83" s="3547"/>
      <c r="DH83" s="3609"/>
      <c r="DI83" s="3562"/>
      <c r="DJ83" s="3561">
        <f t="shared" si="171"/>
        <v>0</v>
      </c>
      <c r="DK83" s="3559"/>
      <c r="DL83" s="3562"/>
      <c r="DM83" s="3561">
        <f t="shared" si="172"/>
        <v>0</v>
      </c>
      <c r="DN83" s="3563"/>
      <c r="DO83" s="3547"/>
      <c r="DP83" s="3609"/>
      <c r="DQ83" s="3562"/>
      <c r="DR83" s="3561">
        <f t="shared" si="173"/>
        <v>0</v>
      </c>
      <c r="DS83" s="3559"/>
      <c r="DT83" s="3562"/>
      <c r="DU83" s="3561">
        <f t="shared" si="174"/>
        <v>0</v>
      </c>
      <c r="DV83" s="3563"/>
      <c r="DW83" s="3547" t="s">
        <v>4533</v>
      </c>
      <c r="DX83" s="3609">
        <v>56844.75</v>
      </c>
      <c r="DY83" s="3562"/>
      <c r="DZ83" s="3561">
        <f t="shared" si="175"/>
        <v>-56844.75</v>
      </c>
      <c r="EA83" s="3559">
        <v>11314.44</v>
      </c>
      <c r="EB83" s="3562"/>
      <c r="EC83" s="3561">
        <f t="shared" si="176"/>
        <v>-11314.44</v>
      </c>
      <c r="ED83" s="3563"/>
      <c r="EE83" s="3564"/>
      <c r="EF83" s="3565">
        <f t="shared" si="153"/>
        <v>177909.9751288323</v>
      </c>
      <c r="EG83" s="3565">
        <f t="shared" si="143"/>
        <v>123772.10620026088</v>
      </c>
      <c r="EH83" s="3565">
        <f t="shared" si="143"/>
        <v>193255.50614481408</v>
      </c>
      <c r="EI83" s="3565">
        <f t="shared" si="143"/>
        <v>193255.50614481408</v>
      </c>
      <c r="EJ83" s="3565">
        <f t="shared" si="154"/>
        <v>69483.399944553195</v>
      </c>
      <c r="EK83" s="3566">
        <f t="shared" si="155"/>
        <v>0</v>
      </c>
      <c r="EL83" s="3610"/>
      <c r="EM83" s="3567">
        <f t="shared" si="156"/>
        <v>28931.863210239491</v>
      </c>
      <c r="EN83" s="3557">
        <f t="shared" si="144"/>
        <v>18257.877243258376</v>
      </c>
      <c r="EO83" s="3557">
        <f t="shared" si="144"/>
        <v>32021.998500904625</v>
      </c>
      <c r="EP83" s="3557">
        <f t="shared" si="144"/>
        <v>32021.998500904625</v>
      </c>
      <c r="EQ83" s="3557">
        <f t="shared" si="157"/>
        <v>13764.121257646249</v>
      </c>
      <c r="ER83" s="3557">
        <f t="shared" si="158"/>
        <v>0</v>
      </c>
      <c r="ES83" s="3557"/>
      <c r="ET83" s="3568">
        <v>27999.361904761899</v>
      </c>
      <c r="EU83" s="3569">
        <f>29399.33/1.05</f>
        <v>27999.361904761907</v>
      </c>
      <c r="EV83" s="3562">
        <f>88197.99/3/1.05</f>
        <v>27999.361904761907</v>
      </c>
      <c r="EW83" s="3547">
        <f t="shared" si="129"/>
        <v>0</v>
      </c>
      <c r="EX83" s="3568">
        <v>3557.9952830188699</v>
      </c>
      <c r="EY83" s="3569">
        <f>3771.48/1.06</f>
        <v>3558</v>
      </c>
      <c r="EZ83" s="3562">
        <f>11314.44/3/1.06</f>
        <v>3558</v>
      </c>
      <c r="FA83" s="3547">
        <f t="shared" si="130"/>
        <v>4.7169811300591391E-3</v>
      </c>
      <c r="FB83" s="3568">
        <v>27999.361904761899</v>
      </c>
      <c r="FC83" s="3569">
        <f>29399.33/1.05</f>
        <v>27999.361904761907</v>
      </c>
      <c r="FD83" s="3562">
        <f>29399.33/1.05</f>
        <v>27999.361904761907</v>
      </c>
      <c r="FE83" s="3547">
        <f t="shared" si="117"/>
        <v>0</v>
      </c>
      <c r="FF83" s="3568">
        <v>3557.9952830188699</v>
      </c>
      <c r="FG83" s="3569">
        <f>3771.48/1.06</f>
        <v>3558</v>
      </c>
      <c r="FH83" s="3562">
        <f>3771.48/1.06</f>
        <v>3558</v>
      </c>
      <c r="FI83" s="3547">
        <f t="shared" si="118"/>
        <v>4.7169811300591391E-3</v>
      </c>
      <c r="FJ83" s="3568">
        <v>27999.361904761899</v>
      </c>
      <c r="FK83" s="3559">
        <f>29399.33/1.05</f>
        <v>27999.361904761907</v>
      </c>
      <c r="FL83" s="3562">
        <f>29399.33/1.05</f>
        <v>27999.361904761907</v>
      </c>
      <c r="FM83" s="3547">
        <f t="shared" si="119"/>
        <v>0</v>
      </c>
      <c r="FN83" s="3568">
        <v>3557.9952830188699</v>
      </c>
      <c r="FO83" s="3559">
        <f>3771.48/1.06</f>
        <v>3558</v>
      </c>
      <c r="FP83" s="3562">
        <f>3771.48/1.06</f>
        <v>3558</v>
      </c>
      <c r="FQ83" s="3547">
        <f t="shared" si="120"/>
        <v>4.7169811300591391E-3</v>
      </c>
      <c r="FR83" s="3568">
        <v>3682.1078669275898</v>
      </c>
      <c r="FS83" s="3559">
        <f>29399.33/1.05*12/365*3+18948.25/1.05-18948.25/1.05*12/365*3</f>
        <v>19027.65852576647</v>
      </c>
      <c r="FT83" s="3560">
        <f>29399.33/1.05*12/365*3+56844.75/3/1.05-56844.75/3/1.05*12/365*3</f>
        <v>19027.65852576647</v>
      </c>
      <c r="FU83" s="3547">
        <f t="shared" si="177"/>
        <v>15345.55065883888</v>
      </c>
      <c r="FV83" s="3568">
        <v>467.90074954768698</v>
      </c>
      <c r="FW83" s="3559">
        <f>7914.94/1.06-3771.48/1.06*2+3771.48/1.06-3771.48/1.06*12/365*3</f>
        <v>3557.9985009046259</v>
      </c>
      <c r="FX83" s="3560">
        <f>7914.94/1.06-3771.48/1.06*2+11314.44/3/1.06-11314.44/3/1.06*12/365*3</f>
        <v>3557.9985009046259</v>
      </c>
      <c r="FY83" s="3547">
        <f t="shared" si="178"/>
        <v>3090.0977513569387</v>
      </c>
      <c r="FZ83" s="3568"/>
      <c r="GA83" s="3569">
        <f>18948.25/1.05</f>
        <v>18045.952380952382</v>
      </c>
      <c r="GB83" s="3560">
        <f>56844.75/1.05/3</f>
        <v>18045.952380952378</v>
      </c>
      <c r="GC83" s="3547">
        <f t="shared" si="179"/>
        <v>18045.952380952378</v>
      </c>
      <c r="GD83" s="3568"/>
      <c r="GE83" s="3569">
        <f>3771.48/1.06</f>
        <v>3558</v>
      </c>
      <c r="GF83" s="3560">
        <f>11314.44/3/1.06</f>
        <v>3558</v>
      </c>
      <c r="GG83" s="3547">
        <f t="shared" si="180"/>
        <v>3558</v>
      </c>
      <c r="GH83" s="3568"/>
      <c r="GI83" s="3569">
        <f>18948.25/1.05</f>
        <v>18045.952380952382</v>
      </c>
      <c r="GJ83" s="3560">
        <f>56844.75/1.05/3</f>
        <v>18045.952380952378</v>
      </c>
      <c r="GK83" s="3547">
        <f t="shared" si="181"/>
        <v>18045.952380952378</v>
      </c>
      <c r="GL83" s="3568"/>
      <c r="GM83" s="3569">
        <f>3771.48/1.06</f>
        <v>3558</v>
      </c>
      <c r="GN83" s="3560">
        <f>11314.44/3/1.06</f>
        <v>3558</v>
      </c>
      <c r="GO83" s="3547">
        <f t="shared" si="182"/>
        <v>3558</v>
      </c>
      <c r="GP83" s="3568"/>
      <c r="GQ83" s="3569">
        <f>18948.25/1.05</f>
        <v>18045.952380952382</v>
      </c>
      <c r="GR83" s="3562">
        <f>56844.75/1.05/3*12/365*3+56844.75/1.05/3-56844.75/1.05/3*12/365*3</f>
        <v>18045.952380952378</v>
      </c>
      <c r="GS83" s="3547">
        <f t="shared" si="183"/>
        <v>18045.952380952378</v>
      </c>
      <c r="GT83" s="3568"/>
      <c r="GU83" s="3569">
        <f>3771.48/1.06</f>
        <v>3558</v>
      </c>
      <c r="GV83" s="3562">
        <f>11314.44/3/1.06*12/365*3+11314.44/3/1.06-11314.44/3/1.06*12/365*3</f>
        <v>3558</v>
      </c>
      <c r="GW83" s="3547">
        <f t="shared" si="184"/>
        <v>3558</v>
      </c>
      <c r="GX83" s="3568">
        <v>18045.956309523801</v>
      </c>
      <c r="GY83" s="3569">
        <f>18948.25/1.05</f>
        <v>18045.952380952382</v>
      </c>
      <c r="GZ83" s="3562">
        <f>56844.75/3/1.05</f>
        <v>18045.952380952382</v>
      </c>
      <c r="HA83" s="3547">
        <f t="shared" si="185"/>
        <v>-3.9285714192374144E-3</v>
      </c>
      <c r="HB83" s="3568">
        <v>3557.99532232704</v>
      </c>
      <c r="HC83" s="3569">
        <f>3771.48/1.06</f>
        <v>3558</v>
      </c>
      <c r="HD83" s="3562">
        <f>11314.44/1.06/3</f>
        <v>3558</v>
      </c>
      <c r="HE83" s="3547">
        <f t="shared" si="186"/>
        <v>4.6776729600424005E-3</v>
      </c>
      <c r="HF83" s="3568">
        <v>18045.956309523801</v>
      </c>
      <c r="HG83" s="3569">
        <f>18948.25/1.05</f>
        <v>18045.952380952382</v>
      </c>
      <c r="HH83" s="3562">
        <f>56844.75/3/1.05</f>
        <v>18045.952380952382</v>
      </c>
      <c r="HI83" s="3547">
        <f t="shared" si="187"/>
        <v>-3.9285714192374144E-3</v>
      </c>
      <c r="HJ83" s="3568">
        <v>3557.99532232704</v>
      </c>
      <c r="HK83" s="3569">
        <f>3771.48/1.06</f>
        <v>3558</v>
      </c>
      <c r="HL83" s="3562">
        <f>11314.44/1.06/3</f>
        <v>3558</v>
      </c>
      <c r="HM83" s="3547">
        <f t="shared" si="188"/>
        <v>4.6776729600424005E-3</v>
      </c>
      <c r="HN83" s="3568">
        <v>18045.956309523801</v>
      </c>
      <c r="HO83" s="3569">
        <f>18948.25/1.05</f>
        <v>18045.952380952382</v>
      </c>
      <c r="HP83" s="3562">
        <f>56844.75/3/1.05*12/365*3+56844.75/3/1.05-56844.75/3/1.05*12/365*3</f>
        <v>18045.952380952382</v>
      </c>
      <c r="HQ83" s="3547">
        <f t="shared" si="189"/>
        <v>-3.9285714192374144E-3</v>
      </c>
      <c r="HR83" s="3568">
        <v>3557.99532232704</v>
      </c>
      <c r="HS83" s="3569">
        <f>3771.48/1.06</f>
        <v>3558</v>
      </c>
      <c r="HT83" s="3562">
        <f>11314.44/1.06/3*12/365*3+11314.44/1.06/3-11314.44/1.06/3*12/365*3</f>
        <v>3558</v>
      </c>
      <c r="HU83" s="3547">
        <f t="shared" si="190"/>
        <v>4.6776729600424005E-3</v>
      </c>
      <c r="HV83" s="3568">
        <v>18045.956309523801</v>
      </c>
      <c r="HW83" s="3569">
        <f>18948.25/1.05</f>
        <v>18045.952380952382</v>
      </c>
      <c r="HX83" s="3562">
        <f>56844.75/3/1.05</f>
        <v>18045.952380952382</v>
      </c>
      <c r="HY83" s="3547">
        <f t="shared" si="191"/>
        <v>-3.9285714192374144E-3</v>
      </c>
      <c r="HZ83" s="3568">
        <v>3557.99532232704</v>
      </c>
      <c r="IA83" s="3569">
        <f>3771.48/1.06</f>
        <v>3558</v>
      </c>
      <c r="IB83" s="3562">
        <f>11314.44/3/1.06</f>
        <v>3558</v>
      </c>
      <c r="IC83" s="3547">
        <f t="shared" si="192"/>
        <v>4.6776729600424005E-3</v>
      </c>
      <c r="ID83" s="3568">
        <v>18045.956309523801</v>
      </c>
      <c r="IE83" s="3569">
        <f>18948.25/1.05</f>
        <v>18045.952380952382</v>
      </c>
      <c r="IF83" s="3562">
        <f>56844.75/3/1.05</f>
        <v>18045.952380952382</v>
      </c>
      <c r="IG83" s="3547">
        <f t="shared" si="193"/>
        <v>-3.9285714192374144E-3</v>
      </c>
      <c r="IH83" s="3568">
        <v>3557.99532232704</v>
      </c>
      <c r="II83" s="3569">
        <f>3771.48/1.06</f>
        <v>3558</v>
      </c>
      <c r="IJ83" s="3562">
        <f>11314.44/3/1.06</f>
        <v>3558</v>
      </c>
      <c r="IK83" s="3547">
        <f t="shared" si="194"/>
        <v>4.6776729600424005E-3</v>
      </c>
      <c r="IL83" s="3547" t="s">
        <v>4534</v>
      </c>
      <c r="IM83" s="3569">
        <f>18948.25/1.05*3+18948.25/1.05*12/365*3</f>
        <v>55917.731898238751</v>
      </c>
      <c r="IN83" s="3569">
        <f>3771.48/1.06*3+3771.48/1.06*12/365*3</f>
        <v>11024.92602739726</v>
      </c>
      <c r="IO83" s="3547" t="s">
        <v>4535</v>
      </c>
      <c r="IP83" s="3560">
        <f t="shared" si="195"/>
        <v>1779.8747553816049</v>
      </c>
      <c r="IQ83" s="3562">
        <f>56844.75/3/1.05*12/365*3</f>
        <v>1779.8747553816049</v>
      </c>
      <c r="IR83" s="3568"/>
      <c r="IS83" s="3568"/>
      <c r="IT83" s="3568"/>
      <c r="IU83" s="3568"/>
      <c r="IV83" s="3568"/>
      <c r="IW83" s="3568"/>
      <c r="IX83" s="3568"/>
      <c r="IY83" s="3568"/>
      <c r="IZ83" s="3562"/>
      <c r="JA83" s="3562"/>
      <c r="JB83" s="3562"/>
      <c r="JC83" s="3560">
        <f t="shared" si="134"/>
        <v>350.92602739726027</v>
      </c>
      <c r="JD83" s="3562">
        <f>11314.44/3/1.06*12/365*3</f>
        <v>350.92602739726027</v>
      </c>
      <c r="JE83" s="3568"/>
      <c r="JF83" s="3568"/>
      <c r="JG83" s="3568"/>
      <c r="JH83" s="3568"/>
      <c r="JI83" s="3568"/>
      <c r="JJ83" s="3568"/>
      <c r="JK83" s="3568"/>
      <c r="JL83" s="3568"/>
      <c r="JM83" s="3568"/>
      <c r="JN83" s="3562"/>
      <c r="JO83" s="3562"/>
      <c r="JP83" s="3547" t="s">
        <v>3837</v>
      </c>
      <c r="JQ83" s="3583">
        <f>29399.33/1.05</f>
        <v>27999.361904761907</v>
      </c>
      <c r="JR83" s="3583">
        <f>3771.48/1.06</f>
        <v>3558</v>
      </c>
      <c r="JS83" s="3573">
        <f t="shared" si="145"/>
        <v>7.2759576141834259E-11</v>
      </c>
      <c r="JT83" s="3573">
        <f t="shared" si="152"/>
        <v>1.4990953804954188E-3</v>
      </c>
      <c r="JU83" s="3574">
        <f t="shared" si="146"/>
        <v>5.2185248932801187E-5</v>
      </c>
      <c r="JV83" s="3574">
        <f t="shared" si="147"/>
        <v>0</v>
      </c>
      <c r="JW83" s="3575"/>
      <c r="JX83" s="3576">
        <f t="shared" si="148"/>
        <v>55917.731898238751</v>
      </c>
      <c r="JY83" s="3576">
        <f t="shared" si="149"/>
        <v>11024.92602739726</v>
      </c>
      <c r="JZ83" s="3577"/>
      <c r="KA83" s="3573">
        <f t="shared" si="131"/>
        <v>7.4910154080498614E-4</v>
      </c>
      <c r="KB83" s="3573"/>
      <c r="KC83" s="3573"/>
      <c r="KD83" s="3573">
        <f t="shared" si="150"/>
        <v>7.4910154080498614E-4</v>
      </c>
      <c r="KE83" s="3578"/>
      <c r="KF83" s="3579"/>
      <c r="KG83" s="3579"/>
      <c r="KH83" s="3579">
        <f>18435.65/10000+21603.95/10000*3</f>
        <v>8.3247500000000016</v>
      </c>
      <c r="KI83" s="3579"/>
      <c r="KJ83" s="3579"/>
      <c r="KK83" s="3579"/>
      <c r="KL83" s="3579"/>
      <c r="KM83" s="3579"/>
      <c r="KN83" s="3579"/>
      <c r="KO83" s="3579"/>
      <c r="KP83" s="3579"/>
      <c r="KQ83" s="3579">
        <f t="shared" si="151"/>
        <v>8.3247500000000016</v>
      </c>
      <c r="KR83" s="3579">
        <f t="shared" si="196"/>
        <v>2.1202199427250434E-6</v>
      </c>
      <c r="KS83" s="3577"/>
      <c r="KT83" s="3577"/>
      <c r="KU83" s="3577"/>
      <c r="KV83" s="3577"/>
      <c r="KW83" s="3577"/>
      <c r="KX83" s="3577"/>
      <c r="KY83" s="3577"/>
      <c r="KZ83" s="3577"/>
      <c r="LA83" s="3577"/>
      <c r="LB83" s="3577"/>
      <c r="LC83" s="3577"/>
      <c r="LD83" s="3577"/>
      <c r="LE83" s="3577"/>
      <c r="LF83" s="3577"/>
      <c r="LG83" s="3577"/>
      <c r="LH83" s="3577"/>
      <c r="LJ83" s="3575"/>
      <c r="LK83" s="3626">
        <v>12</v>
      </c>
      <c r="LL83" s="3627">
        <v>32580.09</v>
      </c>
      <c r="LM83" s="3580" t="s">
        <v>3972</v>
      </c>
    </row>
    <row r="84" spans="1:325" s="3580" customFormat="1" ht="18" customHeight="1">
      <c r="A84" s="3545">
        <v>81</v>
      </c>
      <c r="B84" s="3688" t="s">
        <v>4496</v>
      </c>
      <c r="C84" s="3546">
        <v>1409</v>
      </c>
      <c r="D84" s="3547">
        <v>59.62</v>
      </c>
      <c r="E84" s="3548" t="s">
        <v>3799</v>
      </c>
      <c r="F84" s="3546" t="s">
        <v>3790</v>
      </c>
      <c r="G84" s="3546" t="s">
        <v>4536</v>
      </c>
      <c r="H84" s="3546" t="s">
        <v>4537</v>
      </c>
      <c r="I84" s="3594" t="s">
        <v>4209</v>
      </c>
      <c r="J84" s="3594" t="s">
        <v>4538</v>
      </c>
      <c r="K84" s="3545"/>
      <c r="L84" s="3545"/>
      <c r="M84" s="3551">
        <v>28126.47</v>
      </c>
      <c r="N84" s="3551">
        <v>28126.47</v>
      </c>
      <c r="O84" s="3551">
        <f t="shared" si="135"/>
        <v>0</v>
      </c>
      <c r="P84" s="3547">
        <v>4515.4799999999996</v>
      </c>
      <c r="Q84" s="3547">
        <v>4515.4799999999996</v>
      </c>
      <c r="R84" s="3547">
        <f t="shared" si="132"/>
        <v>0</v>
      </c>
      <c r="S84" s="3547">
        <f t="shared" si="125"/>
        <v>5.1699981159213833</v>
      </c>
      <c r="T84" s="3658">
        <v>9375.49</v>
      </c>
      <c r="U84" s="3553">
        <f t="shared" si="136"/>
        <v>112505.88</v>
      </c>
      <c r="V84" s="3547">
        <v>112505.88</v>
      </c>
      <c r="W84" s="3547">
        <f t="shared" si="126"/>
        <v>0.83000188407861675</v>
      </c>
      <c r="X84" s="3658">
        <v>1505.16</v>
      </c>
      <c r="Y84" s="3547">
        <f t="shared" si="137"/>
        <v>18061.920000000002</v>
      </c>
      <c r="Z84" s="3554"/>
      <c r="AA84" s="3555"/>
      <c r="AB84" s="3650" t="s">
        <v>3979</v>
      </c>
      <c r="AC84" s="3556">
        <f t="shared" si="138"/>
        <v>112505.88</v>
      </c>
      <c r="AD84" s="3556">
        <f t="shared" si="139"/>
        <v>112505.88</v>
      </c>
      <c r="AE84" s="3556">
        <f t="shared" si="139"/>
        <v>112505.88</v>
      </c>
      <c r="AF84" s="3556">
        <f t="shared" si="140"/>
        <v>0</v>
      </c>
      <c r="AG84" s="3556"/>
      <c r="AH84" s="3557">
        <f t="shared" si="141"/>
        <v>18061.919999999998</v>
      </c>
      <c r="AI84" s="3558">
        <f t="shared" si="142"/>
        <v>18061.919999999998</v>
      </c>
      <c r="AJ84" s="3558">
        <f t="shared" si="142"/>
        <v>18061.919999999998</v>
      </c>
      <c r="AK84" s="3557">
        <f t="shared" si="159"/>
        <v>0</v>
      </c>
      <c r="AL84" s="3557"/>
      <c r="AM84" s="3547"/>
      <c r="AN84" s="3609"/>
      <c r="AO84" s="3562"/>
      <c r="AP84" s="3561">
        <f t="shared" si="113"/>
        <v>0</v>
      </c>
      <c r="AQ84" s="3559"/>
      <c r="AR84" s="3562"/>
      <c r="AS84" s="3561">
        <f t="shared" si="127"/>
        <v>0</v>
      </c>
      <c r="AT84" s="3563" t="s">
        <v>4539</v>
      </c>
      <c r="AU84" s="3547" t="s">
        <v>4540</v>
      </c>
      <c r="AV84" s="3609">
        <v>56252.94</v>
      </c>
      <c r="AW84" s="3562">
        <v>56252.94</v>
      </c>
      <c r="AX84" s="3561">
        <f t="shared" si="114"/>
        <v>0</v>
      </c>
      <c r="AY84" s="3559">
        <v>9030.9599999999991</v>
      </c>
      <c r="AZ84" s="3562">
        <v>9030.9599999999991</v>
      </c>
      <c r="BA84" s="3561">
        <f t="shared" si="128"/>
        <v>0</v>
      </c>
      <c r="BB84" s="3563" t="s">
        <v>4541</v>
      </c>
      <c r="BC84" s="3547"/>
      <c r="BD84" s="3609"/>
      <c r="BE84" s="3562"/>
      <c r="BF84" s="3561">
        <f t="shared" si="115"/>
        <v>0</v>
      </c>
      <c r="BG84" s="3559"/>
      <c r="BH84" s="3562"/>
      <c r="BI84" s="3561">
        <f t="shared" si="116"/>
        <v>0</v>
      </c>
      <c r="BJ84" s="3563" t="s">
        <v>4541</v>
      </c>
      <c r="BK84" s="3547"/>
      <c r="BL84" s="3609"/>
      <c r="BM84" s="3562"/>
      <c r="BN84" s="3561">
        <f t="shared" si="160"/>
        <v>0</v>
      </c>
      <c r="BO84" s="3559"/>
      <c r="BP84" s="3562"/>
      <c r="BQ84" s="3561">
        <f t="shared" si="161"/>
        <v>0</v>
      </c>
      <c r="BR84" s="3563" t="s">
        <v>4541</v>
      </c>
      <c r="BS84" s="3547"/>
      <c r="BT84" s="3559"/>
      <c r="BU84" s="3562"/>
      <c r="BV84" s="3561">
        <f t="shared" si="162"/>
        <v>0</v>
      </c>
      <c r="BW84" s="3559"/>
      <c r="BX84" s="3562"/>
      <c r="BY84" s="3561">
        <f t="shared" si="163"/>
        <v>0</v>
      </c>
      <c r="BZ84" s="3563" t="s">
        <v>4541</v>
      </c>
      <c r="CA84" s="3547"/>
      <c r="CB84" s="3609"/>
      <c r="CC84" s="3562"/>
      <c r="CD84" s="3561">
        <f t="shared" si="164"/>
        <v>0</v>
      </c>
      <c r="CE84" s="3559"/>
      <c r="CF84" s="3562"/>
      <c r="CG84" s="3561">
        <f t="shared" si="165"/>
        <v>0</v>
      </c>
      <c r="CH84" s="3563" t="s">
        <v>4541</v>
      </c>
      <c r="CI84" s="3547" t="s">
        <v>4542</v>
      </c>
      <c r="CJ84" s="3609">
        <v>56252.94</v>
      </c>
      <c r="CK84" s="3603">
        <v>56252.94</v>
      </c>
      <c r="CL84" s="3561">
        <f t="shared" si="133"/>
        <v>0</v>
      </c>
      <c r="CM84" s="3559">
        <v>9030.9599999999991</v>
      </c>
      <c r="CN84" s="3562">
        <v>9030.9599999999991</v>
      </c>
      <c r="CO84" s="3561">
        <f t="shared" si="166"/>
        <v>0</v>
      </c>
      <c r="CP84" s="3563" t="s">
        <v>4543</v>
      </c>
      <c r="CQ84" s="3547"/>
      <c r="CR84" s="3609"/>
      <c r="CS84" s="3603"/>
      <c r="CT84" s="3561">
        <f t="shared" si="167"/>
        <v>0</v>
      </c>
      <c r="CU84" s="3559"/>
      <c r="CV84" s="3603"/>
      <c r="CW84" s="3561">
        <f t="shared" si="168"/>
        <v>0</v>
      </c>
      <c r="CX84" s="3563" t="s">
        <v>4543</v>
      </c>
      <c r="CY84" s="3547"/>
      <c r="CZ84" s="3609"/>
      <c r="DA84" s="3562"/>
      <c r="DB84" s="3561">
        <f t="shared" si="169"/>
        <v>0</v>
      </c>
      <c r="DC84" s="3559"/>
      <c r="DD84" s="3562"/>
      <c r="DE84" s="3561">
        <f t="shared" si="170"/>
        <v>0</v>
      </c>
      <c r="DF84" s="3563" t="s">
        <v>4543</v>
      </c>
      <c r="DG84" s="3547"/>
      <c r="DH84" s="3609"/>
      <c r="DI84" s="3562"/>
      <c r="DJ84" s="3561">
        <f t="shared" si="171"/>
        <v>0</v>
      </c>
      <c r="DK84" s="3559"/>
      <c r="DL84" s="3562"/>
      <c r="DM84" s="3561">
        <f t="shared" si="172"/>
        <v>0</v>
      </c>
      <c r="DN84" s="3563"/>
      <c r="DO84" s="3547"/>
      <c r="DP84" s="3609"/>
      <c r="DQ84" s="3562"/>
      <c r="DR84" s="3561">
        <f t="shared" si="173"/>
        <v>0</v>
      </c>
      <c r="DS84" s="3559"/>
      <c r="DT84" s="3562"/>
      <c r="DU84" s="3561">
        <f t="shared" si="174"/>
        <v>0</v>
      </c>
      <c r="DV84" s="3563"/>
      <c r="DW84" s="3547"/>
      <c r="DX84" s="3609"/>
      <c r="DY84" s="3562"/>
      <c r="DZ84" s="3561">
        <f t="shared" si="175"/>
        <v>0</v>
      </c>
      <c r="EA84" s="3559"/>
      <c r="EB84" s="3562"/>
      <c r="EC84" s="3561">
        <f t="shared" si="176"/>
        <v>0</v>
      </c>
      <c r="ED84" s="3563"/>
      <c r="EF84" s="3565">
        <f t="shared" si="153"/>
        <v>76129.345809523831</v>
      </c>
      <c r="EG84" s="3565">
        <f t="shared" si="143"/>
        <v>54523.483666666682</v>
      </c>
      <c r="EH84" s="3565">
        <f t="shared" si="143"/>
        <v>71432.304761904757</v>
      </c>
      <c r="EI84" s="3565">
        <f t="shared" si="143"/>
        <v>71432.304761904757</v>
      </c>
      <c r="EJ84" s="3565">
        <f t="shared" si="154"/>
        <v>16908.821095238076</v>
      </c>
      <c r="EK84" s="3565">
        <f t="shared" si="155"/>
        <v>0</v>
      </c>
      <c r="EL84" s="3610"/>
      <c r="EM84" s="3557">
        <f t="shared" si="156"/>
        <v>16273.119638364744</v>
      </c>
      <c r="EN84" s="3557">
        <f t="shared" si="144"/>
        <v>12013.242515723245</v>
      </c>
      <c r="EO84" s="3557">
        <f t="shared" si="144"/>
        <v>12779.660377358488</v>
      </c>
      <c r="EP84" s="3557">
        <f t="shared" si="144"/>
        <v>12779.660377358488</v>
      </c>
      <c r="EQ84" s="3557">
        <f t="shared" si="157"/>
        <v>766.41786163524375</v>
      </c>
      <c r="ER84" s="3557">
        <f t="shared" si="158"/>
        <v>0</v>
      </c>
      <c r="ES84" s="3557"/>
      <c r="ET84" s="3568">
        <v>4109.8053333333301</v>
      </c>
      <c r="EU84" s="3592">
        <f>9375.49/1.05*12/365*14</f>
        <v>4109.8038356164379</v>
      </c>
      <c r="EV84" s="3605">
        <f>28126.47/3/1.05*12/365*14</f>
        <v>4109.8038356164379</v>
      </c>
      <c r="EW84" s="3547">
        <f t="shared" si="129"/>
        <v>-1.4977168921177508E-3</v>
      </c>
      <c r="EX84" s="3568">
        <v>1419.9590408805</v>
      </c>
      <c r="EY84" s="3569">
        <f>1505.16/1.06</f>
        <v>1419.9622641509434</v>
      </c>
      <c r="EZ84" s="3562">
        <f>4515.48/3/1.06</f>
        <v>1419.9622641509432</v>
      </c>
      <c r="FA84" s="3547">
        <f t="shared" si="130"/>
        <v>3.2232704431862658E-3</v>
      </c>
      <c r="FB84" s="3568"/>
      <c r="FC84" s="3651">
        <f>9375.49/1.05-9375.49/1.05*12/365*14</f>
        <v>4819.2342596216567</v>
      </c>
      <c r="FD84" s="3562">
        <f>56252.94/6/1.05-56252.94/6/1.05*12/365*14</f>
        <v>4819.2342596216567</v>
      </c>
      <c r="FE84" s="3547">
        <f t="shared" si="117"/>
        <v>4819.2342596216567</v>
      </c>
      <c r="FF84" s="3568">
        <v>653.57018867924501</v>
      </c>
      <c r="FG84" s="3592">
        <f>1505.16/1.06*12/365*14+1505.16/1.06-1505.16/1.06*12/365*14</f>
        <v>1419.9622641509432</v>
      </c>
      <c r="FH84" s="3562">
        <f>4515.48/3/1.06*12/365*14+9030.96/6/1.06-9030.96/6/1.06*12/365*14</f>
        <v>1419.9622641509434</v>
      </c>
      <c r="FI84" s="3547">
        <f t="shared" si="118"/>
        <v>766.39207547169838</v>
      </c>
      <c r="FJ84" s="3568">
        <v>7201.9540476190496</v>
      </c>
      <c r="FK84" s="3559">
        <f>9375.49/1.05</f>
        <v>8929.0380952380947</v>
      </c>
      <c r="FL84" s="3562">
        <f>56252.94/6/1.05</f>
        <v>8929.0380952380947</v>
      </c>
      <c r="FM84" s="3547">
        <f t="shared" si="119"/>
        <v>1727.0840476190451</v>
      </c>
      <c r="FN84" s="3568">
        <v>1419.9590408805</v>
      </c>
      <c r="FO84" s="3559">
        <f>1505.16/1.06</f>
        <v>1419.9622641509434</v>
      </c>
      <c r="FP84" s="3562">
        <f>9030.96/6/1.06</f>
        <v>1419.9622641509432</v>
      </c>
      <c r="FQ84" s="3547">
        <f t="shared" si="120"/>
        <v>3.2232704431862658E-3</v>
      </c>
      <c r="FR84" s="3568">
        <v>7201.9540476190496</v>
      </c>
      <c r="FS84" s="3559">
        <f>9375.49/1.05</f>
        <v>8929.0380952380947</v>
      </c>
      <c r="FT84" s="3560">
        <f>56252.94/6/1.05</f>
        <v>8929.0380952380947</v>
      </c>
      <c r="FU84" s="3547">
        <f t="shared" si="177"/>
        <v>1727.0840476190451</v>
      </c>
      <c r="FV84" s="3568">
        <v>1419.9590408805</v>
      </c>
      <c r="FW84" s="3559">
        <f>1505.16/1.06</f>
        <v>1419.9622641509434</v>
      </c>
      <c r="FX84" s="3560">
        <f>9030.96/6/1.06</f>
        <v>1419.9622641509432</v>
      </c>
      <c r="FY84" s="3547">
        <f t="shared" si="178"/>
        <v>3.2232704431862658E-3</v>
      </c>
      <c r="FZ84" s="3568">
        <v>7201.9540476190496</v>
      </c>
      <c r="GA84" s="3569">
        <f>9375.49/1.05</f>
        <v>8929.0380952380947</v>
      </c>
      <c r="GB84" s="3560">
        <f>56252.94/6/1.05</f>
        <v>8929.0380952380947</v>
      </c>
      <c r="GC84" s="3547">
        <f t="shared" si="179"/>
        <v>1727.0840476190451</v>
      </c>
      <c r="GD84" s="3568">
        <v>1419.9590408805</v>
      </c>
      <c r="GE84" s="3569">
        <f>1505.16/1.06</f>
        <v>1419.9622641509434</v>
      </c>
      <c r="GF84" s="3560">
        <f>9030.96/6/1.06</f>
        <v>1419.9622641509432</v>
      </c>
      <c r="GG84" s="3547">
        <f t="shared" si="180"/>
        <v>3.2232704431862658E-3</v>
      </c>
      <c r="GH84" s="3568">
        <v>7201.9540476190496</v>
      </c>
      <c r="GI84" s="3569">
        <f>9375.49/1.05</f>
        <v>8929.0380952380947</v>
      </c>
      <c r="GJ84" s="3560">
        <f>56252.94/6/1.05</f>
        <v>8929.0380952380947</v>
      </c>
      <c r="GK84" s="3547">
        <f t="shared" si="181"/>
        <v>1727.0840476190451</v>
      </c>
      <c r="GL84" s="3568">
        <v>1419.9590408805</v>
      </c>
      <c r="GM84" s="3569">
        <f>1505.16/1.06</f>
        <v>1419.9622641509434</v>
      </c>
      <c r="GN84" s="3562">
        <f>9030.96/6/1.06</f>
        <v>1419.9622641509432</v>
      </c>
      <c r="GO84" s="3547">
        <f t="shared" si="182"/>
        <v>3.2232704431862658E-3</v>
      </c>
      <c r="GP84" s="3568">
        <v>7201.9540476190496</v>
      </c>
      <c r="GQ84" s="3569">
        <f>9375.49/1.05</f>
        <v>8929.0380952380947</v>
      </c>
      <c r="GR84" s="3562">
        <f>56252.94/6/1.05</f>
        <v>8929.0380952380947</v>
      </c>
      <c r="GS84" s="3547">
        <f t="shared" si="183"/>
        <v>1727.0840476190451</v>
      </c>
      <c r="GT84" s="3568">
        <v>1419.9590408805</v>
      </c>
      <c r="GU84" s="3569">
        <f>1505.16/1.06</f>
        <v>1419.9622641509434</v>
      </c>
      <c r="GV84" s="3562">
        <f>9030.96/6/1.06</f>
        <v>1419.9622641509432</v>
      </c>
      <c r="GW84" s="3547">
        <f t="shared" si="184"/>
        <v>3.2232704431862658E-3</v>
      </c>
      <c r="GX84" s="3568">
        <v>7201.9540476190496</v>
      </c>
      <c r="GY84" s="3569">
        <f>9375.49/1.05</f>
        <v>8929.0380952380947</v>
      </c>
      <c r="GZ84" s="3562">
        <f>56252.94/6/1.05*12/365*14+56252.94/6/1.05-56252.94/6/1.05*12/365*14</f>
        <v>8929.0380952380947</v>
      </c>
      <c r="HA84" s="3547">
        <f t="shared" si="185"/>
        <v>1727.0840476190451</v>
      </c>
      <c r="HB84" s="3568">
        <v>1419.9590408805</v>
      </c>
      <c r="HC84" s="3569">
        <f>1505.16/1.06</f>
        <v>1419.9622641509434</v>
      </c>
      <c r="HD84" s="3562">
        <f>9030.96/6/1.06*12/365*14+9030.96/6/1.06-9030.96/6/1.06*12/365*14</f>
        <v>1419.9622641509434</v>
      </c>
      <c r="HE84" s="3547">
        <f t="shared" si="186"/>
        <v>3.2232704434136394E-3</v>
      </c>
      <c r="HF84" s="3568">
        <v>7201.9540476190496</v>
      </c>
      <c r="HG84" s="3569">
        <f>9375.49/1.05</f>
        <v>8929.0380952380947</v>
      </c>
      <c r="HH84" s="3562">
        <f>56252.94/6/1.05</f>
        <v>8929.0380952380947</v>
      </c>
      <c r="HI84" s="3547">
        <f t="shared" si="187"/>
        <v>1727.0840476190451</v>
      </c>
      <c r="HJ84" s="3568">
        <v>1419.9590408805</v>
      </c>
      <c r="HK84" s="3569">
        <f>1505.16/1.06</f>
        <v>1419.9622641509434</v>
      </c>
      <c r="HL84" s="3562">
        <f>9030.96/6/1.06</f>
        <v>1419.9622641509432</v>
      </c>
      <c r="HM84" s="3547">
        <f t="shared" si="188"/>
        <v>3.2232704431862658E-3</v>
      </c>
      <c r="HN84" s="3568">
        <v>7201.9540476190496</v>
      </c>
      <c r="HO84" s="3569">
        <f>9375.49/1.05</f>
        <v>8929.0380952380947</v>
      </c>
      <c r="HP84" s="3562">
        <f>56252.94/6/1.05</f>
        <v>8929.0380952380947</v>
      </c>
      <c r="HQ84" s="3547">
        <f t="shared" si="189"/>
        <v>1727.0840476190451</v>
      </c>
      <c r="HR84" s="3568">
        <v>1419.9590408805</v>
      </c>
      <c r="HS84" s="3569">
        <f>1505.16/1.06</f>
        <v>1419.9622641509434</v>
      </c>
      <c r="HT84" s="3562">
        <f>9030.96/6/1.06</f>
        <v>1419.9622641509432</v>
      </c>
      <c r="HU84" s="3547">
        <f t="shared" si="190"/>
        <v>3.2232704431862658E-3</v>
      </c>
      <c r="HV84" s="3568">
        <v>7201.9540476190496</v>
      </c>
      <c r="HW84" s="3569">
        <f>9375.49/1.05</f>
        <v>8929.0380952380947</v>
      </c>
      <c r="HX84" s="3562">
        <f>56252.94/6/1.05</f>
        <v>8929.0380952380947</v>
      </c>
      <c r="HY84" s="3547">
        <f t="shared" si="191"/>
        <v>1727.0840476190451</v>
      </c>
      <c r="HZ84" s="3568">
        <v>1419.9590408805</v>
      </c>
      <c r="IA84" s="3569">
        <f>1505.16/1.06</f>
        <v>1419.9622641509434</v>
      </c>
      <c r="IB84" s="3562">
        <f>9030.96/6/1.06</f>
        <v>1419.9622641509432</v>
      </c>
      <c r="IC84" s="3547">
        <f t="shared" si="192"/>
        <v>3.2232704431862658E-3</v>
      </c>
      <c r="ID84" s="3568">
        <v>7201.9540476190496</v>
      </c>
      <c r="IE84" s="3569">
        <f>9375.49/1.05</f>
        <v>8929.0380952380947</v>
      </c>
      <c r="IF84" s="3562">
        <f>56252.94/6/1.05</f>
        <v>8929.0380952380947</v>
      </c>
      <c r="IG84" s="3547">
        <f t="shared" si="193"/>
        <v>1727.0840476190451</v>
      </c>
      <c r="IH84" s="3568">
        <v>1419.9590408805</v>
      </c>
      <c r="II84" s="3569">
        <f>1505.16/1.06</f>
        <v>1419.9622641509434</v>
      </c>
      <c r="IJ84" s="3562">
        <f>9030.96/6/1.06</f>
        <v>1419.9622641509432</v>
      </c>
      <c r="IK84" s="3547">
        <f t="shared" si="194"/>
        <v>3.2232704431862658E-3</v>
      </c>
      <c r="IL84" s="3547" t="s">
        <v>4544</v>
      </c>
      <c r="IM84" s="3569">
        <f>9375.49/1.05+9375.49*12/365*14/1.05</f>
        <v>13038.841930854533</v>
      </c>
      <c r="IN84" s="3569">
        <f>1505.16/1.06+1505.16*12/365*14/1.06</f>
        <v>2073.5339364176789</v>
      </c>
      <c r="IO84" s="3547" t="s">
        <v>4544</v>
      </c>
      <c r="IP84" s="3560">
        <f t="shared" si="195"/>
        <v>13038.841930854533</v>
      </c>
      <c r="IQ84" s="3562">
        <f>56252.94/6/1.05</f>
        <v>8929.0380952380947</v>
      </c>
      <c r="IR84" s="3562">
        <f>56252.94/6/1.05*12/365*14</f>
        <v>4109.8038356164379</v>
      </c>
      <c r="IS84" s="3568"/>
      <c r="IT84" s="3568"/>
      <c r="IU84" s="3568"/>
      <c r="IV84" s="3568"/>
      <c r="IW84" s="3568"/>
      <c r="IX84" s="3568"/>
      <c r="IY84" s="3568"/>
      <c r="IZ84" s="3562"/>
      <c r="JA84" s="3562"/>
      <c r="JB84" s="3562"/>
      <c r="JC84" s="3560">
        <f t="shared" si="134"/>
        <v>2073.5339364176789</v>
      </c>
      <c r="JD84" s="3562">
        <f>9030.96/6/1.06</f>
        <v>1419.9622641509432</v>
      </c>
      <c r="JE84" s="3562">
        <f>9030.96/6/1.06*12/365*14</f>
        <v>653.5716722667355</v>
      </c>
      <c r="JF84" s="3568"/>
      <c r="JG84" s="3568"/>
      <c r="JH84" s="3568"/>
      <c r="JI84" s="3568"/>
      <c r="JJ84" s="3568"/>
      <c r="JK84" s="3568"/>
      <c r="JL84" s="3568"/>
      <c r="JM84" s="3568"/>
      <c r="JN84" s="3562"/>
      <c r="JO84" s="3562"/>
      <c r="JP84" s="3584" t="s">
        <v>3918</v>
      </c>
      <c r="JQ84" s="3583">
        <f>9375.49/1.05*12/365*14</f>
        <v>4109.8038356164379</v>
      </c>
      <c r="JR84" s="3583">
        <f>1505.16/1.06+1505.16/1.06*12/365*14</f>
        <v>2073.5339364176789</v>
      </c>
      <c r="JS84" s="3573">
        <f t="shared" si="145"/>
        <v>0</v>
      </c>
      <c r="JT84" s="3573">
        <f t="shared" si="152"/>
        <v>0</v>
      </c>
      <c r="JU84" s="3574">
        <f t="shared" si="146"/>
        <v>0</v>
      </c>
      <c r="JV84" s="3574">
        <f t="shared" si="147"/>
        <v>0</v>
      </c>
      <c r="JW84" s="3575"/>
      <c r="JX84" s="3576">
        <f t="shared" si="148"/>
        <v>39825.956216568818</v>
      </c>
      <c r="JY84" s="3576">
        <f t="shared" si="149"/>
        <v>6333.4207288705084</v>
      </c>
      <c r="JZ84" s="3577"/>
      <c r="KA84" s="3573">
        <f t="shared" si="131"/>
        <v>1727.0872708894883</v>
      </c>
      <c r="KB84" s="3573"/>
      <c r="KC84" s="3573"/>
      <c r="KD84" s="3573">
        <f t="shared" si="150"/>
        <v>1727.0872708894883</v>
      </c>
      <c r="KE84" s="3578" t="s">
        <v>4069</v>
      </c>
      <c r="KF84" s="3579"/>
      <c r="KG84" s="3579"/>
      <c r="KH84" s="3579">
        <f>5585.63/10000</f>
        <v>0.55856300000000003</v>
      </c>
      <c r="KI84" s="3579">
        <f>1727.09/10000*7</f>
        <v>1.208963</v>
      </c>
      <c r="KJ84" s="3579"/>
      <c r="KK84" s="3579"/>
      <c r="KL84" s="3579"/>
      <c r="KM84" s="3579"/>
      <c r="KN84" s="3579"/>
      <c r="KO84" s="3579"/>
      <c r="KP84" s="3579"/>
      <c r="KQ84" s="3579">
        <f t="shared" si="151"/>
        <v>1.7675260000000002</v>
      </c>
      <c r="KR84" s="3579">
        <f t="shared" si="196"/>
        <v>-2.1043126681163926E-6</v>
      </c>
      <c r="KS84" s="3577"/>
      <c r="KT84" s="3577"/>
      <c r="KU84" s="3577"/>
      <c r="KV84" s="3577"/>
      <c r="KW84" s="3577"/>
      <c r="KX84" s="3577"/>
      <c r="KY84" s="3577"/>
      <c r="KZ84" s="3577"/>
      <c r="LA84" s="3577"/>
      <c r="LB84" s="3577"/>
      <c r="LC84" s="3577"/>
      <c r="LD84" s="3577"/>
      <c r="LE84" s="3577"/>
      <c r="LF84" s="3577"/>
      <c r="LG84" s="3577"/>
      <c r="LH84" s="3577"/>
      <c r="LJ84" s="3575"/>
      <c r="LK84" s="3571"/>
      <c r="LL84" s="3576"/>
    </row>
    <row r="85" spans="1:325" s="3580" customFormat="1" ht="18" customHeight="1">
      <c r="A85" s="3545">
        <v>82</v>
      </c>
      <c r="B85" s="3546" t="s">
        <v>4496</v>
      </c>
      <c r="C85" s="3546" t="s">
        <v>4545</v>
      </c>
      <c r="D85" s="3547">
        <v>32.81</v>
      </c>
      <c r="E85" s="3548" t="s">
        <v>3799</v>
      </c>
      <c r="F85" s="3546" t="s">
        <v>3790</v>
      </c>
      <c r="G85" s="3546" t="s">
        <v>4546</v>
      </c>
      <c r="H85" s="3546" t="s">
        <v>4547</v>
      </c>
      <c r="I85" s="3594" t="s">
        <v>4490</v>
      </c>
      <c r="J85" s="3594" t="s">
        <v>4548</v>
      </c>
      <c r="K85" s="3545" t="s">
        <v>3925</v>
      </c>
      <c r="L85" s="3555"/>
      <c r="M85" s="3551">
        <v>12484.62</v>
      </c>
      <c r="N85" s="3551">
        <v>12484.62</v>
      </c>
      <c r="O85" s="3551">
        <f t="shared" si="135"/>
        <v>0</v>
      </c>
      <c r="P85" s="3547">
        <v>2484.96</v>
      </c>
      <c r="Q85" s="3547">
        <v>2484.96</v>
      </c>
      <c r="R85" s="3547">
        <f t="shared" si="132"/>
        <v>0</v>
      </c>
      <c r="S85" s="3547">
        <f t="shared" si="125"/>
        <v>4.1700016283040995</v>
      </c>
      <c r="T85" s="3658">
        <v>4161.54</v>
      </c>
      <c r="U85" s="3553">
        <f t="shared" si="136"/>
        <v>49938.479999999996</v>
      </c>
      <c r="V85" s="3547">
        <f>T85*12*2</f>
        <v>99876.959999999992</v>
      </c>
      <c r="W85" s="3547">
        <f t="shared" si="126"/>
        <v>0.83000421689010606</v>
      </c>
      <c r="X85" s="3658">
        <v>828.32</v>
      </c>
      <c r="Y85" s="3547">
        <f t="shared" si="137"/>
        <v>9939.84</v>
      </c>
      <c r="Z85" s="3554"/>
      <c r="AA85" s="3555"/>
      <c r="AB85" s="3593" t="s">
        <v>3899</v>
      </c>
      <c r="AC85" s="3556">
        <f t="shared" si="138"/>
        <v>49938.48</v>
      </c>
      <c r="AD85" s="3556">
        <f t="shared" si="139"/>
        <v>37453.86</v>
      </c>
      <c r="AE85" s="3556">
        <f t="shared" si="139"/>
        <v>37453.86</v>
      </c>
      <c r="AF85" s="3556">
        <f t="shared" si="140"/>
        <v>0</v>
      </c>
      <c r="AG85" s="3556"/>
      <c r="AH85" s="3557">
        <f t="shared" si="141"/>
        <v>9939.8399999999983</v>
      </c>
      <c r="AI85" s="3558">
        <f t="shared" si="142"/>
        <v>7454.8799999999992</v>
      </c>
      <c r="AJ85" s="3558">
        <f t="shared" si="142"/>
        <v>7454.8799999999992</v>
      </c>
      <c r="AK85" s="3557">
        <f t="shared" si="159"/>
        <v>0</v>
      </c>
      <c r="AL85" s="3557"/>
      <c r="AM85" s="3547" t="s">
        <v>3822</v>
      </c>
      <c r="AN85" s="3609">
        <v>4161.54</v>
      </c>
      <c r="AO85" s="3562">
        <v>8323.08</v>
      </c>
      <c r="AP85" s="3561">
        <f t="shared" si="113"/>
        <v>4161.54</v>
      </c>
      <c r="AQ85" s="3559">
        <v>828.32</v>
      </c>
      <c r="AR85" s="3562">
        <v>1656.64</v>
      </c>
      <c r="AS85" s="3561">
        <f t="shared" si="127"/>
        <v>828.32</v>
      </c>
      <c r="AT85" s="3589" t="s">
        <v>4549</v>
      </c>
      <c r="AU85" s="3547" t="s">
        <v>3824</v>
      </c>
      <c r="AV85" s="3609">
        <v>4161.54</v>
      </c>
      <c r="AW85" s="3562"/>
      <c r="AX85" s="3561">
        <f t="shared" si="114"/>
        <v>-4161.54</v>
      </c>
      <c r="AY85" s="3559">
        <v>828.32</v>
      </c>
      <c r="AZ85" s="3562"/>
      <c r="BA85" s="3561">
        <f t="shared" si="128"/>
        <v>-828.32</v>
      </c>
      <c r="BB85" s="3589" t="s">
        <v>4549</v>
      </c>
      <c r="BC85" s="3547" t="s">
        <v>3826</v>
      </c>
      <c r="BD85" s="3609">
        <v>4161.54</v>
      </c>
      <c r="BE85" s="3562">
        <v>4161.54</v>
      </c>
      <c r="BF85" s="3561">
        <f t="shared" si="115"/>
        <v>0</v>
      </c>
      <c r="BG85" s="3559">
        <v>828.32</v>
      </c>
      <c r="BH85" s="3562">
        <v>828.32</v>
      </c>
      <c r="BI85" s="3561">
        <f t="shared" si="116"/>
        <v>0</v>
      </c>
      <c r="BJ85" s="3563" t="s">
        <v>4550</v>
      </c>
      <c r="BK85" s="3547" t="s">
        <v>3873</v>
      </c>
      <c r="BL85" s="3609">
        <v>4161.54</v>
      </c>
      <c r="BM85" s="3562">
        <v>4161.54</v>
      </c>
      <c r="BN85" s="3602">
        <f t="shared" si="160"/>
        <v>0</v>
      </c>
      <c r="BO85" s="3559">
        <v>828.32</v>
      </c>
      <c r="BP85" s="3562">
        <v>828.32</v>
      </c>
      <c r="BQ85" s="3602">
        <f t="shared" si="161"/>
        <v>0</v>
      </c>
      <c r="BR85" s="3563" t="s">
        <v>4551</v>
      </c>
      <c r="BS85" s="3547" t="s">
        <v>3875</v>
      </c>
      <c r="BT85" s="3559">
        <v>4161.54</v>
      </c>
      <c r="BU85" s="3562">
        <v>4161.54</v>
      </c>
      <c r="BV85" s="3561">
        <f t="shared" si="162"/>
        <v>0</v>
      </c>
      <c r="BW85" s="3559">
        <v>828.32</v>
      </c>
      <c r="BX85" s="3562">
        <v>828.32</v>
      </c>
      <c r="BY85" s="3561">
        <f t="shared" si="163"/>
        <v>0</v>
      </c>
      <c r="BZ85" s="3563" t="s">
        <v>4552</v>
      </c>
      <c r="CA85" s="3547" t="s">
        <v>3877</v>
      </c>
      <c r="CB85" s="3609">
        <v>4161.54</v>
      </c>
      <c r="CC85" s="3603">
        <f>4161.54</f>
        <v>4161.54</v>
      </c>
      <c r="CD85" s="3561">
        <f t="shared" si="164"/>
        <v>0</v>
      </c>
      <c r="CE85" s="3559">
        <v>828.32</v>
      </c>
      <c r="CF85" s="3562">
        <v>828.32</v>
      </c>
      <c r="CG85" s="3561">
        <f t="shared" si="165"/>
        <v>0</v>
      </c>
      <c r="CH85" s="3563" t="s">
        <v>4553</v>
      </c>
      <c r="CI85" s="3547" t="s">
        <v>3948</v>
      </c>
      <c r="CJ85" s="3609">
        <v>4161.54</v>
      </c>
      <c r="CK85" s="3603">
        <v>4161.54</v>
      </c>
      <c r="CL85" s="3561">
        <f t="shared" si="133"/>
        <v>0</v>
      </c>
      <c r="CM85" s="3559">
        <v>828.32</v>
      </c>
      <c r="CN85" s="3603">
        <f>828.32</f>
        <v>828.32</v>
      </c>
      <c r="CO85" s="3561">
        <f t="shared" si="166"/>
        <v>0</v>
      </c>
      <c r="CP85" s="3563" t="s">
        <v>4015</v>
      </c>
      <c r="CQ85" s="3597" t="s">
        <v>3950</v>
      </c>
      <c r="CR85" s="3609">
        <v>4161.54</v>
      </c>
      <c r="CS85" s="3603">
        <v>4161.54</v>
      </c>
      <c r="CT85" s="3561">
        <f t="shared" si="167"/>
        <v>0</v>
      </c>
      <c r="CU85" s="3559">
        <v>828.32</v>
      </c>
      <c r="CV85" s="3603">
        <v>828.32</v>
      </c>
      <c r="CW85" s="3561">
        <f t="shared" si="168"/>
        <v>0</v>
      </c>
      <c r="CX85" s="3563" t="s">
        <v>4554</v>
      </c>
      <c r="CY85" s="3547" t="s">
        <v>3966</v>
      </c>
      <c r="CZ85" s="3609">
        <v>4161.54</v>
      </c>
      <c r="DA85" s="3562">
        <v>4161.54</v>
      </c>
      <c r="DB85" s="3561">
        <f t="shared" si="169"/>
        <v>0</v>
      </c>
      <c r="DC85" s="3559">
        <v>828.32</v>
      </c>
      <c r="DD85" s="3562">
        <v>828.32</v>
      </c>
      <c r="DE85" s="3561">
        <f t="shared" si="170"/>
        <v>0</v>
      </c>
      <c r="DF85" s="3563" t="s">
        <v>4555</v>
      </c>
      <c r="DG85" s="3547" t="s">
        <v>3968</v>
      </c>
      <c r="DH85" s="3609">
        <v>4161.54</v>
      </c>
      <c r="DI85" s="3562"/>
      <c r="DJ85" s="3561">
        <f t="shared" si="171"/>
        <v>-4161.54</v>
      </c>
      <c r="DK85" s="3559">
        <v>828.32</v>
      </c>
      <c r="DL85" s="3562"/>
      <c r="DM85" s="3561">
        <f t="shared" si="172"/>
        <v>-828.32</v>
      </c>
      <c r="DN85" s="3563"/>
      <c r="DO85" s="3547" t="s">
        <v>3969</v>
      </c>
      <c r="DP85" s="3609">
        <v>4161.54</v>
      </c>
      <c r="DQ85" s="3562"/>
      <c r="DR85" s="3561">
        <f t="shared" si="173"/>
        <v>-4161.54</v>
      </c>
      <c r="DS85" s="3559">
        <v>828.32</v>
      </c>
      <c r="DT85" s="3562"/>
      <c r="DU85" s="3561">
        <f t="shared" si="174"/>
        <v>-828.32</v>
      </c>
      <c r="DV85" s="3563"/>
      <c r="DW85" s="3547" t="s">
        <v>3970</v>
      </c>
      <c r="DX85" s="3609">
        <v>4161.54</v>
      </c>
      <c r="DY85" s="3562"/>
      <c r="DZ85" s="3561">
        <f t="shared" si="175"/>
        <v>-4161.54</v>
      </c>
      <c r="EA85" s="3559">
        <v>828.32</v>
      </c>
      <c r="EB85" s="3562"/>
      <c r="EC85" s="3561">
        <f t="shared" si="176"/>
        <v>-828.32</v>
      </c>
      <c r="ED85" s="3563"/>
      <c r="EE85" s="3564"/>
      <c r="EF85" s="3565">
        <f t="shared" si="153"/>
        <v>37666.270595238093</v>
      </c>
      <c r="EG85" s="3565">
        <f t="shared" si="143"/>
        <v>25776.160952380953</v>
      </c>
      <c r="EH85" s="3565">
        <f t="shared" si="143"/>
        <v>37666.28571428571</v>
      </c>
      <c r="EI85" s="3565">
        <f t="shared" si="143"/>
        <v>37666.28571428571</v>
      </c>
      <c r="EJ85" s="3565">
        <f t="shared" si="154"/>
        <v>11890.124761904757</v>
      </c>
      <c r="EK85" s="3565">
        <f t="shared" si="155"/>
        <v>0</v>
      </c>
      <c r="EL85" s="3610"/>
      <c r="EM85" s="3557">
        <f t="shared" si="156"/>
        <v>7032.8699292452866</v>
      </c>
      <c r="EN85" s="3557">
        <f t="shared" si="144"/>
        <v>4688.5799528301905</v>
      </c>
      <c r="EO85" s="3557">
        <f t="shared" si="144"/>
        <v>7032.9056603773588</v>
      </c>
      <c r="EP85" s="3557">
        <f t="shared" si="144"/>
        <v>7032.9056603773588</v>
      </c>
      <c r="EQ85" s="3557">
        <f t="shared" si="157"/>
        <v>2344.3257075471683</v>
      </c>
      <c r="ER85" s="3557">
        <f t="shared" si="158"/>
        <v>0</v>
      </c>
      <c r="ES85" s="3645"/>
      <c r="ET85" s="3568">
        <v>5959.3115476190496</v>
      </c>
      <c r="EU85" s="3569">
        <f>6257.28/1.05</f>
        <v>5959.3142857142848</v>
      </c>
      <c r="EV85" s="3562">
        <f>6257.28/1.05</f>
        <v>5959.3142857142848</v>
      </c>
      <c r="EW85" s="3547">
        <f t="shared" si="129"/>
        <v>2.7380952351450105E-3</v>
      </c>
      <c r="EX85" s="3568">
        <v>781.42999213836504</v>
      </c>
      <c r="EY85" s="3569">
        <f>828.32/1.06</f>
        <v>781.43396226415098</v>
      </c>
      <c r="EZ85" s="3562">
        <f>828.32/1.06</f>
        <v>781.43396226415098</v>
      </c>
      <c r="FA85" s="3547">
        <f t="shared" si="130"/>
        <v>3.9701257859405814E-3</v>
      </c>
      <c r="FB85" s="3568"/>
      <c r="FC85" s="3569">
        <f>4161.54/1.05</f>
        <v>3963.3714285714282</v>
      </c>
      <c r="FD85" s="3562">
        <f>8323.08/2/1.05</f>
        <v>3963.3714285714282</v>
      </c>
      <c r="FE85" s="3547">
        <f t="shared" si="117"/>
        <v>3963.3714285714282</v>
      </c>
      <c r="FF85" s="3568"/>
      <c r="FG85" s="3569">
        <f>828.32/1.06</f>
        <v>781.43396226415098</v>
      </c>
      <c r="FH85" s="3562">
        <f>1656.64/2/1.06</f>
        <v>781.43396226415098</v>
      </c>
      <c r="FI85" s="3547">
        <f t="shared" si="118"/>
        <v>781.43396226415098</v>
      </c>
      <c r="FJ85" s="3568"/>
      <c r="FK85" s="3559">
        <f>4161.54/1.05</f>
        <v>3963.3714285714282</v>
      </c>
      <c r="FL85" s="3562">
        <f>8323.08/2/1.05</f>
        <v>3963.3714285714282</v>
      </c>
      <c r="FM85" s="3547">
        <f t="shared" si="119"/>
        <v>3963.3714285714282</v>
      </c>
      <c r="FN85" s="3568"/>
      <c r="FO85" s="3559">
        <f>828.32/1.06</f>
        <v>781.43396226415098</v>
      </c>
      <c r="FP85" s="3562">
        <f>1656.64/2/1.06</f>
        <v>781.43396226415098</v>
      </c>
      <c r="FQ85" s="3547">
        <f t="shared" si="120"/>
        <v>781.43396226415098</v>
      </c>
      <c r="FR85" s="3568"/>
      <c r="FS85" s="3559">
        <f>4161.54/1.05</f>
        <v>3963.3714285714282</v>
      </c>
      <c r="FT85" s="3560">
        <f>4161.54/1.05</f>
        <v>3963.3714285714282</v>
      </c>
      <c r="FU85" s="3547">
        <f t="shared" si="177"/>
        <v>3963.3714285714282</v>
      </c>
      <c r="FV85" s="3568"/>
      <c r="FW85" s="3559">
        <f>828.32/1.06</f>
        <v>781.43396226415098</v>
      </c>
      <c r="FX85" s="3560">
        <f>828.32/1.06</f>
        <v>781.43396226415098</v>
      </c>
      <c r="FY85" s="3547">
        <f t="shared" si="178"/>
        <v>781.43396226415098</v>
      </c>
      <c r="FZ85" s="3568">
        <v>3963.3698809523798</v>
      </c>
      <c r="GA85" s="3569">
        <f>4161.54/1.05</f>
        <v>3963.3714285714282</v>
      </c>
      <c r="GB85" s="3560">
        <f>4161.54/1.05</f>
        <v>3963.3714285714282</v>
      </c>
      <c r="GC85" s="3547">
        <f t="shared" si="179"/>
        <v>1.5476190483241226E-3</v>
      </c>
      <c r="GD85" s="3568">
        <v>781.42999213836504</v>
      </c>
      <c r="GE85" s="3569">
        <f>828.32/1.06</f>
        <v>781.43396226415098</v>
      </c>
      <c r="GF85" s="3560">
        <f>828.32/1.06</f>
        <v>781.43396226415098</v>
      </c>
      <c r="GG85" s="3547">
        <f t="shared" si="180"/>
        <v>3.9701257859405814E-3</v>
      </c>
      <c r="GH85" s="3568">
        <v>3963.3698809523798</v>
      </c>
      <c r="GI85" s="3569">
        <f>4161.54/1.05</f>
        <v>3963.3714285714282</v>
      </c>
      <c r="GJ85" s="3560">
        <f>4161.54/1.05</f>
        <v>3963.3714285714282</v>
      </c>
      <c r="GK85" s="3547">
        <f t="shared" si="181"/>
        <v>1.5476190483241226E-3</v>
      </c>
      <c r="GL85" s="3568">
        <v>781.42999213836504</v>
      </c>
      <c r="GM85" s="3569">
        <f>828.32/1.06</f>
        <v>781.43396226415098</v>
      </c>
      <c r="GN85" s="3560">
        <f>828.32/1.06</f>
        <v>781.43396226415098</v>
      </c>
      <c r="GO85" s="3547">
        <f t="shared" si="182"/>
        <v>3.9701257859405814E-3</v>
      </c>
      <c r="GP85" s="3568">
        <v>3963.3698809523798</v>
      </c>
      <c r="GQ85" s="3569">
        <f>4161.54/1.05</f>
        <v>3963.3714285714282</v>
      </c>
      <c r="GR85" s="3562">
        <f>4161.54/1.05</f>
        <v>3963.3714285714282</v>
      </c>
      <c r="GS85" s="3547">
        <f t="shared" si="183"/>
        <v>1.5476190483241226E-3</v>
      </c>
      <c r="GT85" s="3568">
        <v>781.42999213836504</v>
      </c>
      <c r="GU85" s="3569">
        <f>828.32/1.06</f>
        <v>781.43396226415098</v>
      </c>
      <c r="GV85" s="3562">
        <f>828.32/1.06</f>
        <v>781.43396226415098</v>
      </c>
      <c r="GW85" s="3547">
        <f t="shared" si="184"/>
        <v>3.9701257859405814E-3</v>
      </c>
      <c r="GX85" s="3568">
        <v>3963.3698809523798</v>
      </c>
      <c r="GY85" s="3569">
        <f>4161.54/1.05</f>
        <v>3963.3714285714282</v>
      </c>
      <c r="GZ85" s="3562">
        <f>4161.54/1.05</f>
        <v>3963.3714285714282</v>
      </c>
      <c r="HA85" s="3547">
        <f t="shared" si="185"/>
        <v>1.5476190483241226E-3</v>
      </c>
      <c r="HB85" s="3568">
        <v>781.42999213836504</v>
      </c>
      <c r="HC85" s="3569">
        <f>828.32/1.06</f>
        <v>781.43396226415098</v>
      </c>
      <c r="HD85" s="3562">
        <f>828.32/1.06</f>
        <v>781.43396226415098</v>
      </c>
      <c r="HE85" s="3547">
        <f t="shared" si="186"/>
        <v>3.9701257859405814E-3</v>
      </c>
      <c r="HF85" s="3568">
        <v>3963.3698809523798</v>
      </c>
      <c r="HG85" s="3569">
        <f>4161.54/1.05</f>
        <v>3963.3714285714282</v>
      </c>
      <c r="HH85" s="3562">
        <f>4161.54/1.05</f>
        <v>3963.3714285714282</v>
      </c>
      <c r="HI85" s="3547">
        <f t="shared" si="187"/>
        <v>1.5476190483241226E-3</v>
      </c>
      <c r="HJ85" s="3568">
        <v>781.42999213836504</v>
      </c>
      <c r="HK85" s="3569">
        <f>828.32/1.06</f>
        <v>781.43396226415098</v>
      </c>
      <c r="HL85" s="3562">
        <f>828.32/1.06</f>
        <v>781.43396226415098</v>
      </c>
      <c r="HM85" s="3547">
        <f t="shared" si="188"/>
        <v>3.9701257859405814E-3</v>
      </c>
      <c r="HN85" s="3568">
        <v>3963.3698809523798</v>
      </c>
      <c r="HO85" s="3569">
        <f>4161.54/1.05</f>
        <v>3963.3714285714282</v>
      </c>
      <c r="HP85" s="3562">
        <f>4161.54/1.05</f>
        <v>3963.3714285714282</v>
      </c>
      <c r="HQ85" s="3547">
        <f t="shared" si="189"/>
        <v>1.5476190483241226E-3</v>
      </c>
      <c r="HR85" s="3568">
        <v>781.42999213836504</v>
      </c>
      <c r="HS85" s="3569">
        <f>828.32/1.06</f>
        <v>781.43396226415098</v>
      </c>
      <c r="HT85" s="3562">
        <f>828.32/1.06</f>
        <v>781.43396226415098</v>
      </c>
      <c r="HU85" s="3547">
        <f t="shared" si="190"/>
        <v>3.9701257859405814E-3</v>
      </c>
      <c r="HV85" s="3568">
        <v>3963.3698809523798</v>
      </c>
      <c r="HW85" s="3569">
        <f>4161.54/1.05</f>
        <v>3963.3714285714282</v>
      </c>
      <c r="HX85" s="3562"/>
      <c r="HY85" s="3547">
        <f t="shared" si="191"/>
        <v>-3963.3698809523798</v>
      </c>
      <c r="HZ85" s="3568">
        <v>781.42999213836504</v>
      </c>
      <c r="IA85" s="3569">
        <f>828.32/1.06</f>
        <v>781.43396226415098</v>
      </c>
      <c r="IB85" s="3562"/>
      <c r="IC85" s="3547">
        <f t="shared" si="192"/>
        <v>-781.42999213836504</v>
      </c>
      <c r="ID85" s="3568">
        <v>3963.3698809523798</v>
      </c>
      <c r="IE85" s="3569">
        <f>4161.54/1.05</f>
        <v>3963.3714285714282</v>
      </c>
      <c r="IF85" s="3562"/>
      <c r="IG85" s="3547">
        <f t="shared" si="193"/>
        <v>-3963.3698809523798</v>
      </c>
      <c r="IH85" s="3568">
        <v>781.42999213836504</v>
      </c>
      <c r="II85" s="3569">
        <f>828.32/1.06</f>
        <v>781.43396226415098</v>
      </c>
      <c r="IJ85" s="3562"/>
      <c r="IK85" s="3547">
        <f t="shared" si="194"/>
        <v>-781.42999213836504</v>
      </c>
      <c r="IL85" s="3547" t="s">
        <v>3970</v>
      </c>
      <c r="IM85" s="3569">
        <f>4161.54/1.05</f>
        <v>3963.3714285714282</v>
      </c>
      <c r="IN85" s="3569">
        <f>828.32/1.06</f>
        <v>781.43396226415098</v>
      </c>
      <c r="IO85" s="3547"/>
      <c r="IP85" s="3560">
        <f t="shared" si="195"/>
        <v>0</v>
      </c>
      <c r="IQ85" s="3568"/>
      <c r="IR85" s="3568"/>
      <c r="IS85" s="3568"/>
      <c r="IT85" s="3568"/>
      <c r="IU85" s="3568"/>
      <c r="IV85" s="3568"/>
      <c r="IW85" s="3568"/>
      <c r="IX85" s="3568"/>
      <c r="IY85" s="3568"/>
      <c r="IZ85" s="3560"/>
      <c r="JA85" s="3560"/>
      <c r="JB85" s="3560"/>
      <c r="JC85" s="3560">
        <f t="shared" si="134"/>
        <v>0</v>
      </c>
      <c r="JD85" s="3547"/>
      <c r="JE85" s="3568"/>
      <c r="JF85" s="3568"/>
      <c r="JG85" s="3568"/>
      <c r="JH85" s="3568"/>
      <c r="JI85" s="3568"/>
      <c r="JJ85" s="3568"/>
      <c r="JK85" s="3568"/>
      <c r="JL85" s="3568"/>
      <c r="JM85" s="3568"/>
      <c r="JN85" s="3560"/>
      <c r="JO85" s="3560"/>
      <c r="JP85" s="3547" t="s">
        <v>3837</v>
      </c>
      <c r="JQ85" s="3583">
        <f>6257.28/1.05</f>
        <v>5959.3142857142848</v>
      </c>
      <c r="JR85" s="3583">
        <f>828.32/1.06</f>
        <v>781.43396226415098</v>
      </c>
      <c r="JS85" s="3573">
        <f t="shared" si="145"/>
        <v>0</v>
      </c>
      <c r="JT85" s="3573">
        <f t="shared" si="152"/>
        <v>-1.8189894035458565E-12</v>
      </c>
      <c r="JU85" s="3574">
        <f t="shared" si="146"/>
        <v>9.5496943686157465E-12</v>
      </c>
      <c r="JV85" s="3574">
        <f t="shared" si="147"/>
        <v>-1.8189894035458565E-12</v>
      </c>
      <c r="JW85" s="3575"/>
      <c r="JX85" s="3576">
        <f t="shared" si="148"/>
        <v>3963.3714285714282</v>
      </c>
      <c r="JY85" s="3576">
        <f t="shared" si="149"/>
        <v>781.43396226415098</v>
      </c>
      <c r="JZ85" s="3577"/>
      <c r="KA85" s="3573">
        <f t="shared" si="131"/>
        <v>5.517744834264704E-3</v>
      </c>
      <c r="KB85" s="3573"/>
      <c r="KC85" s="3573"/>
      <c r="KD85" s="3573">
        <f t="shared" si="150"/>
        <v>5.517744834264704E-3</v>
      </c>
      <c r="KE85" s="3578"/>
      <c r="KF85" s="3579"/>
      <c r="KG85" s="3579"/>
      <c r="KH85" s="3579">
        <f>4744.81/10000*3</f>
        <v>1.4234430000000002</v>
      </c>
      <c r="KI85" s="3579"/>
      <c r="KJ85" s="3579"/>
      <c r="KK85" s="3579"/>
      <c r="KL85" s="3579"/>
      <c r="KM85" s="3579"/>
      <c r="KN85" s="3579"/>
      <c r="KO85" s="3579"/>
      <c r="KP85" s="3579"/>
      <c r="KQ85" s="3579">
        <f t="shared" si="151"/>
        <v>1.4234430000000002</v>
      </c>
      <c r="KR85" s="3579">
        <f t="shared" si="196"/>
        <v>2.046945192235583E-6</v>
      </c>
      <c r="KS85" s="3577"/>
      <c r="KT85" s="3577"/>
      <c r="KU85" s="3577"/>
      <c r="KV85" s="3577"/>
      <c r="KW85" s="3577"/>
      <c r="KX85" s="3577"/>
      <c r="KY85" s="3577"/>
      <c r="KZ85" s="3577"/>
      <c r="LA85" s="3577"/>
      <c r="LB85" s="3577"/>
      <c r="LC85" s="3577"/>
      <c r="LD85" s="3577"/>
      <c r="LE85" s="3577"/>
      <c r="LF85" s="3577"/>
      <c r="LG85" s="3577"/>
      <c r="LH85" s="3577"/>
      <c r="LJ85" s="3575"/>
      <c r="LK85" s="3626">
        <v>12</v>
      </c>
      <c r="LL85" s="3627">
        <v>6756.26</v>
      </c>
      <c r="LM85" s="3580" t="s">
        <v>3954</v>
      </c>
    </row>
    <row r="86" spans="1:325" s="3580" customFormat="1" ht="18" customHeight="1">
      <c r="A86" s="3545">
        <v>83</v>
      </c>
      <c r="B86" s="3546" t="s">
        <v>4496</v>
      </c>
      <c r="C86" s="3546" t="s">
        <v>4556</v>
      </c>
      <c r="D86" s="3547">
        <v>32.81</v>
      </c>
      <c r="E86" s="3548" t="s">
        <v>3799</v>
      </c>
      <c r="F86" s="3546" t="s">
        <v>3790</v>
      </c>
      <c r="G86" s="3549" t="s">
        <v>4557</v>
      </c>
      <c r="H86" s="3546" t="s">
        <v>4558</v>
      </c>
      <c r="I86" s="3594" t="s">
        <v>4559</v>
      </c>
      <c r="J86" s="3594" t="s">
        <v>3884</v>
      </c>
      <c r="K86" s="3545" t="s">
        <v>4560</v>
      </c>
      <c r="L86" s="3555"/>
      <c r="M86" s="3551">
        <v>13981.56</v>
      </c>
      <c r="N86" s="3551">
        <v>13981.56</v>
      </c>
      <c r="O86" s="3551">
        <f t="shared" si="135"/>
        <v>0</v>
      </c>
      <c r="P86" s="3547">
        <v>2484.96</v>
      </c>
      <c r="Q86" s="3616">
        <v>2484.96</v>
      </c>
      <c r="R86" s="3547">
        <f t="shared" si="132"/>
        <v>0</v>
      </c>
      <c r="S86" s="3547">
        <f t="shared" si="125"/>
        <v>4.6699962006237659</v>
      </c>
      <c r="T86" s="3658">
        <v>4660.5200000000004</v>
      </c>
      <c r="U86" s="3553">
        <f t="shared" si="136"/>
        <v>55926.240000000005</v>
      </c>
      <c r="V86" s="3547">
        <f>4660.52*23</f>
        <v>107191.96</v>
      </c>
      <c r="W86" s="3547">
        <f t="shared" si="126"/>
        <v>0.83000421689010606</v>
      </c>
      <c r="X86" s="3658">
        <v>828.32</v>
      </c>
      <c r="Y86" s="3547">
        <f t="shared" si="137"/>
        <v>9939.84</v>
      </c>
      <c r="Z86" s="3554"/>
      <c r="AA86" s="3555"/>
      <c r="AB86" s="3552" t="s">
        <v>3804</v>
      </c>
      <c r="AC86" s="3556">
        <f t="shared" si="138"/>
        <v>61685.100000000006</v>
      </c>
      <c r="AD86" s="3556">
        <f t="shared" si="139"/>
        <v>47703.540000000008</v>
      </c>
      <c r="AE86" s="3556">
        <f t="shared" si="139"/>
        <v>47703.539999999994</v>
      </c>
      <c r="AF86" s="3556">
        <f t="shared" si="140"/>
        <v>0</v>
      </c>
      <c r="AG86" s="3556"/>
      <c r="AH86" s="3557">
        <f t="shared" si="141"/>
        <v>11852.919999999998</v>
      </c>
      <c r="AI86" s="3558">
        <f t="shared" si="142"/>
        <v>9367.9599999999991</v>
      </c>
      <c r="AJ86" s="3558">
        <f t="shared" si="142"/>
        <v>9367.9599999999991</v>
      </c>
      <c r="AK86" s="3557">
        <f t="shared" si="159"/>
        <v>0</v>
      </c>
      <c r="AL86" s="3557"/>
      <c r="AM86" s="3547" t="s">
        <v>4561</v>
      </c>
      <c r="AN86" s="3609">
        <f>9321.04</f>
        <v>9321.0400000000009</v>
      </c>
      <c r="AO86" s="3562">
        <v>9321.0400000000009</v>
      </c>
      <c r="AP86" s="3561">
        <f t="shared" si="113"/>
        <v>0</v>
      </c>
      <c r="AQ86" s="3559">
        <f>2484.96</f>
        <v>2484.96</v>
      </c>
      <c r="AR86" s="3562">
        <v>2484.96</v>
      </c>
      <c r="AS86" s="3561">
        <f t="shared" si="127"/>
        <v>0</v>
      </c>
      <c r="AT86" s="3563" t="s">
        <v>4562</v>
      </c>
      <c r="AU86" s="3584" t="s">
        <v>4321</v>
      </c>
      <c r="AV86" s="3609">
        <f>-3562.18</f>
        <v>-3562.18</v>
      </c>
      <c r="AW86" s="3562">
        <f>-5159.51+1597.33</f>
        <v>-3562.1800000000003</v>
      </c>
      <c r="AX86" s="3561">
        <f t="shared" si="114"/>
        <v>0</v>
      </c>
      <c r="AY86" s="3559">
        <f>-571.88</f>
        <v>-571.88</v>
      </c>
      <c r="AZ86" s="3562">
        <f>-828.32+256.44</f>
        <v>-571.88000000000011</v>
      </c>
      <c r="BA86" s="3561">
        <f t="shared" si="128"/>
        <v>0</v>
      </c>
      <c r="BB86" s="3563" t="s">
        <v>4563</v>
      </c>
      <c r="BC86" s="3547" t="s">
        <v>4564</v>
      </c>
      <c r="BD86" s="3609">
        <f>4660.52*3</f>
        <v>13981.560000000001</v>
      </c>
      <c r="BE86" s="3562">
        <v>13981.56</v>
      </c>
      <c r="BF86" s="3561">
        <f t="shared" si="115"/>
        <v>0</v>
      </c>
      <c r="BG86" s="3559">
        <f>828.32*3</f>
        <v>2484.96</v>
      </c>
      <c r="BH86" s="3562">
        <v>2484.96</v>
      </c>
      <c r="BI86" s="3561">
        <f t="shared" si="116"/>
        <v>0</v>
      </c>
      <c r="BJ86" s="3563" t="s">
        <v>4565</v>
      </c>
      <c r="BK86" s="3547"/>
      <c r="BL86" s="3609"/>
      <c r="BM86" s="3562"/>
      <c r="BN86" s="3561">
        <f t="shared" si="160"/>
        <v>0</v>
      </c>
      <c r="BO86" s="3559"/>
      <c r="BP86" s="3562"/>
      <c r="BQ86" s="3561">
        <f t="shared" si="161"/>
        <v>0</v>
      </c>
      <c r="BR86" s="3563" t="s">
        <v>4565</v>
      </c>
      <c r="BS86" s="3547"/>
      <c r="BT86" s="3559"/>
      <c r="BU86" s="3562"/>
      <c r="BV86" s="3561">
        <f t="shared" si="162"/>
        <v>0</v>
      </c>
      <c r="BW86" s="3559"/>
      <c r="BX86" s="3562"/>
      <c r="BY86" s="3561">
        <f t="shared" si="163"/>
        <v>0</v>
      </c>
      <c r="BZ86" s="3563" t="s">
        <v>4565</v>
      </c>
      <c r="CA86" s="3547" t="s">
        <v>4566</v>
      </c>
      <c r="CB86" s="3609">
        <f>4660.52*3</f>
        <v>13981.560000000001</v>
      </c>
      <c r="CC86" s="3562">
        <v>13981.56</v>
      </c>
      <c r="CD86" s="3561">
        <f t="shared" si="164"/>
        <v>0</v>
      </c>
      <c r="CE86" s="3559">
        <f>828.32*3</f>
        <v>2484.96</v>
      </c>
      <c r="CF86" s="3562">
        <v>2484.96</v>
      </c>
      <c r="CG86" s="3561">
        <f t="shared" si="165"/>
        <v>0</v>
      </c>
      <c r="CH86" s="3563" t="s">
        <v>4567</v>
      </c>
      <c r="CI86" s="3547"/>
      <c r="CJ86" s="3609"/>
      <c r="CK86" s="3562"/>
      <c r="CL86" s="3561">
        <f t="shared" si="133"/>
        <v>0</v>
      </c>
      <c r="CM86" s="3559"/>
      <c r="CN86" s="3562"/>
      <c r="CO86" s="3561">
        <f t="shared" si="166"/>
        <v>0</v>
      </c>
      <c r="CP86" s="3563" t="s">
        <v>4567</v>
      </c>
      <c r="CQ86" s="3547"/>
      <c r="CR86" s="3609"/>
      <c r="CS86" s="3603"/>
      <c r="CT86" s="3561">
        <f t="shared" si="167"/>
        <v>0</v>
      </c>
      <c r="CU86" s="3559"/>
      <c r="CV86" s="3603"/>
      <c r="CW86" s="3561">
        <f t="shared" si="168"/>
        <v>0</v>
      </c>
      <c r="CX86" s="3563" t="s">
        <v>4567</v>
      </c>
      <c r="CY86" s="3547" t="s">
        <v>4568</v>
      </c>
      <c r="CZ86" s="3609">
        <f>4660.52*3</f>
        <v>13981.560000000001</v>
      </c>
      <c r="DA86" s="3562">
        <f>13981.56</f>
        <v>13981.56</v>
      </c>
      <c r="DB86" s="3561">
        <f t="shared" si="169"/>
        <v>0</v>
      </c>
      <c r="DC86" s="3559">
        <f>828.32*3</f>
        <v>2484.96</v>
      </c>
      <c r="DD86" s="3562">
        <v>2484.96</v>
      </c>
      <c r="DE86" s="3561">
        <f t="shared" si="170"/>
        <v>0</v>
      </c>
      <c r="DF86" s="3563" t="s">
        <v>4569</v>
      </c>
      <c r="DG86" s="3547"/>
      <c r="DH86" s="3609"/>
      <c r="DI86" s="3562"/>
      <c r="DJ86" s="3561">
        <f t="shared" si="171"/>
        <v>0</v>
      </c>
      <c r="DK86" s="3559"/>
      <c r="DL86" s="3562"/>
      <c r="DM86" s="3561">
        <f t="shared" si="172"/>
        <v>0</v>
      </c>
      <c r="DN86" s="3563"/>
      <c r="DO86" s="3547"/>
      <c r="DP86" s="3609"/>
      <c r="DQ86" s="3562"/>
      <c r="DR86" s="3561">
        <f t="shared" si="173"/>
        <v>0</v>
      </c>
      <c r="DS86" s="3559"/>
      <c r="DT86" s="3562"/>
      <c r="DU86" s="3561">
        <f t="shared" si="174"/>
        <v>0</v>
      </c>
      <c r="DV86" s="3563"/>
      <c r="DW86" s="3547" t="s">
        <v>4570</v>
      </c>
      <c r="DX86" s="3609">
        <f>4660.52*3</f>
        <v>13981.560000000001</v>
      </c>
      <c r="DY86" s="3562"/>
      <c r="DZ86" s="3561">
        <f t="shared" si="175"/>
        <v>-13981.560000000001</v>
      </c>
      <c r="EA86" s="3559">
        <f>828.32*3</f>
        <v>2484.96</v>
      </c>
      <c r="EB86" s="3562"/>
      <c r="EC86" s="3561">
        <f t="shared" si="176"/>
        <v>-2484.96</v>
      </c>
      <c r="ED86" s="3563"/>
      <c r="EE86" s="3564"/>
      <c r="EF86" s="3565">
        <f t="shared" si="153"/>
        <v>37409.654047619057</v>
      </c>
      <c r="EG86" s="3565">
        <f t="shared" si="143"/>
        <v>29482.914285714302</v>
      </c>
      <c r="EH86" s="3565">
        <f t="shared" si="143"/>
        <v>34987.022804957596</v>
      </c>
      <c r="EI86" s="3565">
        <f t="shared" si="143"/>
        <v>34987.022804957596</v>
      </c>
      <c r="EJ86" s="3565">
        <f t="shared" si="154"/>
        <v>5504.1085192432947</v>
      </c>
      <c r="EK86" s="3566">
        <f t="shared" si="155"/>
        <v>0</v>
      </c>
      <c r="EL86" s="3610"/>
      <c r="EM86" s="3567">
        <f t="shared" si="156"/>
        <v>7032.8977201257876</v>
      </c>
      <c r="EN86" s="3557">
        <f t="shared" si="144"/>
        <v>5470.0377358490568</v>
      </c>
      <c r="EO86" s="3557">
        <f t="shared" si="144"/>
        <v>6915.1564745412252</v>
      </c>
      <c r="EP86" s="3557">
        <f t="shared" si="144"/>
        <v>6915.1564745412252</v>
      </c>
      <c r="EQ86" s="3557">
        <f t="shared" si="157"/>
        <v>1445.1187386921683</v>
      </c>
      <c r="ER86" s="3557">
        <f t="shared" si="158"/>
        <v>0</v>
      </c>
      <c r="ES86" s="3557"/>
      <c r="ET86" s="3568">
        <v>4913.8190476190503</v>
      </c>
      <c r="EU86" s="3569">
        <f>5159.51/1.05</f>
        <v>4913.8190476190475</v>
      </c>
      <c r="EV86" s="3606">
        <f>5159.51/1.05</f>
        <v>4913.8190476190475</v>
      </c>
      <c r="EW86" s="3547">
        <f t="shared" si="129"/>
        <v>0</v>
      </c>
      <c r="EX86" s="3568">
        <v>781.43396226415098</v>
      </c>
      <c r="EY86" s="3569">
        <f>828.32/1.06+828.32/1.06-828.32/1.06*12/365*14</f>
        <v>1203.1942103902818</v>
      </c>
      <c r="EZ86" s="3606">
        <f>828.32/1.06+828.32/1.06-828.32/1.06*12/365*14</f>
        <v>1203.1942103902818</v>
      </c>
      <c r="FA86" s="3547">
        <f t="shared" si="130"/>
        <v>421.76024812613082</v>
      </c>
      <c r="FB86" s="3568">
        <v>4913.8190476190503</v>
      </c>
      <c r="FC86" s="3592">
        <f>4660.52/1.05-4660.52/1.05*12/365*14-3562.18/1.05</f>
        <v>-996.92957599478086</v>
      </c>
      <c r="FD86" s="3606">
        <f>9321.04/2/1.05-9321.04/2/1.05*12/365*14-3562.18/1.05</f>
        <v>-996.92957599478086</v>
      </c>
      <c r="FE86" s="3547">
        <f t="shared" si="117"/>
        <v>-5910.7486236138311</v>
      </c>
      <c r="FF86" s="3568">
        <v>781.43396226415098</v>
      </c>
      <c r="FG86" s="3592">
        <f>828.32/1.06-571.88/1.06</f>
        <v>241.92452830188688</v>
      </c>
      <c r="FH86" s="3606">
        <f>2484.96/3/1.06-571.88/1.06</f>
        <v>241.92452830188688</v>
      </c>
      <c r="FI86" s="3547">
        <f t="shared" si="118"/>
        <v>-539.5094339622641</v>
      </c>
      <c r="FJ86" s="3568">
        <v>4913.8190476190503</v>
      </c>
      <c r="FK86" s="3559">
        <f>4660.52/1.05</f>
        <v>4438.5904761904767</v>
      </c>
      <c r="FL86" s="3562">
        <f>9321.04/2/1.05</f>
        <v>4438.5904761904767</v>
      </c>
      <c r="FM86" s="3547">
        <f t="shared" si="119"/>
        <v>-475.22857142857356</v>
      </c>
      <c r="FN86" s="3568">
        <v>781.43396226415098</v>
      </c>
      <c r="FO86" s="3559">
        <f>828.32/1.06</f>
        <v>781.43396226415098</v>
      </c>
      <c r="FP86" s="3562">
        <f>2484.96/3/1.06</f>
        <v>781.43396226415098</v>
      </c>
      <c r="FQ86" s="3547">
        <f t="shared" si="120"/>
        <v>0</v>
      </c>
      <c r="FR86" s="3568">
        <v>4913.8190476190503</v>
      </c>
      <c r="FS86" s="3559">
        <f>4660.52/1.05</f>
        <v>4438.5904761904767</v>
      </c>
      <c r="FT86" s="3560">
        <f>9321.04/2/1.05*12/365*14+13981.56/3/1.05-13981.56/3/1.05*12/365*14</f>
        <v>4438.5904761904767</v>
      </c>
      <c r="FU86" s="3547">
        <f t="shared" si="177"/>
        <v>-475.22857142857356</v>
      </c>
      <c r="FV86" s="3568">
        <v>781.43396226415098</v>
      </c>
      <c r="FW86" s="3559">
        <f>828.32/1.06</f>
        <v>781.43396226415098</v>
      </c>
      <c r="FX86" s="3560">
        <f>2484.96/3/1.06*12/365*14+2484.96/1.06/3-2484.96/1.06/3*12/365*14</f>
        <v>781.43396226415098</v>
      </c>
      <c r="FY86" s="3547">
        <f t="shared" si="178"/>
        <v>0</v>
      </c>
      <c r="FZ86" s="3568">
        <v>4913.8190476190503</v>
      </c>
      <c r="GA86" s="3569">
        <f>4660.52/1.05</f>
        <v>4438.5904761904767</v>
      </c>
      <c r="GB86" s="3560">
        <f>13981.56/3/1.05</f>
        <v>4438.5904761904758</v>
      </c>
      <c r="GC86" s="3547">
        <f t="shared" si="179"/>
        <v>-475.22857142857447</v>
      </c>
      <c r="GD86" s="3568">
        <v>781.43396226415098</v>
      </c>
      <c r="GE86" s="3569">
        <f>828.32/1.06</f>
        <v>781.43396226415098</v>
      </c>
      <c r="GF86" s="3560">
        <f>2484.96/3/1.06</f>
        <v>781.43396226415098</v>
      </c>
      <c r="GG86" s="3547">
        <f t="shared" si="180"/>
        <v>0</v>
      </c>
      <c r="GH86" s="3568">
        <v>4913.8190476190503</v>
      </c>
      <c r="GI86" s="3569">
        <f>4660.52/1.05</f>
        <v>4438.5904761904767</v>
      </c>
      <c r="GJ86" s="3560">
        <f>13981.56/3/1.05</f>
        <v>4438.5904761904758</v>
      </c>
      <c r="GK86" s="3547">
        <f t="shared" si="181"/>
        <v>-475.22857142857447</v>
      </c>
      <c r="GL86" s="3568">
        <v>781.43396226415098</v>
      </c>
      <c r="GM86" s="3569">
        <f>828.32/1.06</f>
        <v>781.43396226415098</v>
      </c>
      <c r="GN86" s="3560">
        <f>2484.96/3/1.06</f>
        <v>781.43396226415098</v>
      </c>
      <c r="GO86" s="3547">
        <f t="shared" si="182"/>
        <v>0</v>
      </c>
      <c r="GP86" s="3568"/>
      <c r="GQ86" s="3569">
        <f>4660.52/1.05</f>
        <v>4438.5904761904767</v>
      </c>
      <c r="GR86" s="3562">
        <f>13981.56/3/1.05*12/365*14+13981.56/3/1.05-13981.56/3/1.05*12/365*14</f>
        <v>4438.5904761904767</v>
      </c>
      <c r="GS86" s="3547">
        <f t="shared" si="183"/>
        <v>4438.5904761904767</v>
      </c>
      <c r="GT86" s="3568">
        <v>781.43396226415098</v>
      </c>
      <c r="GU86" s="3569">
        <f>828.32/1.06</f>
        <v>781.43396226415098</v>
      </c>
      <c r="GV86" s="3562">
        <f>2484.96/3/1.06*12/365*14+2484.96/3/1.06-2484.96/3/1.06*12/365*14</f>
        <v>781.43396226415098</v>
      </c>
      <c r="GW86" s="3547">
        <f t="shared" si="184"/>
        <v>0</v>
      </c>
      <c r="GX86" s="3568"/>
      <c r="GY86" s="3569">
        <f>4660.52/1.05</f>
        <v>4438.5904761904767</v>
      </c>
      <c r="GZ86" s="3562">
        <f>13981.56/3/1.05</f>
        <v>4438.5904761904758</v>
      </c>
      <c r="HA86" s="3547">
        <f t="shared" si="185"/>
        <v>4438.5904761904758</v>
      </c>
      <c r="HB86" s="3568"/>
      <c r="HC86" s="3569">
        <f>828.32/1.06</f>
        <v>781.43396226415098</v>
      </c>
      <c r="HD86" s="3562">
        <f>2484.96/3/1.06</f>
        <v>781.43396226415098</v>
      </c>
      <c r="HE86" s="3547">
        <f t="shared" si="186"/>
        <v>781.43396226415098</v>
      </c>
      <c r="HF86" s="3568"/>
      <c r="HG86" s="3569">
        <f>4660.52/1.05</f>
        <v>4438.5904761904767</v>
      </c>
      <c r="HH86" s="3562">
        <f>13981.56/3/1.05</f>
        <v>4438.5904761904758</v>
      </c>
      <c r="HI86" s="3547">
        <f t="shared" si="187"/>
        <v>4438.5904761904758</v>
      </c>
      <c r="HJ86" s="3568"/>
      <c r="HK86" s="3569">
        <f>828.32/1.06</f>
        <v>781.43396226415098</v>
      </c>
      <c r="HL86" s="3562">
        <f>2484.96/3/1.06</f>
        <v>781.43396226415098</v>
      </c>
      <c r="HM86" s="3547">
        <f t="shared" si="188"/>
        <v>781.43396226415098</v>
      </c>
      <c r="HN86" s="3568"/>
      <c r="HO86" s="3569">
        <f>4660.52/1.05</f>
        <v>4438.5904761904767</v>
      </c>
      <c r="HP86" s="3562">
        <f>13981.56/3/1.05*12/365*14+13981.56/3/1.05-13981.56/3/1.05*12/365*14</f>
        <v>4438.5904761904767</v>
      </c>
      <c r="HQ86" s="3547">
        <f t="shared" si="189"/>
        <v>4438.5904761904767</v>
      </c>
      <c r="HR86" s="3568"/>
      <c r="HS86" s="3569">
        <f>828.32/1.06</f>
        <v>781.43396226415098</v>
      </c>
      <c r="HT86" s="3562">
        <f>2484.96/3/1.06*12/365*14+2484.96/3/1.06-2484.96/3/1.06*12/365*14</f>
        <v>781.43396226415098</v>
      </c>
      <c r="HU86" s="3547">
        <f t="shared" si="190"/>
        <v>781.43396226415098</v>
      </c>
      <c r="HV86" s="3568">
        <v>3963.3698809523798</v>
      </c>
      <c r="HW86" s="3569">
        <f>4660.52/1.05</f>
        <v>4438.5904761904767</v>
      </c>
      <c r="HX86" s="3562">
        <f>13981.56/3/1.05</f>
        <v>4438.5904761904758</v>
      </c>
      <c r="HY86" s="3547">
        <f t="shared" si="191"/>
        <v>475.22059523809594</v>
      </c>
      <c r="HZ86" s="3568">
        <v>781.42999213836504</v>
      </c>
      <c r="IA86" s="3569">
        <f>828.32/1.06</f>
        <v>781.43396226415098</v>
      </c>
      <c r="IB86" s="3562">
        <f>2484.96/3/1.06</f>
        <v>781.43396226415098</v>
      </c>
      <c r="IC86" s="3547">
        <f t="shared" si="192"/>
        <v>3.9701257859405814E-3</v>
      </c>
      <c r="ID86" s="3568">
        <v>3963.3698809523798</v>
      </c>
      <c r="IE86" s="3569">
        <f>4660.52/1.05</f>
        <v>4438.5904761904767</v>
      </c>
      <c r="IF86" s="3562">
        <f>13981.56/3/1.05</f>
        <v>4438.5904761904758</v>
      </c>
      <c r="IG86" s="3547">
        <f t="shared" si="193"/>
        <v>475.22059523809594</v>
      </c>
      <c r="IH86" s="3568">
        <v>781.42999213836504</v>
      </c>
      <c r="II86" s="3569">
        <f>828.32/1.06</f>
        <v>781.43396226415098</v>
      </c>
      <c r="IJ86" s="3562">
        <f>2484.96/3/1.06</f>
        <v>781.43396226415098</v>
      </c>
      <c r="IK86" s="3547">
        <f t="shared" si="194"/>
        <v>3.9701257859405814E-3</v>
      </c>
      <c r="IL86" s="3607" t="s">
        <v>4571</v>
      </c>
      <c r="IM86" s="3569">
        <f>4660.52/1.05*3+4660.52/1.05*12/365*14</f>
        <v>15358.739099804307</v>
      </c>
      <c r="IN86" s="3569">
        <f>828.32/1.06*3+828.32/1.06*12/365*14</f>
        <v>2703.9756009304729</v>
      </c>
      <c r="IO86" s="3547" t="s">
        <v>4180</v>
      </c>
      <c r="IP86" s="3560">
        <f t="shared" si="195"/>
        <v>2042.9676712328769</v>
      </c>
      <c r="IQ86" s="3562">
        <f>13981.56/3/1.05*12/365*14</f>
        <v>2042.9676712328769</v>
      </c>
      <c r="IR86" s="3568"/>
      <c r="IS86" s="3568"/>
      <c r="IT86" s="3568"/>
      <c r="IU86" s="3568"/>
      <c r="IV86" s="3568"/>
      <c r="IW86" s="3568"/>
      <c r="IX86" s="3568"/>
      <c r="IY86" s="3568"/>
      <c r="IZ86" s="3560"/>
      <c r="JA86" s="3560"/>
      <c r="JB86" s="3560"/>
      <c r="JC86" s="3560">
        <f t="shared" si="134"/>
        <v>359.67371413802016</v>
      </c>
      <c r="JD86" s="3562">
        <f>2484.96/3/1.06*12/365*14</f>
        <v>359.67371413802016</v>
      </c>
      <c r="JE86" s="3568"/>
      <c r="JF86" s="3568"/>
      <c r="JG86" s="3568"/>
      <c r="JH86" s="3568"/>
      <c r="JI86" s="3568"/>
      <c r="JJ86" s="3568"/>
      <c r="JK86" s="3568"/>
      <c r="JL86" s="3568"/>
      <c r="JM86" s="3568"/>
      <c r="JN86" s="3560"/>
      <c r="JO86" s="3560"/>
      <c r="JP86" s="3607" t="s">
        <v>3837</v>
      </c>
      <c r="JQ86" s="3583">
        <f>5159.51/1.05</f>
        <v>4913.8190476190475</v>
      </c>
      <c r="JR86" s="3583">
        <f>828.32/1.06</f>
        <v>781.43396226415098</v>
      </c>
      <c r="JS86" s="3573">
        <f t="shared" si="145"/>
        <v>0</v>
      </c>
      <c r="JT86" s="3573">
        <f t="shared" si="152"/>
        <v>0</v>
      </c>
      <c r="JU86" s="3574">
        <f t="shared" si="146"/>
        <v>0</v>
      </c>
      <c r="JV86" s="3574">
        <f t="shared" si="147"/>
        <v>0</v>
      </c>
      <c r="JW86" s="3575"/>
      <c r="JX86" s="3576">
        <f t="shared" si="148"/>
        <v>15358.739099804305</v>
      </c>
      <c r="JY86" s="3576">
        <f t="shared" si="149"/>
        <v>2703.9756009304729</v>
      </c>
      <c r="JZ86" s="3577"/>
      <c r="KA86" s="3573">
        <f t="shared" si="131"/>
        <v>5220.0244384546268</v>
      </c>
      <c r="KB86" s="3573"/>
      <c r="KC86" s="3573"/>
      <c r="KD86" s="3573">
        <f t="shared" si="150"/>
        <v>5220.0244384546268</v>
      </c>
      <c r="KE86" s="3578" t="s">
        <v>3761</v>
      </c>
      <c r="KF86" s="3579"/>
      <c r="KG86" s="3579"/>
      <c r="KH86" s="3579">
        <f>4438.59/10000+5220.02/10000*2</f>
        <v>1.4878630000000002</v>
      </c>
      <c r="KI86" s="3579"/>
      <c r="KJ86" s="3579"/>
      <c r="KK86" s="3579"/>
      <c r="KL86" s="3579"/>
      <c r="KM86" s="3579">
        <f>-475.23/10000*4</f>
        <v>-0.19009200000000001</v>
      </c>
      <c r="KN86" s="3579">
        <f>-4660.52/1.05*12/365*14/10000</f>
        <v>-0.2042967671232877</v>
      </c>
      <c r="KO86" s="3579"/>
      <c r="KP86" s="3579">
        <f>421.76/10000-4407.29/10000</f>
        <v>-0.39855299999999999</v>
      </c>
      <c r="KQ86" s="3579">
        <f t="shared" si="151"/>
        <v>0.6949212328767127</v>
      </c>
      <c r="KR86" s="3579">
        <f t="shared" si="196"/>
        <v>1.4929168336008658E-6</v>
      </c>
      <c r="KS86" s="3577"/>
      <c r="KT86" s="3577"/>
      <c r="KU86" s="3577"/>
      <c r="KV86" s="3577"/>
      <c r="KW86" s="3577"/>
      <c r="KX86" s="3577"/>
      <c r="KY86" s="3577"/>
      <c r="KZ86" s="3577"/>
      <c r="LA86" s="3577"/>
      <c r="LB86" s="3577"/>
      <c r="LC86" s="3577"/>
      <c r="LD86" s="3577"/>
      <c r="LE86" s="3577"/>
      <c r="LF86" s="3577"/>
      <c r="LG86" s="3577"/>
      <c r="LH86" s="3577"/>
      <c r="LJ86" s="3575"/>
      <c r="LK86" s="3571"/>
      <c r="LL86" s="3576"/>
    </row>
    <row r="87" spans="1:325" s="3580" customFormat="1" ht="18" customHeight="1">
      <c r="A87" s="3545">
        <v>84</v>
      </c>
      <c r="B87" s="3546" t="s">
        <v>4496</v>
      </c>
      <c r="C87" s="3546" t="s">
        <v>4572</v>
      </c>
      <c r="D87" s="3547">
        <v>60</v>
      </c>
      <c r="E87" s="3548" t="s">
        <v>3799</v>
      </c>
      <c r="F87" s="3546" t="s">
        <v>3790</v>
      </c>
      <c r="G87" s="3549" t="s">
        <v>4573</v>
      </c>
      <c r="H87" s="3546" t="s">
        <v>4574</v>
      </c>
      <c r="I87" s="3594" t="s">
        <v>4575</v>
      </c>
      <c r="J87" s="3594" t="s">
        <v>4576</v>
      </c>
      <c r="K87" s="3545" t="s">
        <v>3925</v>
      </c>
      <c r="L87" s="3555"/>
      <c r="M87" s="3551">
        <v>22830.75</v>
      </c>
      <c r="N87" s="3551">
        <f>136504.47-136504.47+28743.75</f>
        <v>28743.75</v>
      </c>
      <c r="O87" s="3551">
        <f t="shared" si="135"/>
        <v>5913</v>
      </c>
      <c r="P87" s="3547">
        <v>4544.25</v>
      </c>
      <c r="Q87" s="3616">
        <f>16070.67-16070.67+4544.25</f>
        <v>4544.25</v>
      </c>
      <c r="R87" s="3547">
        <f t="shared" si="132"/>
        <v>0</v>
      </c>
      <c r="S87" s="3547">
        <f t="shared" si="125"/>
        <v>4.17</v>
      </c>
      <c r="T87" s="3658">
        <v>7610.25</v>
      </c>
      <c r="U87" s="3553">
        <f t="shared" si="136"/>
        <v>91323</v>
      </c>
      <c r="V87" s="3547">
        <f>7610.25*12</f>
        <v>91323</v>
      </c>
      <c r="W87" s="3547">
        <f t="shared" si="126"/>
        <v>0.83</v>
      </c>
      <c r="X87" s="3658">
        <v>1514.75</v>
      </c>
      <c r="Y87" s="3547">
        <f t="shared" si="137"/>
        <v>18177</v>
      </c>
      <c r="Z87" s="3554"/>
      <c r="AA87" s="3555"/>
      <c r="AB87" s="3593" t="s">
        <v>3804</v>
      </c>
      <c r="AC87" s="3556">
        <f t="shared" si="138"/>
        <v>91982.35</v>
      </c>
      <c r="AD87" s="3556">
        <f t="shared" si="139"/>
        <v>69151.600000000006</v>
      </c>
      <c r="AE87" s="3556">
        <f t="shared" si="139"/>
        <v>69151.600000000006</v>
      </c>
      <c r="AF87" s="3556">
        <f t="shared" si="140"/>
        <v>0</v>
      </c>
      <c r="AG87" s="3556"/>
      <c r="AH87" s="3557">
        <f t="shared" si="141"/>
        <v>17807.650000000001</v>
      </c>
      <c r="AI87" s="3558">
        <f t="shared" si="142"/>
        <v>13263.4</v>
      </c>
      <c r="AJ87" s="3558">
        <f t="shared" si="142"/>
        <v>13263.4</v>
      </c>
      <c r="AK87" s="3557">
        <f t="shared" si="159"/>
        <v>0</v>
      </c>
      <c r="AL87" s="3557"/>
      <c r="AM87" s="3547"/>
      <c r="AN87" s="3609"/>
      <c r="AO87" s="3562"/>
      <c r="AP87" s="3561">
        <f t="shared" si="113"/>
        <v>0</v>
      </c>
      <c r="AQ87" s="3559"/>
      <c r="AR87" s="3562"/>
      <c r="AS87" s="3561">
        <f t="shared" si="127"/>
        <v>0</v>
      </c>
      <c r="AT87" s="3563" t="s">
        <v>4577</v>
      </c>
      <c r="AU87" s="3547"/>
      <c r="AV87" s="3609"/>
      <c r="AW87" s="3562"/>
      <c r="AX87" s="3561">
        <f t="shared" si="114"/>
        <v>0</v>
      </c>
      <c r="AY87" s="3559"/>
      <c r="AZ87" s="3562"/>
      <c r="BA87" s="3561">
        <f t="shared" si="128"/>
        <v>0</v>
      </c>
      <c r="BB87" s="3563" t="s">
        <v>4577</v>
      </c>
      <c r="BC87" s="3547" t="s">
        <v>4578</v>
      </c>
      <c r="BD87" s="3614">
        <f>8522.75+8522.75+8522.75*12/365*23</f>
        <v>23490.1</v>
      </c>
      <c r="BE87" s="3562">
        <f>23490.1</f>
        <v>23490.1</v>
      </c>
      <c r="BF87" s="3561">
        <f t="shared" si="115"/>
        <v>0</v>
      </c>
      <c r="BG87" s="3559">
        <f>1514.75+1514.75+1514.75*12/365*23</f>
        <v>4174.8999999999996</v>
      </c>
      <c r="BH87" s="3562">
        <v>4174.8999999999996</v>
      </c>
      <c r="BI87" s="3561">
        <f t="shared" si="116"/>
        <v>0</v>
      </c>
      <c r="BJ87" s="3563" t="s">
        <v>4579</v>
      </c>
      <c r="BK87" s="3547"/>
      <c r="BL87" s="3609"/>
      <c r="BM87" s="3562"/>
      <c r="BN87" s="3561">
        <f t="shared" si="160"/>
        <v>0</v>
      </c>
      <c r="BO87" s="3559"/>
      <c r="BP87" s="3562"/>
      <c r="BQ87" s="3561">
        <f t="shared" si="161"/>
        <v>0</v>
      </c>
      <c r="BR87" s="3563" t="s">
        <v>4579</v>
      </c>
      <c r="BS87" s="3547"/>
      <c r="BT87" s="3559"/>
      <c r="BU87" s="3562"/>
      <c r="BV87" s="3561">
        <f t="shared" si="162"/>
        <v>0</v>
      </c>
      <c r="BW87" s="3559"/>
      <c r="BX87" s="3562"/>
      <c r="BY87" s="3561">
        <f t="shared" si="163"/>
        <v>0</v>
      </c>
      <c r="BZ87" s="3563" t="s">
        <v>4579</v>
      </c>
      <c r="CA87" s="3547" t="s">
        <v>4580</v>
      </c>
      <c r="CB87" s="3609">
        <f>7610.25*3</f>
        <v>22830.75</v>
      </c>
      <c r="CC87" s="3603">
        <v>22830.75</v>
      </c>
      <c r="CD87" s="3561">
        <f t="shared" si="164"/>
        <v>0</v>
      </c>
      <c r="CE87" s="3559">
        <f>1514.75*3</f>
        <v>4544.25</v>
      </c>
      <c r="CF87" s="3562">
        <v>4544.25</v>
      </c>
      <c r="CG87" s="3561">
        <f t="shared" si="165"/>
        <v>0</v>
      </c>
      <c r="CH87" s="3563" t="s">
        <v>4581</v>
      </c>
      <c r="CI87" s="3547"/>
      <c r="CJ87" s="3609"/>
      <c r="CK87" s="3562"/>
      <c r="CL87" s="3561">
        <f t="shared" si="133"/>
        <v>0</v>
      </c>
      <c r="CM87" s="3559"/>
      <c r="CN87" s="3562"/>
      <c r="CO87" s="3561">
        <f t="shared" si="166"/>
        <v>0</v>
      </c>
      <c r="CP87" s="3563" t="s">
        <v>4581</v>
      </c>
      <c r="CQ87" s="3597" t="s">
        <v>4582</v>
      </c>
      <c r="CR87" s="3609">
        <f>7610.25*3</f>
        <v>22830.75</v>
      </c>
      <c r="CS87" s="3603">
        <v>22830.75</v>
      </c>
      <c r="CT87" s="3561">
        <f t="shared" si="167"/>
        <v>0</v>
      </c>
      <c r="CU87" s="3559">
        <f>1514.75*3</f>
        <v>4544.25</v>
      </c>
      <c r="CV87" s="3603">
        <v>4544.25</v>
      </c>
      <c r="CW87" s="3561">
        <f t="shared" si="168"/>
        <v>0</v>
      </c>
      <c r="CX87" s="3563" t="s">
        <v>4583</v>
      </c>
      <c r="CY87" s="3547"/>
      <c r="CZ87" s="3609"/>
      <c r="DA87" s="3562"/>
      <c r="DB87" s="3561">
        <f t="shared" si="169"/>
        <v>0</v>
      </c>
      <c r="DC87" s="3559"/>
      <c r="DD87" s="3562"/>
      <c r="DE87" s="3561">
        <f t="shared" si="170"/>
        <v>0</v>
      </c>
      <c r="DF87" s="3563" t="s">
        <v>4583</v>
      </c>
      <c r="DG87" s="3547"/>
      <c r="DH87" s="3609"/>
      <c r="DI87" s="3562"/>
      <c r="DJ87" s="3561">
        <f t="shared" si="171"/>
        <v>0</v>
      </c>
      <c r="DK87" s="3559"/>
      <c r="DL87" s="3562"/>
      <c r="DM87" s="3561">
        <f t="shared" si="172"/>
        <v>0</v>
      </c>
      <c r="DN87" s="3563"/>
      <c r="DO87" s="3547" t="s">
        <v>4584</v>
      </c>
      <c r="DP87" s="3609">
        <f>7610.25*3</f>
        <v>22830.75</v>
      </c>
      <c r="DQ87" s="3562"/>
      <c r="DR87" s="3561">
        <f t="shared" si="173"/>
        <v>-22830.75</v>
      </c>
      <c r="DS87" s="3559">
        <f>1514.75*3</f>
        <v>4544.25</v>
      </c>
      <c r="DT87" s="3562"/>
      <c r="DU87" s="3561">
        <f t="shared" si="174"/>
        <v>-4544.25</v>
      </c>
      <c r="DV87" s="3563"/>
      <c r="DW87" s="3547"/>
      <c r="DX87" s="3609"/>
      <c r="DY87" s="3562"/>
      <c r="DZ87" s="3561">
        <f t="shared" si="175"/>
        <v>0</v>
      </c>
      <c r="EA87" s="3559"/>
      <c r="EB87" s="3562"/>
      <c r="EC87" s="3561">
        <f t="shared" si="176"/>
        <v>0</v>
      </c>
      <c r="ED87" s="3563"/>
      <c r="EE87" s="3564"/>
      <c r="EF87" s="3565">
        <f t="shared" si="153"/>
        <v>84995.095238095237</v>
      </c>
      <c r="EG87" s="3565">
        <f t="shared" si="143"/>
        <v>65858.666666666657</v>
      </c>
      <c r="EH87" s="3565">
        <f t="shared" si="143"/>
        <v>70233.095238095237</v>
      </c>
      <c r="EI87" s="3565">
        <f t="shared" si="143"/>
        <v>70233.095238095237</v>
      </c>
      <c r="EJ87" s="3565">
        <f t="shared" si="154"/>
        <v>4374.4285714285797</v>
      </c>
      <c r="EK87" s="3566">
        <f t="shared" si="155"/>
        <v>0</v>
      </c>
      <c r="EL87" s="3610"/>
      <c r="EM87" s="3567">
        <f t="shared" si="156"/>
        <v>16799.669811320706</v>
      </c>
      <c r="EN87" s="3557">
        <f t="shared" si="144"/>
        <v>12512.641509433928</v>
      </c>
      <c r="EO87" s="3557">
        <f t="shared" si="144"/>
        <v>12861.084905660378</v>
      </c>
      <c r="EP87" s="3557">
        <f t="shared" si="144"/>
        <v>12861.084905660377</v>
      </c>
      <c r="EQ87" s="3557">
        <f t="shared" si="157"/>
        <v>348.44339622644839</v>
      </c>
      <c r="ER87" s="3557">
        <f t="shared" si="158"/>
        <v>0</v>
      </c>
      <c r="ES87" s="3557"/>
      <c r="ET87" s="3568">
        <v>8116.9047619047597</v>
      </c>
      <c r="EU87" s="3569">
        <f>8522.75/1.05</f>
        <v>8116.9047619047615</v>
      </c>
      <c r="EV87" s="3562">
        <f>25568.25/1.05/3</f>
        <v>8116.9047619047624</v>
      </c>
      <c r="EW87" s="3547">
        <f t="shared" si="129"/>
        <v>0</v>
      </c>
      <c r="EX87" s="3568">
        <v>1429.0094339622599</v>
      </c>
      <c r="EY87" s="3569">
        <f>1514.75/1.06</f>
        <v>1429.009433962264</v>
      </c>
      <c r="EZ87" s="3562">
        <f>4544.25/3/1.06</f>
        <v>1429.009433962264</v>
      </c>
      <c r="FA87" s="3547">
        <f t="shared" si="130"/>
        <v>4.0927261579781771E-12</v>
      </c>
      <c r="FB87" s="3568">
        <v>8116.9047619047597</v>
      </c>
      <c r="FC87" s="3569">
        <f>8522.75/1.05</f>
        <v>8116.9047619047615</v>
      </c>
      <c r="FD87" s="3562">
        <f>25568.25/1.05/3</f>
        <v>8116.9047619047624</v>
      </c>
      <c r="FE87" s="3547">
        <f t="shared" si="117"/>
        <v>0</v>
      </c>
      <c r="FF87" s="3568">
        <v>1429.0094339622599</v>
      </c>
      <c r="FG87" s="3569">
        <f>1514.75/1.06</f>
        <v>1429.009433962264</v>
      </c>
      <c r="FH87" s="3562">
        <f>4544.25/3/1.06</f>
        <v>1429.009433962264</v>
      </c>
      <c r="FI87" s="3547">
        <f t="shared" si="118"/>
        <v>4.0927261579781771E-12</v>
      </c>
      <c r="FJ87" s="3568">
        <v>8116.9047619047597</v>
      </c>
      <c r="FK87" s="3559">
        <f>8522.75/1.05</f>
        <v>8116.9047619047615</v>
      </c>
      <c r="FL87" s="3562">
        <f>25568.25/1.05/3</f>
        <v>8116.9047619047624</v>
      </c>
      <c r="FM87" s="3547">
        <f t="shared" si="119"/>
        <v>0</v>
      </c>
      <c r="FN87" s="3568">
        <v>1429.0094339622599</v>
      </c>
      <c r="FO87" s="3559">
        <f>1514.75/1.06</f>
        <v>1429.009433962264</v>
      </c>
      <c r="FP87" s="3562">
        <f>4544.25/3/1.06</f>
        <v>1429.009433962264</v>
      </c>
      <c r="FQ87" s="3547">
        <f t="shared" si="120"/>
        <v>4.0927261579781771E-12</v>
      </c>
      <c r="FR87" s="3568">
        <v>8116.9047619047597</v>
      </c>
      <c r="FS87" s="3559">
        <f>8522.75/1.05</f>
        <v>8116.9047619047615</v>
      </c>
      <c r="FT87" s="3560">
        <f>8522.75/1.05</f>
        <v>8116.9047619047615</v>
      </c>
      <c r="FU87" s="3547">
        <f t="shared" si="177"/>
        <v>0</v>
      </c>
      <c r="FV87" s="3568">
        <v>1429.0094339622599</v>
      </c>
      <c r="FW87" s="3559">
        <f>1514.75/1.06</f>
        <v>1429.009433962264</v>
      </c>
      <c r="FX87" s="3560">
        <f>1514.75/1.06</f>
        <v>1429.009433962264</v>
      </c>
      <c r="FY87" s="3547">
        <f t="shared" si="178"/>
        <v>4.0927261579781771E-12</v>
      </c>
      <c r="FZ87" s="3568">
        <v>8116.9047619047597</v>
      </c>
      <c r="GA87" s="3569">
        <f>8522.75/1.05</f>
        <v>8116.9047619047615</v>
      </c>
      <c r="GB87" s="3560">
        <f>8522.75/1.05</f>
        <v>8116.9047619047615</v>
      </c>
      <c r="GC87" s="3547">
        <f t="shared" si="179"/>
        <v>0</v>
      </c>
      <c r="GD87" s="3568">
        <v>1429.0094339622599</v>
      </c>
      <c r="GE87" s="3569">
        <f>1514.75/1.06</f>
        <v>1429.009433962264</v>
      </c>
      <c r="GF87" s="3560">
        <f>1514.75/1.06</f>
        <v>1429.009433962264</v>
      </c>
      <c r="GG87" s="3547">
        <f t="shared" si="180"/>
        <v>4.0927261579781771E-12</v>
      </c>
      <c r="GH87" s="3568">
        <v>6137.7142857142899</v>
      </c>
      <c r="GI87" s="3592">
        <f>8522.75/1.05*12/365*23+7610.25/1.05-7610.25/1.05*12/365*23</f>
        <v>7904.9999999999991</v>
      </c>
      <c r="GJ87" s="3560">
        <f>8522.75/1.05*12/365*23+22830.75/3/1.05-22830.75/3/1.05*12/365*23</f>
        <v>7904.9999999999991</v>
      </c>
      <c r="GK87" s="3547">
        <f t="shared" si="181"/>
        <v>1767.2857142857092</v>
      </c>
      <c r="GL87" s="3568">
        <v>1080.5660377358499</v>
      </c>
      <c r="GM87" s="3592">
        <f>1514.75/1.06*12/365*23+1514.75/1.06-1514.75/1.06*12/365*23</f>
        <v>1429.0094339622638</v>
      </c>
      <c r="GN87" s="3562">
        <f>1514.75/1.06*12/365*23+4544.25/3/1.06-4544.25/3/1.06*12/365*23</f>
        <v>1429.0094339622638</v>
      </c>
      <c r="GO87" s="3547">
        <f t="shared" si="182"/>
        <v>348.44339622641382</v>
      </c>
      <c r="GP87" s="3568">
        <v>6378.8095238095202</v>
      </c>
      <c r="GQ87" s="3569">
        <f>7610.25/1.05</f>
        <v>7247.8571428571422</v>
      </c>
      <c r="GR87" s="3562">
        <f>22830.75/3/1.05</f>
        <v>7247.8571428571422</v>
      </c>
      <c r="GS87" s="3547">
        <f t="shared" si="183"/>
        <v>869.04761904762199</v>
      </c>
      <c r="GT87" s="3568">
        <v>1429.0094339622599</v>
      </c>
      <c r="GU87" s="3569">
        <f>1514.75/1.06</f>
        <v>1429.009433962264</v>
      </c>
      <c r="GV87" s="3562">
        <f>4544.25/3/1.06</f>
        <v>1429.009433962264</v>
      </c>
      <c r="GW87" s="3547">
        <f t="shared" si="184"/>
        <v>4.0927261579781771E-12</v>
      </c>
      <c r="GX87" s="3568">
        <v>6378.8095238095202</v>
      </c>
      <c r="GY87" s="3569">
        <f>7610.25/1.05</f>
        <v>7247.8571428571422</v>
      </c>
      <c r="GZ87" s="3562">
        <f>22830.75/3/1.05</f>
        <v>7247.8571428571422</v>
      </c>
      <c r="HA87" s="3547">
        <f t="shared" si="185"/>
        <v>869.04761904762199</v>
      </c>
      <c r="HB87" s="3568">
        <v>1429.0094339622599</v>
      </c>
      <c r="HC87" s="3569">
        <f>1514.75/1.06</f>
        <v>1429.009433962264</v>
      </c>
      <c r="HD87" s="3562">
        <f>4544.25/3/1.06</f>
        <v>1429.009433962264</v>
      </c>
      <c r="HE87" s="3547">
        <f t="shared" si="186"/>
        <v>4.0927261579781771E-12</v>
      </c>
      <c r="HF87" s="3568">
        <v>6378.8095238095202</v>
      </c>
      <c r="HG87" s="3569">
        <f>7610.25/1.05</f>
        <v>7247.8571428571422</v>
      </c>
      <c r="HH87" s="3562">
        <f>22830.75/3/1.05*12/365*23+22830.75/3/1.05-22830.75/3/1.05*12/365*23</f>
        <v>7247.8571428571422</v>
      </c>
      <c r="HI87" s="3547">
        <f t="shared" si="187"/>
        <v>869.04761904762199</v>
      </c>
      <c r="HJ87" s="3568">
        <v>1429.0094339622599</v>
      </c>
      <c r="HK87" s="3569">
        <f>1514.75/1.06</f>
        <v>1429.009433962264</v>
      </c>
      <c r="HL87" s="3562">
        <f>4544.25/3/1.06*12/365*23+4544.25/3/1.06-4544.25/3/1.06*12/365*23</f>
        <v>1429.0094339622638</v>
      </c>
      <c r="HM87" s="3547">
        <f t="shared" si="188"/>
        <v>3.865352482534945E-12</v>
      </c>
      <c r="HN87" s="3568">
        <v>6378.8095238095202</v>
      </c>
      <c r="HO87" s="3569">
        <f>7610.25/1.05</f>
        <v>7247.8571428571422</v>
      </c>
      <c r="HP87" s="3562">
        <f>22830.75/3/1.05</f>
        <v>7247.8571428571422</v>
      </c>
      <c r="HQ87" s="3547">
        <f t="shared" si="189"/>
        <v>869.04761904762199</v>
      </c>
      <c r="HR87" s="3568">
        <v>1429.0094339622599</v>
      </c>
      <c r="HS87" s="3569">
        <f>1514.75/1.06</f>
        <v>1429.009433962264</v>
      </c>
      <c r="HT87" s="3562">
        <f>4544.25/3/1.06</f>
        <v>1429.009433962264</v>
      </c>
      <c r="HU87" s="3547">
        <f t="shared" si="190"/>
        <v>4.0927261579781771E-12</v>
      </c>
      <c r="HV87" s="3568">
        <v>6378.8095238095202</v>
      </c>
      <c r="HW87" s="3569">
        <f>7610.25/1.05</f>
        <v>7247.8571428571422</v>
      </c>
      <c r="HX87" s="3562">
        <f>22830.75/3/1.05</f>
        <v>7247.8571428571422</v>
      </c>
      <c r="HY87" s="3547">
        <f t="shared" si="191"/>
        <v>869.04761904762199</v>
      </c>
      <c r="HZ87" s="3568">
        <v>1429.0094339622599</v>
      </c>
      <c r="IA87" s="3569">
        <f>1514.75/1.06</f>
        <v>1429.009433962264</v>
      </c>
      <c r="IB87" s="3562">
        <f>4544.25/3/1.06</f>
        <v>1429.009433962264</v>
      </c>
      <c r="IC87" s="3547">
        <f t="shared" si="192"/>
        <v>4.0927261579781771E-12</v>
      </c>
      <c r="ID87" s="3568">
        <v>6378.8095238095202</v>
      </c>
      <c r="IE87" s="3569">
        <f>7610.25/1.05</f>
        <v>7247.8571428571422</v>
      </c>
      <c r="IF87" s="3562">
        <f>22830.75/3/1.05*12/365*23</f>
        <v>5480.5714285714284</v>
      </c>
      <c r="IG87" s="3547">
        <f t="shared" si="193"/>
        <v>-898.23809523809177</v>
      </c>
      <c r="IH87" s="3568">
        <v>1429.0094339622599</v>
      </c>
      <c r="II87" s="3569">
        <f>1514.75/1.06</f>
        <v>1429.009433962264</v>
      </c>
      <c r="IJ87" s="3562">
        <f>4544.25/3/1.06*12/365*23</f>
        <v>1080.566037735849</v>
      </c>
      <c r="IK87" s="3547">
        <f t="shared" si="194"/>
        <v>-348.44339622641087</v>
      </c>
      <c r="IL87" s="3547" t="s">
        <v>4585</v>
      </c>
      <c r="IM87" s="3569">
        <f>7610.25*2/1.05+7610.25/1.05*12/365*23</f>
        <v>19976.285714285714</v>
      </c>
      <c r="IN87" s="3569">
        <f>1514.75*2/1.06+1514.75/1.06*12/365*23</f>
        <v>3938.584905660377</v>
      </c>
      <c r="IO87" s="3547"/>
      <c r="IP87" s="3560">
        <f t="shared" si="195"/>
        <v>0</v>
      </c>
      <c r="IQ87" s="3568"/>
      <c r="IR87" s="3568"/>
      <c r="IS87" s="3568"/>
      <c r="IT87" s="3568"/>
      <c r="IU87" s="3568"/>
      <c r="IV87" s="3568"/>
      <c r="IW87" s="3568"/>
      <c r="IX87" s="3568"/>
      <c r="IY87" s="3568"/>
      <c r="IZ87" s="3560"/>
      <c r="JA87" s="3560"/>
      <c r="JB87" s="3560"/>
      <c r="JC87" s="3560">
        <f t="shared" si="134"/>
        <v>0</v>
      </c>
      <c r="JD87" s="3547"/>
      <c r="JE87" s="3568"/>
      <c r="JF87" s="3568"/>
      <c r="JG87" s="3568"/>
      <c r="JH87" s="3568"/>
      <c r="JI87" s="3568"/>
      <c r="JJ87" s="3568"/>
      <c r="JK87" s="3568"/>
      <c r="JL87" s="3568"/>
      <c r="JM87" s="3568"/>
      <c r="JN87" s="3560"/>
      <c r="JO87" s="3560"/>
      <c r="JP87" s="3547" t="s">
        <v>4094</v>
      </c>
      <c r="JQ87" s="3583">
        <f>8522.75*3/1.05</f>
        <v>24350.714285714286</v>
      </c>
      <c r="JR87" s="3583">
        <f>1514.75*3/1.06</f>
        <v>4287.0283018867922</v>
      </c>
      <c r="JS87" s="3573">
        <f t="shared" si="145"/>
        <v>0</v>
      </c>
      <c r="JT87" s="3573">
        <f t="shared" si="152"/>
        <v>0</v>
      </c>
      <c r="JU87" s="3574">
        <f t="shared" si="146"/>
        <v>0</v>
      </c>
      <c r="JV87" s="3574">
        <f t="shared" si="147"/>
        <v>0</v>
      </c>
      <c r="JW87" s="3575"/>
      <c r="JX87" s="3576">
        <f t="shared" si="148"/>
        <v>19976.285714285714</v>
      </c>
      <c r="JY87" s="3576">
        <f t="shared" si="149"/>
        <v>3938.584905660377</v>
      </c>
      <c r="JZ87" s="3577"/>
      <c r="KA87" s="3573">
        <f t="shared" si="131"/>
        <v>869.04761904762586</v>
      </c>
      <c r="KB87" s="3573"/>
      <c r="KC87" s="3573"/>
      <c r="KD87" s="3573">
        <f t="shared" si="150"/>
        <v>869.04761904762586</v>
      </c>
      <c r="KE87" s="3578" t="s">
        <v>4069</v>
      </c>
      <c r="KF87" s="3579"/>
      <c r="KG87" s="3579"/>
      <c r="KH87" s="3579">
        <f>2115.73/10000</f>
        <v>0.21157300000000001</v>
      </c>
      <c r="KI87" s="3579">
        <f>869.05/10000*3</f>
        <v>0.26071499999999997</v>
      </c>
      <c r="KJ87" s="3579"/>
      <c r="KK87" s="3579"/>
      <c r="KL87" s="3579"/>
      <c r="KM87" s="3579"/>
      <c r="KN87" s="3579"/>
      <c r="KO87" s="3579"/>
      <c r="KP87" s="3579"/>
      <c r="KQ87" s="3579">
        <f t="shared" si="151"/>
        <v>0.47228799999999999</v>
      </c>
      <c r="KR87" s="3579">
        <f t="shared" si="196"/>
        <v>-8.0323449719310602E-7</v>
      </c>
      <c r="KS87" s="3577"/>
      <c r="KT87" s="3577"/>
      <c r="KU87" s="3577"/>
      <c r="KV87" s="3577"/>
      <c r="KW87" s="3577"/>
      <c r="KX87" s="3577"/>
      <c r="KY87" s="3577"/>
      <c r="KZ87" s="3577"/>
      <c r="LA87" s="3577"/>
      <c r="LB87" s="3577"/>
      <c r="LC87" s="3577"/>
      <c r="LD87" s="3577"/>
      <c r="LE87" s="3577"/>
      <c r="LF87" s="3577"/>
      <c r="LG87" s="3577"/>
      <c r="LH87" s="3577"/>
      <c r="LJ87" s="3575"/>
      <c r="LK87" s="3571"/>
      <c r="LL87" s="3576"/>
    </row>
    <row r="88" spans="1:325" s="3580" customFormat="1" ht="18" customHeight="1">
      <c r="A88" s="3545">
        <v>85</v>
      </c>
      <c r="B88" s="3546" t="s">
        <v>4496</v>
      </c>
      <c r="C88" s="3546" t="s">
        <v>4586</v>
      </c>
      <c r="D88" s="3547">
        <f>123.3-60</f>
        <v>63.3</v>
      </c>
      <c r="E88" s="3548" t="s">
        <v>3799</v>
      </c>
      <c r="F88" s="3546" t="s">
        <v>3790</v>
      </c>
      <c r="G88" s="3549" t="s">
        <v>4587</v>
      </c>
      <c r="H88" s="3546" t="s">
        <v>4588</v>
      </c>
      <c r="I88" s="3594" t="s">
        <v>4575</v>
      </c>
      <c r="J88" s="3594" t="s">
        <v>4576</v>
      </c>
      <c r="K88" s="3545"/>
      <c r="L88" s="3555"/>
      <c r="M88" s="3551">
        <v>24086.43</v>
      </c>
      <c r="N88" s="3551">
        <v>30324.66</v>
      </c>
      <c r="O88" s="3551">
        <f t="shared" si="135"/>
        <v>6238.23</v>
      </c>
      <c r="P88" s="3547">
        <v>4794.18</v>
      </c>
      <c r="Q88" s="3616">
        <v>4794.18</v>
      </c>
      <c r="R88" s="3547">
        <f t="shared" si="132"/>
        <v>0</v>
      </c>
      <c r="S88" s="3547">
        <f t="shared" si="125"/>
        <v>4.1699980523274691</v>
      </c>
      <c r="T88" s="3658">
        <v>8028.81</v>
      </c>
      <c r="U88" s="3553">
        <f t="shared" si="136"/>
        <v>96345.72</v>
      </c>
      <c r="V88" s="3547">
        <f>8028.81*12</f>
        <v>96345.72</v>
      </c>
      <c r="W88" s="3547">
        <f t="shared" si="126"/>
        <v>0.82999935077582299</v>
      </c>
      <c r="X88" s="3658">
        <v>1598.06</v>
      </c>
      <c r="Y88" s="3547">
        <f t="shared" si="137"/>
        <v>19176.72</v>
      </c>
      <c r="Z88" s="3554"/>
      <c r="AA88" s="3555"/>
      <c r="AB88" s="3593" t="s">
        <v>3804</v>
      </c>
      <c r="AC88" s="3556">
        <f t="shared" si="138"/>
        <v>97041.342054794513</v>
      </c>
      <c r="AD88" s="3556">
        <f t="shared" si="139"/>
        <v>72954.91205479452</v>
      </c>
      <c r="AE88" s="3556">
        <f t="shared" si="139"/>
        <v>72954.91</v>
      </c>
      <c r="AF88" s="3556">
        <f t="shared" si="140"/>
        <v>-2.0547945168800652E-3</v>
      </c>
      <c r="AG88" s="3556"/>
      <c r="AH88" s="3557">
        <f t="shared" si="141"/>
        <v>18787.056054794521</v>
      </c>
      <c r="AI88" s="3558">
        <f t="shared" si="142"/>
        <v>13992.87605479452</v>
      </c>
      <c r="AJ88" s="3558">
        <f t="shared" si="142"/>
        <v>13992.880000000001</v>
      </c>
      <c r="AK88" s="3557">
        <f t="shared" si="159"/>
        <v>3.9452054807043169E-3</v>
      </c>
      <c r="AL88" s="3557"/>
      <c r="AM88" s="3547"/>
      <c r="AN88" s="3609"/>
      <c r="AO88" s="3562"/>
      <c r="AP88" s="3561">
        <f t="shared" si="113"/>
        <v>0</v>
      </c>
      <c r="AQ88" s="3559"/>
      <c r="AR88" s="3562"/>
      <c r="AS88" s="3561">
        <f t="shared" si="127"/>
        <v>0</v>
      </c>
      <c r="AT88" s="3563" t="s">
        <v>4577</v>
      </c>
      <c r="AU88" s="3547"/>
      <c r="AV88" s="3609"/>
      <c r="AW88" s="3562"/>
      <c r="AX88" s="3561">
        <f t="shared" si="114"/>
        <v>0</v>
      </c>
      <c r="AY88" s="3559"/>
      <c r="AZ88" s="3562"/>
      <c r="BA88" s="3561">
        <f t="shared" si="128"/>
        <v>0</v>
      </c>
      <c r="BB88" s="3563" t="s">
        <v>4577</v>
      </c>
      <c r="BC88" s="3547" t="s">
        <v>4578</v>
      </c>
      <c r="BD88" s="3614">
        <f>8991.5+8991.5+8991.5*12/365*23</f>
        <v>24782.05205479452</v>
      </c>
      <c r="BE88" s="3562">
        <v>24782.05</v>
      </c>
      <c r="BF88" s="3561">
        <f t="shared" si="115"/>
        <v>-2.054794520518044E-3</v>
      </c>
      <c r="BG88" s="3559">
        <f>1598.06+1598.06+1598.06*12/365*23</f>
        <v>4404.5160547945206</v>
      </c>
      <c r="BH88" s="3562">
        <v>4404.5200000000004</v>
      </c>
      <c r="BI88" s="3561">
        <f t="shared" si="116"/>
        <v>3.9452054797948222E-3</v>
      </c>
      <c r="BJ88" s="3563" t="s">
        <v>4579</v>
      </c>
      <c r="BK88" s="3547"/>
      <c r="BL88" s="3609"/>
      <c r="BM88" s="3562"/>
      <c r="BN88" s="3561">
        <f t="shared" si="160"/>
        <v>0</v>
      </c>
      <c r="BO88" s="3559"/>
      <c r="BP88" s="3562"/>
      <c r="BQ88" s="3561">
        <f t="shared" si="161"/>
        <v>0</v>
      </c>
      <c r="BR88" s="3563" t="s">
        <v>4579</v>
      </c>
      <c r="BS88" s="3547"/>
      <c r="BT88" s="3559"/>
      <c r="BU88" s="3562"/>
      <c r="BV88" s="3561">
        <f t="shared" si="162"/>
        <v>0</v>
      </c>
      <c r="BW88" s="3559"/>
      <c r="BX88" s="3562"/>
      <c r="BY88" s="3561">
        <f t="shared" si="163"/>
        <v>0</v>
      </c>
      <c r="BZ88" s="3563" t="s">
        <v>4579</v>
      </c>
      <c r="CA88" s="3547" t="s">
        <v>4580</v>
      </c>
      <c r="CB88" s="3609">
        <f>8028.81*3</f>
        <v>24086.43</v>
      </c>
      <c r="CC88" s="3603">
        <v>24086.43</v>
      </c>
      <c r="CD88" s="3561">
        <f t="shared" si="164"/>
        <v>0</v>
      </c>
      <c r="CE88" s="3559">
        <f>1598.06*3</f>
        <v>4794.18</v>
      </c>
      <c r="CF88" s="3562">
        <v>4794.18</v>
      </c>
      <c r="CG88" s="3561">
        <f t="shared" si="165"/>
        <v>0</v>
      </c>
      <c r="CH88" s="3563" t="s">
        <v>4581</v>
      </c>
      <c r="CI88" s="3547"/>
      <c r="CJ88" s="3609"/>
      <c r="CK88" s="3562"/>
      <c r="CL88" s="3561">
        <f t="shared" si="133"/>
        <v>0</v>
      </c>
      <c r="CM88" s="3559"/>
      <c r="CN88" s="3562"/>
      <c r="CO88" s="3561">
        <f t="shared" si="166"/>
        <v>0</v>
      </c>
      <c r="CP88" s="3563" t="s">
        <v>4581</v>
      </c>
      <c r="CQ88" s="3597" t="s">
        <v>4582</v>
      </c>
      <c r="CR88" s="3609">
        <f>8028.81*3</f>
        <v>24086.43</v>
      </c>
      <c r="CS88" s="3603">
        <v>24086.43</v>
      </c>
      <c r="CT88" s="3561">
        <f t="shared" si="167"/>
        <v>0</v>
      </c>
      <c r="CU88" s="3559">
        <f>1598.06*3</f>
        <v>4794.18</v>
      </c>
      <c r="CV88" s="3603">
        <f>4794.18</f>
        <v>4794.18</v>
      </c>
      <c r="CW88" s="3561">
        <f t="shared" si="168"/>
        <v>0</v>
      </c>
      <c r="CX88" s="3563" t="s">
        <v>4583</v>
      </c>
      <c r="CY88" s="3547"/>
      <c r="CZ88" s="3609"/>
      <c r="DA88" s="3562"/>
      <c r="DB88" s="3561">
        <f t="shared" si="169"/>
        <v>0</v>
      </c>
      <c r="DC88" s="3559"/>
      <c r="DD88" s="3562"/>
      <c r="DE88" s="3561">
        <f t="shared" si="170"/>
        <v>0</v>
      </c>
      <c r="DF88" s="3563" t="s">
        <v>4583</v>
      </c>
      <c r="DG88" s="3547"/>
      <c r="DH88" s="3609"/>
      <c r="DI88" s="3562"/>
      <c r="DJ88" s="3561">
        <f t="shared" si="171"/>
        <v>0</v>
      </c>
      <c r="DK88" s="3559"/>
      <c r="DL88" s="3562"/>
      <c r="DM88" s="3561">
        <f t="shared" si="172"/>
        <v>0</v>
      </c>
      <c r="DN88" s="3563"/>
      <c r="DO88" s="3547" t="s">
        <v>4584</v>
      </c>
      <c r="DP88" s="3609">
        <f>8028.81*3</f>
        <v>24086.43</v>
      </c>
      <c r="DQ88" s="3562"/>
      <c r="DR88" s="3561">
        <f t="shared" si="173"/>
        <v>-24086.43</v>
      </c>
      <c r="DS88" s="3559">
        <f>1598.06*3</f>
        <v>4794.18</v>
      </c>
      <c r="DT88" s="3562"/>
      <c r="DU88" s="3561">
        <f t="shared" si="174"/>
        <v>-4794.18</v>
      </c>
      <c r="DV88" s="3563"/>
      <c r="DW88" s="3547"/>
      <c r="DX88" s="3609"/>
      <c r="DY88" s="3562"/>
      <c r="DZ88" s="3561">
        <f t="shared" si="175"/>
        <v>0</v>
      </c>
      <c r="EA88" s="3559"/>
      <c r="EB88" s="3562"/>
      <c r="EC88" s="3561">
        <f t="shared" si="176"/>
        <v>0</v>
      </c>
      <c r="ED88" s="3563"/>
      <c r="EE88" s="3564"/>
      <c r="EF88" s="3565">
        <f t="shared" si="153"/>
        <v>89669.825476190468</v>
      </c>
      <c r="EG88" s="3565">
        <f t="shared" si="143"/>
        <v>69480.893333333326</v>
      </c>
      <c r="EH88" s="3565">
        <f t="shared" si="143"/>
        <v>74095.897038486612</v>
      </c>
      <c r="EI88" s="3565">
        <f t="shared" si="143"/>
        <v>74095.897038486612</v>
      </c>
      <c r="EJ88" s="3565">
        <f t="shared" si="154"/>
        <v>4615.0037051532854</v>
      </c>
      <c r="EK88" s="3566">
        <f t="shared" si="155"/>
        <v>0</v>
      </c>
      <c r="EL88" s="3610"/>
      <c r="EM88" s="3567">
        <f t="shared" si="156"/>
        <v>17723.651650943411</v>
      </c>
      <c r="EN88" s="3557">
        <f t="shared" si="144"/>
        <v>13200.836792452841</v>
      </c>
      <c r="EO88" s="3557">
        <f t="shared" si="144"/>
        <v>13568.433962264151</v>
      </c>
      <c r="EP88" s="3557">
        <f t="shared" si="144"/>
        <v>13568.433962264151</v>
      </c>
      <c r="EQ88" s="3557">
        <f t="shared" si="157"/>
        <v>367.59716981130987</v>
      </c>
      <c r="ER88" s="3557">
        <f t="shared" si="158"/>
        <v>0</v>
      </c>
      <c r="ES88" s="3557"/>
      <c r="ET88" s="3568">
        <v>8563.3345238095208</v>
      </c>
      <c r="EU88" s="3569">
        <f>8991.5/1.05</f>
        <v>8563.3333333333321</v>
      </c>
      <c r="EV88" s="3562">
        <f>26974.5/1.05/3</f>
        <v>8563.3333333333339</v>
      </c>
      <c r="EW88" s="3547">
        <f t="shared" si="129"/>
        <v>-1.190476186820888E-3</v>
      </c>
      <c r="EX88" s="3568">
        <v>1507.6049528301901</v>
      </c>
      <c r="EY88" s="3569">
        <f>1598.06/1.06</f>
        <v>1507.6037735849056</v>
      </c>
      <c r="EZ88" s="3562">
        <f>4794.18/3/1.06</f>
        <v>1507.6037735849056</v>
      </c>
      <c r="FA88" s="3547">
        <f t="shared" si="130"/>
        <v>-1.179245284447461E-3</v>
      </c>
      <c r="FB88" s="3568">
        <v>8563.3345238095208</v>
      </c>
      <c r="FC88" s="3569">
        <f>8991.5/1.05</f>
        <v>8563.3333333333321</v>
      </c>
      <c r="FD88" s="3562">
        <f>26974.5/1.05/3</f>
        <v>8563.3333333333339</v>
      </c>
      <c r="FE88" s="3547">
        <f t="shared" si="117"/>
        <v>-1.190476186820888E-3</v>
      </c>
      <c r="FF88" s="3568">
        <v>1507.6049528301901</v>
      </c>
      <c r="FG88" s="3569">
        <f>1598.06/1.06</f>
        <v>1507.6037735849056</v>
      </c>
      <c r="FH88" s="3562">
        <f>4794.18/3/1.06</f>
        <v>1507.6037735849056</v>
      </c>
      <c r="FI88" s="3547">
        <f t="shared" si="118"/>
        <v>-1.179245284447461E-3</v>
      </c>
      <c r="FJ88" s="3568">
        <v>8563.3345238095208</v>
      </c>
      <c r="FK88" s="3559">
        <f>8991.5/1.05</f>
        <v>8563.3333333333321</v>
      </c>
      <c r="FL88" s="3562">
        <f>26974.5/1.05/3</f>
        <v>8563.3333333333339</v>
      </c>
      <c r="FM88" s="3547">
        <f t="shared" si="119"/>
        <v>-1.190476186820888E-3</v>
      </c>
      <c r="FN88" s="3568">
        <v>1507.6049528301901</v>
      </c>
      <c r="FO88" s="3559">
        <f>1598.06/1.06</f>
        <v>1507.6037735849056</v>
      </c>
      <c r="FP88" s="3562">
        <f>4794.18/3/1.06</f>
        <v>1507.6037735849056</v>
      </c>
      <c r="FQ88" s="3547">
        <f t="shared" si="120"/>
        <v>-1.179245284447461E-3</v>
      </c>
      <c r="FR88" s="3568">
        <v>8563.3345238095208</v>
      </c>
      <c r="FS88" s="3559">
        <f>8991.5/1.05</f>
        <v>8563.3333333333321</v>
      </c>
      <c r="FT88" s="3560">
        <f>8991.5/1.05</f>
        <v>8563.3333333333321</v>
      </c>
      <c r="FU88" s="3547">
        <f t="shared" si="177"/>
        <v>-1.1904761886398774E-3</v>
      </c>
      <c r="FV88" s="3568">
        <v>1507.6049528301901</v>
      </c>
      <c r="FW88" s="3559">
        <f>1598.06/1.06</f>
        <v>1507.6037735849056</v>
      </c>
      <c r="FX88" s="3560">
        <f>1598.06/1.06</f>
        <v>1507.6037735849056</v>
      </c>
      <c r="FY88" s="3547">
        <f t="shared" si="178"/>
        <v>-1.179245284447461E-3</v>
      </c>
      <c r="FZ88" s="3568">
        <v>8563.3345238095208</v>
      </c>
      <c r="GA88" s="3569">
        <f>8991.5/1.05</f>
        <v>8563.3333333333321</v>
      </c>
      <c r="GB88" s="3560">
        <f>8991.5/1.05</f>
        <v>8563.3333333333321</v>
      </c>
      <c r="GC88" s="3547">
        <f t="shared" si="179"/>
        <v>-1.1904761886398774E-3</v>
      </c>
      <c r="GD88" s="3568">
        <v>1507.6049528301901</v>
      </c>
      <c r="GE88" s="3569">
        <f>1598.06/1.06</f>
        <v>1507.6037735849056</v>
      </c>
      <c r="GF88" s="3560">
        <f>1598.06/1.06</f>
        <v>1507.6037735849056</v>
      </c>
      <c r="GG88" s="3547">
        <f t="shared" si="180"/>
        <v>-1.179245284447461E-3</v>
      </c>
      <c r="GH88" s="3568">
        <v>6475.2885714285703</v>
      </c>
      <c r="GI88" s="3592">
        <f>8991.5/1.05*12/365*23+8028.81/1.05-8028.81/1.05*12/365*23</f>
        <v>8339.7732289628184</v>
      </c>
      <c r="GJ88" s="3560">
        <f>8991.5/1.05*12/365*23+24086.43/3/1.05-24086.43/3/1.05*12/365*23</f>
        <v>8339.7732289628184</v>
      </c>
      <c r="GK88" s="3547">
        <f t="shared" si="181"/>
        <v>1864.4846575342481</v>
      </c>
      <c r="GL88" s="3568">
        <v>1139.99716981132</v>
      </c>
      <c r="GM88" s="3592">
        <f>1598.06/1.06*12/365*23+1598.06/1.06-1598.06/1.06*12/365*23</f>
        <v>1507.6037735849056</v>
      </c>
      <c r="GN88" s="3562">
        <f>1598.06/1.06*12/365*23+4794.18/3/1.06-4794.18/3/1.06*12/365*23</f>
        <v>1507.6037735849056</v>
      </c>
      <c r="GO88" s="3547">
        <f t="shared" si="182"/>
        <v>367.60660377358568</v>
      </c>
      <c r="GP88" s="3568">
        <v>6729.6440476190501</v>
      </c>
      <c r="GQ88" s="3569">
        <f>8028.81/1.05</f>
        <v>7646.4857142857145</v>
      </c>
      <c r="GR88" s="3562">
        <f>24086.43/3/1.05</f>
        <v>7646.4857142857145</v>
      </c>
      <c r="GS88" s="3547">
        <f t="shared" si="183"/>
        <v>916.84166666666442</v>
      </c>
      <c r="GT88" s="3568">
        <v>1507.6049528301901</v>
      </c>
      <c r="GU88" s="3569">
        <f>1598.06/1.06</f>
        <v>1507.6037735849056</v>
      </c>
      <c r="GV88" s="3562">
        <f>4794.18/3/1.06</f>
        <v>1507.6037735849056</v>
      </c>
      <c r="GW88" s="3547">
        <f t="shared" si="184"/>
        <v>-1.179245284447461E-3</v>
      </c>
      <c r="GX88" s="3568">
        <v>6729.6440476190501</v>
      </c>
      <c r="GY88" s="3569">
        <f>8028.81/1.05</f>
        <v>7646.4857142857145</v>
      </c>
      <c r="GZ88" s="3562">
        <f>24086.43/3/1.05</f>
        <v>7646.4857142857145</v>
      </c>
      <c r="HA88" s="3547">
        <f t="shared" si="185"/>
        <v>916.84166666666442</v>
      </c>
      <c r="HB88" s="3568">
        <v>1507.6049528301901</v>
      </c>
      <c r="HC88" s="3569">
        <f>1598.06/1.06</f>
        <v>1507.6037735849056</v>
      </c>
      <c r="HD88" s="3562">
        <f>4794.18/3/1.06</f>
        <v>1507.6037735849056</v>
      </c>
      <c r="HE88" s="3547">
        <f t="shared" si="186"/>
        <v>-1.179245284447461E-3</v>
      </c>
      <c r="HF88" s="3568">
        <v>6729.6440476190501</v>
      </c>
      <c r="HG88" s="3569">
        <f>8028.81/1.05</f>
        <v>7646.4857142857145</v>
      </c>
      <c r="HH88" s="3562">
        <f>24086.43/3/1.05*12/365*23+24086.43/3/1.05-24086.43/3/1.05*12/365*23</f>
        <v>7646.4857142857136</v>
      </c>
      <c r="HI88" s="3547">
        <f t="shared" si="187"/>
        <v>916.84166666666351</v>
      </c>
      <c r="HJ88" s="3568">
        <v>1507.6049528301901</v>
      </c>
      <c r="HK88" s="3569">
        <f>1598.06/1.06</f>
        <v>1507.6037735849056</v>
      </c>
      <c r="HL88" s="3562">
        <f>4794.18/3/1.06*12/365*23+4794.18/3/1.06-4794.18/3/1.06*12/365*23</f>
        <v>1507.6037735849056</v>
      </c>
      <c r="HM88" s="3547">
        <f t="shared" si="188"/>
        <v>-1.179245284447461E-3</v>
      </c>
      <c r="HN88" s="3568">
        <v>6729.6440476190501</v>
      </c>
      <c r="HO88" s="3569">
        <f>8028.81/1.05</f>
        <v>7646.4857142857145</v>
      </c>
      <c r="HP88" s="3562">
        <f>24086.43/3/1.05</f>
        <v>7646.4857142857145</v>
      </c>
      <c r="HQ88" s="3547">
        <f t="shared" si="189"/>
        <v>916.84166666666442</v>
      </c>
      <c r="HR88" s="3568">
        <v>1507.6049528301901</v>
      </c>
      <c r="HS88" s="3569">
        <f>1598.06/1.06</f>
        <v>1507.6037735849056</v>
      </c>
      <c r="HT88" s="3562">
        <f>4794.18/3/1.06</f>
        <v>1507.6037735849056</v>
      </c>
      <c r="HU88" s="3547">
        <f t="shared" si="190"/>
        <v>-1.179245284447461E-3</v>
      </c>
      <c r="HV88" s="3568">
        <v>6729.6440476190501</v>
      </c>
      <c r="HW88" s="3569">
        <f>8028.81/1.05</f>
        <v>7646.4857142857145</v>
      </c>
      <c r="HX88" s="3562">
        <f>24086.43/3/1.05</f>
        <v>7646.4857142857145</v>
      </c>
      <c r="HY88" s="3547">
        <f t="shared" si="191"/>
        <v>916.84166666666442</v>
      </c>
      <c r="HZ88" s="3568">
        <v>1507.6049528301901</v>
      </c>
      <c r="IA88" s="3569">
        <f>1598.06/1.06</f>
        <v>1507.6037735849056</v>
      </c>
      <c r="IB88" s="3562">
        <f>4794.18/3/1.06</f>
        <v>1507.6037735849056</v>
      </c>
      <c r="IC88" s="3547">
        <f t="shared" si="192"/>
        <v>-1.179245284447461E-3</v>
      </c>
      <c r="ID88" s="3568">
        <v>6729.6440476190501</v>
      </c>
      <c r="IE88" s="3569">
        <f>8028.81/1.05</f>
        <v>7646.4857142857145</v>
      </c>
      <c r="IF88" s="3562">
        <f>24086.43/3/1.05*12/365*23</f>
        <v>5782.0001565557732</v>
      </c>
      <c r="IG88" s="3547">
        <f t="shared" si="193"/>
        <v>-947.6438910632769</v>
      </c>
      <c r="IH88" s="3568">
        <v>1507.6049528301901</v>
      </c>
      <c r="II88" s="3569">
        <f>1598.06/1.06</f>
        <v>1507.6037735849056</v>
      </c>
      <c r="IJ88" s="3562">
        <f>4794.18/3/1.06*12/365*23</f>
        <v>1139.9962781080383</v>
      </c>
      <c r="IK88" s="3547">
        <f t="shared" si="194"/>
        <v>-367.60867472215182</v>
      </c>
      <c r="IL88" s="3547" t="s">
        <v>4585</v>
      </c>
      <c r="IM88" s="3569">
        <f>8028.81*2/1.05+8028.81/1.05*12/365*23</f>
        <v>21074.971585127201</v>
      </c>
      <c r="IN88" s="3569">
        <f>1598.06*2/1.06+1598.06/1.06*12/365*23</f>
        <v>4155.2038252778493</v>
      </c>
      <c r="IO88" s="3547"/>
      <c r="IP88" s="3560">
        <f t="shared" si="195"/>
        <v>0</v>
      </c>
      <c r="IQ88" s="3568"/>
      <c r="IR88" s="3568"/>
      <c r="IS88" s="3568"/>
      <c r="IT88" s="3568"/>
      <c r="IU88" s="3568"/>
      <c r="IV88" s="3568"/>
      <c r="IW88" s="3568"/>
      <c r="IX88" s="3568"/>
      <c r="IY88" s="3568"/>
      <c r="IZ88" s="3560"/>
      <c r="JA88" s="3560"/>
      <c r="JB88" s="3560"/>
      <c r="JC88" s="3560">
        <f t="shared" si="134"/>
        <v>0</v>
      </c>
      <c r="JD88" s="3547"/>
      <c r="JE88" s="3568"/>
      <c r="JF88" s="3568"/>
      <c r="JG88" s="3568"/>
      <c r="JH88" s="3568"/>
      <c r="JI88" s="3568"/>
      <c r="JJ88" s="3568"/>
      <c r="JK88" s="3568"/>
      <c r="JL88" s="3568"/>
      <c r="JM88" s="3568"/>
      <c r="JN88" s="3560"/>
      <c r="JO88" s="3560"/>
      <c r="JP88" s="3547" t="s">
        <v>4094</v>
      </c>
      <c r="JQ88" s="3583">
        <f>8991.5*3/1.05</f>
        <v>25690</v>
      </c>
      <c r="JR88" s="3583">
        <f>1598.06*3/1.06</f>
        <v>4522.8113207547167</v>
      </c>
      <c r="JS88" s="3573">
        <f t="shared" si="145"/>
        <v>0</v>
      </c>
      <c r="JT88" s="3573">
        <f t="shared" si="152"/>
        <v>0</v>
      </c>
      <c r="JU88" s="3574">
        <f t="shared" si="146"/>
        <v>-1.9569471442082431E-3</v>
      </c>
      <c r="JV88" s="3574">
        <f t="shared" si="147"/>
        <v>3.7218919605948031E-3</v>
      </c>
      <c r="JW88" s="3575"/>
      <c r="JX88" s="3576">
        <f t="shared" si="148"/>
        <v>21074.971585127201</v>
      </c>
      <c r="JY88" s="3576">
        <f t="shared" si="149"/>
        <v>4155.2038252778493</v>
      </c>
      <c r="JZ88" s="3577"/>
      <c r="KA88" s="3573">
        <f t="shared" si="131"/>
        <v>916.84048742137907</v>
      </c>
      <c r="KB88" s="3573"/>
      <c r="KC88" s="3573"/>
      <c r="KD88" s="3573">
        <f t="shared" si="150"/>
        <v>916.84048742137907</v>
      </c>
      <c r="KE88" s="3578" t="s">
        <v>4069</v>
      </c>
      <c r="KF88" s="3579"/>
      <c r="KG88" s="3579"/>
      <c r="KH88" s="3579">
        <f>2232.09/10000</f>
        <v>0.22320900000000002</v>
      </c>
      <c r="KI88" s="3579">
        <f>916.84/10000*3</f>
        <v>0.27505200000000002</v>
      </c>
      <c r="KJ88" s="3579"/>
      <c r="KK88" s="3579"/>
      <c r="KL88" s="3579"/>
      <c r="KM88" s="3579"/>
      <c r="KN88" s="3579"/>
      <c r="KO88" s="3579"/>
      <c r="KP88" s="3579"/>
      <c r="KQ88" s="3579">
        <f t="shared" si="151"/>
        <v>0.49826100000000006</v>
      </c>
      <c r="KR88" s="3579">
        <f t="shared" si="196"/>
        <v>-9.1250354056215954E-7</v>
      </c>
      <c r="KS88" s="3577"/>
      <c r="KT88" s="3577"/>
      <c r="KU88" s="3577"/>
      <c r="KV88" s="3577"/>
      <c r="KW88" s="3577"/>
      <c r="KX88" s="3577"/>
      <c r="KY88" s="3577"/>
      <c r="KZ88" s="3577"/>
      <c r="LA88" s="3577"/>
      <c r="LB88" s="3577"/>
      <c r="LC88" s="3577"/>
      <c r="LD88" s="3577"/>
      <c r="LE88" s="3577"/>
      <c r="LF88" s="3577"/>
      <c r="LG88" s="3577"/>
      <c r="LH88" s="3577"/>
      <c r="LJ88" s="3575"/>
      <c r="LK88" s="3571"/>
      <c r="LL88" s="3576"/>
    </row>
    <row r="89" spans="1:325" s="3580" customFormat="1" ht="18" customHeight="1">
      <c r="A89" s="3545">
        <v>86</v>
      </c>
      <c r="B89" s="3546" t="s">
        <v>4496</v>
      </c>
      <c r="C89" s="3667">
        <v>1412</v>
      </c>
      <c r="D89" s="3562">
        <f>212.19-123.3</f>
        <v>88.89</v>
      </c>
      <c r="E89" s="3596" t="s">
        <v>3845</v>
      </c>
      <c r="F89" s="3546" t="s">
        <v>3790</v>
      </c>
      <c r="G89" s="3595" t="s">
        <v>4589</v>
      </c>
      <c r="H89" s="3546" t="s">
        <v>4590</v>
      </c>
      <c r="I89" s="3594" t="s">
        <v>4591</v>
      </c>
      <c r="J89" s="3649" t="s">
        <v>4592</v>
      </c>
      <c r="K89" s="3545" t="s">
        <v>3925</v>
      </c>
      <c r="L89" s="3555"/>
      <c r="M89" s="3551"/>
      <c r="N89" s="3547"/>
      <c r="O89" s="3551">
        <f t="shared" si="135"/>
        <v>0</v>
      </c>
      <c r="P89" s="3547"/>
      <c r="Q89" s="3547"/>
      <c r="R89" s="3547">
        <f t="shared" si="132"/>
        <v>0</v>
      </c>
      <c r="S89" s="3547">
        <f t="shared" si="125"/>
        <v>0</v>
      </c>
      <c r="T89" s="3547"/>
      <c r="U89" s="3553">
        <f t="shared" si="136"/>
        <v>0</v>
      </c>
      <c r="V89" s="3547"/>
      <c r="W89" s="3547">
        <f t="shared" si="126"/>
        <v>0</v>
      </c>
      <c r="X89" s="3658"/>
      <c r="Y89" s="3547">
        <f t="shared" si="137"/>
        <v>0</v>
      </c>
      <c r="Z89" s="3554"/>
      <c r="AA89" s="3555"/>
      <c r="AB89" s="3593"/>
      <c r="AC89" s="3556">
        <f t="shared" si="138"/>
        <v>44882.05</v>
      </c>
      <c r="AD89" s="3556">
        <f t="shared" si="139"/>
        <v>44882.05</v>
      </c>
      <c r="AE89" s="3556">
        <f t="shared" si="139"/>
        <v>44882.05</v>
      </c>
      <c r="AF89" s="3556">
        <f t="shared" si="140"/>
        <v>0</v>
      </c>
      <c r="AG89" s="3556"/>
      <c r="AH89" s="3557">
        <f t="shared" si="141"/>
        <v>11220.5</v>
      </c>
      <c r="AI89" s="3558">
        <f t="shared" si="142"/>
        <v>11220.5</v>
      </c>
      <c r="AJ89" s="3558">
        <f t="shared" si="142"/>
        <v>11220.5</v>
      </c>
      <c r="AK89" s="3557">
        <f t="shared" si="159"/>
        <v>0</v>
      </c>
      <c r="AL89" s="3557"/>
      <c r="AM89" s="3547" t="s">
        <v>3822</v>
      </c>
      <c r="AN89" s="3609">
        <v>8976.41</v>
      </c>
      <c r="AO89" s="3562">
        <v>8976.41</v>
      </c>
      <c r="AP89" s="3561">
        <f t="shared" si="113"/>
        <v>0</v>
      </c>
      <c r="AQ89" s="3559">
        <v>2244.1</v>
      </c>
      <c r="AR89" s="3562">
        <v>2244.1</v>
      </c>
      <c r="AS89" s="3561">
        <f t="shared" si="127"/>
        <v>0</v>
      </c>
      <c r="AT89" s="3563" t="s">
        <v>4593</v>
      </c>
      <c r="AU89" s="3547" t="s">
        <v>3824</v>
      </c>
      <c r="AV89" s="3609">
        <v>8976.41</v>
      </c>
      <c r="AW89" s="3562">
        <v>8976.41</v>
      </c>
      <c r="AX89" s="3561">
        <f t="shared" si="114"/>
        <v>0</v>
      </c>
      <c r="AY89" s="3559">
        <v>2244.1</v>
      </c>
      <c r="AZ89" s="3562">
        <v>2244.1</v>
      </c>
      <c r="BA89" s="3561">
        <f t="shared" si="128"/>
        <v>0</v>
      </c>
      <c r="BB89" s="3563" t="s">
        <v>3825</v>
      </c>
      <c r="BC89" s="3547" t="s">
        <v>3826</v>
      </c>
      <c r="BD89" s="3609">
        <v>8976.41</v>
      </c>
      <c r="BE89" s="3562"/>
      <c r="BF89" s="3561">
        <f t="shared" si="115"/>
        <v>-8976.41</v>
      </c>
      <c r="BG89" s="3559">
        <v>2244.1</v>
      </c>
      <c r="BH89" s="3562"/>
      <c r="BI89" s="3561">
        <f t="shared" si="116"/>
        <v>-2244.1</v>
      </c>
      <c r="BJ89" s="3563" t="s">
        <v>3825</v>
      </c>
      <c r="BK89" s="3689" t="s">
        <v>4594</v>
      </c>
      <c r="BL89" s="3609">
        <v>-8976.41</v>
      </c>
      <c r="BM89" s="3562"/>
      <c r="BN89" s="3602">
        <f t="shared" si="160"/>
        <v>8976.41</v>
      </c>
      <c r="BO89" s="3559">
        <v>-2244.1</v>
      </c>
      <c r="BP89" s="3562"/>
      <c r="BQ89" s="3602">
        <f t="shared" si="161"/>
        <v>2244.1</v>
      </c>
      <c r="BR89" s="3563" t="s">
        <v>3825</v>
      </c>
      <c r="BS89" s="3547"/>
      <c r="BT89" s="3559"/>
      <c r="BU89" s="3562"/>
      <c r="BV89" s="3561">
        <f t="shared" si="162"/>
        <v>0</v>
      </c>
      <c r="BW89" s="3559"/>
      <c r="BX89" s="3562"/>
      <c r="BY89" s="3561">
        <f t="shared" si="163"/>
        <v>0</v>
      </c>
      <c r="BZ89" s="3563" t="s">
        <v>3825</v>
      </c>
      <c r="CA89" s="3547"/>
      <c r="CB89" s="3609"/>
      <c r="CC89" s="3562"/>
      <c r="CD89" s="3561">
        <f t="shared" si="164"/>
        <v>0</v>
      </c>
      <c r="CE89" s="3559"/>
      <c r="CF89" s="3562"/>
      <c r="CG89" s="3561">
        <f t="shared" si="165"/>
        <v>0</v>
      </c>
      <c r="CH89" s="3563" t="s">
        <v>3825</v>
      </c>
      <c r="CI89" s="3547"/>
      <c r="CJ89" s="3609"/>
      <c r="CK89" s="3562"/>
      <c r="CL89" s="3561">
        <f t="shared" si="133"/>
        <v>0</v>
      </c>
      <c r="CM89" s="3559"/>
      <c r="CN89" s="3562"/>
      <c r="CO89" s="3561">
        <f t="shared" si="166"/>
        <v>0</v>
      </c>
      <c r="CP89" s="3563" t="s">
        <v>3825</v>
      </c>
      <c r="CQ89" s="3689" t="s">
        <v>4595</v>
      </c>
      <c r="CR89" s="3609">
        <v>26929.23</v>
      </c>
      <c r="CS89" s="3603">
        <v>26929.23</v>
      </c>
      <c r="CT89" s="3561">
        <f t="shared" si="167"/>
        <v>0</v>
      </c>
      <c r="CU89" s="3559">
        <v>6732.3</v>
      </c>
      <c r="CV89" s="3603">
        <v>6732.3</v>
      </c>
      <c r="CW89" s="3561">
        <f t="shared" si="168"/>
        <v>0</v>
      </c>
      <c r="CX89" s="3563" t="s">
        <v>4596</v>
      </c>
      <c r="CY89" s="3547"/>
      <c r="CZ89" s="3609"/>
      <c r="DA89" s="3562"/>
      <c r="DB89" s="3561">
        <f t="shared" si="169"/>
        <v>0</v>
      </c>
      <c r="DC89" s="3559"/>
      <c r="DD89" s="3562"/>
      <c r="DE89" s="3561">
        <f t="shared" si="170"/>
        <v>0</v>
      </c>
      <c r="DF89" s="3563" t="s">
        <v>4596</v>
      </c>
      <c r="DG89" s="3547"/>
      <c r="DH89" s="3609"/>
      <c r="DI89" s="3562"/>
      <c r="DJ89" s="3561">
        <f t="shared" si="171"/>
        <v>0</v>
      </c>
      <c r="DK89" s="3559"/>
      <c r="DL89" s="3562"/>
      <c r="DM89" s="3561">
        <f t="shared" si="172"/>
        <v>0</v>
      </c>
      <c r="DN89" s="3563"/>
      <c r="DO89" s="3547"/>
      <c r="DP89" s="3609"/>
      <c r="DQ89" s="3562"/>
      <c r="DR89" s="3561">
        <f t="shared" si="173"/>
        <v>0</v>
      </c>
      <c r="DS89" s="3559"/>
      <c r="DT89" s="3562"/>
      <c r="DU89" s="3561">
        <f t="shared" si="174"/>
        <v>0</v>
      </c>
      <c r="DV89" s="3563"/>
      <c r="DW89" s="3547"/>
      <c r="DX89" s="3609"/>
      <c r="DY89" s="3562"/>
      <c r="DZ89" s="3561">
        <f t="shared" si="175"/>
        <v>0</v>
      </c>
      <c r="EA89" s="3559"/>
      <c r="EB89" s="3562"/>
      <c r="EC89" s="3561">
        <f t="shared" si="176"/>
        <v>0</v>
      </c>
      <c r="ED89" s="3563"/>
      <c r="EF89" s="3565">
        <f t="shared" si="153"/>
        <v>57138.985833333318</v>
      </c>
      <c r="EG89" s="3565">
        <f t="shared" si="143"/>
        <v>32650.849047619042</v>
      </c>
      <c r="EH89" s="3565">
        <f t="shared" si="143"/>
        <v>48084.982987605996</v>
      </c>
      <c r="EI89" s="3565">
        <f t="shared" si="143"/>
        <v>48084.980952380953</v>
      </c>
      <c r="EJ89" s="3565">
        <f t="shared" si="154"/>
        <v>15434.131904761911</v>
      </c>
      <c r="EK89" s="3566">
        <f t="shared" si="155"/>
        <v>-2.0352250430732965E-3</v>
      </c>
      <c r="EL89" s="3610"/>
      <c r="EM89" s="3567">
        <f t="shared" si="156"/>
        <v>16936.619811320721</v>
      </c>
      <c r="EN89" s="3557">
        <f t="shared" si="144"/>
        <v>10585.387382075451</v>
      </c>
      <c r="EO89" s="3557">
        <f t="shared" si="144"/>
        <v>12702.452830188678</v>
      </c>
      <c r="EP89" s="3557">
        <f t="shared" si="144"/>
        <v>12702.452830188678</v>
      </c>
      <c r="EQ89" s="3557">
        <f t="shared" si="157"/>
        <v>2117.0654481132278</v>
      </c>
      <c r="ER89" s="3557">
        <f t="shared" si="158"/>
        <v>0</v>
      </c>
      <c r="ES89" s="3557"/>
      <c r="ET89" s="3568"/>
      <c r="EU89" s="3592">
        <f>8976.41/1.05*12/365*19</f>
        <v>5340.1734637964764</v>
      </c>
      <c r="EV89" s="3605">
        <f>5607.18/1.05</f>
        <v>5340.1714285714288</v>
      </c>
      <c r="EW89" s="3547">
        <f t="shared" si="129"/>
        <v>5340.1714285714288</v>
      </c>
      <c r="EX89" s="3568"/>
      <c r="EY89" s="3569">
        <f>2244.1/1.06</f>
        <v>2117.0754716981132</v>
      </c>
      <c r="EZ89" s="3562">
        <f>2244.1/1.06</f>
        <v>2117.0754716981132</v>
      </c>
      <c r="FA89" s="3547">
        <f t="shared" si="130"/>
        <v>2117.0754716981132</v>
      </c>
      <c r="FB89" s="3568"/>
      <c r="FC89" s="3569">
        <f>8976.41/1.05</f>
        <v>8548.9619047619035</v>
      </c>
      <c r="FD89" s="3562">
        <f>8976.41/1.05</f>
        <v>8548.9619047619035</v>
      </c>
      <c r="FE89" s="3547">
        <f t="shared" si="117"/>
        <v>8548.9619047619035</v>
      </c>
      <c r="FF89" s="3568"/>
      <c r="FG89" s="3569">
        <f>2244.1/1.06</f>
        <v>2117.0754716981132</v>
      </c>
      <c r="FH89" s="3562">
        <f>2244.1/1.06</f>
        <v>2117.0754716981132</v>
      </c>
      <c r="FI89" s="3547">
        <f t="shared" si="118"/>
        <v>2117.0754716981132</v>
      </c>
      <c r="FJ89" s="3568"/>
      <c r="FK89" s="3559">
        <f>8976.41/1.05</f>
        <v>8548.9619047619035</v>
      </c>
      <c r="FL89" s="3562">
        <f>8976.41/1.05</f>
        <v>8548.9619047619035</v>
      </c>
      <c r="FM89" s="3547">
        <f t="shared" si="119"/>
        <v>8548.9619047619035</v>
      </c>
      <c r="FN89" s="3568"/>
      <c r="FO89" s="3559">
        <f>2244.1/1.06</f>
        <v>2117.0754716981132</v>
      </c>
      <c r="FP89" s="3562">
        <f>2244.1/1.06</f>
        <v>2117.0754716981132</v>
      </c>
      <c r="FQ89" s="3547">
        <f t="shared" si="120"/>
        <v>2117.0754716981132</v>
      </c>
      <c r="FR89" s="3568"/>
      <c r="FS89" s="3559"/>
      <c r="FT89" s="3560"/>
      <c r="FU89" s="3547">
        <f t="shared" si="177"/>
        <v>0</v>
      </c>
      <c r="FV89" s="3568"/>
      <c r="FW89" s="3559"/>
      <c r="FX89" s="3560"/>
      <c r="FY89" s="3547">
        <f t="shared" si="178"/>
        <v>0</v>
      </c>
      <c r="FZ89" s="3568"/>
      <c r="GA89" s="3569"/>
      <c r="GB89" s="3560"/>
      <c r="GC89" s="3547">
        <f t="shared" si="179"/>
        <v>0</v>
      </c>
      <c r="GD89" s="3568">
        <v>2117.0774764150901</v>
      </c>
      <c r="GE89" s="3569"/>
      <c r="GF89" s="3560"/>
      <c r="GG89" s="3547">
        <f t="shared" si="180"/>
        <v>-2117.0774764150901</v>
      </c>
      <c r="GH89" s="3568">
        <v>8162.7122619047605</v>
      </c>
      <c r="GI89" s="3569"/>
      <c r="GJ89" s="3560"/>
      <c r="GK89" s="3547">
        <f t="shared" si="181"/>
        <v>-8162.7122619047605</v>
      </c>
      <c r="GL89" s="3568">
        <v>2117.0774764150901</v>
      </c>
      <c r="GM89" s="3569"/>
      <c r="GN89" s="3560"/>
      <c r="GO89" s="3547">
        <f t="shared" si="182"/>
        <v>-2117.0774764150901</v>
      </c>
      <c r="GP89" s="3568">
        <v>8162.7122619047605</v>
      </c>
      <c r="GQ89" s="3569"/>
      <c r="GR89" s="3562"/>
      <c r="GS89" s="3547">
        <f t="shared" si="183"/>
        <v>-8162.7122619047605</v>
      </c>
      <c r="GT89" s="3568">
        <v>2117.0774764150901</v>
      </c>
      <c r="GU89" s="3569"/>
      <c r="GV89" s="3562"/>
      <c r="GW89" s="3547">
        <f t="shared" si="184"/>
        <v>-2117.0774764150901</v>
      </c>
      <c r="GX89" s="3568">
        <v>8162.7122619047605</v>
      </c>
      <c r="GY89" s="3569">
        <f>26929.23/1.05</f>
        <v>25646.885714285712</v>
      </c>
      <c r="GZ89" s="3562">
        <f>26929.23/1.05</f>
        <v>25646.885714285712</v>
      </c>
      <c r="HA89" s="3547">
        <f t="shared" si="185"/>
        <v>17484.17345238095</v>
      </c>
      <c r="HB89" s="3568">
        <v>2117.0774764150901</v>
      </c>
      <c r="HC89" s="3569">
        <f>6732.3/1.06</f>
        <v>6351.2264150943392</v>
      </c>
      <c r="HD89" s="3562">
        <f>6732.3/1.06</f>
        <v>6351.2264150943392</v>
      </c>
      <c r="HE89" s="3547">
        <f t="shared" si="186"/>
        <v>4234.1489386792491</v>
      </c>
      <c r="HF89" s="3568">
        <v>8162.7122619047605</v>
      </c>
      <c r="HG89" s="3569"/>
      <c r="HH89" s="3562"/>
      <c r="HI89" s="3547">
        <f t="shared" si="187"/>
        <v>-8162.7122619047605</v>
      </c>
      <c r="HJ89" s="3568">
        <v>2117.0774764150901</v>
      </c>
      <c r="HK89" s="3569"/>
      <c r="HL89" s="3562"/>
      <c r="HM89" s="3547">
        <f t="shared" si="188"/>
        <v>-2117.0774764150901</v>
      </c>
      <c r="HN89" s="3568">
        <v>8162.7122619047605</v>
      </c>
      <c r="HO89" s="3569"/>
      <c r="HP89" s="3562"/>
      <c r="HQ89" s="3547">
        <f t="shared" si="189"/>
        <v>-8162.7122619047605</v>
      </c>
      <c r="HR89" s="3568">
        <v>2117.0774764150901</v>
      </c>
      <c r="HS89" s="3569"/>
      <c r="HT89" s="3562"/>
      <c r="HU89" s="3547">
        <f t="shared" si="190"/>
        <v>-2117.0774764150901</v>
      </c>
      <c r="HV89" s="3568">
        <v>8162.7122619047605</v>
      </c>
      <c r="HW89" s="3569"/>
      <c r="HX89" s="3562"/>
      <c r="HY89" s="3547">
        <f t="shared" si="191"/>
        <v>-8162.7122619047605</v>
      </c>
      <c r="HZ89" s="3568">
        <v>2117.0774764150901</v>
      </c>
      <c r="IA89" s="3569"/>
      <c r="IB89" s="3562"/>
      <c r="IC89" s="3547">
        <f t="shared" si="192"/>
        <v>-2117.0774764150901</v>
      </c>
      <c r="ID89" s="3568">
        <v>8162.7122619047605</v>
      </c>
      <c r="IE89" s="3569"/>
      <c r="IF89" s="3562"/>
      <c r="IG89" s="3547">
        <f t="shared" si="193"/>
        <v>-8162.7122619047605</v>
      </c>
      <c r="IH89" s="3568">
        <v>2117.0774764150901</v>
      </c>
      <c r="II89" s="3569"/>
      <c r="IJ89" s="3562"/>
      <c r="IK89" s="3547">
        <f t="shared" si="194"/>
        <v>-2117.0774764150901</v>
      </c>
      <c r="IL89" s="3597"/>
      <c r="IM89" s="3569"/>
      <c r="IN89" s="3569"/>
      <c r="IO89" s="3607"/>
      <c r="IP89" s="3560">
        <f t="shared" si="195"/>
        <v>0</v>
      </c>
      <c r="IQ89" s="3568"/>
      <c r="IR89" s="3568"/>
      <c r="IS89" s="3568"/>
      <c r="IT89" s="3568"/>
      <c r="IU89" s="3568"/>
      <c r="IV89" s="3568"/>
      <c r="IW89" s="3568"/>
      <c r="IX89" s="3568"/>
      <c r="IY89" s="3568"/>
      <c r="IZ89" s="3560"/>
      <c r="JA89" s="3560"/>
      <c r="JB89" s="3560"/>
      <c r="JC89" s="3560">
        <f t="shared" si="134"/>
        <v>0</v>
      </c>
      <c r="JD89" s="3607"/>
      <c r="JE89" s="3568"/>
      <c r="JF89" s="3568"/>
      <c r="JG89" s="3568"/>
      <c r="JH89" s="3568"/>
      <c r="JI89" s="3568"/>
      <c r="JJ89" s="3568"/>
      <c r="JK89" s="3568"/>
      <c r="JL89" s="3568"/>
      <c r="JM89" s="3568"/>
      <c r="JN89" s="3560"/>
      <c r="JO89" s="3560"/>
      <c r="JP89" s="3607" t="s">
        <v>3837</v>
      </c>
      <c r="JQ89" s="3583">
        <f>5607.18/1.05</f>
        <v>5340.1714285714288</v>
      </c>
      <c r="JR89" s="3583">
        <f>2244.1/1.06</f>
        <v>2117.0754716981132</v>
      </c>
      <c r="JS89" s="3573">
        <f t="shared" si="145"/>
        <v>-2.0352250430732965E-3</v>
      </c>
      <c r="JT89" s="3573">
        <f t="shared" si="152"/>
        <v>0</v>
      </c>
      <c r="JU89" s="3574">
        <f t="shared" si="146"/>
        <v>0</v>
      </c>
      <c r="JV89" s="3574">
        <f t="shared" si="147"/>
        <v>0</v>
      </c>
      <c r="JW89" s="3575"/>
      <c r="JX89" s="3576">
        <f t="shared" si="148"/>
        <v>0</v>
      </c>
      <c r="JY89" s="3576">
        <f t="shared" si="149"/>
        <v>0</v>
      </c>
      <c r="JZ89" s="3577"/>
      <c r="KA89" s="3573">
        <f t="shared" si="131"/>
        <v>-10279.789738319851</v>
      </c>
      <c r="KB89" s="3573"/>
      <c r="KC89" s="3573"/>
      <c r="KD89" s="3573">
        <f t="shared" si="150"/>
        <v>-10279.789738319851</v>
      </c>
      <c r="KE89" s="3578" t="s">
        <v>3765</v>
      </c>
      <c r="KF89" s="3579">
        <f>7457.25/10000+10666.04/10000+10666.04/10000</f>
        <v>2.878933</v>
      </c>
      <c r="KG89" s="3579"/>
      <c r="KH89" s="3579"/>
      <c r="KI89" s="3579"/>
      <c r="KJ89" s="3579"/>
      <c r="KK89" s="3579"/>
      <c r="KL89" s="3579">
        <f>-2117.08/10000-10279.79/10000*4</f>
        <v>-4.3236240000000006</v>
      </c>
      <c r="KM89" s="3579"/>
      <c r="KN89" s="3579"/>
      <c r="KO89" s="3579"/>
      <c r="KP89" s="3579">
        <f>31998.11/10000</f>
        <v>3.199811</v>
      </c>
      <c r="KQ89" s="3579">
        <f t="shared" si="151"/>
        <v>1.7551199999999993</v>
      </c>
      <c r="KR89" s="3579">
        <f t="shared" si="196"/>
        <v>-2.6471248526505065E-7</v>
      </c>
      <c r="KS89" s="3577"/>
      <c r="KT89" s="3577"/>
      <c r="KU89" s="3577"/>
      <c r="KV89" s="3577"/>
      <c r="KW89" s="3577"/>
      <c r="KX89" s="3577"/>
      <c r="KY89" s="3577"/>
      <c r="KZ89" s="3577"/>
      <c r="LA89" s="3577"/>
      <c r="LB89" s="3577"/>
      <c r="LC89" s="3577"/>
      <c r="LD89" s="3577"/>
      <c r="LE89" s="3577"/>
      <c r="LF89" s="3577"/>
      <c r="LG89" s="3577"/>
      <c r="LH89" s="3577"/>
      <c r="LJ89" s="3575"/>
      <c r="LK89" s="3571"/>
      <c r="LL89" s="3576"/>
    </row>
    <row r="90" spans="1:325" s="3580" customFormat="1" ht="18" customHeight="1">
      <c r="A90" s="3545">
        <v>87</v>
      </c>
      <c r="B90" s="3546" t="s">
        <v>4496</v>
      </c>
      <c r="C90" s="3546">
        <v>1426</v>
      </c>
      <c r="D90" s="3547">
        <v>321.83</v>
      </c>
      <c r="E90" s="3548" t="s">
        <v>3799</v>
      </c>
      <c r="F90" s="3546" t="s">
        <v>3790</v>
      </c>
      <c r="G90" s="3613" t="s">
        <v>4597</v>
      </c>
      <c r="H90" s="3546" t="s">
        <v>4598</v>
      </c>
      <c r="I90" s="3594" t="s">
        <v>4599</v>
      </c>
      <c r="J90" s="3594" t="s">
        <v>4600</v>
      </c>
      <c r="K90" s="3545" t="s">
        <v>3885</v>
      </c>
      <c r="L90" s="3555"/>
      <c r="M90" s="3551">
        <v>466691.04</v>
      </c>
      <c r="N90" s="3551">
        <v>466691.04</v>
      </c>
      <c r="O90" s="3551">
        <f t="shared" si="135"/>
        <v>0</v>
      </c>
      <c r="P90" s="3547">
        <v>74923.320000000007</v>
      </c>
      <c r="Q90" s="3547">
        <v>74923.320000000007</v>
      </c>
      <c r="R90" s="3547">
        <f t="shared" si="132"/>
        <v>0</v>
      </c>
      <c r="S90" s="3547">
        <f t="shared" si="125"/>
        <v>15.891689265029312</v>
      </c>
      <c r="T90" s="3658">
        <v>155563.68</v>
      </c>
      <c r="U90" s="3553">
        <f t="shared" si="136"/>
        <v>1866764.16</v>
      </c>
      <c r="V90" s="3547">
        <f>155563.68*2*12</f>
        <v>3733528.32</v>
      </c>
      <c r="W90" s="3547">
        <f t="shared" si="126"/>
        <v>2.5512770078987503</v>
      </c>
      <c r="X90" s="3658">
        <v>24974.44</v>
      </c>
      <c r="Y90" s="3547">
        <f t="shared" si="137"/>
        <v>299693.27999999997</v>
      </c>
      <c r="Z90" s="3554"/>
      <c r="AA90" s="3555"/>
      <c r="AB90" s="3593" t="s">
        <v>3899</v>
      </c>
      <c r="AC90" s="3556">
        <f t="shared" si="138"/>
        <v>1866764.1599999995</v>
      </c>
      <c r="AD90" s="3556">
        <f t="shared" si="139"/>
        <v>1400073.1199999996</v>
      </c>
      <c r="AE90" s="3556">
        <f t="shared" si="139"/>
        <v>1400073.1199999996</v>
      </c>
      <c r="AF90" s="3556">
        <f t="shared" si="140"/>
        <v>0</v>
      </c>
      <c r="AG90" s="3556"/>
      <c r="AH90" s="3557">
        <f t="shared" si="141"/>
        <v>299693.27999999997</v>
      </c>
      <c r="AI90" s="3558">
        <f t="shared" si="142"/>
        <v>224769.96</v>
      </c>
      <c r="AJ90" s="3558">
        <f t="shared" si="142"/>
        <v>224769.96</v>
      </c>
      <c r="AK90" s="3557">
        <f t="shared" si="159"/>
        <v>0</v>
      </c>
      <c r="AL90" s="3557"/>
      <c r="AM90" s="3547" t="s">
        <v>3822</v>
      </c>
      <c r="AN90" s="3609">
        <v>155563.68</v>
      </c>
      <c r="AO90" s="3562">
        <f>65563.68+90000</f>
        <v>155563.68</v>
      </c>
      <c r="AP90" s="3561">
        <f t="shared" si="113"/>
        <v>0</v>
      </c>
      <c r="AQ90" s="3559">
        <v>24974.44</v>
      </c>
      <c r="AR90" s="3562">
        <v>24974.44</v>
      </c>
      <c r="AS90" s="3561">
        <f t="shared" si="127"/>
        <v>0</v>
      </c>
      <c r="AT90" s="3563" t="s">
        <v>3943</v>
      </c>
      <c r="AU90" s="3547" t="s">
        <v>3824</v>
      </c>
      <c r="AV90" s="3609">
        <v>155563.68</v>
      </c>
      <c r="AW90" s="3562">
        <f>90000+65563.68</f>
        <v>155563.68</v>
      </c>
      <c r="AX90" s="3561">
        <f t="shared" si="114"/>
        <v>0</v>
      </c>
      <c r="AY90" s="3559">
        <v>24974.44</v>
      </c>
      <c r="AZ90" s="3562">
        <v>24974.44</v>
      </c>
      <c r="BA90" s="3561">
        <f t="shared" si="128"/>
        <v>0</v>
      </c>
      <c r="BB90" s="3563" t="s">
        <v>3944</v>
      </c>
      <c r="BC90" s="3547" t="s">
        <v>3826</v>
      </c>
      <c r="BD90" s="3609">
        <v>155563.68</v>
      </c>
      <c r="BE90" s="3562">
        <f>90000+65563.68</f>
        <v>155563.68</v>
      </c>
      <c r="BF90" s="3561">
        <f t="shared" si="115"/>
        <v>0</v>
      </c>
      <c r="BG90" s="3559">
        <v>24974.44</v>
      </c>
      <c r="BH90" s="3562">
        <v>24974.44</v>
      </c>
      <c r="BI90" s="3561">
        <f t="shared" si="116"/>
        <v>0</v>
      </c>
      <c r="BJ90" s="3563" t="s">
        <v>3945</v>
      </c>
      <c r="BK90" s="3547" t="s">
        <v>3873</v>
      </c>
      <c r="BL90" s="3609">
        <v>155563.68</v>
      </c>
      <c r="BM90" s="3603">
        <f>65563.68+90000</f>
        <v>155563.68</v>
      </c>
      <c r="BN90" s="3602">
        <f t="shared" si="160"/>
        <v>0</v>
      </c>
      <c r="BO90" s="3604">
        <v>24974.44</v>
      </c>
      <c r="BP90" s="3603">
        <v>24974.44</v>
      </c>
      <c r="BQ90" s="3561">
        <f t="shared" si="161"/>
        <v>0</v>
      </c>
      <c r="BR90" s="3563" t="s">
        <v>4013</v>
      </c>
      <c r="BS90" s="3547" t="s">
        <v>3875</v>
      </c>
      <c r="BT90" s="3559">
        <v>155563.68</v>
      </c>
      <c r="BU90" s="3603">
        <v>155563.68</v>
      </c>
      <c r="BV90" s="3602">
        <f t="shared" si="162"/>
        <v>0</v>
      </c>
      <c r="BW90" s="3604">
        <v>24974.44</v>
      </c>
      <c r="BX90" s="3603">
        <v>24974.44</v>
      </c>
      <c r="BY90" s="3561">
        <f t="shared" si="163"/>
        <v>0</v>
      </c>
      <c r="BZ90" s="3563" t="s">
        <v>3876</v>
      </c>
      <c r="CA90" s="3547" t="s">
        <v>3877</v>
      </c>
      <c r="CB90" s="3609">
        <v>155563.68</v>
      </c>
      <c r="CC90" s="3562">
        <v>155563.68</v>
      </c>
      <c r="CD90" s="3561">
        <f t="shared" si="164"/>
        <v>0</v>
      </c>
      <c r="CE90" s="3559">
        <v>24974.44</v>
      </c>
      <c r="CF90" s="3562">
        <v>24974.44</v>
      </c>
      <c r="CG90" s="3561">
        <f t="shared" si="165"/>
        <v>0</v>
      </c>
      <c r="CH90" s="3563" t="s">
        <v>4601</v>
      </c>
      <c r="CI90" s="3547" t="s">
        <v>3948</v>
      </c>
      <c r="CJ90" s="3609">
        <v>155563.68</v>
      </c>
      <c r="CK90" s="3603">
        <v>155563.68</v>
      </c>
      <c r="CL90" s="3561">
        <f t="shared" si="133"/>
        <v>0</v>
      </c>
      <c r="CM90" s="3559">
        <v>24974.44</v>
      </c>
      <c r="CN90" s="3562">
        <v>24974.44</v>
      </c>
      <c r="CO90" s="3561">
        <f t="shared" si="166"/>
        <v>0</v>
      </c>
      <c r="CP90" s="3563" t="s">
        <v>4310</v>
      </c>
      <c r="CQ90" s="3597" t="s">
        <v>3950</v>
      </c>
      <c r="CR90" s="3609">
        <v>155563.68</v>
      </c>
      <c r="CS90" s="3603">
        <v>155563.68</v>
      </c>
      <c r="CT90" s="3561">
        <f t="shared" si="167"/>
        <v>0</v>
      </c>
      <c r="CU90" s="3559">
        <v>24974.44</v>
      </c>
      <c r="CV90" s="3603">
        <v>24974.44</v>
      </c>
      <c r="CW90" s="3561">
        <f t="shared" si="168"/>
        <v>0</v>
      </c>
      <c r="CX90" s="3563" t="s">
        <v>4016</v>
      </c>
      <c r="CY90" s="3547" t="s">
        <v>3966</v>
      </c>
      <c r="CZ90" s="3609">
        <v>155563.68</v>
      </c>
      <c r="DA90" s="3562">
        <v>155563.68</v>
      </c>
      <c r="DB90" s="3561">
        <f t="shared" si="169"/>
        <v>0</v>
      </c>
      <c r="DC90" s="3559">
        <v>24974.44</v>
      </c>
      <c r="DD90" s="3562">
        <v>24974.44</v>
      </c>
      <c r="DE90" s="3561">
        <f t="shared" si="170"/>
        <v>0</v>
      </c>
      <c r="DF90" s="3563" t="s">
        <v>4602</v>
      </c>
      <c r="DG90" s="3547" t="s">
        <v>3968</v>
      </c>
      <c r="DH90" s="3609">
        <v>155563.68</v>
      </c>
      <c r="DI90" s="3562"/>
      <c r="DJ90" s="3561">
        <f t="shared" si="171"/>
        <v>-155563.68</v>
      </c>
      <c r="DK90" s="3559">
        <v>24974.44</v>
      </c>
      <c r="DL90" s="3562"/>
      <c r="DM90" s="3561">
        <f t="shared" si="172"/>
        <v>-24974.44</v>
      </c>
      <c r="DN90" s="3563"/>
      <c r="DO90" s="3547" t="s">
        <v>3969</v>
      </c>
      <c r="DP90" s="3609">
        <v>155563.68</v>
      </c>
      <c r="DQ90" s="3562"/>
      <c r="DR90" s="3561">
        <f t="shared" si="173"/>
        <v>-155563.68</v>
      </c>
      <c r="DS90" s="3559">
        <v>24974.44</v>
      </c>
      <c r="DT90" s="3562"/>
      <c r="DU90" s="3561">
        <f t="shared" si="174"/>
        <v>-24974.44</v>
      </c>
      <c r="DV90" s="3563"/>
      <c r="DW90" s="3547" t="s">
        <v>3970</v>
      </c>
      <c r="DX90" s="3609">
        <v>155563.68</v>
      </c>
      <c r="DY90" s="3562"/>
      <c r="DZ90" s="3561">
        <f t="shared" si="175"/>
        <v>-155563.68</v>
      </c>
      <c r="EA90" s="3559">
        <v>24974.44</v>
      </c>
      <c r="EB90" s="3562"/>
      <c r="EC90" s="3561">
        <f t="shared" si="176"/>
        <v>-24974.44</v>
      </c>
      <c r="ED90" s="3563"/>
      <c r="EE90" s="3564"/>
      <c r="EF90" s="3565">
        <f t="shared" si="153"/>
        <v>577729.54861111089</v>
      </c>
      <c r="EG90" s="3565">
        <f t="shared" si="143"/>
        <v>433132.09587301576</v>
      </c>
      <c r="EH90" s="3565">
        <f t="shared" si="143"/>
        <v>1333402.9714285713</v>
      </c>
      <c r="EI90" s="3565">
        <f t="shared" si="143"/>
        <v>1333402.9714285713</v>
      </c>
      <c r="EJ90" s="3565">
        <f t="shared" si="154"/>
        <v>900270.87555555557</v>
      </c>
      <c r="EK90" s="3565">
        <f t="shared" si="155"/>
        <v>0</v>
      </c>
      <c r="EL90" s="3610"/>
      <c r="EM90" s="3557">
        <f t="shared" si="156"/>
        <v>91979.621226415096</v>
      </c>
      <c r="EN90" s="3557">
        <f t="shared" si="144"/>
        <v>68984.715919811308</v>
      </c>
      <c r="EO90" s="3557">
        <f t="shared" si="144"/>
        <v>212047.13207547166</v>
      </c>
      <c r="EP90" s="3557">
        <f t="shared" si="144"/>
        <v>212047.13207547166</v>
      </c>
      <c r="EQ90" s="3557">
        <f t="shared" si="157"/>
        <v>143062.41615566035</v>
      </c>
      <c r="ER90" s="3557">
        <f t="shared" si="158"/>
        <v>0</v>
      </c>
      <c r="ES90" s="3557"/>
      <c r="ET90" s="3568">
        <v>48199.150912698402</v>
      </c>
      <c r="EU90" s="3569">
        <f>155563.68/1.05</f>
        <v>148155.88571428569</v>
      </c>
      <c r="EV90" s="3562">
        <f>155563.68/1.05</f>
        <v>148155.88571428569</v>
      </c>
      <c r="EW90" s="3547">
        <f t="shared" si="129"/>
        <v>99956.734801587285</v>
      </c>
      <c r="EX90" s="3568">
        <v>7664.9684355345898</v>
      </c>
      <c r="EY90" s="3569">
        <f>24974.44/1.06</f>
        <v>23560.792452830185</v>
      </c>
      <c r="EZ90" s="3562">
        <f>24974.44/1.06</f>
        <v>23560.792452830185</v>
      </c>
      <c r="FA90" s="3547">
        <f t="shared" si="130"/>
        <v>15895.824017295596</v>
      </c>
      <c r="FB90" s="3568">
        <v>48199.150912698402</v>
      </c>
      <c r="FC90" s="3569">
        <f>155563.68/1.05</f>
        <v>148155.88571428569</v>
      </c>
      <c r="FD90" s="3562">
        <f>155563.68/1.05</f>
        <v>148155.88571428569</v>
      </c>
      <c r="FE90" s="3547">
        <f t="shared" si="117"/>
        <v>99956.734801587285</v>
      </c>
      <c r="FF90" s="3568">
        <v>7664.9684355345898</v>
      </c>
      <c r="FG90" s="3569">
        <f>24974.44/1.06</f>
        <v>23560.792452830185</v>
      </c>
      <c r="FH90" s="3562">
        <f>24974.44/1.06</f>
        <v>23560.792452830185</v>
      </c>
      <c r="FI90" s="3547">
        <f t="shared" si="118"/>
        <v>15895.824017295596</v>
      </c>
      <c r="FJ90" s="3568">
        <v>48199.150912698402</v>
      </c>
      <c r="FK90" s="3559">
        <f>155563.68/1.05</f>
        <v>148155.88571428569</v>
      </c>
      <c r="FL90" s="3562">
        <f>155563.68/1.05</f>
        <v>148155.88571428569</v>
      </c>
      <c r="FM90" s="3547">
        <f t="shared" si="119"/>
        <v>99956.734801587285</v>
      </c>
      <c r="FN90" s="3568">
        <v>7664.9684355345898</v>
      </c>
      <c r="FO90" s="3559">
        <f>24974.44/1.06</f>
        <v>23560.792452830185</v>
      </c>
      <c r="FP90" s="3562">
        <f>24974.44/1.06</f>
        <v>23560.792452830185</v>
      </c>
      <c r="FQ90" s="3547">
        <f t="shared" si="120"/>
        <v>15895.824017295596</v>
      </c>
      <c r="FR90" s="3568">
        <v>48199.150912698402</v>
      </c>
      <c r="FS90" s="3559">
        <f>155563.68/1.05</f>
        <v>148155.88571428569</v>
      </c>
      <c r="FT90" s="3560">
        <f>155563.68/1.05</f>
        <v>148155.88571428569</v>
      </c>
      <c r="FU90" s="3547">
        <f t="shared" si="177"/>
        <v>99956.734801587285</v>
      </c>
      <c r="FV90" s="3568">
        <v>7664.9684355345898</v>
      </c>
      <c r="FW90" s="3559">
        <f>24974.44/1.06</f>
        <v>23560.792452830185</v>
      </c>
      <c r="FX90" s="3560">
        <f>24974.44/1.06</f>
        <v>23560.792452830185</v>
      </c>
      <c r="FY90" s="3547">
        <f t="shared" si="178"/>
        <v>15895.824017295596</v>
      </c>
      <c r="FZ90" s="3568">
        <v>48199.150912698402</v>
      </c>
      <c r="GA90" s="3569">
        <f>155563.68/1.05</f>
        <v>148155.88571428569</v>
      </c>
      <c r="GB90" s="3560">
        <f>155563.68/1.05</f>
        <v>148155.88571428569</v>
      </c>
      <c r="GC90" s="3547">
        <f t="shared" si="179"/>
        <v>99956.734801587285</v>
      </c>
      <c r="GD90" s="3568">
        <v>7664.9684355345898</v>
      </c>
      <c r="GE90" s="3569">
        <f>24974.44/1.06</f>
        <v>23560.792452830185</v>
      </c>
      <c r="GF90" s="3560">
        <f>24974.44/1.06</f>
        <v>23560.792452830185</v>
      </c>
      <c r="GG90" s="3547">
        <f t="shared" si="180"/>
        <v>15895.824017295596</v>
      </c>
      <c r="GH90" s="3568">
        <v>48199.150912698402</v>
      </c>
      <c r="GI90" s="3569">
        <f>155563.68/1.05</f>
        <v>148155.88571428569</v>
      </c>
      <c r="GJ90" s="3560">
        <f>155563.68/1.05</f>
        <v>148155.88571428569</v>
      </c>
      <c r="GK90" s="3547">
        <f t="shared" si="181"/>
        <v>99956.734801587285</v>
      </c>
      <c r="GL90" s="3568">
        <v>7664.9684355345898</v>
      </c>
      <c r="GM90" s="3569">
        <f>24974.44/1.06</f>
        <v>23560.792452830185</v>
      </c>
      <c r="GN90" s="3560">
        <f>24974.44/1.06</f>
        <v>23560.792452830185</v>
      </c>
      <c r="GO90" s="3547">
        <f t="shared" si="182"/>
        <v>15895.824017295596</v>
      </c>
      <c r="GP90" s="3568">
        <v>48199.150912698402</v>
      </c>
      <c r="GQ90" s="3569">
        <f>155563.68/1.05</f>
        <v>148155.88571428569</v>
      </c>
      <c r="GR90" s="3562">
        <f>155563.68/1.05</f>
        <v>148155.88571428569</v>
      </c>
      <c r="GS90" s="3547">
        <f t="shared" si="183"/>
        <v>99956.734801587285</v>
      </c>
      <c r="GT90" s="3568">
        <v>7664.9684355345898</v>
      </c>
      <c r="GU90" s="3569">
        <f>24974.44/1.06</f>
        <v>23560.792452830185</v>
      </c>
      <c r="GV90" s="3562">
        <f>24974.44/1.06</f>
        <v>23560.792452830185</v>
      </c>
      <c r="GW90" s="3547">
        <f t="shared" si="184"/>
        <v>15895.824017295596</v>
      </c>
      <c r="GX90" s="3568">
        <v>48199.150912698402</v>
      </c>
      <c r="GY90" s="3569">
        <f>155563.68/1.05</f>
        <v>148155.88571428569</v>
      </c>
      <c r="GZ90" s="3562">
        <f>155563.68/1.05</f>
        <v>148155.88571428569</v>
      </c>
      <c r="HA90" s="3547">
        <f t="shared" si="185"/>
        <v>99956.734801587285</v>
      </c>
      <c r="HB90" s="3568">
        <v>7664.9684355345898</v>
      </c>
      <c r="HC90" s="3569">
        <f>24974.44/1.06</f>
        <v>23560.792452830185</v>
      </c>
      <c r="HD90" s="3562">
        <f>24974.44/1.06</f>
        <v>23560.792452830185</v>
      </c>
      <c r="HE90" s="3547">
        <f t="shared" si="186"/>
        <v>15895.824017295596</v>
      </c>
      <c r="HF90" s="3568">
        <v>47538.888571428499</v>
      </c>
      <c r="HG90" s="3569">
        <f>155563.68/1.05</f>
        <v>148155.88571428569</v>
      </c>
      <c r="HH90" s="3562">
        <f>155563.68/1.05</f>
        <v>148155.88571428569</v>
      </c>
      <c r="HI90" s="3547">
        <f t="shared" si="187"/>
        <v>100616.99714285719</v>
      </c>
      <c r="HJ90" s="3568">
        <v>7664.9684355345898</v>
      </c>
      <c r="HK90" s="3569">
        <f>24974.44/1.06</f>
        <v>23560.792452830185</v>
      </c>
      <c r="HL90" s="3562">
        <f>24974.44/1.06</f>
        <v>23560.792452830185</v>
      </c>
      <c r="HM90" s="3547">
        <f t="shared" si="188"/>
        <v>15895.824017295596</v>
      </c>
      <c r="HN90" s="3568">
        <v>48199.150912698402</v>
      </c>
      <c r="HO90" s="3569">
        <f>155563.68/1.05</f>
        <v>148155.88571428569</v>
      </c>
      <c r="HP90" s="3562">
        <f>155563.68/1.05</f>
        <v>148155.88571428569</v>
      </c>
      <c r="HQ90" s="3547">
        <f t="shared" si="189"/>
        <v>99956.734801587285</v>
      </c>
      <c r="HR90" s="3568">
        <v>7664.9684355345898</v>
      </c>
      <c r="HS90" s="3569">
        <f>24974.44/1.06</f>
        <v>23560.792452830185</v>
      </c>
      <c r="HT90" s="3562">
        <f>24974.44/1.06</f>
        <v>23560.792452830185</v>
      </c>
      <c r="HU90" s="3547">
        <f t="shared" si="190"/>
        <v>15895.824017295596</v>
      </c>
      <c r="HV90" s="3568">
        <v>48199.150912698402</v>
      </c>
      <c r="HW90" s="3569">
        <f>155563.68/1.05</f>
        <v>148155.88571428569</v>
      </c>
      <c r="HX90" s="3562"/>
      <c r="HY90" s="3547">
        <f t="shared" si="191"/>
        <v>-48199.150912698402</v>
      </c>
      <c r="HZ90" s="3568">
        <v>7664.9684355345898</v>
      </c>
      <c r="IA90" s="3569">
        <f>24974.44/1.06</f>
        <v>23560.792452830185</v>
      </c>
      <c r="IB90" s="3562"/>
      <c r="IC90" s="3547">
        <f t="shared" si="192"/>
        <v>-7664.9684355345898</v>
      </c>
      <c r="ID90" s="3568">
        <v>48199.150912698402</v>
      </c>
      <c r="IE90" s="3569">
        <f>155563.68/1.05</f>
        <v>148155.88571428569</v>
      </c>
      <c r="IF90" s="3562"/>
      <c r="IG90" s="3547">
        <f t="shared" si="193"/>
        <v>-48199.150912698402</v>
      </c>
      <c r="IH90" s="3568">
        <v>7664.9684355345898</v>
      </c>
      <c r="II90" s="3569">
        <f>24974.44/1.06</f>
        <v>23560.792452830185</v>
      </c>
      <c r="IJ90" s="3562"/>
      <c r="IK90" s="3547">
        <f t="shared" si="194"/>
        <v>-7664.9684355345898</v>
      </c>
      <c r="IL90" s="3547" t="s">
        <v>3970</v>
      </c>
      <c r="IM90" s="3569">
        <f>155563.68/1.05</f>
        <v>148155.88571428569</v>
      </c>
      <c r="IN90" s="3569">
        <f>24974.44/1.06</f>
        <v>23560.792452830185</v>
      </c>
      <c r="IO90" s="3547"/>
      <c r="IP90" s="3560">
        <f t="shared" si="195"/>
        <v>0</v>
      </c>
      <c r="IQ90" s="3568"/>
      <c r="IR90" s="3568"/>
      <c r="IS90" s="3568"/>
      <c r="IT90" s="3568"/>
      <c r="IU90" s="3568"/>
      <c r="IV90" s="3568"/>
      <c r="IW90" s="3568"/>
      <c r="IX90" s="3568"/>
      <c r="IY90" s="3568"/>
      <c r="IZ90" s="3560"/>
      <c r="JA90" s="3560"/>
      <c r="JB90" s="3560"/>
      <c r="JC90" s="3560">
        <f t="shared" si="134"/>
        <v>0</v>
      </c>
      <c r="JD90" s="3547"/>
      <c r="JE90" s="3568"/>
      <c r="JF90" s="3568"/>
      <c r="JG90" s="3568"/>
      <c r="JH90" s="3568"/>
      <c r="JI90" s="3568"/>
      <c r="JJ90" s="3568"/>
      <c r="JK90" s="3568"/>
      <c r="JL90" s="3568"/>
      <c r="JM90" s="3568"/>
      <c r="JN90" s="3560"/>
      <c r="JO90" s="3560"/>
      <c r="JP90" s="3547" t="s">
        <v>3837</v>
      </c>
      <c r="JQ90" s="3583">
        <v>148155.88571428601</v>
      </c>
      <c r="JR90" s="3583">
        <v>23560.792452830199</v>
      </c>
      <c r="JS90" s="3573">
        <f t="shared" si="145"/>
        <v>-3.7834979593753815E-10</v>
      </c>
      <c r="JT90" s="3573">
        <f t="shared" si="152"/>
        <v>0</v>
      </c>
      <c r="JU90" s="3574">
        <f t="shared" si="146"/>
        <v>0</v>
      </c>
      <c r="JV90" s="3574">
        <f t="shared" si="147"/>
        <v>5.4569682106375694E-11</v>
      </c>
      <c r="JW90" s="3575"/>
      <c r="JX90" s="3576">
        <f t="shared" si="148"/>
        <v>148155.88571428569</v>
      </c>
      <c r="JY90" s="3576">
        <f t="shared" si="149"/>
        <v>23560.792452830185</v>
      </c>
      <c r="JZ90" s="3577"/>
      <c r="KA90" s="3573">
        <f>HI90+HI91+HI92+HM92+HM91+HM90</f>
        <v>2029.5279818060426</v>
      </c>
      <c r="KB90" s="3573"/>
      <c r="KC90" s="3573"/>
      <c r="KD90" s="3573">
        <f t="shared" si="150"/>
        <v>2029.5279818060426</v>
      </c>
      <c r="KE90" s="3578" t="s">
        <v>4069</v>
      </c>
      <c r="KF90" s="3579"/>
      <c r="KG90" s="3579"/>
      <c r="KH90" s="3579"/>
      <c r="KI90" s="3579">
        <f>2029.53/10000</f>
        <v>0.20295299999999999</v>
      </c>
      <c r="KJ90" s="3579"/>
      <c r="KK90" s="3579"/>
      <c r="KL90" s="3579"/>
      <c r="KM90" s="3579"/>
      <c r="KN90" s="3579"/>
      <c r="KO90" s="3579"/>
      <c r="KP90" s="3579"/>
      <c r="KQ90" s="3579">
        <f t="shared" si="151"/>
        <v>0.20295299999999999</v>
      </c>
      <c r="KR90" s="3632">
        <f t="shared" si="196"/>
        <v>104.1303761711216</v>
      </c>
      <c r="KS90" s="3577"/>
      <c r="KT90" s="3577"/>
      <c r="KU90" s="3577"/>
      <c r="KV90" s="3577"/>
      <c r="KW90" s="3577"/>
      <c r="KX90" s="3577"/>
      <c r="KY90" s="3577"/>
      <c r="KZ90" s="3577"/>
      <c r="LA90" s="3577"/>
      <c r="LB90" s="3577"/>
      <c r="LC90" s="3577"/>
      <c r="LD90" s="3577"/>
      <c r="LE90" s="3577"/>
      <c r="LF90" s="3577"/>
      <c r="LG90" s="3577"/>
      <c r="LH90" s="3577"/>
      <c r="LJ90" s="3575"/>
      <c r="LK90" s="3626">
        <v>10</v>
      </c>
      <c r="LL90" s="3627">
        <v>70187.100000000006</v>
      </c>
      <c r="LM90" s="3580" t="s">
        <v>3972</v>
      </c>
    </row>
    <row r="91" spans="1:325" s="3580" customFormat="1" ht="18" customHeight="1">
      <c r="A91" s="3545">
        <v>88</v>
      </c>
      <c r="B91" s="3546" t="s">
        <v>4496</v>
      </c>
      <c r="C91" s="3546">
        <v>1425</v>
      </c>
      <c r="D91" s="3547">
        <v>321.94</v>
      </c>
      <c r="E91" s="3548" t="s">
        <v>3799</v>
      </c>
      <c r="F91" s="3546" t="s">
        <v>3790</v>
      </c>
      <c r="G91" s="3613" t="s">
        <v>4597</v>
      </c>
      <c r="H91" s="3546" t="s">
        <v>4598</v>
      </c>
      <c r="I91" s="3594" t="s">
        <v>4599</v>
      </c>
      <c r="J91" s="3594" t="s">
        <v>4600</v>
      </c>
      <c r="K91" s="3545" t="s">
        <v>3885</v>
      </c>
      <c r="L91" s="3555"/>
      <c r="M91" s="3551"/>
      <c r="N91" s="3551"/>
      <c r="O91" s="3551">
        <f t="shared" si="135"/>
        <v>0</v>
      </c>
      <c r="P91" s="3547"/>
      <c r="Q91" s="3547"/>
      <c r="R91" s="3547">
        <f t="shared" si="132"/>
        <v>0</v>
      </c>
      <c r="S91" s="3547">
        <f t="shared" si="125"/>
        <v>0</v>
      </c>
      <c r="T91" s="3658"/>
      <c r="U91" s="3553">
        <f t="shared" si="136"/>
        <v>0</v>
      </c>
      <c r="V91" s="3547"/>
      <c r="W91" s="3547">
        <f t="shared" si="126"/>
        <v>0</v>
      </c>
      <c r="X91" s="3658"/>
      <c r="Y91" s="3547">
        <f t="shared" si="137"/>
        <v>0</v>
      </c>
      <c r="Z91" s="3554"/>
      <c r="AA91" s="3555"/>
      <c r="AB91" s="3593"/>
      <c r="AC91" s="3556">
        <f t="shared" si="138"/>
        <v>0</v>
      </c>
      <c r="AD91" s="3556">
        <f t="shared" si="139"/>
        <v>0</v>
      </c>
      <c r="AE91" s="3556">
        <f t="shared" si="139"/>
        <v>0</v>
      </c>
      <c r="AF91" s="3556">
        <f t="shared" si="140"/>
        <v>0</v>
      </c>
      <c r="AG91" s="3556"/>
      <c r="AH91" s="3557">
        <f t="shared" si="141"/>
        <v>0</v>
      </c>
      <c r="AI91" s="3558">
        <f t="shared" si="142"/>
        <v>0</v>
      </c>
      <c r="AJ91" s="3558">
        <f t="shared" si="142"/>
        <v>0</v>
      </c>
      <c r="AK91" s="3557">
        <f t="shared" si="159"/>
        <v>0</v>
      </c>
      <c r="AL91" s="3557"/>
      <c r="AM91" s="3547"/>
      <c r="AN91" s="3609"/>
      <c r="AO91" s="3562"/>
      <c r="AP91" s="3561">
        <f t="shared" si="113"/>
        <v>0</v>
      </c>
      <c r="AQ91" s="3559"/>
      <c r="AR91" s="3562"/>
      <c r="AS91" s="3561">
        <f t="shared" si="127"/>
        <v>0</v>
      </c>
      <c r="AT91" s="3563" t="s">
        <v>4603</v>
      </c>
      <c r="AU91" s="3547"/>
      <c r="AV91" s="3609"/>
      <c r="AW91" s="3562"/>
      <c r="AX91" s="3561">
        <f t="shared" si="114"/>
        <v>0</v>
      </c>
      <c r="AY91" s="3559"/>
      <c r="AZ91" s="3562"/>
      <c r="BA91" s="3561">
        <f t="shared" si="128"/>
        <v>0</v>
      </c>
      <c r="BB91" s="3563" t="s">
        <v>4603</v>
      </c>
      <c r="BC91" s="3547"/>
      <c r="BD91" s="3609"/>
      <c r="BE91" s="3562"/>
      <c r="BF91" s="3561">
        <f t="shared" si="115"/>
        <v>0</v>
      </c>
      <c r="BG91" s="3559"/>
      <c r="BH91" s="3562"/>
      <c r="BI91" s="3561">
        <f t="shared" si="116"/>
        <v>0</v>
      </c>
      <c r="BJ91" s="3563" t="s">
        <v>4603</v>
      </c>
      <c r="BK91" s="3547"/>
      <c r="BL91" s="3609"/>
      <c r="BM91" s="3562"/>
      <c r="BN91" s="3561">
        <f t="shared" si="160"/>
        <v>0</v>
      </c>
      <c r="BO91" s="3559"/>
      <c r="BP91" s="3562"/>
      <c r="BQ91" s="3561">
        <f t="shared" si="161"/>
        <v>0</v>
      </c>
      <c r="BR91" s="3563" t="s">
        <v>4603</v>
      </c>
      <c r="BS91" s="3547"/>
      <c r="BT91" s="3559"/>
      <c r="BU91" s="3562"/>
      <c r="BV91" s="3561">
        <f t="shared" si="162"/>
        <v>0</v>
      </c>
      <c r="BW91" s="3559"/>
      <c r="BX91" s="3562"/>
      <c r="BY91" s="3561">
        <f t="shared" si="163"/>
        <v>0</v>
      </c>
      <c r="BZ91" s="3563" t="s">
        <v>4603</v>
      </c>
      <c r="CA91" s="3547"/>
      <c r="CB91" s="3609"/>
      <c r="CC91" s="3562"/>
      <c r="CD91" s="3561">
        <f t="shared" si="164"/>
        <v>0</v>
      </c>
      <c r="CE91" s="3559"/>
      <c r="CF91" s="3562"/>
      <c r="CG91" s="3561">
        <f t="shared" si="165"/>
        <v>0</v>
      </c>
      <c r="CH91" s="3563" t="s">
        <v>4603</v>
      </c>
      <c r="CI91" s="3547"/>
      <c r="CJ91" s="3609"/>
      <c r="CK91" s="3562"/>
      <c r="CL91" s="3561">
        <f t="shared" si="133"/>
        <v>0</v>
      </c>
      <c r="CM91" s="3559"/>
      <c r="CN91" s="3562"/>
      <c r="CO91" s="3561">
        <f t="shared" si="166"/>
        <v>0</v>
      </c>
      <c r="CP91" s="3563" t="s">
        <v>4603</v>
      </c>
      <c r="CQ91" s="3547"/>
      <c r="CR91" s="3609"/>
      <c r="CS91" s="3603"/>
      <c r="CT91" s="3561">
        <f t="shared" si="167"/>
        <v>0</v>
      </c>
      <c r="CU91" s="3559"/>
      <c r="CV91" s="3603"/>
      <c r="CW91" s="3561">
        <f t="shared" si="168"/>
        <v>0</v>
      </c>
      <c r="CX91" s="3563" t="s">
        <v>4603</v>
      </c>
      <c r="CY91" s="3547"/>
      <c r="CZ91" s="3609"/>
      <c r="DA91" s="3562"/>
      <c r="DB91" s="3561">
        <f t="shared" si="169"/>
        <v>0</v>
      </c>
      <c r="DC91" s="3559"/>
      <c r="DD91" s="3562"/>
      <c r="DE91" s="3561">
        <f t="shared" si="170"/>
        <v>0</v>
      </c>
      <c r="DF91" s="3563" t="s">
        <v>4603</v>
      </c>
      <c r="DG91" s="3547"/>
      <c r="DH91" s="3609"/>
      <c r="DI91" s="3562"/>
      <c r="DJ91" s="3561">
        <f t="shared" si="171"/>
        <v>0</v>
      </c>
      <c r="DK91" s="3559"/>
      <c r="DL91" s="3562"/>
      <c r="DM91" s="3561">
        <f t="shared" si="172"/>
        <v>0</v>
      </c>
      <c r="DN91" s="3563"/>
      <c r="DO91" s="3547"/>
      <c r="DP91" s="3609"/>
      <c r="DQ91" s="3562"/>
      <c r="DR91" s="3561">
        <f t="shared" si="173"/>
        <v>0</v>
      </c>
      <c r="DS91" s="3559"/>
      <c r="DT91" s="3562"/>
      <c r="DU91" s="3561">
        <f t="shared" si="174"/>
        <v>0</v>
      </c>
      <c r="DV91" s="3563"/>
      <c r="DW91" s="3547"/>
      <c r="DX91" s="3609"/>
      <c r="DY91" s="3562"/>
      <c r="DZ91" s="3561">
        <f t="shared" si="175"/>
        <v>0</v>
      </c>
      <c r="EA91" s="3559"/>
      <c r="EB91" s="3562"/>
      <c r="EC91" s="3561">
        <f t="shared" si="176"/>
        <v>0</v>
      </c>
      <c r="ED91" s="3563"/>
      <c r="EE91" s="3564"/>
      <c r="EF91" s="3565">
        <f t="shared" si="153"/>
        <v>577927.01388888934</v>
      </c>
      <c r="EG91" s="3565">
        <f t="shared" si="143"/>
        <v>433280.13841269875</v>
      </c>
      <c r="EH91" s="3565">
        <f t="shared" si="143"/>
        <v>0</v>
      </c>
      <c r="EI91" s="3565">
        <f t="shared" si="143"/>
        <v>0</v>
      </c>
      <c r="EJ91" s="3565">
        <f t="shared" si="154"/>
        <v>-433280.13841269875</v>
      </c>
      <c r="EK91" s="3566">
        <f t="shared" si="155"/>
        <v>0</v>
      </c>
      <c r="EL91" s="3610"/>
      <c r="EM91" s="3567">
        <f t="shared" si="156"/>
        <v>92011.059433962233</v>
      </c>
      <c r="EN91" s="3557">
        <f t="shared" si="144"/>
        <v>69008.294575471678</v>
      </c>
      <c r="EO91" s="3557">
        <f t="shared" si="144"/>
        <v>0</v>
      </c>
      <c r="EP91" s="3557">
        <f t="shared" si="144"/>
        <v>0</v>
      </c>
      <c r="EQ91" s="3557">
        <f t="shared" si="157"/>
        <v>-69008.294575471678</v>
      </c>
      <c r="ER91" s="3557">
        <f t="shared" si="158"/>
        <v>0</v>
      </c>
      <c r="ES91" s="3557"/>
      <c r="ET91" s="3568">
        <v>48215.625158730203</v>
      </c>
      <c r="EU91" s="3569"/>
      <c r="EV91" s="3562"/>
      <c r="EW91" s="3547">
        <f t="shared" si="129"/>
        <v>-48215.625158730203</v>
      </c>
      <c r="EX91" s="3568">
        <v>7667.58828616352</v>
      </c>
      <c r="EY91" s="3569"/>
      <c r="EZ91" s="3562"/>
      <c r="FA91" s="3547">
        <f t="shared" si="130"/>
        <v>-7667.58828616352</v>
      </c>
      <c r="FB91" s="3568">
        <v>48215.625158730203</v>
      </c>
      <c r="FC91" s="3569"/>
      <c r="FD91" s="3562"/>
      <c r="FE91" s="3547">
        <f t="shared" si="117"/>
        <v>-48215.625158730203</v>
      </c>
      <c r="FF91" s="3568">
        <v>7667.58828616352</v>
      </c>
      <c r="FG91" s="3569"/>
      <c r="FH91" s="3562"/>
      <c r="FI91" s="3547">
        <f t="shared" si="118"/>
        <v>-7667.58828616352</v>
      </c>
      <c r="FJ91" s="3568">
        <v>48215.625158730203</v>
      </c>
      <c r="FK91" s="3559"/>
      <c r="FL91" s="3562"/>
      <c r="FM91" s="3547">
        <f t="shared" si="119"/>
        <v>-48215.625158730203</v>
      </c>
      <c r="FN91" s="3568">
        <v>7667.58828616352</v>
      </c>
      <c r="FO91" s="3559"/>
      <c r="FP91" s="3562"/>
      <c r="FQ91" s="3547">
        <f t="shared" si="120"/>
        <v>-7667.58828616352</v>
      </c>
      <c r="FR91" s="3568">
        <v>48215.625158730203</v>
      </c>
      <c r="FS91" s="3559"/>
      <c r="FT91" s="3560"/>
      <c r="FU91" s="3547">
        <f t="shared" si="177"/>
        <v>-48215.625158730203</v>
      </c>
      <c r="FV91" s="3568">
        <v>7667.58828616352</v>
      </c>
      <c r="FW91" s="3559"/>
      <c r="FX91" s="3560"/>
      <c r="FY91" s="3547">
        <f t="shared" si="178"/>
        <v>-7667.58828616352</v>
      </c>
      <c r="FZ91" s="3568">
        <v>48215.625158730203</v>
      </c>
      <c r="GA91" s="3569"/>
      <c r="GB91" s="3560"/>
      <c r="GC91" s="3547">
        <f t="shared" si="179"/>
        <v>-48215.625158730203</v>
      </c>
      <c r="GD91" s="3568">
        <v>7667.58828616352</v>
      </c>
      <c r="GE91" s="3569"/>
      <c r="GF91" s="3560"/>
      <c r="GG91" s="3547">
        <f t="shared" si="180"/>
        <v>-7667.58828616352</v>
      </c>
      <c r="GH91" s="3568">
        <v>48215.625158730203</v>
      </c>
      <c r="GI91" s="3569"/>
      <c r="GJ91" s="3560"/>
      <c r="GK91" s="3547">
        <f t="shared" si="181"/>
        <v>-48215.625158730203</v>
      </c>
      <c r="GL91" s="3568">
        <v>7667.58828616352</v>
      </c>
      <c r="GM91" s="3569"/>
      <c r="GN91" s="3560"/>
      <c r="GO91" s="3547">
        <f t="shared" si="182"/>
        <v>-7667.58828616352</v>
      </c>
      <c r="GP91" s="3568">
        <v>48215.625158730203</v>
      </c>
      <c r="GQ91" s="3569"/>
      <c r="GR91" s="3562"/>
      <c r="GS91" s="3547">
        <f t="shared" si="183"/>
        <v>-48215.625158730203</v>
      </c>
      <c r="GT91" s="3568">
        <v>7667.58828616352</v>
      </c>
      <c r="GU91" s="3569"/>
      <c r="GV91" s="3562"/>
      <c r="GW91" s="3547">
        <f t="shared" si="184"/>
        <v>-7667.58828616352</v>
      </c>
      <c r="GX91" s="3568">
        <v>48215.625158730203</v>
      </c>
      <c r="GY91" s="3569"/>
      <c r="GZ91" s="3562"/>
      <c r="HA91" s="3547">
        <f t="shared" si="185"/>
        <v>-48215.625158730203</v>
      </c>
      <c r="HB91" s="3568">
        <v>7667.58828616352</v>
      </c>
      <c r="HC91" s="3569"/>
      <c r="HD91" s="3562"/>
      <c r="HE91" s="3547">
        <f t="shared" si="186"/>
        <v>-7667.58828616352</v>
      </c>
      <c r="HF91" s="3568">
        <v>47555.1371428571</v>
      </c>
      <c r="HG91" s="3569"/>
      <c r="HH91" s="3562"/>
      <c r="HI91" s="3547">
        <f t="shared" si="187"/>
        <v>-47555.1371428571</v>
      </c>
      <c r="HJ91" s="3568">
        <v>7667.58828616352</v>
      </c>
      <c r="HK91" s="3569"/>
      <c r="HL91" s="3562"/>
      <c r="HM91" s="3547">
        <f t="shared" si="188"/>
        <v>-7667.58828616352</v>
      </c>
      <c r="HN91" s="3568">
        <v>48215.625158730203</v>
      </c>
      <c r="HO91" s="3569"/>
      <c r="HP91" s="3562"/>
      <c r="HQ91" s="3547">
        <f t="shared" si="189"/>
        <v>-48215.625158730203</v>
      </c>
      <c r="HR91" s="3568">
        <v>7667.58828616352</v>
      </c>
      <c r="HS91" s="3569"/>
      <c r="HT91" s="3562"/>
      <c r="HU91" s="3547">
        <f t="shared" si="190"/>
        <v>-7667.58828616352</v>
      </c>
      <c r="HV91" s="3568">
        <v>48215.625158730203</v>
      </c>
      <c r="HW91" s="3569"/>
      <c r="HX91" s="3562"/>
      <c r="HY91" s="3547">
        <f t="shared" si="191"/>
        <v>-48215.625158730203</v>
      </c>
      <c r="HZ91" s="3568">
        <v>7667.58828616352</v>
      </c>
      <c r="IA91" s="3569"/>
      <c r="IB91" s="3562"/>
      <c r="IC91" s="3547">
        <f t="shared" si="192"/>
        <v>-7667.58828616352</v>
      </c>
      <c r="ID91" s="3568">
        <v>48215.625158730203</v>
      </c>
      <c r="IE91" s="3569"/>
      <c r="IF91" s="3562"/>
      <c r="IG91" s="3547">
        <f t="shared" si="193"/>
        <v>-48215.625158730203</v>
      </c>
      <c r="IH91" s="3568">
        <v>7667.58828616352</v>
      </c>
      <c r="II91" s="3569"/>
      <c r="IJ91" s="3562"/>
      <c r="IK91" s="3547">
        <f t="shared" si="194"/>
        <v>-7667.58828616352</v>
      </c>
      <c r="IL91" s="3547"/>
      <c r="IM91" s="3569"/>
      <c r="IN91" s="3569"/>
      <c r="IO91" s="3547"/>
      <c r="IP91" s="3560">
        <f t="shared" si="195"/>
        <v>0</v>
      </c>
      <c r="IQ91" s="3568"/>
      <c r="IR91" s="3568"/>
      <c r="IS91" s="3568"/>
      <c r="IT91" s="3568"/>
      <c r="IU91" s="3568"/>
      <c r="IV91" s="3568"/>
      <c r="IW91" s="3568"/>
      <c r="IX91" s="3568"/>
      <c r="IY91" s="3568"/>
      <c r="IZ91" s="3560"/>
      <c r="JA91" s="3560"/>
      <c r="JB91" s="3560"/>
      <c r="JC91" s="3560">
        <f t="shared" si="134"/>
        <v>0</v>
      </c>
      <c r="JD91" s="3547"/>
      <c r="JE91" s="3568"/>
      <c r="JF91" s="3568"/>
      <c r="JG91" s="3568"/>
      <c r="JH91" s="3568"/>
      <c r="JI91" s="3568"/>
      <c r="JJ91" s="3568"/>
      <c r="JK91" s="3568"/>
      <c r="JL91" s="3568"/>
      <c r="JM91" s="3568"/>
      <c r="JN91" s="3560"/>
      <c r="JO91" s="3560"/>
      <c r="JP91" s="3547"/>
      <c r="JQ91" s="3583"/>
      <c r="JR91" s="3583"/>
      <c r="JS91" s="3573">
        <f t="shared" si="145"/>
        <v>0</v>
      </c>
      <c r="JT91" s="3573">
        <f t="shared" si="152"/>
        <v>0</v>
      </c>
      <c r="JU91" s="3574">
        <f t="shared" si="146"/>
        <v>0</v>
      </c>
      <c r="JV91" s="3574">
        <f t="shared" si="147"/>
        <v>0</v>
      </c>
      <c r="JW91" s="3575"/>
      <c r="JX91" s="3576">
        <f t="shared" si="148"/>
        <v>0</v>
      </c>
      <c r="JY91" s="3576">
        <f t="shared" si="149"/>
        <v>0</v>
      </c>
      <c r="JZ91" s="3577"/>
      <c r="KA91" s="3573"/>
      <c r="KB91" s="3573"/>
      <c r="KC91" s="3573"/>
      <c r="KD91" s="3573">
        <f t="shared" si="150"/>
        <v>0</v>
      </c>
      <c r="KE91" s="3578"/>
      <c r="KF91" s="3579"/>
      <c r="KG91" s="3579"/>
      <c r="KH91" s="3579"/>
      <c r="KI91" s="3579"/>
      <c r="KJ91" s="3579"/>
      <c r="KK91" s="3579"/>
      <c r="KL91" s="3579"/>
      <c r="KM91" s="3579"/>
      <c r="KN91" s="3579"/>
      <c r="KO91" s="3579"/>
      <c r="KP91" s="3579"/>
      <c r="KQ91" s="3579">
        <f t="shared" si="151"/>
        <v>0</v>
      </c>
      <c r="KR91" s="3632">
        <f t="shared" si="196"/>
        <v>-50.22884329881704</v>
      </c>
      <c r="KS91" s="3577"/>
      <c r="KT91" s="3577"/>
      <c r="KU91" s="3577"/>
      <c r="KV91" s="3577"/>
      <c r="KW91" s="3577"/>
      <c r="KX91" s="3577"/>
      <c r="KY91" s="3577"/>
      <c r="KZ91" s="3577"/>
      <c r="LA91" s="3577"/>
      <c r="LB91" s="3577"/>
      <c r="LC91" s="3577"/>
      <c r="LD91" s="3577"/>
      <c r="LE91" s="3577"/>
      <c r="LF91" s="3577"/>
      <c r="LG91" s="3577"/>
      <c r="LH91" s="3577"/>
      <c r="LJ91" s="3575"/>
      <c r="LK91" s="3626">
        <v>10</v>
      </c>
      <c r="LL91" s="3627">
        <v>70211.09</v>
      </c>
      <c r="LM91" s="3580" t="s">
        <v>3972</v>
      </c>
    </row>
    <row r="92" spans="1:325" s="3580" customFormat="1" ht="18" customHeight="1">
      <c r="A92" s="3545">
        <v>89</v>
      </c>
      <c r="B92" s="3546" t="s">
        <v>4496</v>
      </c>
      <c r="C92" s="3546" t="s">
        <v>4604</v>
      </c>
      <c r="D92" s="3547">
        <v>345.48</v>
      </c>
      <c r="E92" s="3548" t="s">
        <v>3799</v>
      </c>
      <c r="F92" s="3546" t="s">
        <v>3790</v>
      </c>
      <c r="G92" s="3613" t="s">
        <v>4597</v>
      </c>
      <c r="H92" s="3546" t="s">
        <v>4598</v>
      </c>
      <c r="I92" s="3594" t="s">
        <v>4599</v>
      </c>
      <c r="J92" s="3594" t="s">
        <v>4600</v>
      </c>
      <c r="K92" s="3545" t="s">
        <v>3885</v>
      </c>
      <c r="L92" s="3555"/>
      <c r="M92" s="3551"/>
      <c r="N92" s="3551"/>
      <c r="O92" s="3551">
        <f t="shared" si="135"/>
        <v>0</v>
      </c>
      <c r="P92" s="3547"/>
      <c r="Q92" s="3547"/>
      <c r="R92" s="3547">
        <f t="shared" si="132"/>
        <v>0</v>
      </c>
      <c r="S92" s="3547">
        <f t="shared" si="125"/>
        <v>0</v>
      </c>
      <c r="T92" s="3658"/>
      <c r="U92" s="3553">
        <f t="shared" si="136"/>
        <v>0</v>
      </c>
      <c r="V92" s="3547"/>
      <c r="W92" s="3547">
        <f t="shared" si="126"/>
        <v>0</v>
      </c>
      <c r="X92" s="3658"/>
      <c r="Y92" s="3547">
        <f t="shared" si="137"/>
        <v>0</v>
      </c>
      <c r="Z92" s="3554"/>
      <c r="AA92" s="3555"/>
      <c r="AB92" s="3593"/>
      <c r="AC92" s="3556">
        <f t="shared" si="138"/>
        <v>0</v>
      </c>
      <c r="AD92" s="3556">
        <f t="shared" si="139"/>
        <v>0</v>
      </c>
      <c r="AE92" s="3556">
        <f t="shared" si="139"/>
        <v>0</v>
      </c>
      <c r="AF92" s="3556">
        <f t="shared" si="140"/>
        <v>0</v>
      </c>
      <c r="AG92" s="3556"/>
      <c r="AH92" s="3557">
        <f t="shared" si="141"/>
        <v>0</v>
      </c>
      <c r="AI92" s="3558">
        <f t="shared" si="142"/>
        <v>0</v>
      </c>
      <c r="AJ92" s="3558">
        <f t="shared" si="142"/>
        <v>0</v>
      </c>
      <c r="AK92" s="3557">
        <f t="shared" si="159"/>
        <v>0</v>
      </c>
      <c r="AL92" s="3557"/>
      <c r="AM92" s="3547"/>
      <c r="AN92" s="3609"/>
      <c r="AO92" s="3562"/>
      <c r="AP92" s="3561">
        <f t="shared" si="113"/>
        <v>0</v>
      </c>
      <c r="AQ92" s="3559"/>
      <c r="AR92" s="3562"/>
      <c r="AS92" s="3561">
        <f t="shared" si="127"/>
        <v>0</v>
      </c>
      <c r="AT92" s="3563" t="s">
        <v>4603</v>
      </c>
      <c r="AU92" s="3547"/>
      <c r="AV92" s="3609"/>
      <c r="AW92" s="3562"/>
      <c r="AX92" s="3561">
        <f t="shared" si="114"/>
        <v>0</v>
      </c>
      <c r="AY92" s="3559"/>
      <c r="AZ92" s="3562"/>
      <c r="BA92" s="3561">
        <f t="shared" si="128"/>
        <v>0</v>
      </c>
      <c r="BB92" s="3563" t="s">
        <v>4603</v>
      </c>
      <c r="BC92" s="3547"/>
      <c r="BD92" s="3609"/>
      <c r="BE92" s="3562"/>
      <c r="BF92" s="3561">
        <f t="shared" si="115"/>
        <v>0</v>
      </c>
      <c r="BG92" s="3559"/>
      <c r="BH92" s="3562"/>
      <c r="BI92" s="3561">
        <f t="shared" si="116"/>
        <v>0</v>
      </c>
      <c r="BJ92" s="3563" t="s">
        <v>4603</v>
      </c>
      <c r="BK92" s="3547"/>
      <c r="BL92" s="3609"/>
      <c r="BM92" s="3562"/>
      <c r="BN92" s="3561">
        <f t="shared" si="160"/>
        <v>0</v>
      </c>
      <c r="BO92" s="3559"/>
      <c r="BP92" s="3562"/>
      <c r="BQ92" s="3561">
        <f t="shared" si="161"/>
        <v>0</v>
      </c>
      <c r="BR92" s="3563" t="s">
        <v>4603</v>
      </c>
      <c r="BS92" s="3547"/>
      <c r="BT92" s="3559"/>
      <c r="BU92" s="3562"/>
      <c r="BV92" s="3561">
        <f t="shared" si="162"/>
        <v>0</v>
      </c>
      <c r="BW92" s="3559"/>
      <c r="BX92" s="3562"/>
      <c r="BY92" s="3561">
        <f t="shared" si="163"/>
        <v>0</v>
      </c>
      <c r="BZ92" s="3563" t="s">
        <v>4603</v>
      </c>
      <c r="CA92" s="3547"/>
      <c r="CB92" s="3609"/>
      <c r="CC92" s="3562"/>
      <c r="CD92" s="3561">
        <f t="shared" si="164"/>
        <v>0</v>
      </c>
      <c r="CE92" s="3559"/>
      <c r="CF92" s="3562"/>
      <c r="CG92" s="3561">
        <f t="shared" si="165"/>
        <v>0</v>
      </c>
      <c r="CH92" s="3563" t="s">
        <v>4603</v>
      </c>
      <c r="CI92" s="3547"/>
      <c r="CJ92" s="3609"/>
      <c r="CK92" s="3562"/>
      <c r="CL92" s="3561">
        <f t="shared" si="133"/>
        <v>0</v>
      </c>
      <c r="CM92" s="3559"/>
      <c r="CN92" s="3562"/>
      <c r="CO92" s="3561">
        <f t="shared" si="166"/>
        <v>0</v>
      </c>
      <c r="CP92" s="3563" t="s">
        <v>4603</v>
      </c>
      <c r="CQ92" s="3547"/>
      <c r="CR92" s="3621"/>
      <c r="CS92" s="3603"/>
      <c r="CT92" s="3602">
        <f t="shared" si="167"/>
        <v>0</v>
      </c>
      <c r="CU92" s="3604"/>
      <c r="CV92" s="3603"/>
      <c r="CW92" s="3561">
        <f t="shared" si="168"/>
        <v>0</v>
      </c>
      <c r="CX92" s="3563" t="s">
        <v>4603</v>
      </c>
      <c r="CY92" s="3547"/>
      <c r="CZ92" s="3609"/>
      <c r="DA92" s="3562"/>
      <c r="DB92" s="3561">
        <f t="shared" si="169"/>
        <v>0</v>
      </c>
      <c r="DC92" s="3559"/>
      <c r="DD92" s="3562"/>
      <c r="DE92" s="3561">
        <f t="shared" si="170"/>
        <v>0</v>
      </c>
      <c r="DF92" s="3563" t="s">
        <v>4603</v>
      </c>
      <c r="DG92" s="3547"/>
      <c r="DH92" s="3609"/>
      <c r="DI92" s="3562"/>
      <c r="DJ92" s="3561">
        <f t="shared" si="171"/>
        <v>0</v>
      </c>
      <c r="DK92" s="3559"/>
      <c r="DL92" s="3562"/>
      <c r="DM92" s="3561">
        <f t="shared" si="172"/>
        <v>0</v>
      </c>
      <c r="DN92" s="3563"/>
      <c r="DO92" s="3547"/>
      <c r="DP92" s="3609"/>
      <c r="DQ92" s="3562"/>
      <c r="DR92" s="3561">
        <f t="shared" si="173"/>
        <v>0</v>
      </c>
      <c r="DS92" s="3559"/>
      <c r="DT92" s="3562"/>
      <c r="DU92" s="3561">
        <f t="shared" si="174"/>
        <v>0</v>
      </c>
      <c r="DV92" s="3563"/>
      <c r="DW92" s="3547"/>
      <c r="DX92" s="3609"/>
      <c r="DY92" s="3562"/>
      <c r="DZ92" s="3561">
        <f t="shared" si="175"/>
        <v>0</v>
      </c>
      <c r="EA92" s="3559"/>
      <c r="EB92" s="3562"/>
      <c r="EC92" s="3561">
        <f t="shared" si="176"/>
        <v>0</v>
      </c>
      <c r="ED92" s="3563"/>
      <c r="EE92" s="3564"/>
      <c r="EF92" s="3565">
        <f t="shared" si="153"/>
        <v>620184.58333333326</v>
      </c>
      <c r="EG92" s="3565">
        <f t="shared" si="143"/>
        <v>464961.24190476188</v>
      </c>
      <c r="EH92" s="3565">
        <f t="shared" si="143"/>
        <v>0</v>
      </c>
      <c r="EI92" s="3565">
        <f t="shared" si="143"/>
        <v>0</v>
      </c>
      <c r="EJ92" s="3565">
        <f t="shared" si="154"/>
        <v>-464961.24190476188</v>
      </c>
      <c r="EK92" s="3566">
        <f t="shared" si="155"/>
        <v>0</v>
      </c>
      <c r="EL92" s="3610"/>
      <c r="EM92" s="3567">
        <f t="shared" si="156"/>
        <v>98738.835849056617</v>
      </c>
      <c r="EN92" s="3557">
        <f t="shared" si="144"/>
        <v>74054.126886792466</v>
      </c>
      <c r="EO92" s="3557">
        <f t="shared" si="144"/>
        <v>0</v>
      </c>
      <c r="EP92" s="3557">
        <f t="shared" si="144"/>
        <v>0</v>
      </c>
      <c r="EQ92" s="3557">
        <f t="shared" si="157"/>
        <v>-74054.126886792466</v>
      </c>
      <c r="ER92" s="3557">
        <f t="shared" si="158"/>
        <v>0</v>
      </c>
      <c r="ES92" s="3557"/>
      <c r="ET92" s="3568">
        <v>51741.113809523798</v>
      </c>
      <c r="EU92" s="3569"/>
      <c r="EV92" s="3562"/>
      <c r="EW92" s="3547">
        <f t="shared" si="129"/>
        <v>-51741.113809523798</v>
      </c>
      <c r="EX92" s="3568">
        <v>8228.2363207547205</v>
      </c>
      <c r="EY92" s="3569"/>
      <c r="EZ92" s="3562"/>
      <c r="FA92" s="3547">
        <f t="shared" si="130"/>
        <v>-8228.2363207547205</v>
      </c>
      <c r="FB92" s="3568">
        <v>51741.113809523798</v>
      </c>
      <c r="FC92" s="3569"/>
      <c r="FD92" s="3562"/>
      <c r="FE92" s="3547">
        <f t="shared" si="117"/>
        <v>-51741.113809523798</v>
      </c>
      <c r="FF92" s="3568">
        <v>8228.2363207547205</v>
      </c>
      <c r="FG92" s="3569"/>
      <c r="FH92" s="3562"/>
      <c r="FI92" s="3547">
        <f t="shared" si="118"/>
        <v>-8228.2363207547205</v>
      </c>
      <c r="FJ92" s="3568">
        <v>51741.113809523798</v>
      </c>
      <c r="FK92" s="3559"/>
      <c r="FL92" s="3562"/>
      <c r="FM92" s="3547">
        <f t="shared" si="119"/>
        <v>-51741.113809523798</v>
      </c>
      <c r="FN92" s="3568">
        <v>8228.2363207547205</v>
      </c>
      <c r="FO92" s="3559"/>
      <c r="FP92" s="3562"/>
      <c r="FQ92" s="3547">
        <f t="shared" si="120"/>
        <v>-8228.2363207547205</v>
      </c>
      <c r="FR92" s="3568">
        <v>51741.113809523798</v>
      </c>
      <c r="FS92" s="3559"/>
      <c r="FT92" s="3560"/>
      <c r="FU92" s="3547">
        <f t="shared" si="177"/>
        <v>-51741.113809523798</v>
      </c>
      <c r="FV92" s="3568">
        <v>8228.2363207547205</v>
      </c>
      <c r="FW92" s="3559"/>
      <c r="FX92" s="3560"/>
      <c r="FY92" s="3547">
        <f t="shared" si="178"/>
        <v>-8228.2363207547205</v>
      </c>
      <c r="FZ92" s="3568">
        <v>51741.113809523798</v>
      </c>
      <c r="GA92" s="3569"/>
      <c r="GB92" s="3560"/>
      <c r="GC92" s="3547">
        <f t="shared" si="179"/>
        <v>-51741.113809523798</v>
      </c>
      <c r="GD92" s="3568">
        <v>8228.2363207547205</v>
      </c>
      <c r="GE92" s="3569"/>
      <c r="GF92" s="3560"/>
      <c r="GG92" s="3547">
        <f t="shared" si="180"/>
        <v>-8228.2363207547205</v>
      </c>
      <c r="GH92" s="3568">
        <v>51741.113809523798</v>
      </c>
      <c r="GI92" s="3569"/>
      <c r="GJ92" s="3560"/>
      <c r="GK92" s="3547">
        <f t="shared" si="181"/>
        <v>-51741.113809523798</v>
      </c>
      <c r="GL92" s="3568">
        <v>8228.2363207547205</v>
      </c>
      <c r="GM92" s="3569"/>
      <c r="GN92" s="3560"/>
      <c r="GO92" s="3547">
        <f t="shared" si="182"/>
        <v>-8228.2363207547205</v>
      </c>
      <c r="GP92" s="3568">
        <v>51741.113809523798</v>
      </c>
      <c r="GQ92" s="3569"/>
      <c r="GR92" s="3562"/>
      <c r="GS92" s="3547">
        <f t="shared" si="183"/>
        <v>-51741.113809523798</v>
      </c>
      <c r="GT92" s="3568">
        <v>8228.2363207547205</v>
      </c>
      <c r="GU92" s="3569"/>
      <c r="GV92" s="3562"/>
      <c r="GW92" s="3547">
        <f t="shared" si="184"/>
        <v>-8228.2363207547205</v>
      </c>
      <c r="GX92" s="3568">
        <v>51741.113809523798</v>
      </c>
      <c r="GY92" s="3569"/>
      <c r="GZ92" s="3562"/>
      <c r="HA92" s="3547">
        <f t="shared" si="185"/>
        <v>-51741.113809523798</v>
      </c>
      <c r="HB92" s="3568">
        <v>8228.2363207547205</v>
      </c>
      <c r="HC92" s="3569"/>
      <c r="HD92" s="3562"/>
      <c r="HE92" s="3547">
        <f t="shared" si="186"/>
        <v>-8228.2363207547205</v>
      </c>
      <c r="HF92" s="3568">
        <v>51032.3314285714</v>
      </c>
      <c r="HG92" s="3569"/>
      <c r="HH92" s="3562"/>
      <c r="HI92" s="3547">
        <f t="shared" si="187"/>
        <v>-51032.3314285714</v>
      </c>
      <c r="HJ92" s="3568">
        <v>8228.2363207547205</v>
      </c>
      <c r="HK92" s="3569"/>
      <c r="HL92" s="3562"/>
      <c r="HM92" s="3547">
        <f t="shared" si="188"/>
        <v>-8228.2363207547205</v>
      </c>
      <c r="HN92" s="3568">
        <v>51741.113809523798</v>
      </c>
      <c r="HO92" s="3569"/>
      <c r="HP92" s="3562"/>
      <c r="HQ92" s="3547">
        <f t="shared" si="189"/>
        <v>-51741.113809523798</v>
      </c>
      <c r="HR92" s="3568">
        <v>8228.2363207547205</v>
      </c>
      <c r="HS92" s="3569"/>
      <c r="HT92" s="3562"/>
      <c r="HU92" s="3547">
        <f t="shared" si="190"/>
        <v>-8228.2363207547205</v>
      </c>
      <c r="HV92" s="3568">
        <v>51741.113809523798</v>
      </c>
      <c r="HW92" s="3569"/>
      <c r="HX92" s="3562"/>
      <c r="HY92" s="3547">
        <f t="shared" si="191"/>
        <v>-51741.113809523798</v>
      </c>
      <c r="HZ92" s="3568">
        <v>8228.2363207547205</v>
      </c>
      <c r="IA92" s="3569"/>
      <c r="IB92" s="3562"/>
      <c r="IC92" s="3547">
        <f t="shared" si="192"/>
        <v>-8228.2363207547205</v>
      </c>
      <c r="ID92" s="3568">
        <v>51741.113809523798</v>
      </c>
      <c r="IE92" s="3569"/>
      <c r="IF92" s="3562"/>
      <c r="IG92" s="3547">
        <f t="shared" si="193"/>
        <v>-51741.113809523798</v>
      </c>
      <c r="IH92" s="3568">
        <v>8228.2363207547205</v>
      </c>
      <c r="II92" s="3569"/>
      <c r="IJ92" s="3562"/>
      <c r="IK92" s="3547">
        <f t="shared" si="194"/>
        <v>-8228.2363207547205</v>
      </c>
      <c r="IL92" s="3547"/>
      <c r="IM92" s="3569"/>
      <c r="IN92" s="3569"/>
      <c r="IO92" s="3547"/>
      <c r="IP92" s="3560">
        <f t="shared" si="195"/>
        <v>0</v>
      </c>
      <c r="IQ92" s="3568"/>
      <c r="IR92" s="3568"/>
      <c r="IS92" s="3568"/>
      <c r="IT92" s="3568"/>
      <c r="IU92" s="3568"/>
      <c r="IV92" s="3568"/>
      <c r="IW92" s="3568"/>
      <c r="IX92" s="3568"/>
      <c r="IY92" s="3568"/>
      <c r="IZ92" s="3560"/>
      <c r="JA92" s="3560"/>
      <c r="JB92" s="3560"/>
      <c r="JC92" s="3560">
        <f t="shared" si="134"/>
        <v>0</v>
      </c>
      <c r="JD92" s="3547"/>
      <c r="JE92" s="3568"/>
      <c r="JF92" s="3568"/>
      <c r="JG92" s="3568"/>
      <c r="JH92" s="3568"/>
      <c r="JI92" s="3568"/>
      <c r="JJ92" s="3568"/>
      <c r="JK92" s="3568"/>
      <c r="JL92" s="3568"/>
      <c r="JM92" s="3568"/>
      <c r="JN92" s="3560"/>
      <c r="JO92" s="3560"/>
      <c r="JP92" s="3547"/>
      <c r="JQ92" s="3583"/>
      <c r="JR92" s="3583"/>
      <c r="JS92" s="3573">
        <f t="shared" si="145"/>
        <v>0</v>
      </c>
      <c r="JT92" s="3573">
        <f t="shared" si="152"/>
        <v>0</v>
      </c>
      <c r="JU92" s="3574">
        <f t="shared" si="146"/>
        <v>0</v>
      </c>
      <c r="JV92" s="3574">
        <f t="shared" si="147"/>
        <v>0</v>
      </c>
      <c r="JW92" s="3575"/>
      <c r="JX92" s="3576">
        <f t="shared" si="148"/>
        <v>0</v>
      </c>
      <c r="JY92" s="3576">
        <f t="shared" si="149"/>
        <v>0</v>
      </c>
      <c r="JZ92" s="3577"/>
      <c r="KA92" s="3573"/>
      <c r="KB92" s="3573"/>
      <c r="KC92" s="3573"/>
      <c r="KD92" s="3573">
        <f t="shared" si="150"/>
        <v>0</v>
      </c>
      <c r="KE92" s="3578"/>
      <c r="KF92" s="3579"/>
      <c r="KG92" s="3579"/>
      <c r="KH92" s="3579"/>
      <c r="KI92" s="3579"/>
      <c r="KJ92" s="3579"/>
      <c r="KK92" s="3579"/>
      <c r="KL92" s="3579"/>
      <c r="KM92" s="3579"/>
      <c r="KN92" s="3579"/>
      <c r="KO92" s="3579"/>
      <c r="KP92" s="3579"/>
      <c r="KQ92" s="3579">
        <f t="shared" si="151"/>
        <v>0</v>
      </c>
      <c r="KR92" s="3632">
        <f t="shared" si="196"/>
        <v>-53.901536879155437</v>
      </c>
      <c r="KS92" s="3577"/>
      <c r="KT92" s="3577"/>
      <c r="KU92" s="3577"/>
      <c r="KV92" s="3577"/>
      <c r="KW92" s="3577"/>
      <c r="KX92" s="3577"/>
      <c r="KY92" s="3577"/>
      <c r="KZ92" s="3577"/>
      <c r="LA92" s="3577"/>
      <c r="LB92" s="3577"/>
      <c r="LC92" s="3577"/>
      <c r="LD92" s="3577"/>
      <c r="LE92" s="3577"/>
      <c r="LF92" s="3577"/>
      <c r="LG92" s="3577"/>
      <c r="LH92" s="3577"/>
      <c r="LJ92" s="3575"/>
      <c r="LK92" s="3626">
        <v>10</v>
      </c>
      <c r="LL92" s="3627">
        <v>75344.87</v>
      </c>
      <c r="LM92" s="3580" t="s">
        <v>3972</v>
      </c>
    </row>
    <row r="93" spans="1:325" s="3580" customFormat="1" ht="18" customHeight="1">
      <c r="A93" s="3545">
        <v>90</v>
      </c>
      <c r="B93" s="3546" t="s">
        <v>4496</v>
      </c>
      <c r="C93" s="3617" t="s">
        <v>4605</v>
      </c>
      <c r="D93" s="3618">
        <v>406.98</v>
      </c>
      <c r="E93" s="3548" t="s">
        <v>3799</v>
      </c>
      <c r="F93" s="3546" t="s">
        <v>3790</v>
      </c>
      <c r="G93" s="3546" t="s">
        <v>4606</v>
      </c>
      <c r="H93" s="3546" t="s">
        <v>4607</v>
      </c>
      <c r="I93" s="3594" t="s">
        <v>4608</v>
      </c>
      <c r="J93" s="3653" t="s">
        <v>4609</v>
      </c>
      <c r="K93" s="3545"/>
      <c r="L93" s="3555"/>
      <c r="M93" s="3551">
        <v>154860.99</v>
      </c>
      <c r="N93" s="3551">
        <v>154860.99</v>
      </c>
      <c r="O93" s="3551">
        <f t="shared" si="135"/>
        <v>0</v>
      </c>
      <c r="P93" s="3547">
        <v>30823.65</v>
      </c>
      <c r="Q93" s="3547">
        <v>30823.65</v>
      </c>
      <c r="R93" s="3547">
        <f t="shared" si="132"/>
        <v>0</v>
      </c>
      <c r="S93" s="3547">
        <f t="shared" si="125"/>
        <v>4.1700003433240633</v>
      </c>
      <c r="T93" s="3658">
        <v>51620.33</v>
      </c>
      <c r="U93" s="3553">
        <f t="shared" si="136"/>
        <v>619443.96</v>
      </c>
      <c r="V93" s="3547">
        <f>T93*11*2</f>
        <v>1135647.26</v>
      </c>
      <c r="W93" s="3547">
        <f t="shared" si="126"/>
        <v>0.83000006058659936</v>
      </c>
      <c r="X93" s="3663">
        <v>10274.549999999999</v>
      </c>
      <c r="Y93" s="3547">
        <f t="shared" si="137"/>
        <v>123294.59999999999</v>
      </c>
      <c r="Z93" s="3554"/>
      <c r="AA93" s="3555"/>
      <c r="AB93" s="3665" t="s">
        <v>3804</v>
      </c>
      <c r="AC93" s="3556">
        <f t="shared" si="138"/>
        <v>567823.63</v>
      </c>
      <c r="AD93" s="3556">
        <f t="shared" si="139"/>
        <v>412962.64</v>
      </c>
      <c r="AE93" s="3556">
        <f t="shared" si="139"/>
        <v>412962.64</v>
      </c>
      <c r="AF93" s="3556">
        <f t="shared" si="140"/>
        <v>0</v>
      </c>
      <c r="AG93" s="3556"/>
      <c r="AH93" s="3557">
        <f t="shared" si="141"/>
        <v>123294.59999999999</v>
      </c>
      <c r="AI93" s="3558">
        <f t="shared" si="142"/>
        <v>92470.95</v>
      </c>
      <c r="AJ93" s="3558">
        <f t="shared" si="142"/>
        <v>92470.950000000012</v>
      </c>
      <c r="AK93" s="3557">
        <f t="shared" si="159"/>
        <v>0</v>
      </c>
      <c r="AL93" s="3557"/>
      <c r="AM93" s="3547"/>
      <c r="AN93" s="3609"/>
      <c r="AO93" s="3562"/>
      <c r="AP93" s="3561">
        <f t="shared" si="113"/>
        <v>0</v>
      </c>
      <c r="AQ93" s="3559"/>
      <c r="AR93" s="3562"/>
      <c r="AS93" s="3561">
        <f t="shared" si="127"/>
        <v>0</v>
      </c>
      <c r="AT93" s="3563" t="s">
        <v>4610</v>
      </c>
      <c r="AU93" s="3547"/>
      <c r="AV93" s="3609"/>
      <c r="AW93" s="3562"/>
      <c r="AX93" s="3561">
        <f t="shared" si="114"/>
        <v>0</v>
      </c>
      <c r="AY93" s="3559"/>
      <c r="AZ93" s="3562"/>
      <c r="BA93" s="3561">
        <f t="shared" si="128"/>
        <v>0</v>
      </c>
      <c r="BB93" s="3563" t="s">
        <v>4610</v>
      </c>
      <c r="BC93" s="3547" t="s">
        <v>4611</v>
      </c>
      <c r="BD93" s="3601">
        <v>103240.66</v>
      </c>
      <c r="BE93" s="3562">
        <f>13240.66+90000</f>
        <v>103240.66</v>
      </c>
      <c r="BF93" s="3561">
        <f t="shared" si="115"/>
        <v>0</v>
      </c>
      <c r="BG93" s="3559">
        <v>30823.65</v>
      </c>
      <c r="BH93" s="3562">
        <v>30823.65</v>
      </c>
      <c r="BI93" s="3561">
        <f t="shared" si="116"/>
        <v>0</v>
      </c>
      <c r="BJ93" s="3563" t="s">
        <v>4612</v>
      </c>
      <c r="BK93" s="3547"/>
      <c r="BL93" s="3609"/>
      <c r="BM93" s="3562"/>
      <c r="BN93" s="3561">
        <f t="shared" si="160"/>
        <v>0</v>
      </c>
      <c r="BO93" s="3559"/>
      <c r="BP93" s="3562"/>
      <c r="BQ93" s="3561">
        <f t="shared" si="161"/>
        <v>0</v>
      </c>
      <c r="BR93" s="3563" t="s">
        <v>4612</v>
      </c>
      <c r="BS93" s="3547" t="s">
        <v>4613</v>
      </c>
      <c r="BT93" s="3559">
        <f>51620.33*3</f>
        <v>154860.99</v>
      </c>
      <c r="BU93" s="3603">
        <v>154860.99</v>
      </c>
      <c r="BV93" s="3602">
        <f t="shared" si="162"/>
        <v>0</v>
      </c>
      <c r="BW93" s="3604">
        <f>10274.55*3</f>
        <v>30823.649999999998</v>
      </c>
      <c r="BX93" s="3603">
        <v>30823.65</v>
      </c>
      <c r="BY93" s="3561">
        <f t="shared" si="163"/>
        <v>0</v>
      </c>
      <c r="BZ93" s="3563" t="s">
        <v>4614</v>
      </c>
      <c r="CA93" s="3547"/>
      <c r="CB93" s="3609"/>
      <c r="CC93" s="3562"/>
      <c r="CD93" s="3561">
        <f t="shared" si="164"/>
        <v>0</v>
      </c>
      <c r="CE93" s="3559"/>
      <c r="CF93" s="3562"/>
      <c r="CG93" s="3561">
        <f t="shared" si="165"/>
        <v>0</v>
      </c>
      <c r="CH93" s="3563" t="s">
        <v>4614</v>
      </c>
      <c r="CI93" s="3547"/>
      <c r="CJ93" s="3609"/>
      <c r="CK93" s="3562"/>
      <c r="CL93" s="3561">
        <f t="shared" si="133"/>
        <v>0</v>
      </c>
      <c r="CM93" s="3559"/>
      <c r="CN93" s="3562"/>
      <c r="CO93" s="3561">
        <f t="shared" si="166"/>
        <v>0</v>
      </c>
      <c r="CP93" s="3563" t="s">
        <v>4614</v>
      </c>
      <c r="CQ93" s="3597" t="s">
        <v>4615</v>
      </c>
      <c r="CR93" s="3621">
        <f>51620.33*3</f>
        <v>154860.99</v>
      </c>
      <c r="CS93" s="3603">
        <v>154860.99</v>
      </c>
      <c r="CT93" s="3602">
        <f t="shared" si="167"/>
        <v>0</v>
      </c>
      <c r="CU93" s="3604">
        <f>10274.55*3</f>
        <v>30823.649999999998</v>
      </c>
      <c r="CV93" s="3603">
        <v>30823.65</v>
      </c>
      <c r="CW93" s="3561">
        <f t="shared" si="168"/>
        <v>0</v>
      </c>
      <c r="CX93" s="3563" t="s">
        <v>4616</v>
      </c>
      <c r="CY93" s="3547"/>
      <c r="CZ93" s="3609"/>
      <c r="DA93" s="3562"/>
      <c r="DB93" s="3561">
        <f t="shared" si="169"/>
        <v>0</v>
      </c>
      <c r="DC93" s="3559"/>
      <c r="DD93" s="3562"/>
      <c r="DE93" s="3561">
        <f t="shared" si="170"/>
        <v>0</v>
      </c>
      <c r="DF93" s="3563" t="s">
        <v>4616</v>
      </c>
      <c r="DG93" s="3547"/>
      <c r="DH93" s="3609"/>
      <c r="DI93" s="3562"/>
      <c r="DJ93" s="3561">
        <f t="shared" si="171"/>
        <v>0</v>
      </c>
      <c r="DK93" s="3559"/>
      <c r="DL93" s="3562"/>
      <c r="DM93" s="3561">
        <f t="shared" si="172"/>
        <v>0</v>
      </c>
      <c r="DN93" s="3563"/>
      <c r="DO93" s="3547" t="s">
        <v>4617</v>
      </c>
      <c r="DP93" s="3609">
        <f>51620.33*3</f>
        <v>154860.99</v>
      </c>
      <c r="DQ93" s="3562"/>
      <c r="DR93" s="3561">
        <f t="shared" si="173"/>
        <v>-154860.99</v>
      </c>
      <c r="DS93" s="3559">
        <f>10274.55*3</f>
        <v>30823.649999999998</v>
      </c>
      <c r="DT93" s="3562"/>
      <c r="DU93" s="3561">
        <f t="shared" si="174"/>
        <v>-30823.649999999998</v>
      </c>
      <c r="DV93" s="3563"/>
      <c r="DW93" s="3547"/>
      <c r="DX93" s="3609"/>
      <c r="DY93" s="3562"/>
      <c r="DZ93" s="3561">
        <f t="shared" si="175"/>
        <v>0</v>
      </c>
      <c r="EA93" s="3559"/>
      <c r="EB93" s="3562"/>
      <c r="EC93" s="3561">
        <f t="shared" si="176"/>
        <v>0</v>
      </c>
      <c r="ED93" s="3563"/>
      <c r="EF93" s="3565">
        <f t="shared" si="153"/>
        <v>253389.49129320931</v>
      </c>
      <c r="EG93" s="3565">
        <f t="shared" si="143"/>
        <v>126694.74564660467</v>
      </c>
      <c r="EH93" s="3565">
        <f t="shared" si="143"/>
        <v>278810.39295499015</v>
      </c>
      <c r="EI93" s="3565">
        <f t="shared" si="143"/>
        <v>278810.39295499015</v>
      </c>
      <c r="EJ93" s="3565">
        <f t="shared" si="154"/>
        <v>152115.64730838547</v>
      </c>
      <c r="EK93" s="3566">
        <f t="shared" si="155"/>
        <v>0</v>
      </c>
      <c r="EL93" s="3610"/>
      <c r="EM93" s="3567">
        <f t="shared" si="156"/>
        <v>66612.051238113214</v>
      </c>
      <c r="EN93" s="3557">
        <f t="shared" si="144"/>
        <v>41632.532023820757</v>
      </c>
      <c r="EO93" s="3557">
        <f t="shared" si="144"/>
        <v>64664.071465494955</v>
      </c>
      <c r="EP93" s="3557">
        <f t="shared" si="144"/>
        <v>64664.071465494962</v>
      </c>
      <c r="EQ93" s="3557">
        <f t="shared" si="157"/>
        <v>23031.539441674206</v>
      </c>
      <c r="ER93" s="3557">
        <f t="shared" si="158"/>
        <v>0</v>
      </c>
      <c r="ES93" s="3557"/>
      <c r="ET93" s="3568"/>
      <c r="EU93" s="3569"/>
      <c r="EV93" s="3562"/>
      <c r="EW93" s="3547">
        <f t="shared" si="129"/>
        <v>0</v>
      </c>
      <c r="EX93" s="3568"/>
      <c r="EY93" s="3569"/>
      <c r="EZ93" s="3562"/>
      <c r="FA93" s="3547">
        <f t="shared" si="130"/>
        <v>0</v>
      </c>
      <c r="FB93" s="3568"/>
      <c r="FC93" s="3569"/>
      <c r="FD93" s="3562"/>
      <c r="FE93" s="3547">
        <f t="shared" si="117"/>
        <v>0</v>
      </c>
      <c r="FF93" s="3568"/>
      <c r="FG93" s="3569"/>
      <c r="FH93" s="3562"/>
      <c r="FI93" s="3547">
        <f t="shared" si="118"/>
        <v>0</v>
      </c>
      <c r="FJ93" s="3568"/>
      <c r="FK93" s="3569">
        <f>51620.33/1.05-51620.33/1.05*12/365*10</f>
        <v>32999.297716894973</v>
      </c>
      <c r="FL93" s="3562">
        <f>103240.66/2/1.05-103240.66/2/1.05*12/365*10</f>
        <v>32999.297716894973</v>
      </c>
      <c r="FM93" s="3547">
        <f t="shared" si="119"/>
        <v>32999.297716894973</v>
      </c>
      <c r="FN93" s="3568"/>
      <c r="FO93" s="3569">
        <f>10274.55/1.06-10274.55/1.06*12/365*10</f>
        <v>6506.2412768157137</v>
      </c>
      <c r="FP93" s="3562">
        <f>30823.65/1.06/3-30823.65/3/1.06*12/365*10</f>
        <v>6506.2412768157146</v>
      </c>
      <c r="FQ93" s="3547">
        <f t="shared" si="120"/>
        <v>6506.2412768157146</v>
      </c>
      <c r="FR93" s="3568"/>
      <c r="FS93" s="3592">
        <f>51620.33/1.05*12/365*10</f>
        <v>16162.921330724072</v>
      </c>
      <c r="FT93" s="3672">
        <f>103240.66/2/1.05*12/365*10</f>
        <v>16162.921330724072</v>
      </c>
      <c r="FU93" s="3547">
        <f t="shared" si="177"/>
        <v>16162.921330724072</v>
      </c>
      <c r="FV93" s="3568"/>
      <c r="FW93" s="3569">
        <f>10274.55/1.06</f>
        <v>9692.971698113206</v>
      </c>
      <c r="FX93" s="3560">
        <f>30823.65/1.06/3</f>
        <v>9692.9716981132078</v>
      </c>
      <c r="FY93" s="3547">
        <f t="shared" si="178"/>
        <v>9692.9716981132078</v>
      </c>
      <c r="FZ93" s="3568"/>
      <c r="GA93" s="3592">
        <f>51620.33/1.05-51620.33/1.05*12/365*10</f>
        <v>32999.297716894973</v>
      </c>
      <c r="GB93" s="3560">
        <f>103240.66/2/1.05-103240.66/2/1.05*12/365*10</f>
        <v>32999.297716894973</v>
      </c>
      <c r="GC93" s="3547">
        <f t="shared" si="179"/>
        <v>32999.297716894973</v>
      </c>
      <c r="GD93" s="3568">
        <f>21769.0533805031/1064.02*406.98</f>
        <v>8326.5064047641517</v>
      </c>
      <c r="GE93" s="3569">
        <f>10274.55/1.06</f>
        <v>9692.971698113206</v>
      </c>
      <c r="GF93" s="3560">
        <f>30823.65/1.06/3</f>
        <v>9692.9716981132078</v>
      </c>
      <c r="GG93" s="3547">
        <f t="shared" si="180"/>
        <v>1366.4652933490561</v>
      </c>
      <c r="GH93" s="3568"/>
      <c r="GI93" s="3569">
        <f>51620.33/1.05</f>
        <v>49162.219047619044</v>
      </c>
      <c r="GJ93" s="3560">
        <f>103240.66/2/1.05*12/365*10+154860.99/3/1.05-154860.99/3/1.05*12/365*10</f>
        <v>49162.219047619044</v>
      </c>
      <c r="GK93" s="3547">
        <f t="shared" si="181"/>
        <v>49162.219047619044</v>
      </c>
      <c r="GL93" s="3568">
        <f>21769.0533805031/1064.02*406.98</f>
        <v>8326.5064047641517</v>
      </c>
      <c r="GM93" s="3569">
        <f>10274.55/1.06</f>
        <v>9692.971698113206</v>
      </c>
      <c r="GN93" s="3560">
        <f>30823.65/3/1.06*12/365*10+30823.65/3/1.06-30823.65/3/1.06*12/365*10</f>
        <v>9692.9716981132078</v>
      </c>
      <c r="GO93" s="3547">
        <f t="shared" si="182"/>
        <v>1366.4652933490561</v>
      </c>
      <c r="GP93" s="3568">
        <f>110411.439761905/1064.02*406.98</f>
        <v>42231.581882201557</v>
      </c>
      <c r="GQ93" s="3569">
        <f>51620.33/1.05</f>
        <v>49162.219047619044</v>
      </c>
      <c r="GR93" s="3562">
        <f>154860.99/3/1.05</f>
        <v>49162.219047619037</v>
      </c>
      <c r="GS93" s="3547">
        <f t="shared" si="183"/>
        <v>6930.63716541748</v>
      </c>
      <c r="GT93" s="3568">
        <f>21769.0533805031/1064.02*406.98</f>
        <v>8326.5064047641517</v>
      </c>
      <c r="GU93" s="3569">
        <f>10274.55/1.06</f>
        <v>9692.971698113206</v>
      </c>
      <c r="GV93" s="3562">
        <f>30823.65/3/1.06</f>
        <v>9692.9716981132078</v>
      </c>
      <c r="GW93" s="3547">
        <f t="shared" si="184"/>
        <v>1366.4652933490561</v>
      </c>
      <c r="GX93" s="3568">
        <f>110411.439761905/1064.02*406.98</f>
        <v>42231.581882201557</v>
      </c>
      <c r="GY93" s="3569">
        <f>51620.33/1.05</f>
        <v>49162.219047619044</v>
      </c>
      <c r="GZ93" s="3562">
        <f>154860.99/3/1.05</f>
        <v>49162.219047619037</v>
      </c>
      <c r="HA93" s="3547">
        <f t="shared" si="185"/>
        <v>6930.63716541748</v>
      </c>
      <c r="HB93" s="3568">
        <f>21769.0533805031/1064.02*406.98</f>
        <v>8326.5064047641517</v>
      </c>
      <c r="HC93" s="3569">
        <f>10274.55/1.06</f>
        <v>9692.971698113206</v>
      </c>
      <c r="HD93" s="3562">
        <f>30823.65/3/1.06</f>
        <v>9692.9716981132078</v>
      </c>
      <c r="HE93" s="3547">
        <f t="shared" si="186"/>
        <v>1366.4652933490561</v>
      </c>
      <c r="HF93" s="3568">
        <f>110411.439761905/1064.02*406.98</f>
        <v>42231.581882201557</v>
      </c>
      <c r="HG93" s="3569">
        <f>51620.33/1.05</f>
        <v>49162.219047619044</v>
      </c>
      <c r="HH93" s="3562">
        <f>154860.99/3/1.05*12/365*10+154860.99/3/1.05-154860.99/3/1.05*12/365*10</f>
        <v>49162.21904761903</v>
      </c>
      <c r="HI93" s="3547">
        <f t="shared" si="187"/>
        <v>6930.6371654174727</v>
      </c>
      <c r="HJ93" s="3568">
        <f>21769.0533805031/1064.02*406.98</f>
        <v>8326.5064047641517</v>
      </c>
      <c r="HK93" s="3569">
        <f>10274.55/1.06</f>
        <v>9692.971698113206</v>
      </c>
      <c r="HL93" s="3562">
        <f>30823.65/3/1.06*12/365*10+30823.65/3/1.06-30823.65/3/1.06*12/365*10</f>
        <v>9692.9716981132078</v>
      </c>
      <c r="HM93" s="3547">
        <f t="shared" si="188"/>
        <v>1366.4652933490561</v>
      </c>
      <c r="HN93" s="3568">
        <f>110411.439761905/1064.02*406.98</f>
        <v>42231.581882201557</v>
      </c>
      <c r="HO93" s="3569">
        <f>51620.33/1.05</f>
        <v>49162.219047619044</v>
      </c>
      <c r="HP93" s="3562">
        <f>154860.99/3/1.05</f>
        <v>49162.219047619037</v>
      </c>
      <c r="HQ93" s="3547">
        <f t="shared" si="189"/>
        <v>6930.63716541748</v>
      </c>
      <c r="HR93" s="3568">
        <f>21769.0533805031/1064.02*406.98</f>
        <v>8326.5064047641517</v>
      </c>
      <c r="HS93" s="3569">
        <f>10274.55/1.06</f>
        <v>9692.971698113206</v>
      </c>
      <c r="HT93" s="3562">
        <f>30823.65/3/1.06</f>
        <v>9692.9716981132078</v>
      </c>
      <c r="HU93" s="3547">
        <f t="shared" si="190"/>
        <v>1366.4652933490561</v>
      </c>
      <c r="HV93" s="3568">
        <f>110411.439761905/1064.02*406.98</f>
        <v>42231.581882201557</v>
      </c>
      <c r="HW93" s="3569">
        <f>51620.33/1.05</f>
        <v>49162.219047619044</v>
      </c>
      <c r="HX93" s="3562">
        <f>154860.99/3/1.05</f>
        <v>49162.219047619037</v>
      </c>
      <c r="HY93" s="3547">
        <f t="shared" si="191"/>
        <v>6930.63716541748</v>
      </c>
      <c r="HZ93" s="3568">
        <f>21769.0533805031/1064.02*406.98</f>
        <v>8326.5064047641517</v>
      </c>
      <c r="IA93" s="3569">
        <f>10274.55/1.06</f>
        <v>9692.971698113206</v>
      </c>
      <c r="IB93" s="3562">
        <f>30823.65/3/1.06</f>
        <v>9692.9716981132078</v>
      </c>
      <c r="IC93" s="3547">
        <f t="shared" si="192"/>
        <v>1366.4652933490561</v>
      </c>
      <c r="ID93" s="3568">
        <f>110411.439761905/1064.02*406.98</f>
        <v>42231.581882201557</v>
      </c>
      <c r="IE93" s="3569">
        <f>51620.33/1.05</f>
        <v>49162.219047619044</v>
      </c>
      <c r="IF93" s="3562">
        <f>154860.99/3/1.05*12/365*10</f>
        <v>16162.921330724068</v>
      </c>
      <c r="IG93" s="3547">
        <f t="shared" si="193"/>
        <v>-26068.660551477489</v>
      </c>
      <c r="IH93" s="3568">
        <f>21769.0533805031/1064.02*406.98</f>
        <v>8326.5064047641517</v>
      </c>
      <c r="II93" s="3569">
        <f>10274.55/1.06</f>
        <v>9692.971698113206</v>
      </c>
      <c r="IJ93" s="3562">
        <f>30823.65/3/1.06*12/365*10</f>
        <v>3186.7304212974932</v>
      </c>
      <c r="IK93" s="3547">
        <f t="shared" si="194"/>
        <v>-5139.7759834666585</v>
      </c>
      <c r="IL93" s="3547" t="s">
        <v>4618</v>
      </c>
      <c r="IM93" s="3569">
        <f>51620.33/1.05+51620.33/1.05+51620.33/1.05*12/365*10</f>
        <v>114487.35942596216</v>
      </c>
      <c r="IN93" s="3569">
        <f>10274.55/1.06+10274.55/1.06+10274.55/1.06*12/365*10</f>
        <v>22572.673817523904</v>
      </c>
      <c r="IO93" s="3547"/>
      <c r="IP93" s="3560">
        <f t="shared" si="195"/>
        <v>0</v>
      </c>
      <c r="IQ93" s="3568"/>
      <c r="IR93" s="3568"/>
      <c r="IS93" s="3568"/>
      <c r="IT93" s="3568"/>
      <c r="IU93" s="3568"/>
      <c r="IV93" s="3568"/>
      <c r="IW93" s="3568"/>
      <c r="IX93" s="3568"/>
      <c r="IY93" s="3568"/>
      <c r="IZ93" s="3560"/>
      <c r="JA93" s="3560"/>
      <c r="JB93" s="3560"/>
      <c r="JC93" s="3560">
        <f t="shared" si="134"/>
        <v>0</v>
      </c>
      <c r="JD93" s="3547"/>
      <c r="JE93" s="3568"/>
      <c r="JF93" s="3568"/>
      <c r="JG93" s="3568"/>
      <c r="JH93" s="3568"/>
      <c r="JI93" s="3568"/>
      <c r="JJ93" s="3568"/>
      <c r="JK93" s="3568"/>
      <c r="JL93" s="3568"/>
      <c r="JM93" s="3568"/>
      <c r="JN93" s="3560"/>
      <c r="JO93" s="3560"/>
      <c r="JP93" s="3570"/>
      <c r="JQ93" s="3583"/>
      <c r="JR93" s="3583"/>
      <c r="JS93" s="3573">
        <f t="shared" si="145"/>
        <v>1.6007106751203537E-10</v>
      </c>
      <c r="JT93" s="3573">
        <f t="shared" si="152"/>
        <v>0</v>
      </c>
      <c r="JU93" s="3574">
        <f t="shared" si="146"/>
        <v>0</v>
      </c>
      <c r="JV93" s="3574">
        <f t="shared" si="147"/>
        <v>0</v>
      </c>
      <c r="JW93" s="3575"/>
      <c r="JX93" s="3576">
        <f t="shared" si="148"/>
        <v>114487.35942596215</v>
      </c>
      <c r="JY93" s="3576">
        <f t="shared" si="149"/>
        <v>22572.673817523908</v>
      </c>
      <c r="JZ93" s="3577"/>
      <c r="KA93" s="3573">
        <f>HI93</f>
        <v>6930.6371654174727</v>
      </c>
      <c r="KB93" s="3573">
        <f>HM93</f>
        <v>1366.4652933490561</v>
      </c>
      <c r="KC93" s="3573"/>
      <c r="KD93" s="3573">
        <f t="shared" si="150"/>
        <v>8297.1024587665288</v>
      </c>
      <c r="KE93" s="3578" t="s">
        <v>4619</v>
      </c>
      <c r="KF93" s="3579">
        <f>39505.54/10000+25855.89/10000+34365.76/10000+50528.68/10000</f>
        <v>15.025587</v>
      </c>
      <c r="KG93" s="3579"/>
      <c r="KH93" s="3579"/>
      <c r="KI93" s="3579">
        <f>6930.64/10000*3</f>
        <v>2.0791919999999999</v>
      </c>
      <c r="KJ93" s="3579"/>
      <c r="KK93" s="3579"/>
      <c r="KL93" s="3579"/>
      <c r="KM93" s="3579"/>
      <c r="KN93" s="3579"/>
      <c r="KO93" s="3579"/>
      <c r="KP93" s="3579">
        <f>1366.47/10000*3</f>
        <v>0.409941</v>
      </c>
      <c r="KQ93" s="3579">
        <f t="shared" si="151"/>
        <v>17.514720000000001</v>
      </c>
      <c r="KR93" s="3579">
        <f t="shared" si="196"/>
        <v>-1.3249940344906008E-6</v>
      </c>
      <c r="KS93" s="3577"/>
      <c r="KT93" s="3577"/>
      <c r="KU93" s="3577"/>
      <c r="KV93" s="3577"/>
      <c r="KW93" s="3577"/>
      <c r="KX93" s="3577"/>
      <c r="KY93" s="3577"/>
      <c r="KZ93" s="3577"/>
      <c r="LA93" s="3577"/>
      <c r="LB93" s="3577"/>
      <c r="LC93" s="3577"/>
      <c r="LD93" s="3577"/>
      <c r="LE93" s="3577"/>
      <c r="LF93" s="3577"/>
      <c r="LG93" s="3577"/>
      <c r="LH93" s="3577"/>
      <c r="LJ93" s="3575"/>
      <c r="LK93" s="3571"/>
      <c r="LL93" s="3576"/>
    </row>
    <row r="94" spans="1:325" s="3580" customFormat="1" ht="18" customHeight="1">
      <c r="A94" s="3545">
        <v>91</v>
      </c>
      <c r="B94" s="3546"/>
      <c r="C94" s="3617">
        <v>1422</v>
      </c>
      <c r="D94" s="3618">
        <f>118.87</f>
        <v>118.87</v>
      </c>
      <c r="E94" s="3548" t="s">
        <v>3799</v>
      </c>
      <c r="F94" s="3546"/>
      <c r="G94" s="3549" t="s">
        <v>4620</v>
      </c>
      <c r="H94" s="3546" t="s">
        <v>4621</v>
      </c>
      <c r="I94" s="3594" t="s">
        <v>4622</v>
      </c>
      <c r="J94" s="3629" t="s">
        <v>4414</v>
      </c>
      <c r="K94" s="3545"/>
      <c r="L94" s="3555"/>
      <c r="M94" s="3551">
        <v>34384.620000000003</v>
      </c>
      <c r="N94" s="3551">
        <v>34384.620000000003</v>
      </c>
      <c r="O94" s="3551">
        <f t="shared" si="135"/>
        <v>0</v>
      </c>
      <c r="P94" s="3547">
        <v>9002.91</v>
      </c>
      <c r="Q94" s="3547">
        <v>9002.91</v>
      </c>
      <c r="R94" s="3547">
        <f t="shared" si="132"/>
        <v>0</v>
      </c>
      <c r="S94" s="3547">
        <f t="shared" si="125"/>
        <v>3.169998766927379</v>
      </c>
      <c r="T94" s="3658">
        <v>11461.54</v>
      </c>
      <c r="U94" s="3553">
        <f t="shared" si="136"/>
        <v>137538.48000000001</v>
      </c>
      <c r="V94" s="3547">
        <f>11461.54*14</f>
        <v>160461.56</v>
      </c>
      <c r="W94" s="3547">
        <f t="shared" si="126"/>
        <v>0.82999938922571104</v>
      </c>
      <c r="X94" s="3663">
        <v>3000.97</v>
      </c>
      <c r="Y94" s="3547">
        <f t="shared" si="137"/>
        <v>36011.64</v>
      </c>
      <c r="Z94" s="3554"/>
      <c r="AA94" s="3555"/>
      <c r="AB94" s="3593" t="s">
        <v>3886</v>
      </c>
      <c r="AC94" s="3556">
        <f t="shared" si="138"/>
        <v>80230.78</v>
      </c>
      <c r="AD94" s="3556">
        <f t="shared" si="139"/>
        <v>34384.620000000003</v>
      </c>
      <c r="AE94" s="3556">
        <f t="shared" si="139"/>
        <v>57307.700000000004</v>
      </c>
      <c r="AF94" s="3556">
        <f t="shared" si="140"/>
        <v>22923.08</v>
      </c>
      <c r="AG94" s="3556"/>
      <c r="AH94" s="3557">
        <f t="shared" si="141"/>
        <v>24007.759999999998</v>
      </c>
      <c r="AI94" s="3558">
        <f t="shared" si="142"/>
        <v>12003.88</v>
      </c>
      <c r="AJ94" s="3558">
        <f t="shared" si="142"/>
        <v>18005.82</v>
      </c>
      <c r="AK94" s="3557">
        <f t="shared" si="159"/>
        <v>6001.9400000000005</v>
      </c>
      <c r="AL94" s="3557"/>
      <c r="AM94" s="3547"/>
      <c r="AN94" s="3609"/>
      <c r="AO94" s="3562"/>
      <c r="AP94" s="3561"/>
      <c r="AQ94" s="3559"/>
      <c r="AR94" s="3562"/>
      <c r="AS94" s="3561"/>
      <c r="AT94" s="3563"/>
      <c r="AU94" s="3547"/>
      <c r="AV94" s="3609"/>
      <c r="AW94" s="3562"/>
      <c r="AX94" s="3561"/>
      <c r="AY94" s="3559"/>
      <c r="AZ94" s="3562"/>
      <c r="BA94" s="3561"/>
      <c r="BB94" s="3563"/>
      <c r="BC94" s="3547"/>
      <c r="BD94" s="3609"/>
      <c r="BE94" s="3562"/>
      <c r="BF94" s="3561">
        <f t="shared" si="115"/>
        <v>0</v>
      </c>
      <c r="BG94" s="3559"/>
      <c r="BH94" s="3562"/>
      <c r="BI94" s="3561">
        <f t="shared" si="116"/>
        <v>0</v>
      </c>
      <c r="BJ94" s="3563"/>
      <c r="BK94" s="3547"/>
      <c r="BL94" s="3609"/>
      <c r="BM94" s="3562"/>
      <c r="BN94" s="3561">
        <f t="shared" si="160"/>
        <v>0</v>
      </c>
      <c r="BO94" s="3559"/>
      <c r="BP94" s="3562"/>
      <c r="BQ94" s="3561">
        <f t="shared" si="161"/>
        <v>0</v>
      </c>
      <c r="BR94" s="3563"/>
      <c r="BS94" s="3547"/>
      <c r="BT94" s="3559"/>
      <c r="BU94" s="3562"/>
      <c r="BV94" s="3561">
        <f t="shared" si="162"/>
        <v>0</v>
      </c>
      <c r="BW94" s="3559"/>
      <c r="BX94" s="3562"/>
      <c r="BY94" s="3561">
        <f t="shared" si="163"/>
        <v>0</v>
      </c>
      <c r="BZ94" s="3563"/>
      <c r="CA94" s="3547"/>
      <c r="CB94" s="3609"/>
      <c r="CC94" s="3562"/>
      <c r="CD94" s="3561">
        <f t="shared" si="164"/>
        <v>0</v>
      </c>
      <c r="CE94" s="3559"/>
      <c r="CF94" s="3562"/>
      <c r="CG94" s="3561">
        <f t="shared" si="165"/>
        <v>0</v>
      </c>
      <c r="CH94" s="3563"/>
      <c r="CI94" s="3547" t="s">
        <v>4623</v>
      </c>
      <c r="CJ94" s="3601">
        <v>11461.54</v>
      </c>
      <c r="CK94" s="3603">
        <f>11461.54+22923.08</f>
        <v>34384.620000000003</v>
      </c>
      <c r="CL94" s="3561">
        <f t="shared" si="133"/>
        <v>22923.08</v>
      </c>
      <c r="CM94" s="3559">
        <f>3000.97*2</f>
        <v>6001.94</v>
      </c>
      <c r="CN94" s="3562">
        <f>6001.94+6001.94</f>
        <v>12003.88</v>
      </c>
      <c r="CO94" s="3561">
        <f t="shared" si="166"/>
        <v>6001.94</v>
      </c>
      <c r="CP94" s="3589" t="s">
        <v>4624</v>
      </c>
      <c r="CQ94" s="3597" t="s">
        <v>4625</v>
      </c>
      <c r="CR94" s="3621">
        <f>11461.54*2</f>
        <v>22923.08</v>
      </c>
      <c r="CS94" s="3603"/>
      <c r="CT94" s="3602">
        <f t="shared" si="167"/>
        <v>-22923.08</v>
      </c>
      <c r="CU94" s="3604">
        <f>3000.97*2</f>
        <v>6001.94</v>
      </c>
      <c r="CV94" s="3603"/>
      <c r="CW94" s="3561">
        <f t="shared" si="168"/>
        <v>-6001.94</v>
      </c>
      <c r="CX94" s="3589" t="s">
        <v>4624</v>
      </c>
      <c r="CY94" s="3547"/>
      <c r="CZ94" s="3609"/>
      <c r="DA94" s="3562">
        <v>22923.08</v>
      </c>
      <c r="DB94" s="3561">
        <f t="shared" si="169"/>
        <v>22923.08</v>
      </c>
      <c r="DC94" s="3559"/>
      <c r="DD94" s="3562">
        <v>6001.94</v>
      </c>
      <c r="DE94" s="3561">
        <f t="shared" si="170"/>
        <v>6001.94</v>
      </c>
      <c r="DF94" s="3589" t="s">
        <v>4626</v>
      </c>
      <c r="DG94" s="3547" t="s">
        <v>4627</v>
      </c>
      <c r="DH94" s="3609">
        <f>11461.54*2</f>
        <v>22923.08</v>
      </c>
      <c r="DI94" s="3562"/>
      <c r="DJ94" s="3561">
        <f t="shared" si="171"/>
        <v>-22923.08</v>
      </c>
      <c r="DK94" s="3559">
        <f>3000.97*2</f>
        <v>6001.94</v>
      </c>
      <c r="DL94" s="3562"/>
      <c r="DM94" s="3561">
        <f t="shared" si="172"/>
        <v>-6001.94</v>
      </c>
      <c r="DN94" s="3563"/>
      <c r="DO94" s="3547"/>
      <c r="DP94" s="3609"/>
      <c r="DQ94" s="3562"/>
      <c r="DR94" s="3561">
        <f t="shared" si="173"/>
        <v>0</v>
      </c>
      <c r="DS94" s="3559"/>
      <c r="DT94" s="3562"/>
      <c r="DU94" s="3561">
        <f t="shared" si="174"/>
        <v>0</v>
      </c>
      <c r="DV94" s="3563"/>
      <c r="DW94" s="3547" t="s">
        <v>4628</v>
      </c>
      <c r="DX94" s="3609">
        <f>11461.54*2</f>
        <v>22923.08</v>
      </c>
      <c r="DY94" s="3562"/>
      <c r="DZ94" s="3561">
        <f t="shared" si="175"/>
        <v>-22923.08</v>
      </c>
      <c r="EA94" s="3559">
        <f>3000.97*2</f>
        <v>6001.94</v>
      </c>
      <c r="EB94" s="3562"/>
      <c r="EC94" s="3561">
        <f t="shared" si="176"/>
        <v>-6001.94</v>
      </c>
      <c r="ED94" s="3563"/>
      <c r="EF94" s="3565">
        <f t="shared" si="153"/>
        <v>74009.555334472927</v>
      </c>
      <c r="EG94" s="3565">
        <f t="shared" si="143"/>
        <v>37004.777667236463</v>
      </c>
      <c r="EH94" s="3565">
        <f t="shared" si="143"/>
        <v>23057.657769080237</v>
      </c>
      <c r="EI94" s="3565">
        <f t="shared" si="143"/>
        <v>23057.657769080237</v>
      </c>
      <c r="EJ94" s="3565">
        <f t="shared" si="154"/>
        <v>-13947.119898156227</v>
      </c>
      <c r="EK94" s="3565">
        <f t="shared" si="155"/>
        <v>0</v>
      </c>
      <c r="EL94" s="3610"/>
      <c r="EM94" s="3557">
        <f t="shared" si="156"/>
        <v>30466.486025176768</v>
      </c>
      <c r="EN94" s="3557">
        <f t="shared" si="144"/>
        <v>23170.512146846275</v>
      </c>
      <c r="EO94" s="3557">
        <f t="shared" si="144"/>
        <v>8811.325717239597</v>
      </c>
      <c r="EP94" s="3557">
        <f t="shared" si="144"/>
        <v>8811.325717239597</v>
      </c>
      <c r="EQ94" s="3557">
        <f t="shared" si="157"/>
        <v>-14359.186429606678</v>
      </c>
      <c r="ER94" s="3557">
        <f t="shared" si="158"/>
        <v>0</v>
      </c>
      <c r="ES94" s="3557"/>
      <c r="ET94" s="3568"/>
      <c r="EU94" s="3569"/>
      <c r="EV94" s="3562"/>
      <c r="EW94" s="3547"/>
      <c r="EX94" s="3568"/>
      <c r="EY94" s="3569"/>
      <c r="EZ94" s="3562"/>
      <c r="FA94" s="3547"/>
      <c r="FB94" s="3568"/>
      <c r="FC94" s="3569"/>
      <c r="FD94" s="3562"/>
      <c r="FE94" s="3547"/>
      <c r="FF94" s="3568"/>
      <c r="FG94" s="3569"/>
      <c r="FH94" s="3562"/>
      <c r="FI94" s="3547"/>
      <c r="FJ94" s="3568"/>
      <c r="FK94" s="3559"/>
      <c r="FL94" s="3562"/>
      <c r="FM94" s="3547">
        <f t="shared" si="119"/>
        <v>0</v>
      </c>
      <c r="FN94" s="3568"/>
      <c r="FO94" s="3559"/>
      <c r="FP94" s="3562"/>
      <c r="FQ94" s="3547">
        <f t="shared" si="120"/>
        <v>0</v>
      </c>
      <c r="FR94" s="3568"/>
      <c r="FS94" s="3559"/>
      <c r="FT94" s="3560"/>
      <c r="FU94" s="3547">
        <f t="shared" si="177"/>
        <v>0</v>
      </c>
      <c r="FV94" s="3568"/>
      <c r="FW94" s="3559"/>
      <c r="FX94" s="3560"/>
      <c r="FY94" s="3547">
        <f t="shared" si="178"/>
        <v>0</v>
      </c>
      <c r="FZ94" s="3568"/>
      <c r="GA94" s="3569"/>
      <c r="GB94" s="3560"/>
      <c r="GC94" s="3547">
        <f t="shared" si="179"/>
        <v>0</v>
      </c>
      <c r="GD94" s="3568">
        <f>21769.0533805031/1064.02*657.04</f>
        <v>13442.546975738951</v>
      </c>
      <c r="GE94" s="3559"/>
      <c r="GF94" s="3560"/>
      <c r="GG94" s="3547">
        <f t="shared" si="180"/>
        <v>-13442.546975738951</v>
      </c>
      <c r="GH94" s="3568"/>
      <c r="GI94" s="3560"/>
      <c r="GJ94" s="3560"/>
      <c r="GK94" s="3547">
        <f t="shared" si="181"/>
        <v>0</v>
      </c>
      <c r="GL94" s="3568">
        <f>21769.0533805031/1064.02*657.04/657.04*394.87/394.87*118.87</f>
        <v>2431.9912927768314</v>
      </c>
      <c r="GM94" s="3562"/>
      <c r="GN94" s="3562"/>
      <c r="GO94" s="3547">
        <f t="shared" si="182"/>
        <v>-2431.9912927768314</v>
      </c>
      <c r="GP94" s="3568">
        <f>110411.439761905/1064.02*657.04/657.04*394.87/394.87*118.87</f>
        <v>12334.925889078821</v>
      </c>
      <c r="GQ94" s="3601">
        <f>11461.54/1.05-11461.54/1.05*12/365*27+11461.54/1.05*12/365*27</f>
        <v>10915.752380952381</v>
      </c>
      <c r="GR94" s="3605">
        <f>11461.54/1.05</f>
        <v>10915.752380952381</v>
      </c>
      <c r="GS94" s="3547">
        <f t="shared" si="183"/>
        <v>-1419.1735081264396</v>
      </c>
      <c r="GT94" s="3568">
        <f>21769.0533805031/1064.02*657.04/657.04*394.87/394.87*118.87</f>
        <v>2431.9912927768314</v>
      </c>
      <c r="GU94" s="3559">
        <f>3000.97/1.06-3000.97/1.06*12/365*27+3000.97/1.06</f>
        <v>3149.1181700697853</v>
      </c>
      <c r="GV94" s="3562">
        <f>6001.94/2/1.06+6001.94/2/1.06-6001.94/2/1.06*12/365*27</f>
        <v>3149.1181700697853</v>
      </c>
      <c r="GW94" s="3547">
        <f t="shared" si="184"/>
        <v>717.12687729295385</v>
      </c>
      <c r="GX94" s="3568">
        <f>110411.439761905/1064.02*657.04/657.04*394.87/394.87*118.87</f>
        <v>12334.925889078821</v>
      </c>
      <c r="GY94" s="3601">
        <f>11461.54/1.05-11461.54/1.05*12/365*27</f>
        <v>1226.1530071754732</v>
      </c>
      <c r="GZ94" s="3605">
        <f>22923.08/2/1.05-22923.08/2/1.05*12/365*27</f>
        <v>1226.1530071754732</v>
      </c>
      <c r="HA94" s="3547">
        <f t="shared" si="185"/>
        <v>-11108.772881903347</v>
      </c>
      <c r="HB94" s="3568">
        <f>21769.0533805031/1064.02*657.04/657.04*394.87/394.87*118.87</f>
        <v>2431.9912927768314</v>
      </c>
      <c r="HC94" s="3559">
        <f>3000.97/1.06</f>
        <v>2831.1037735849054</v>
      </c>
      <c r="HD94" s="3562">
        <f>6001.94/2/1.06</f>
        <v>2831.1037735849054</v>
      </c>
      <c r="HE94" s="3547">
        <f t="shared" si="186"/>
        <v>399.112480808074</v>
      </c>
      <c r="HF94" s="3568">
        <f>110411.439761905/1064.02*657.04/657.04*394.87/394.87*118.87</f>
        <v>12334.925889078821</v>
      </c>
      <c r="HG94" s="3569">
        <f>11461.54/1.05</f>
        <v>10915.752380952381</v>
      </c>
      <c r="HH94" s="3562">
        <f>22923.08/2/1.05</f>
        <v>10915.752380952381</v>
      </c>
      <c r="HI94" s="3547">
        <f t="shared" si="187"/>
        <v>-1419.1735081264396</v>
      </c>
      <c r="HJ94" s="3568">
        <f>21769.0533805031/1064.02*657.04/657.04*394.87/394.87*118.87</f>
        <v>2431.9912927768314</v>
      </c>
      <c r="HK94" s="3559">
        <f>3000.97/1.06</f>
        <v>2831.1037735849054</v>
      </c>
      <c r="HL94" s="3562">
        <f>6001.94/2/1.06</f>
        <v>2831.1037735849054</v>
      </c>
      <c r="HM94" s="3547">
        <f t="shared" si="188"/>
        <v>399.112480808074</v>
      </c>
      <c r="HN94" s="3568">
        <f>110411.439761905/1064.02*657.04/657.04*394.87/394.87*118.87</f>
        <v>12334.925889078821</v>
      </c>
      <c r="HO94" s="3569">
        <f>11461.54/1.05</f>
        <v>10915.752380952381</v>
      </c>
      <c r="HP94" s="3562">
        <f>22923.08/2/1.05*12/365*27+22923.08/2/1.05-22923.08/2/1.05*12/365*27</f>
        <v>10915.752380952379</v>
      </c>
      <c r="HQ94" s="3547">
        <f t="shared" si="189"/>
        <v>-1419.1735081264414</v>
      </c>
      <c r="HR94" s="3568">
        <f>21769.0533805031/1064.02*657.04/657.04*394.87/394.87*118.87</f>
        <v>2431.9912927768314</v>
      </c>
      <c r="HS94" s="3559">
        <f>3000.97/1.06</f>
        <v>2831.1037735849054</v>
      </c>
      <c r="HT94" s="3562">
        <f>6001.94/2/1.06*12/365*27+6001.94/2/1.06-6001.94/2/1.06*12/365*27</f>
        <v>2831.103773584905</v>
      </c>
      <c r="HU94" s="3547">
        <f t="shared" si="190"/>
        <v>399.11248080807354</v>
      </c>
      <c r="HV94" s="3568">
        <f>110411.439761905/1064.02*657.04/657.04*394.87/394.87*118.87</f>
        <v>12334.925889078821</v>
      </c>
      <c r="HW94" s="3569">
        <f>11461.54/1.05</f>
        <v>10915.752380952381</v>
      </c>
      <c r="HX94" s="3603">
        <f>22923.08/2/1.05</f>
        <v>10915.752380952381</v>
      </c>
      <c r="HY94" s="3547">
        <f t="shared" si="191"/>
        <v>-1419.1735081264396</v>
      </c>
      <c r="HZ94" s="3568">
        <f>21769.0533805031/1064.02*657.04/657.04*394.87/394.87*118.87</f>
        <v>2431.9912927768314</v>
      </c>
      <c r="IA94" s="3559">
        <f>3000.97/1.06</f>
        <v>2831.1037735849054</v>
      </c>
      <c r="IB94" s="3562">
        <f>6001.94/2/1.06</f>
        <v>2831.1037735849054</v>
      </c>
      <c r="IC94" s="3547">
        <f t="shared" si="192"/>
        <v>399.112480808074</v>
      </c>
      <c r="ID94" s="3568">
        <f>110411.439761905/1064.02*657.04/657.04*394.87/394.87*118.87</f>
        <v>12334.925889078821</v>
      </c>
      <c r="IE94" s="3569">
        <f>11461.54/1.05</f>
        <v>10915.752380952381</v>
      </c>
      <c r="IF94" s="3603">
        <f>22923.08/2/1.05*12/365*27</f>
        <v>9689.5993737769077</v>
      </c>
      <c r="IG94" s="3547">
        <f t="shared" si="193"/>
        <v>-2645.3265153019129</v>
      </c>
      <c r="IH94" s="3568">
        <f>21769.0533805031/1064.02*657.04/657.04*394.87/394.87*118.87</f>
        <v>2431.9912927768314</v>
      </c>
      <c r="II94" s="3559">
        <f>3000.97/1.06</f>
        <v>2831.1037735849054</v>
      </c>
      <c r="IJ94" s="3562">
        <f>6001.94/2/1.06*12/365*27</f>
        <v>2513.0893771000256</v>
      </c>
      <c r="IK94" s="3547">
        <f t="shared" si="194"/>
        <v>81.098084323194144</v>
      </c>
      <c r="IL94" s="3547" t="s">
        <v>4629</v>
      </c>
      <c r="IM94" s="3569">
        <f>11461.54/1.05+11461.54/1.05*12/365*27</f>
        <v>20605.351754729287</v>
      </c>
      <c r="IN94" s="3569">
        <f>3000.97/1.06+3000.97/1.06*12/365*27</f>
        <v>5344.1931506849305</v>
      </c>
      <c r="IO94" s="3547"/>
      <c r="IP94" s="3560">
        <f t="shared" si="195"/>
        <v>0</v>
      </c>
      <c r="IQ94" s="3568"/>
      <c r="IR94" s="3568"/>
      <c r="IS94" s="3568"/>
      <c r="IT94" s="3568"/>
      <c r="IU94" s="3568"/>
      <c r="IV94" s="3568"/>
      <c r="IW94" s="3568"/>
      <c r="IX94" s="3568"/>
      <c r="IY94" s="3568"/>
      <c r="IZ94" s="3560"/>
      <c r="JA94" s="3560"/>
      <c r="JB94" s="3560"/>
      <c r="JC94" s="3560">
        <f t="shared" si="134"/>
        <v>0</v>
      </c>
      <c r="JD94" s="3547"/>
      <c r="JE94" s="3568"/>
      <c r="JF94" s="3568"/>
      <c r="JG94" s="3568"/>
      <c r="JH94" s="3568"/>
      <c r="JI94" s="3568"/>
      <c r="JJ94" s="3568"/>
      <c r="JK94" s="3568"/>
      <c r="JL94" s="3568"/>
      <c r="JM94" s="3568"/>
      <c r="JN94" s="3560"/>
      <c r="JO94" s="3560"/>
      <c r="JP94" s="3570"/>
      <c r="JQ94" s="3583"/>
      <c r="JR94" s="3583"/>
      <c r="JS94" s="3573">
        <f t="shared" si="145"/>
        <v>0</v>
      </c>
      <c r="JT94" s="3573">
        <f t="shared" si="152"/>
        <v>0</v>
      </c>
      <c r="JU94" s="3574">
        <f t="shared" si="146"/>
        <v>0</v>
      </c>
      <c r="JV94" s="3574">
        <f t="shared" si="147"/>
        <v>0</v>
      </c>
      <c r="JW94" s="3575"/>
      <c r="JX94" s="3576">
        <f t="shared" si="148"/>
        <v>31521.104135681671</v>
      </c>
      <c r="JY94" s="3576">
        <f t="shared" si="149"/>
        <v>8175.2969242698355</v>
      </c>
      <c r="JZ94" s="3577"/>
      <c r="KA94" s="3573">
        <f>HI94</f>
        <v>-1419.1735081264396</v>
      </c>
      <c r="KB94" s="3573">
        <f>HM94</f>
        <v>399.112480808074</v>
      </c>
      <c r="KC94" s="3573"/>
      <c r="KD94" s="3573">
        <f t="shared" si="150"/>
        <v>-1020.0610273183656</v>
      </c>
      <c r="KE94" s="3587" t="s">
        <v>4630</v>
      </c>
      <c r="KF94" s="3579"/>
      <c r="KG94" s="3579"/>
      <c r="KH94" s="3579"/>
      <c r="KI94" s="3579"/>
      <c r="KJ94" s="3579"/>
      <c r="KK94" s="3579"/>
      <c r="KL94" s="3579">
        <f>-13442.55/10000-2431.99/10000</f>
        <v>-1.5874539999999999</v>
      </c>
      <c r="KM94" s="3579">
        <f>-1419.17/10000*3</f>
        <v>-0.42575100000000005</v>
      </c>
      <c r="KN94" s="3579">
        <f>-9689.6/10000</f>
        <v>-0.96896000000000004</v>
      </c>
      <c r="KO94" s="3579"/>
      <c r="KP94" s="3579">
        <f>717.13/10000+399.11/10000*2</f>
        <v>0.151535</v>
      </c>
      <c r="KQ94" s="3579">
        <f t="shared" si="151"/>
        <v>-2.8306300000000002</v>
      </c>
      <c r="KR94" s="3579">
        <f t="shared" si="196"/>
        <v>-6.3277629003266611E-7</v>
      </c>
      <c r="KS94" s="3577"/>
      <c r="KT94" s="3577"/>
      <c r="KU94" s="3577"/>
      <c r="KV94" s="3577"/>
      <c r="KW94" s="3577"/>
      <c r="KX94" s="3577"/>
      <c r="KY94" s="3577"/>
      <c r="KZ94" s="3577"/>
      <c r="LA94" s="3577"/>
      <c r="LB94" s="3577"/>
      <c r="LC94" s="3577"/>
      <c r="LD94" s="3577"/>
      <c r="LE94" s="3577"/>
      <c r="LF94" s="3577"/>
      <c r="LG94" s="3577"/>
      <c r="LH94" s="3577"/>
      <c r="LJ94" s="3575"/>
      <c r="LK94" s="3571"/>
      <c r="LL94" s="3576"/>
    </row>
    <row r="95" spans="1:325" s="3580" customFormat="1" ht="18" customHeight="1">
      <c r="A95" s="3545">
        <v>92</v>
      </c>
      <c r="B95" s="3546" t="s">
        <v>4496</v>
      </c>
      <c r="C95" s="3617">
        <v>1423</v>
      </c>
      <c r="D95" s="3618">
        <v>262.17</v>
      </c>
      <c r="E95" s="3548" t="s">
        <v>3799</v>
      </c>
      <c r="F95" s="3546"/>
      <c r="G95" s="3549" t="s">
        <v>4631</v>
      </c>
      <c r="H95" s="3546" t="s">
        <v>4632</v>
      </c>
      <c r="I95" s="3594" t="s">
        <v>4633</v>
      </c>
      <c r="J95" s="3653" t="s">
        <v>4634</v>
      </c>
      <c r="K95" s="3545"/>
      <c r="L95" s="3555"/>
      <c r="M95" s="3551">
        <v>87797.46</v>
      </c>
      <c r="N95" s="3551">
        <v>87797.46</v>
      </c>
      <c r="O95" s="3551">
        <f t="shared" si="135"/>
        <v>0</v>
      </c>
      <c r="P95" s="3547">
        <v>19856.099999999999</v>
      </c>
      <c r="Q95" s="3547">
        <f>19856.1</f>
        <v>19856.099999999999</v>
      </c>
      <c r="R95" s="3547">
        <f t="shared" si="132"/>
        <v>0</v>
      </c>
      <c r="S95" s="3547">
        <f t="shared" si="125"/>
        <v>3.6700001724281162</v>
      </c>
      <c r="T95" s="3658">
        <v>29265.82</v>
      </c>
      <c r="U95" s="3553">
        <f t="shared" si="136"/>
        <v>351189.83999999997</v>
      </c>
      <c r="V95" s="3547">
        <f>T95*11*2</f>
        <v>643848.04</v>
      </c>
      <c r="W95" s="3547">
        <f t="shared" si="126"/>
        <v>0.82999998432471644</v>
      </c>
      <c r="X95" s="3663">
        <v>6618.7</v>
      </c>
      <c r="Y95" s="3547">
        <f t="shared" si="137"/>
        <v>79424.399999999994</v>
      </c>
      <c r="Z95" s="3554"/>
      <c r="AA95" s="3555"/>
      <c r="AB95" s="3593" t="s">
        <v>3886</v>
      </c>
      <c r="AC95" s="3556">
        <f t="shared" si="138"/>
        <v>204860.74</v>
      </c>
      <c r="AD95" s="3556">
        <f t="shared" si="139"/>
        <v>146329.09999999998</v>
      </c>
      <c r="AE95" s="3556">
        <f t="shared" si="139"/>
        <v>146329.09999999998</v>
      </c>
      <c r="AF95" s="3556">
        <f t="shared" si="140"/>
        <v>0</v>
      </c>
      <c r="AG95" s="3556"/>
      <c r="AH95" s="3557">
        <f t="shared" si="141"/>
        <v>52949.599999999999</v>
      </c>
      <c r="AI95" s="3558">
        <f t="shared" si="142"/>
        <v>39712.199999999997</v>
      </c>
      <c r="AJ95" s="3558">
        <f t="shared" si="142"/>
        <v>39712.199999999997</v>
      </c>
      <c r="AK95" s="3557">
        <f t="shared" si="159"/>
        <v>0</v>
      </c>
      <c r="AL95" s="3557"/>
      <c r="AM95" s="3547"/>
      <c r="AN95" s="3609"/>
      <c r="AO95" s="3562"/>
      <c r="AP95" s="3561"/>
      <c r="AQ95" s="3559"/>
      <c r="AR95" s="3562"/>
      <c r="AS95" s="3561"/>
      <c r="AT95" s="3563"/>
      <c r="AU95" s="3547"/>
      <c r="AV95" s="3609"/>
      <c r="AW95" s="3562"/>
      <c r="AX95" s="3561"/>
      <c r="AY95" s="3559"/>
      <c r="AZ95" s="3562"/>
      <c r="BA95" s="3561"/>
      <c r="BB95" s="3563"/>
      <c r="BC95" s="3547"/>
      <c r="BD95" s="3609"/>
      <c r="BE95" s="3562"/>
      <c r="BF95" s="3561"/>
      <c r="BG95" s="3559"/>
      <c r="BH95" s="3562"/>
      <c r="BI95" s="3561"/>
      <c r="BJ95" s="3563"/>
      <c r="BK95" s="3547"/>
      <c r="BL95" s="3609"/>
      <c r="BM95" s="3562"/>
      <c r="BN95" s="3561"/>
      <c r="BO95" s="3559"/>
      <c r="BP95" s="3562"/>
      <c r="BQ95" s="3561"/>
      <c r="BR95" s="3563"/>
      <c r="BS95" s="3547"/>
      <c r="BT95" s="3559"/>
      <c r="BU95" s="3562"/>
      <c r="BV95" s="3561"/>
      <c r="BW95" s="3559"/>
      <c r="BX95" s="3562"/>
      <c r="BY95" s="3561"/>
      <c r="BZ95" s="3563"/>
      <c r="CA95" s="3547" t="s">
        <v>4635</v>
      </c>
      <c r="CB95" s="3601">
        <v>29265.82</v>
      </c>
      <c r="CC95" s="3562">
        <v>29265.82</v>
      </c>
      <c r="CD95" s="3561">
        <f t="shared" si="164"/>
        <v>0</v>
      </c>
      <c r="CE95" s="3559">
        <f>6618.7*2</f>
        <v>13237.4</v>
      </c>
      <c r="CF95" s="3562">
        <v>13237.4</v>
      </c>
      <c r="CG95" s="3561">
        <f t="shared" si="165"/>
        <v>0</v>
      </c>
      <c r="CH95" s="3563" t="s">
        <v>4636</v>
      </c>
      <c r="CI95" s="3547" t="s">
        <v>4637</v>
      </c>
      <c r="CJ95" s="3609">
        <f>29265.82*2</f>
        <v>58531.64</v>
      </c>
      <c r="CK95" s="3603">
        <v>58531.64</v>
      </c>
      <c r="CL95" s="3561">
        <f t="shared" si="133"/>
        <v>0</v>
      </c>
      <c r="CM95" s="3559">
        <f>6618.7*2</f>
        <v>13237.4</v>
      </c>
      <c r="CN95" s="3583">
        <v>13237.4</v>
      </c>
      <c r="CO95" s="3561">
        <f t="shared" si="166"/>
        <v>0</v>
      </c>
      <c r="CP95" s="3563" t="s">
        <v>4638</v>
      </c>
      <c r="CQ95" s="3547"/>
      <c r="CR95" s="3621"/>
      <c r="CS95" s="3603"/>
      <c r="CT95" s="3602">
        <f t="shared" si="167"/>
        <v>0</v>
      </c>
      <c r="CU95" s="3604"/>
      <c r="CV95" s="3603"/>
      <c r="CW95" s="3561">
        <f t="shared" si="168"/>
        <v>0</v>
      </c>
      <c r="CX95" s="3563" t="s">
        <v>4638</v>
      </c>
      <c r="CY95" s="3597" t="s">
        <v>4639</v>
      </c>
      <c r="CZ95" s="3609">
        <f>29265.82*2</f>
        <v>58531.64</v>
      </c>
      <c r="DA95" s="3562">
        <v>58531.64</v>
      </c>
      <c r="DB95" s="3561">
        <f t="shared" si="169"/>
        <v>0</v>
      </c>
      <c r="DC95" s="3559">
        <f>6618.7*2</f>
        <v>13237.4</v>
      </c>
      <c r="DD95" s="3562">
        <v>13237.4</v>
      </c>
      <c r="DE95" s="3561">
        <f t="shared" si="170"/>
        <v>0</v>
      </c>
      <c r="DF95" s="3563" t="s">
        <v>4640</v>
      </c>
      <c r="DG95" s="3547"/>
      <c r="DH95" s="3609"/>
      <c r="DI95" s="3562"/>
      <c r="DJ95" s="3561">
        <f t="shared" si="171"/>
        <v>0</v>
      </c>
      <c r="DK95" s="3559"/>
      <c r="DL95" s="3562"/>
      <c r="DM95" s="3561">
        <f t="shared" si="172"/>
        <v>0</v>
      </c>
      <c r="DN95" s="3563"/>
      <c r="DO95" s="3547" t="s">
        <v>4641</v>
      </c>
      <c r="DP95" s="3609">
        <f>29265.82*2</f>
        <v>58531.64</v>
      </c>
      <c r="DQ95" s="3562"/>
      <c r="DR95" s="3561">
        <f t="shared" si="173"/>
        <v>-58531.64</v>
      </c>
      <c r="DS95" s="3559">
        <f>6618.7*2</f>
        <v>13237.4</v>
      </c>
      <c r="DT95" s="3562"/>
      <c r="DU95" s="3561"/>
      <c r="DV95" s="3563"/>
      <c r="DW95" s="3547"/>
      <c r="DX95" s="3609"/>
      <c r="DY95" s="3562"/>
      <c r="DZ95" s="3561">
        <f t="shared" si="175"/>
        <v>0</v>
      </c>
      <c r="EA95" s="3559"/>
      <c r="EB95" s="3562"/>
      <c r="EC95" s="3561">
        <f t="shared" si="176"/>
        <v>0</v>
      </c>
      <c r="ED95" s="3563"/>
      <c r="EF95" s="3565">
        <f t="shared" si="153"/>
        <v>163229.45336955303</v>
      </c>
      <c r="EG95" s="3565">
        <f t="shared" si="143"/>
        <v>81614.726684776513</v>
      </c>
      <c r="EH95" s="3565">
        <f t="shared" si="143"/>
        <v>74453.162426614464</v>
      </c>
      <c r="EI95" s="3565">
        <f t="shared" si="143"/>
        <v>74453.162426614464</v>
      </c>
      <c r="EJ95" s="3565">
        <f t="shared" si="154"/>
        <v>-7161.5642581620486</v>
      </c>
      <c r="EK95" s="3565">
        <f t="shared" si="155"/>
        <v>0</v>
      </c>
      <c r="EL95" s="3610"/>
      <c r="EM95" s="3557">
        <f t="shared" si="156"/>
        <v>37546.614794238354</v>
      </c>
      <c r="EN95" s="3557">
        <f t="shared" si="144"/>
        <v>21455.208453850486</v>
      </c>
      <c r="EO95" s="3557">
        <f t="shared" si="144"/>
        <v>22923.385887826309</v>
      </c>
      <c r="EP95" s="3557">
        <f t="shared" si="144"/>
        <v>22923.385887826309</v>
      </c>
      <c r="EQ95" s="3557">
        <f t="shared" si="157"/>
        <v>1468.1774339758231</v>
      </c>
      <c r="ER95" s="3557">
        <f t="shared" si="158"/>
        <v>0</v>
      </c>
      <c r="ES95" s="3557"/>
      <c r="ET95" s="3568"/>
      <c r="EU95" s="3569"/>
      <c r="EV95" s="3562"/>
      <c r="EW95" s="3547"/>
      <c r="EX95" s="3568"/>
      <c r="EY95" s="3569"/>
      <c r="EZ95" s="3562"/>
      <c r="FA95" s="3547"/>
      <c r="FB95" s="3568"/>
      <c r="FC95" s="3569"/>
      <c r="FD95" s="3562"/>
      <c r="FE95" s="3547"/>
      <c r="FF95" s="3568"/>
      <c r="FG95" s="3569"/>
      <c r="FH95" s="3562"/>
      <c r="FI95" s="3547"/>
      <c r="FJ95" s="3568"/>
      <c r="FK95" s="3559"/>
      <c r="FL95" s="3562"/>
      <c r="FM95" s="3547"/>
      <c r="FN95" s="3568"/>
      <c r="FO95" s="3559"/>
      <c r="FP95" s="3562"/>
      <c r="FQ95" s="3547"/>
      <c r="FR95" s="3568"/>
      <c r="FS95" s="3559"/>
      <c r="FT95" s="3560"/>
      <c r="FU95" s="3547"/>
      <c r="FV95" s="3568"/>
      <c r="FW95" s="3559"/>
      <c r="FX95" s="3560"/>
      <c r="FY95" s="3547"/>
      <c r="FZ95" s="3568"/>
      <c r="GA95" s="3569"/>
      <c r="GB95" s="3560"/>
      <c r="GC95" s="3547"/>
      <c r="GD95" s="3568"/>
      <c r="GE95" s="3559"/>
      <c r="GF95" s="3560"/>
      <c r="GG95" s="3547"/>
      <c r="GH95" s="3568"/>
      <c r="GI95" s="3569">
        <f>29265.82/1.05-29265.82/1.05*12/365*10</f>
        <v>18708.74337899543</v>
      </c>
      <c r="GJ95" s="3560">
        <f>29265.82/1.05-29265.82/1.05*12/365*10</f>
        <v>18708.74337899543</v>
      </c>
      <c r="GK95" s="3547">
        <f t="shared" si="181"/>
        <v>18708.74337899543</v>
      </c>
      <c r="GL95" s="3568">
        <f>21769.0533805031/1064.02*657.04/657.04*262.17</f>
        <v>5363.8021134626215</v>
      </c>
      <c r="GM95" s="3559">
        <f>6618.7/1.06-6618.7/1.06*12/365*10</f>
        <v>4191.2160765055569</v>
      </c>
      <c r="GN95" s="3562">
        <f>13237.4/2/1.06-13237.4/2/1.06*12/365*10</f>
        <v>4191.2160765055569</v>
      </c>
      <c r="GO95" s="3547">
        <f t="shared" si="182"/>
        <v>-1172.5860369570646</v>
      </c>
      <c r="GP95" s="3568">
        <f>110411.439761905/1064.02*657.04/657.04*262.17</f>
        <v>27204.908894925506</v>
      </c>
      <c r="GQ95" s="3609">
        <f>29265.82/1.05*12/365*10</f>
        <v>9163.4661448140887</v>
      </c>
      <c r="GR95" s="3562">
        <f>29265.82/1.05*12/365*10</f>
        <v>9163.4661448140887</v>
      </c>
      <c r="GS95" s="3547">
        <f t="shared" si="183"/>
        <v>-18041.442750111419</v>
      </c>
      <c r="GT95" s="3568">
        <f>21769.0533805031/1064.02*657.04/657.04*262.17</f>
        <v>5363.8021134626215</v>
      </c>
      <c r="GU95" s="3559">
        <f>6618.7/1.06</f>
        <v>6244.0566037735844</v>
      </c>
      <c r="GV95" s="3562">
        <f>13237.4/2/1.06</f>
        <v>6244.0566037735844</v>
      </c>
      <c r="GW95" s="3547">
        <f t="shared" si="184"/>
        <v>880.25449031096286</v>
      </c>
      <c r="GX95" s="3568">
        <f>110411.439761905/1064.02*657.04/657.04*262.17</f>
        <v>27204.908894925506</v>
      </c>
      <c r="GY95" s="3609">
        <f>29265.82/1.05-29265.82/1.05*12/365*10</f>
        <v>18708.74337899543</v>
      </c>
      <c r="GZ95" s="3560">
        <f>58531.64/2/1.05-58531.64/2/1.05*12/365*10</f>
        <v>18708.74337899543</v>
      </c>
      <c r="HA95" s="3547">
        <f t="shared" si="185"/>
        <v>-8496.1655159300753</v>
      </c>
      <c r="HB95" s="3568">
        <f>21769.0533805031/1064.02*657.04/657.04*262.17</f>
        <v>5363.8021134626215</v>
      </c>
      <c r="HC95" s="3559">
        <f>6618.7/1.06</f>
        <v>6244.0566037735844</v>
      </c>
      <c r="HD95" s="3562">
        <f>13237.4/2/1.06*12/365*10+13237.4/2/1.06-13237.4/2/1.06*12/365*10</f>
        <v>6244.0566037735853</v>
      </c>
      <c r="HE95" s="3547">
        <f t="shared" si="186"/>
        <v>880.25449031096377</v>
      </c>
      <c r="HF95" s="3568">
        <f>110411.439761905/1064.02*657.04/657.04*262.17</f>
        <v>27204.908894925506</v>
      </c>
      <c r="HG95" s="3569">
        <f>29265.82/1.05</f>
        <v>27872.209523809521</v>
      </c>
      <c r="HH95" s="3560">
        <f>58531.64/2/1.05</f>
        <v>27872.209523809521</v>
      </c>
      <c r="HI95" s="3547">
        <f t="shared" si="187"/>
        <v>667.30062888401517</v>
      </c>
      <c r="HJ95" s="3568">
        <f>21769.0533805031/1064.02*657.04/657.04*262.17</f>
        <v>5363.8021134626215</v>
      </c>
      <c r="HK95" s="3559">
        <f>6618.7/1.06</f>
        <v>6244.0566037735844</v>
      </c>
      <c r="HL95" s="3562">
        <f>13237.4/2/1.06</f>
        <v>6244.0566037735844</v>
      </c>
      <c r="HM95" s="3547">
        <f t="shared" si="188"/>
        <v>880.25449031096286</v>
      </c>
      <c r="HN95" s="3568">
        <f>110411.439761905/1064.02*657.04/657.04*262.17</f>
        <v>27204.908894925506</v>
      </c>
      <c r="HO95" s="3569">
        <f>29265.82/1.05</f>
        <v>27872.209523809521</v>
      </c>
      <c r="HP95" s="3562">
        <f>58531.64/2/1.05*12/365*10+58531.64/2/1.05-58531.64/2/1.05*12/365*10</f>
        <v>27872.209523809521</v>
      </c>
      <c r="HQ95" s="3547">
        <f t="shared" si="189"/>
        <v>667.30062888401517</v>
      </c>
      <c r="HR95" s="3568">
        <f>21769.0533805031/1064.02*657.04/657.04*262.17</f>
        <v>5363.8021134626215</v>
      </c>
      <c r="HS95" s="3559">
        <f>6618.7/1.06</f>
        <v>6244.0566037735844</v>
      </c>
      <c r="HT95" s="3562">
        <f>13237.4/2/1.06*12/365*10+13237.4/2/1.06-13237.4/2/1.06*12/365*10</f>
        <v>6244.0566037735853</v>
      </c>
      <c r="HU95" s="3547">
        <f t="shared" si="190"/>
        <v>880.25449031096377</v>
      </c>
      <c r="HV95" s="3568">
        <f>110411.439761905/1064.02*657.04/657.04*262.17</f>
        <v>27204.908894925506</v>
      </c>
      <c r="HW95" s="3569">
        <f>29265.82/1.05</f>
        <v>27872.209523809521</v>
      </c>
      <c r="HX95" s="3560">
        <f>58531.64/2/1.05</f>
        <v>27872.209523809521</v>
      </c>
      <c r="HY95" s="3547">
        <f t="shared" si="191"/>
        <v>667.30062888401517</v>
      </c>
      <c r="HZ95" s="3568">
        <f>21769.0533805031/1064.02*657.04/657.04*262.17</f>
        <v>5363.8021134626215</v>
      </c>
      <c r="IA95" s="3559">
        <f>6618.7/1.06</f>
        <v>6244.0566037735844</v>
      </c>
      <c r="IB95" s="3562">
        <f>13237.4/2/1.06</f>
        <v>6244.0566037735844</v>
      </c>
      <c r="IC95" s="3547">
        <f t="shared" si="192"/>
        <v>880.25449031096286</v>
      </c>
      <c r="ID95" s="3568">
        <f>110411.439761905/1064.02*657.04/657.04*262.17</f>
        <v>27204.908894925506</v>
      </c>
      <c r="IE95" s="3569">
        <f>29265.82/1.05</f>
        <v>27872.209523809521</v>
      </c>
      <c r="IF95" s="3560">
        <f>58531.64/2/1.05*12/365*10</f>
        <v>9163.4661448140887</v>
      </c>
      <c r="IG95" s="3547">
        <f t="shared" si="193"/>
        <v>-18041.442750111419</v>
      </c>
      <c r="IH95" s="3568">
        <f>21769.0533805031/1064.02*657.04/657.04*262.17</f>
        <v>5363.8021134626215</v>
      </c>
      <c r="II95" s="3559">
        <f>6618.7/1.06</f>
        <v>6244.0566037735844</v>
      </c>
      <c r="IJ95" s="3562">
        <f>13237.4/2/1.06*12/365*10</f>
        <v>2052.8405272680275</v>
      </c>
      <c r="IK95" s="3547">
        <f t="shared" si="194"/>
        <v>-3310.961586194594</v>
      </c>
      <c r="IL95" s="3547" t="s">
        <v>4642</v>
      </c>
      <c r="IM95" s="3569">
        <f>29265.82/1.05+29265.82/1.05*12/365*10</f>
        <v>37035.675668623611</v>
      </c>
      <c r="IN95" s="3569">
        <f>6618.7/1.06+6618.7/1.06*12/365*10</f>
        <v>8296.8971310416127</v>
      </c>
      <c r="IO95" s="3547"/>
      <c r="IP95" s="3560">
        <f t="shared" si="195"/>
        <v>0</v>
      </c>
      <c r="IQ95" s="3568"/>
      <c r="IR95" s="3568"/>
      <c r="IS95" s="3568"/>
      <c r="IT95" s="3568"/>
      <c r="IU95" s="3568"/>
      <c r="IV95" s="3568"/>
      <c r="IW95" s="3568"/>
      <c r="IX95" s="3568"/>
      <c r="IY95" s="3568"/>
      <c r="IZ95" s="3560"/>
      <c r="JA95" s="3560"/>
      <c r="JB95" s="3560"/>
      <c r="JC95" s="3560">
        <f t="shared" si="134"/>
        <v>0</v>
      </c>
      <c r="JD95" s="3547"/>
      <c r="JE95" s="3568"/>
      <c r="JF95" s="3568"/>
      <c r="JG95" s="3568"/>
      <c r="JH95" s="3568"/>
      <c r="JI95" s="3568"/>
      <c r="JJ95" s="3568"/>
      <c r="JK95" s="3568"/>
      <c r="JL95" s="3568"/>
      <c r="JM95" s="3568"/>
      <c r="JN95" s="3560"/>
      <c r="JO95" s="3560"/>
      <c r="JP95" s="3570"/>
      <c r="JQ95" s="3583"/>
      <c r="JR95" s="3583"/>
      <c r="JS95" s="3573">
        <f t="shared" si="145"/>
        <v>0</v>
      </c>
      <c r="JT95" s="3573">
        <f t="shared" si="152"/>
        <v>0</v>
      </c>
      <c r="JU95" s="3574">
        <f t="shared" si="146"/>
        <v>0</v>
      </c>
      <c r="JV95" s="3574">
        <f t="shared" si="147"/>
        <v>0</v>
      </c>
      <c r="JW95" s="3575"/>
      <c r="JX95" s="3576">
        <f t="shared" si="148"/>
        <v>64907.885192433132</v>
      </c>
      <c r="JY95" s="3576">
        <f t="shared" si="149"/>
        <v>14540.953734815197</v>
      </c>
      <c r="JZ95" s="3577"/>
      <c r="KA95" s="3573">
        <f>HI95</f>
        <v>667.30062888401517</v>
      </c>
      <c r="KB95" s="3573">
        <f>HM95</f>
        <v>880.25449031096286</v>
      </c>
      <c r="KC95" s="3573"/>
      <c r="KD95" s="3573">
        <f t="shared" si="150"/>
        <v>1547.555119194978</v>
      </c>
      <c r="KE95" s="3578" t="s">
        <v>4619</v>
      </c>
      <c r="KF95" s="3579">
        <f>17536.16/10000</f>
        <v>1.7536160000000001</v>
      </c>
      <c r="KG95" s="3579"/>
      <c r="KH95" s="3579"/>
      <c r="KI95" s="3579">
        <f>667.3/10000*3</f>
        <v>0.20018999999999998</v>
      </c>
      <c r="KJ95" s="3579"/>
      <c r="KK95" s="3579"/>
      <c r="KL95" s="3579"/>
      <c r="KM95" s="3579"/>
      <c r="KN95" s="3579">
        <f>-18708.74/10000-9163.47/10000</f>
        <v>-2.7872210000000002</v>
      </c>
      <c r="KO95" s="3579"/>
      <c r="KP95" s="3579">
        <f>880.25/10000*3</f>
        <v>0.264075</v>
      </c>
      <c r="KQ95" s="3579">
        <f t="shared" si="151"/>
        <v>-0.56933999999999996</v>
      </c>
      <c r="KR95" s="3579">
        <f t="shared" si="196"/>
        <v>1.3175813774468637E-6</v>
      </c>
      <c r="KS95" s="3577"/>
      <c r="KT95" s="3577"/>
      <c r="KU95" s="3577"/>
      <c r="KV95" s="3577"/>
      <c r="KW95" s="3577"/>
      <c r="KX95" s="3577"/>
      <c r="KY95" s="3577"/>
      <c r="KZ95" s="3577"/>
      <c r="LA95" s="3577"/>
      <c r="LB95" s="3577"/>
      <c r="LC95" s="3577"/>
      <c r="LD95" s="3577"/>
      <c r="LE95" s="3577"/>
      <c r="LF95" s="3577"/>
      <c r="LG95" s="3577"/>
      <c r="LH95" s="3577"/>
      <c r="LJ95" s="3575"/>
      <c r="LK95" s="3571"/>
      <c r="LL95" s="3576"/>
    </row>
    <row r="96" spans="1:325" s="3580" customFormat="1" ht="18" customHeight="1">
      <c r="A96" s="3545">
        <v>93</v>
      </c>
      <c r="B96" s="3546"/>
      <c r="C96" s="3617">
        <v>1424</v>
      </c>
      <c r="D96" s="3618">
        <f>1388.22-40.8-15-157.01-99.49-11.9-406.98-262.17-118.87</f>
        <v>275.99999999999994</v>
      </c>
      <c r="E96" s="3608" t="s">
        <v>3865</v>
      </c>
      <c r="F96" s="3546"/>
      <c r="G96" s="3549"/>
      <c r="H96" s="3546"/>
      <c r="I96" s="3594"/>
      <c r="J96" s="3594"/>
      <c r="K96" s="3545"/>
      <c r="L96" s="3555"/>
      <c r="M96" s="3551"/>
      <c r="N96" s="3551"/>
      <c r="O96" s="3551">
        <f t="shared" si="135"/>
        <v>0</v>
      </c>
      <c r="P96" s="3547"/>
      <c r="Q96" s="3547"/>
      <c r="R96" s="3547">
        <f t="shared" si="132"/>
        <v>0</v>
      </c>
      <c r="S96" s="3547">
        <f t="shared" si="125"/>
        <v>0</v>
      </c>
      <c r="T96" s="3658"/>
      <c r="U96" s="3553">
        <f t="shared" si="136"/>
        <v>0</v>
      </c>
      <c r="V96" s="3547"/>
      <c r="W96" s="3547">
        <f t="shared" si="126"/>
        <v>0</v>
      </c>
      <c r="X96" s="3663"/>
      <c r="Y96" s="3547"/>
      <c r="Z96" s="3554"/>
      <c r="AA96" s="3555"/>
      <c r="AB96" s="3593"/>
      <c r="AC96" s="3556">
        <f t="shared" si="138"/>
        <v>0</v>
      </c>
      <c r="AD96" s="3556">
        <f t="shared" si="139"/>
        <v>0</v>
      </c>
      <c r="AE96" s="3556">
        <f t="shared" si="139"/>
        <v>0</v>
      </c>
      <c r="AF96" s="3556">
        <f t="shared" si="140"/>
        <v>0</v>
      </c>
      <c r="AG96" s="3556"/>
      <c r="AH96" s="3557">
        <f t="shared" si="141"/>
        <v>0</v>
      </c>
      <c r="AI96" s="3558">
        <f t="shared" si="142"/>
        <v>0</v>
      </c>
      <c r="AJ96" s="3558">
        <f t="shared" si="142"/>
        <v>0</v>
      </c>
      <c r="AK96" s="3557">
        <f t="shared" si="159"/>
        <v>0</v>
      </c>
      <c r="AL96" s="3557"/>
      <c r="AM96" s="3547"/>
      <c r="AN96" s="3609"/>
      <c r="AO96" s="3562"/>
      <c r="AP96" s="3561"/>
      <c r="AQ96" s="3559"/>
      <c r="AR96" s="3562"/>
      <c r="AS96" s="3561"/>
      <c r="AT96" s="3563"/>
      <c r="AU96" s="3547"/>
      <c r="AV96" s="3609"/>
      <c r="AW96" s="3562"/>
      <c r="AX96" s="3561"/>
      <c r="AY96" s="3559"/>
      <c r="AZ96" s="3562"/>
      <c r="BA96" s="3561"/>
      <c r="BB96" s="3563"/>
      <c r="BC96" s="3547"/>
      <c r="BD96" s="3609"/>
      <c r="BE96" s="3562"/>
      <c r="BF96" s="3561"/>
      <c r="BG96" s="3559"/>
      <c r="BH96" s="3562"/>
      <c r="BI96" s="3561"/>
      <c r="BJ96" s="3563"/>
      <c r="BK96" s="3547"/>
      <c r="BL96" s="3609"/>
      <c r="BM96" s="3562"/>
      <c r="BN96" s="3561"/>
      <c r="BO96" s="3559"/>
      <c r="BP96" s="3562"/>
      <c r="BQ96" s="3561"/>
      <c r="BR96" s="3563"/>
      <c r="BS96" s="3547"/>
      <c r="BT96" s="3559"/>
      <c r="BU96" s="3562"/>
      <c r="BV96" s="3561"/>
      <c r="BW96" s="3559"/>
      <c r="BX96" s="3562"/>
      <c r="BY96" s="3561"/>
      <c r="BZ96" s="3563"/>
      <c r="CA96" s="3547"/>
      <c r="CB96" s="3609"/>
      <c r="CC96" s="3562"/>
      <c r="CD96" s="3561">
        <f t="shared" si="164"/>
        <v>0</v>
      </c>
      <c r="CE96" s="3559"/>
      <c r="CF96" s="3562"/>
      <c r="CG96" s="3561">
        <f t="shared" si="165"/>
        <v>0</v>
      </c>
      <c r="CH96" s="3563"/>
      <c r="CI96" s="3547"/>
      <c r="CJ96" s="3609"/>
      <c r="CK96" s="3562"/>
      <c r="CL96" s="3561">
        <f t="shared" si="133"/>
        <v>0</v>
      </c>
      <c r="CM96" s="3559"/>
      <c r="CN96" s="3562"/>
      <c r="CO96" s="3561">
        <f t="shared" si="166"/>
        <v>0</v>
      </c>
      <c r="CP96" s="3563"/>
      <c r="CQ96" s="3547"/>
      <c r="CR96" s="3621"/>
      <c r="CS96" s="3603"/>
      <c r="CT96" s="3602">
        <f t="shared" si="167"/>
        <v>0</v>
      </c>
      <c r="CU96" s="3604"/>
      <c r="CV96" s="3603"/>
      <c r="CW96" s="3561">
        <f t="shared" si="168"/>
        <v>0</v>
      </c>
      <c r="CX96" s="3563"/>
      <c r="CY96" s="3597"/>
      <c r="CZ96" s="3609"/>
      <c r="DA96" s="3562"/>
      <c r="DB96" s="3561">
        <f t="shared" si="169"/>
        <v>0</v>
      </c>
      <c r="DC96" s="3559"/>
      <c r="DD96" s="3562"/>
      <c r="DE96" s="3561">
        <f t="shared" si="170"/>
        <v>0</v>
      </c>
      <c r="DF96" s="3563"/>
      <c r="DG96" s="3547"/>
      <c r="DH96" s="3609"/>
      <c r="DI96" s="3562"/>
      <c r="DJ96" s="3561">
        <f t="shared" si="171"/>
        <v>0</v>
      </c>
      <c r="DK96" s="3559"/>
      <c r="DL96" s="3562"/>
      <c r="DM96" s="3561">
        <f t="shared" si="172"/>
        <v>0</v>
      </c>
      <c r="DN96" s="3563"/>
      <c r="DO96" s="3547"/>
      <c r="DP96" s="3609"/>
      <c r="DQ96" s="3562"/>
      <c r="DR96" s="3561">
        <f t="shared" si="173"/>
        <v>0</v>
      </c>
      <c r="DS96" s="3559"/>
      <c r="DT96" s="3562"/>
      <c r="DU96" s="3561">
        <f>DT96-DS96</f>
        <v>0</v>
      </c>
      <c r="DV96" s="3563"/>
      <c r="DW96" s="3547"/>
      <c r="DX96" s="3609"/>
      <c r="DY96" s="3562"/>
      <c r="DZ96" s="3561">
        <f t="shared" si="175"/>
        <v>0</v>
      </c>
      <c r="EA96" s="3559"/>
      <c r="EB96" s="3562"/>
      <c r="EC96" s="3561">
        <f t="shared" si="176"/>
        <v>0</v>
      </c>
      <c r="ED96" s="3563"/>
      <c r="EF96" s="3565">
        <f t="shared" si="153"/>
        <v>171840.13857419472</v>
      </c>
      <c r="EG96" s="3565">
        <f t="shared" si="143"/>
        <v>85920.069287097373</v>
      </c>
      <c r="EH96" s="3565">
        <f t="shared" si="143"/>
        <v>0</v>
      </c>
      <c r="EI96" s="3565">
        <f t="shared" si="143"/>
        <v>0</v>
      </c>
      <c r="EJ96" s="3565">
        <f t="shared" si="154"/>
        <v>-85920.069287097373</v>
      </c>
      <c r="EK96" s="3566">
        <f t="shared" si="155"/>
        <v>0</v>
      </c>
      <c r="EL96" s="3610"/>
      <c r="EM96" s="3567">
        <f t="shared" si="156"/>
        <v>39527.274986496486</v>
      </c>
      <c r="EN96" s="3557">
        <f t="shared" si="144"/>
        <v>22587.014277997994</v>
      </c>
      <c r="EO96" s="3557">
        <f t="shared" si="144"/>
        <v>0</v>
      </c>
      <c r="EP96" s="3557">
        <f t="shared" si="144"/>
        <v>0</v>
      </c>
      <c r="EQ96" s="3557">
        <f t="shared" si="157"/>
        <v>-22587.014277997994</v>
      </c>
      <c r="ER96" s="3557">
        <f t="shared" si="158"/>
        <v>0</v>
      </c>
      <c r="ES96" s="3557"/>
      <c r="ET96" s="3568"/>
      <c r="EU96" s="3569"/>
      <c r="EV96" s="3562"/>
      <c r="EW96" s="3547"/>
      <c r="EX96" s="3568"/>
      <c r="EY96" s="3569"/>
      <c r="EZ96" s="3562"/>
      <c r="FA96" s="3547"/>
      <c r="FB96" s="3568"/>
      <c r="FC96" s="3569"/>
      <c r="FD96" s="3562"/>
      <c r="FE96" s="3547"/>
      <c r="FF96" s="3568"/>
      <c r="FG96" s="3569"/>
      <c r="FH96" s="3562"/>
      <c r="FI96" s="3547"/>
      <c r="FJ96" s="3568"/>
      <c r="FK96" s="3559"/>
      <c r="FL96" s="3562"/>
      <c r="FM96" s="3547"/>
      <c r="FN96" s="3568"/>
      <c r="FO96" s="3559"/>
      <c r="FP96" s="3562"/>
      <c r="FQ96" s="3547"/>
      <c r="FR96" s="3568"/>
      <c r="FS96" s="3559"/>
      <c r="FT96" s="3560"/>
      <c r="FU96" s="3547"/>
      <c r="FV96" s="3568"/>
      <c r="FW96" s="3559"/>
      <c r="FX96" s="3560"/>
      <c r="FY96" s="3547"/>
      <c r="FZ96" s="3568"/>
      <c r="GA96" s="3569"/>
      <c r="GB96" s="3560"/>
      <c r="GC96" s="3547"/>
      <c r="GD96" s="3568"/>
      <c r="GE96" s="3559"/>
      <c r="GF96" s="3560"/>
      <c r="GG96" s="3547"/>
      <c r="GH96" s="3568"/>
      <c r="GI96" s="3569"/>
      <c r="GJ96" s="3560"/>
      <c r="GK96" s="3547">
        <f t="shared" si="181"/>
        <v>0</v>
      </c>
      <c r="GL96" s="3568">
        <f>21769.0533805031/1064.02*657.04/657.04*394.87/394.87*276</f>
        <v>5646.7535694994986</v>
      </c>
      <c r="GM96" s="3559"/>
      <c r="GN96" s="3562"/>
      <c r="GO96" s="3547">
        <f t="shared" si="182"/>
        <v>-5646.7535694994986</v>
      </c>
      <c r="GP96" s="3568">
        <f>110411.439761905/1064.02*657.04/657.04*394.87/394.87*276</f>
        <v>28640.023095699122</v>
      </c>
      <c r="GQ96" s="3609"/>
      <c r="GR96" s="3562"/>
      <c r="GS96" s="3547">
        <f t="shared" si="183"/>
        <v>-28640.023095699122</v>
      </c>
      <c r="GT96" s="3568">
        <f>21769.0533805031/1064.02*657.04/657.04*394.87/394.87*276</f>
        <v>5646.7535694994986</v>
      </c>
      <c r="GU96" s="3559"/>
      <c r="GV96" s="3562"/>
      <c r="GW96" s="3547">
        <f t="shared" si="184"/>
        <v>-5646.7535694994986</v>
      </c>
      <c r="GX96" s="3568">
        <f>110411.439761905/1064.02*657.04/657.04*394.87/394.87*276</f>
        <v>28640.023095699122</v>
      </c>
      <c r="GY96" s="3609"/>
      <c r="GZ96" s="3560"/>
      <c r="HA96" s="3547">
        <f t="shared" si="185"/>
        <v>-28640.023095699122</v>
      </c>
      <c r="HB96" s="3568">
        <f>21769.0533805031/1064.02*657.04/657.04*394.87/394.87*276</f>
        <v>5646.7535694994986</v>
      </c>
      <c r="HC96" s="3559"/>
      <c r="HD96" s="3562"/>
      <c r="HE96" s="3547">
        <f t="shared" si="186"/>
        <v>-5646.7535694994986</v>
      </c>
      <c r="HF96" s="3568">
        <f>110411.439761905/1064.02*657.04/657.04*394.87/394.87*276</f>
        <v>28640.023095699122</v>
      </c>
      <c r="HG96" s="3569"/>
      <c r="HH96" s="3560"/>
      <c r="HI96" s="3547"/>
      <c r="HJ96" s="3568">
        <f>21769.0533805031/1064.02*657.04/657.04*394.87/394.87*276</f>
        <v>5646.7535694994986</v>
      </c>
      <c r="HK96" s="3559"/>
      <c r="HL96" s="3562"/>
      <c r="HM96" s="3547"/>
      <c r="HN96" s="3568">
        <f>110411.439761905/1064.02*657.04/657.04*394.87/394.87*276</f>
        <v>28640.023095699122</v>
      </c>
      <c r="HO96" s="3569"/>
      <c r="HP96" s="3562"/>
      <c r="HQ96" s="3547"/>
      <c r="HR96" s="3568">
        <f>21769.0533805031/1064.02*657.04/657.04*394.87/394.87*276</f>
        <v>5646.7535694994986</v>
      </c>
      <c r="HS96" s="3559"/>
      <c r="HT96" s="3562"/>
      <c r="HU96" s="3547"/>
      <c r="HV96" s="3568">
        <f>110411.439761905/1064.02*657.04/657.04*394.87/394.87*276</f>
        <v>28640.023095699122</v>
      </c>
      <c r="HW96" s="3569"/>
      <c r="HX96" s="3562"/>
      <c r="HY96" s="3547"/>
      <c r="HZ96" s="3568">
        <f>21769.0533805031/1064.02*657.04/657.04*394.87/394.87*276</f>
        <v>5646.7535694994986</v>
      </c>
      <c r="IA96" s="3559"/>
      <c r="IB96" s="3562"/>
      <c r="IC96" s="3547"/>
      <c r="ID96" s="3568">
        <f>110411.439761905/1064.02*657.04/657.04*394.87/394.87*276</f>
        <v>28640.023095699122</v>
      </c>
      <c r="IE96" s="3569"/>
      <c r="IF96" s="3562"/>
      <c r="IG96" s="3547"/>
      <c r="IH96" s="3568">
        <f>21769.0533805031/1064.02*657.04/657.04*394.87/394.87*276</f>
        <v>5646.7535694994986</v>
      </c>
      <c r="II96" s="3559"/>
      <c r="IJ96" s="3562"/>
      <c r="IK96" s="3547"/>
      <c r="IL96" s="3547"/>
      <c r="IM96" s="3569"/>
      <c r="IN96" s="3569"/>
      <c r="IO96" s="3547"/>
      <c r="IP96" s="3560">
        <f t="shared" si="195"/>
        <v>0</v>
      </c>
      <c r="IQ96" s="3568"/>
      <c r="IR96" s="3568"/>
      <c r="IS96" s="3568"/>
      <c r="IT96" s="3568"/>
      <c r="IU96" s="3568"/>
      <c r="IV96" s="3568"/>
      <c r="IW96" s="3568"/>
      <c r="IX96" s="3568"/>
      <c r="IY96" s="3568"/>
      <c r="IZ96" s="3560"/>
      <c r="JA96" s="3560"/>
      <c r="JB96" s="3560"/>
      <c r="JC96" s="3560">
        <f t="shared" si="134"/>
        <v>0</v>
      </c>
      <c r="JD96" s="3547"/>
      <c r="JE96" s="3568"/>
      <c r="JF96" s="3568"/>
      <c r="JG96" s="3568"/>
      <c r="JH96" s="3568"/>
      <c r="JI96" s="3568"/>
      <c r="JJ96" s="3568"/>
      <c r="JK96" s="3568"/>
      <c r="JL96" s="3568"/>
      <c r="JM96" s="3568"/>
      <c r="JN96" s="3560"/>
      <c r="JO96" s="3560"/>
      <c r="JP96" s="3570"/>
      <c r="JQ96" s="3583"/>
      <c r="JR96" s="3583"/>
      <c r="JS96" s="3573">
        <f t="shared" si="145"/>
        <v>0</v>
      </c>
      <c r="JT96" s="3573">
        <f t="shared" si="152"/>
        <v>0</v>
      </c>
      <c r="JU96" s="3574">
        <f t="shared" si="146"/>
        <v>0</v>
      </c>
      <c r="JV96" s="3574">
        <f t="shared" si="147"/>
        <v>0</v>
      </c>
      <c r="JW96" s="3575"/>
      <c r="JX96" s="3576">
        <f t="shared" si="148"/>
        <v>0</v>
      </c>
      <c r="JY96" s="3576">
        <f t="shared" si="149"/>
        <v>0</v>
      </c>
      <c r="JZ96" s="3577"/>
      <c r="KA96" s="3573">
        <f t="shared" ref="KA96:KA113" si="197">HI96+HM96</f>
        <v>0</v>
      </c>
      <c r="KB96" s="3573"/>
      <c r="KC96" s="3573"/>
      <c r="KD96" s="3573">
        <f t="shared" si="150"/>
        <v>0</v>
      </c>
      <c r="KE96" s="3578" t="s">
        <v>3765</v>
      </c>
      <c r="KF96" s="3579"/>
      <c r="KG96" s="3579"/>
      <c r="KH96" s="3579"/>
      <c r="KI96" s="3579"/>
      <c r="KJ96" s="3579"/>
      <c r="KK96" s="3579"/>
      <c r="KL96" s="3579">
        <f>-5646.75/10000-34286.78/10000*3</f>
        <v>-10.850708999999998</v>
      </c>
      <c r="KM96" s="3579"/>
      <c r="KN96" s="3579"/>
      <c r="KO96" s="3579"/>
      <c r="KP96" s="3579"/>
      <c r="KQ96" s="3579">
        <f t="shared" si="151"/>
        <v>-10.850708999999998</v>
      </c>
      <c r="KR96" s="3579">
        <f t="shared" si="196"/>
        <v>6.4349046091649598E-7</v>
      </c>
      <c r="KS96" s="3577"/>
      <c r="KT96" s="3577"/>
      <c r="KU96" s="3577"/>
      <c r="KV96" s="3577"/>
      <c r="KW96" s="3577"/>
      <c r="KX96" s="3577"/>
      <c r="KY96" s="3577"/>
      <c r="KZ96" s="3577"/>
      <c r="LA96" s="3577"/>
      <c r="LB96" s="3577"/>
      <c r="LC96" s="3577"/>
      <c r="LD96" s="3577"/>
      <c r="LE96" s="3577"/>
      <c r="LF96" s="3577"/>
      <c r="LG96" s="3577"/>
      <c r="LH96" s="3577"/>
      <c r="LJ96" s="3575"/>
      <c r="LK96" s="3571"/>
      <c r="LL96" s="3576"/>
    </row>
    <row r="97" spans="1:325" s="3580" customFormat="1" ht="18" customHeight="1">
      <c r="A97" s="3545">
        <v>94</v>
      </c>
      <c r="B97" s="3546" t="s">
        <v>4496</v>
      </c>
      <c r="C97" s="3546" t="s">
        <v>4643</v>
      </c>
      <c r="D97" s="3547">
        <v>11.9</v>
      </c>
      <c r="E97" s="3608" t="s">
        <v>4022</v>
      </c>
      <c r="F97" s="3546" t="s">
        <v>3790</v>
      </c>
      <c r="G97" s="3546" t="s">
        <v>4644</v>
      </c>
      <c r="H97" s="3546" t="s">
        <v>4645</v>
      </c>
      <c r="I97" s="3594" t="s">
        <v>4025</v>
      </c>
      <c r="J97" s="3594" t="s">
        <v>4026</v>
      </c>
      <c r="K97" s="3545"/>
      <c r="L97" s="3555"/>
      <c r="M97" s="3551">
        <v>4528.1099999999997</v>
      </c>
      <c r="N97" s="3551">
        <v>4528.1099999999997</v>
      </c>
      <c r="O97" s="3551">
        <f t="shared" si="135"/>
        <v>0</v>
      </c>
      <c r="P97" s="3547">
        <v>901.29</v>
      </c>
      <c r="Q97" s="3547">
        <v>901.29</v>
      </c>
      <c r="R97" s="3547">
        <f t="shared" si="132"/>
        <v>0</v>
      </c>
      <c r="S97" s="3547">
        <f t="shared" si="125"/>
        <v>4.1700103603085061</v>
      </c>
      <c r="T97" s="3658">
        <v>1509.37</v>
      </c>
      <c r="U97" s="3553">
        <f t="shared" si="136"/>
        <v>18112.439999999999</v>
      </c>
      <c r="V97" s="3547">
        <f>1509.37*12</f>
        <v>18112.439999999999</v>
      </c>
      <c r="W97" s="3547">
        <f t="shared" si="126"/>
        <v>0.83001266259928619</v>
      </c>
      <c r="X97" s="3663">
        <v>300.43</v>
      </c>
      <c r="Y97" s="3547">
        <f t="shared" ref="Y97:Y132" si="198">X97*12</f>
        <v>3605.16</v>
      </c>
      <c r="Z97" s="3554"/>
      <c r="AA97" s="3555"/>
      <c r="AB97" s="3593" t="s">
        <v>4318</v>
      </c>
      <c r="AC97" s="3556">
        <f t="shared" si="138"/>
        <v>9056.2199999999993</v>
      </c>
      <c r="AD97" s="3556">
        <f t="shared" si="139"/>
        <v>4528.1099999999997</v>
      </c>
      <c r="AE97" s="3556">
        <f t="shared" si="139"/>
        <v>4528.1099999999997</v>
      </c>
      <c r="AF97" s="3556">
        <f t="shared" si="140"/>
        <v>0</v>
      </c>
      <c r="AG97" s="3556"/>
      <c r="AH97" s="3557">
        <f t="shared" si="141"/>
        <v>1802.58</v>
      </c>
      <c r="AI97" s="3558">
        <f t="shared" si="142"/>
        <v>901.29</v>
      </c>
      <c r="AJ97" s="3558">
        <f t="shared" si="142"/>
        <v>901.29</v>
      </c>
      <c r="AK97" s="3557">
        <f t="shared" si="159"/>
        <v>0</v>
      </c>
      <c r="AL97" s="3557"/>
      <c r="AM97" s="3547"/>
      <c r="AN97" s="3609"/>
      <c r="AO97" s="3562"/>
      <c r="AP97" s="3561">
        <f t="shared" ref="AP97:AP132" si="199">AO97-AN97</f>
        <v>0</v>
      </c>
      <c r="AQ97" s="3559"/>
      <c r="AR97" s="3562"/>
      <c r="AS97" s="3561">
        <f t="shared" ref="AS97:AS132" si="200">AR97-AQ97</f>
        <v>0</v>
      </c>
      <c r="AT97" s="3563" t="s">
        <v>4610</v>
      </c>
      <c r="AU97" s="3547"/>
      <c r="AV97" s="3609"/>
      <c r="AW97" s="3562"/>
      <c r="AX97" s="3561">
        <f t="shared" ref="AX97:AX132" si="201">AW97-AV97</f>
        <v>0</v>
      </c>
      <c r="AY97" s="3559"/>
      <c r="AZ97" s="3562"/>
      <c r="BA97" s="3561">
        <f t="shared" ref="BA97:BA132" si="202">AZ97-AY97</f>
        <v>0</v>
      </c>
      <c r="BB97" s="3563" t="s">
        <v>4610</v>
      </c>
      <c r="BC97" s="3547"/>
      <c r="BD97" s="3609"/>
      <c r="BE97" s="3562"/>
      <c r="BF97" s="3561">
        <f t="shared" ref="BF97:BF132" si="203">BE97-BD97</f>
        <v>0</v>
      </c>
      <c r="BG97" s="3559"/>
      <c r="BH97" s="3562"/>
      <c r="BI97" s="3561">
        <f t="shared" ref="BI97:BI132" si="204">BH97-BG97</f>
        <v>0</v>
      </c>
      <c r="BJ97" s="3563" t="s">
        <v>4610</v>
      </c>
      <c r="BK97" s="3547"/>
      <c r="BL97" s="3609"/>
      <c r="BM97" s="3562"/>
      <c r="BN97" s="3561">
        <f t="shared" ref="BN97:BN132" si="205">BM97-BL97</f>
        <v>0</v>
      </c>
      <c r="BO97" s="3559"/>
      <c r="BP97" s="3562"/>
      <c r="BQ97" s="3561">
        <f t="shared" ref="BQ97:BQ132" si="206">BP97-BO97</f>
        <v>0</v>
      </c>
      <c r="BR97" s="3563" t="s">
        <v>4610</v>
      </c>
      <c r="BS97" s="3547"/>
      <c r="BT97" s="3559"/>
      <c r="BU97" s="3562"/>
      <c r="BV97" s="3561">
        <f t="shared" ref="BV97:BV132" si="207">BU97-BT97</f>
        <v>0</v>
      </c>
      <c r="BW97" s="3559"/>
      <c r="BX97" s="3562"/>
      <c r="BY97" s="3561">
        <f t="shared" ref="BY97:BY132" si="208">BX97-BW97</f>
        <v>0</v>
      </c>
      <c r="BZ97" s="3563" t="s">
        <v>4610</v>
      </c>
      <c r="CA97" s="3547"/>
      <c r="CB97" s="3609"/>
      <c r="CC97" s="3562"/>
      <c r="CD97" s="3561">
        <f t="shared" si="164"/>
        <v>0</v>
      </c>
      <c r="CE97" s="3559"/>
      <c r="CF97" s="3562"/>
      <c r="CG97" s="3561">
        <f t="shared" si="165"/>
        <v>0</v>
      </c>
      <c r="CH97" s="3563" t="s">
        <v>4610</v>
      </c>
      <c r="CI97" s="3547" t="s">
        <v>4104</v>
      </c>
      <c r="CJ97" s="3609">
        <f>1509.37*3</f>
        <v>4528.1099999999997</v>
      </c>
      <c r="CK97" s="3562">
        <v>4528.1099999999997</v>
      </c>
      <c r="CL97" s="3561">
        <f t="shared" si="133"/>
        <v>0</v>
      </c>
      <c r="CM97" s="3559">
        <f>300.43*3</f>
        <v>901.29</v>
      </c>
      <c r="CN97" s="3562">
        <v>901.29</v>
      </c>
      <c r="CO97" s="3561">
        <f t="shared" si="166"/>
        <v>0</v>
      </c>
      <c r="CP97" s="3563" t="s">
        <v>4646</v>
      </c>
      <c r="CQ97" s="3547"/>
      <c r="CR97" s="3609"/>
      <c r="CS97" s="3603"/>
      <c r="CT97" s="3561">
        <f t="shared" si="167"/>
        <v>0</v>
      </c>
      <c r="CU97" s="3559"/>
      <c r="CV97" s="3603"/>
      <c r="CW97" s="3561">
        <f t="shared" si="168"/>
        <v>0</v>
      </c>
      <c r="CX97" s="3563" t="s">
        <v>4646</v>
      </c>
      <c r="CY97" s="3597"/>
      <c r="CZ97" s="3609"/>
      <c r="DA97" s="3562"/>
      <c r="DB97" s="3561">
        <f t="shared" si="169"/>
        <v>0</v>
      </c>
      <c r="DC97" s="3559"/>
      <c r="DD97" s="3562"/>
      <c r="DE97" s="3561">
        <f t="shared" si="170"/>
        <v>0</v>
      </c>
      <c r="DF97" s="3563" t="s">
        <v>4646</v>
      </c>
      <c r="DG97" s="3547" t="s">
        <v>4106</v>
      </c>
      <c r="DH97" s="3609">
        <f>1509.37*3</f>
        <v>4528.1099999999997</v>
      </c>
      <c r="DI97" s="3562"/>
      <c r="DJ97" s="3561">
        <f t="shared" si="171"/>
        <v>-4528.1099999999997</v>
      </c>
      <c r="DK97" s="3559">
        <f>300.43*3</f>
        <v>901.29</v>
      </c>
      <c r="DL97" s="3562"/>
      <c r="DM97" s="3561">
        <f t="shared" si="172"/>
        <v>-901.29</v>
      </c>
      <c r="DN97" s="3563"/>
      <c r="DO97" s="3547"/>
      <c r="DP97" s="3609"/>
      <c r="DQ97" s="3562"/>
      <c r="DR97" s="3561">
        <f t="shared" si="173"/>
        <v>0</v>
      </c>
      <c r="DS97" s="3559"/>
      <c r="DT97" s="3562"/>
      <c r="DU97" s="3561">
        <f t="shared" ref="DU97:DU132" si="209">DT97-DS97</f>
        <v>0</v>
      </c>
      <c r="DV97" s="3563"/>
      <c r="DW97" s="3547"/>
      <c r="DX97" s="3609"/>
      <c r="DY97" s="3562"/>
      <c r="DZ97" s="3561">
        <f t="shared" si="175"/>
        <v>0</v>
      </c>
      <c r="EA97" s="3559"/>
      <c r="EB97" s="3562"/>
      <c r="EC97" s="3561">
        <f t="shared" si="176"/>
        <v>0</v>
      </c>
      <c r="ED97" s="3563"/>
      <c r="EF97" s="3565">
        <f t="shared" si="153"/>
        <v>0</v>
      </c>
      <c r="EG97" s="3565">
        <f t="shared" si="143"/>
        <v>0</v>
      </c>
      <c r="EH97" s="3565">
        <f t="shared" si="143"/>
        <v>2874.9904761904759</v>
      </c>
      <c r="EI97" s="3565">
        <f t="shared" si="143"/>
        <v>2874.9904761904759</v>
      </c>
      <c r="EJ97" s="3565">
        <f t="shared" si="154"/>
        <v>2874.9904761904759</v>
      </c>
      <c r="EK97" s="3566">
        <f t="shared" si="155"/>
        <v>0</v>
      </c>
      <c r="EL97" s="3610"/>
      <c r="EM97" s="3567">
        <f t="shared" si="156"/>
        <v>0</v>
      </c>
      <c r="EN97" s="3557">
        <f t="shared" si="144"/>
        <v>0</v>
      </c>
      <c r="EO97" s="3557">
        <f t="shared" si="144"/>
        <v>566.84905660377353</v>
      </c>
      <c r="EP97" s="3557">
        <f t="shared" si="144"/>
        <v>566.84905660377353</v>
      </c>
      <c r="EQ97" s="3557">
        <f t="shared" si="157"/>
        <v>566.84905660377353</v>
      </c>
      <c r="ER97" s="3557">
        <f t="shared" si="158"/>
        <v>0</v>
      </c>
      <c r="ES97" s="3557"/>
      <c r="ET97" s="3568"/>
      <c r="EU97" s="3569"/>
      <c r="EV97" s="3562"/>
      <c r="EW97" s="3547">
        <f t="shared" ref="EW97:EW132" si="210">EV97-ET97</f>
        <v>0</v>
      </c>
      <c r="EX97" s="3568"/>
      <c r="EY97" s="3569"/>
      <c r="EZ97" s="3562"/>
      <c r="FA97" s="3547">
        <f t="shared" ref="FA97:FA132" si="211">EZ97-EX97</f>
        <v>0</v>
      </c>
      <c r="FB97" s="3568"/>
      <c r="FC97" s="3569"/>
      <c r="FD97" s="3562"/>
      <c r="FE97" s="3547">
        <f t="shared" ref="FE97:FE132" si="212">FD97-FB97</f>
        <v>0</v>
      </c>
      <c r="FF97" s="3568"/>
      <c r="FG97" s="3569"/>
      <c r="FH97" s="3562"/>
      <c r="FI97" s="3547">
        <f t="shared" ref="FI97:FI132" si="213">FH97-FF97</f>
        <v>0</v>
      </c>
      <c r="FJ97" s="3568"/>
      <c r="FK97" s="3559"/>
      <c r="FL97" s="3562"/>
      <c r="FM97" s="3547">
        <f t="shared" ref="FM97:FM132" si="214">FL97-FJ97</f>
        <v>0</v>
      </c>
      <c r="FN97" s="3568"/>
      <c r="FO97" s="3559"/>
      <c r="FP97" s="3562"/>
      <c r="FQ97" s="3547">
        <f t="shared" ref="FQ97:FQ132" si="215">FP97-FN97</f>
        <v>0</v>
      </c>
      <c r="FR97" s="3568"/>
      <c r="FS97" s="3559"/>
      <c r="FT97" s="3560"/>
      <c r="FU97" s="3547">
        <f t="shared" ref="FU97:FU132" si="216">FT97-FR97</f>
        <v>0</v>
      </c>
      <c r="FV97" s="3568"/>
      <c r="FW97" s="3559"/>
      <c r="FX97" s="3560"/>
      <c r="FY97" s="3547">
        <f t="shared" ref="FY97:FY132" si="217">FX97-FV97</f>
        <v>0</v>
      </c>
      <c r="FZ97" s="3568"/>
      <c r="GA97" s="3569"/>
      <c r="GB97" s="3560"/>
      <c r="GC97" s="3547">
        <f t="shared" ref="GC97:GC132" si="218">GB97-FZ97</f>
        <v>0</v>
      </c>
      <c r="GD97" s="3568"/>
      <c r="GE97" s="3569"/>
      <c r="GF97" s="3560"/>
      <c r="GG97" s="3547">
        <f t="shared" ref="GG97:GG132" si="219">GF97-GD97</f>
        <v>0</v>
      </c>
      <c r="GH97" s="3568"/>
      <c r="GI97" s="3569"/>
      <c r="GJ97" s="3560"/>
      <c r="GK97" s="3547">
        <f t="shared" si="181"/>
        <v>0</v>
      </c>
      <c r="GL97" s="3568"/>
      <c r="GM97" s="3569"/>
      <c r="GN97" s="3560"/>
      <c r="GO97" s="3547">
        <f t="shared" si="182"/>
        <v>0</v>
      </c>
      <c r="GP97" s="3568"/>
      <c r="GQ97" s="3569"/>
      <c r="GR97" s="3562"/>
      <c r="GS97" s="3547">
        <f t="shared" si="183"/>
        <v>0</v>
      </c>
      <c r="GT97" s="3568"/>
      <c r="GU97" s="3569"/>
      <c r="GV97" s="3562"/>
      <c r="GW97" s="3547">
        <f t="shared" si="184"/>
        <v>0</v>
      </c>
      <c r="GX97" s="3568"/>
      <c r="GY97" s="3569">
        <f>1509.37/1.05</f>
        <v>1437.4952380952379</v>
      </c>
      <c r="GZ97" s="3560">
        <f>4528.11/3/1.05</f>
        <v>1437.4952380952379</v>
      </c>
      <c r="HA97" s="3547">
        <f t="shared" si="185"/>
        <v>1437.4952380952379</v>
      </c>
      <c r="HB97" s="3568"/>
      <c r="HC97" s="3569">
        <f>300.43/1.06</f>
        <v>283.42452830188677</v>
      </c>
      <c r="HD97" s="3562">
        <f>901.29/3/1.06</f>
        <v>283.42452830188677</v>
      </c>
      <c r="HE97" s="3547">
        <f t="shared" si="186"/>
        <v>283.42452830188677</v>
      </c>
      <c r="HF97" s="3568"/>
      <c r="HG97" s="3569">
        <f>1509.37/1.05</f>
        <v>1437.4952380952379</v>
      </c>
      <c r="HH97" s="3560">
        <f>4528.11/3/1.05</f>
        <v>1437.4952380952379</v>
      </c>
      <c r="HI97" s="3547">
        <f>HH97-HF97</f>
        <v>1437.4952380952379</v>
      </c>
      <c r="HJ97" s="3568"/>
      <c r="HK97" s="3569">
        <f>300.43/1.06</f>
        <v>283.42452830188677</v>
      </c>
      <c r="HL97" s="3562">
        <f>901.29/3/1.06</f>
        <v>283.42452830188677</v>
      </c>
      <c r="HM97" s="3547">
        <f t="shared" ref="HM97:HM132" si="220">HL97-HJ97</f>
        <v>283.42452830188677</v>
      </c>
      <c r="HN97" s="3568"/>
      <c r="HO97" s="3569">
        <f>1509.37/1.05</f>
        <v>1437.4952380952379</v>
      </c>
      <c r="HP97" s="3562">
        <f>4528.11/3/1.05</f>
        <v>1437.4952380952379</v>
      </c>
      <c r="HQ97" s="3547">
        <f>HP97-HN97</f>
        <v>1437.4952380952379</v>
      </c>
      <c r="HR97" s="3568"/>
      <c r="HS97" s="3569">
        <f>300.43/1.06</f>
        <v>283.42452830188677</v>
      </c>
      <c r="HT97" s="3562">
        <f>901.29/3/1.06</f>
        <v>283.42452830188677</v>
      </c>
      <c r="HU97" s="3547">
        <f t="shared" ref="HU97:HU132" si="221">HT97-HR97</f>
        <v>283.42452830188677</v>
      </c>
      <c r="HV97" s="3568"/>
      <c r="HW97" s="3569">
        <f>1509.37/1.05</f>
        <v>1437.4952380952379</v>
      </c>
      <c r="HX97" s="3562"/>
      <c r="HY97" s="3547">
        <f>HX97-HV97</f>
        <v>0</v>
      </c>
      <c r="HZ97" s="3568"/>
      <c r="IA97" s="3569">
        <f>300.43/1.06</f>
        <v>283.42452830188677</v>
      </c>
      <c r="IB97" s="3560"/>
      <c r="IC97" s="3547">
        <f t="shared" ref="IC97:IC132" si="222">IB97-HZ97</f>
        <v>0</v>
      </c>
      <c r="ID97" s="3568"/>
      <c r="IE97" s="3569">
        <f>1509.37/1.05</f>
        <v>1437.4952380952379</v>
      </c>
      <c r="IF97" s="3562"/>
      <c r="IG97" s="3547">
        <f>IF97-ID97</f>
        <v>0</v>
      </c>
      <c r="IH97" s="3568"/>
      <c r="II97" s="3569">
        <f>300.43/1.06</f>
        <v>283.42452830188677</v>
      </c>
      <c r="IJ97" s="3560"/>
      <c r="IK97" s="3547">
        <f t="shared" ref="IK97:IK132" si="223">IJ97-IH97</f>
        <v>0</v>
      </c>
      <c r="IL97" s="3607" t="s">
        <v>3970</v>
      </c>
      <c r="IM97" s="3569">
        <f>1509.37/1.05</f>
        <v>1437.4952380952379</v>
      </c>
      <c r="IN97" s="3569">
        <f>300.43/1.06</f>
        <v>283.42452830188677</v>
      </c>
      <c r="IO97" s="3547"/>
      <c r="IP97" s="3560">
        <f t="shared" si="195"/>
        <v>0</v>
      </c>
      <c r="IQ97" s="3568"/>
      <c r="IR97" s="3568"/>
      <c r="IS97" s="3568"/>
      <c r="IT97" s="3568"/>
      <c r="IU97" s="3568"/>
      <c r="IV97" s="3568"/>
      <c r="IW97" s="3568"/>
      <c r="IX97" s="3568"/>
      <c r="IY97" s="3568"/>
      <c r="IZ97" s="3560"/>
      <c r="JA97" s="3560"/>
      <c r="JB97" s="3560"/>
      <c r="JC97" s="3560">
        <f t="shared" si="134"/>
        <v>0</v>
      </c>
      <c r="JD97" s="3547"/>
      <c r="JE97" s="3568"/>
      <c r="JF97" s="3568"/>
      <c r="JG97" s="3568"/>
      <c r="JH97" s="3568"/>
      <c r="JI97" s="3568"/>
      <c r="JJ97" s="3568"/>
      <c r="JK97" s="3568"/>
      <c r="JL97" s="3568"/>
      <c r="JM97" s="3568"/>
      <c r="JN97" s="3560"/>
      <c r="JO97" s="3560"/>
      <c r="JP97" s="3570"/>
      <c r="JQ97" s="3583"/>
      <c r="JR97" s="3583"/>
      <c r="JS97" s="3573">
        <f t="shared" si="145"/>
        <v>0</v>
      </c>
      <c r="JT97" s="3573">
        <f t="shared" si="152"/>
        <v>0</v>
      </c>
      <c r="JU97" s="3574">
        <f t="shared" si="146"/>
        <v>0</v>
      </c>
      <c r="JV97" s="3574">
        <f t="shared" si="147"/>
        <v>0</v>
      </c>
      <c r="JW97" s="3575"/>
      <c r="JX97" s="3576">
        <f t="shared" si="148"/>
        <v>1437.4952380952379</v>
      </c>
      <c r="JY97" s="3576">
        <f t="shared" si="149"/>
        <v>283.42452830188677</v>
      </c>
      <c r="JZ97" s="3577"/>
      <c r="KA97" s="3573">
        <f t="shared" si="197"/>
        <v>1720.9197663971247</v>
      </c>
      <c r="KB97" s="3573"/>
      <c r="KC97" s="3573"/>
      <c r="KD97" s="3573">
        <f t="shared" si="150"/>
        <v>1720.9197663971247</v>
      </c>
      <c r="KE97" s="3578" t="s">
        <v>3863</v>
      </c>
      <c r="KF97" s="3579">
        <f>1720.92/10000*2</f>
        <v>0.34418399999999999</v>
      </c>
      <c r="KG97" s="3579"/>
      <c r="KH97" s="3579"/>
      <c r="KI97" s="3579"/>
      <c r="KJ97" s="3579"/>
      <c r="KK97" s="3579"/>
      <c r="KL97" s="3579"/>
      <c r="KM97" s="3579"/>
      <c r="KN97" s="3579"/>
      <c r="KO97" s="3579"/>
      <c r="KP97" s="3579"/>
      <c r="KQ97" s="3579">
        <f t="shared" si="151"/>
        <v>0.34418399999999999</v>
      </c>
      <c r="KR97" s="3579">
        <f t="shared" si="196"/>
        <v>-4.6720575075376303E-8</v>
      </c>
      <c r="KS97" s="3577"/>
      <c r="KT97" s="3577"/>
      <c r="KU97" s="3577"/>
      <c r="KV97" s="3577"/>
      <c r="KW97" s="3577"/>
      <c r="KX97" s="3577"/>
      <c r="KY97" s="3577"/>
      <c r="KZ97" s="3577"/>
      <c r="LA97" s="3577"/>
      <c r="LB97" s="3577"/>
      <c r="LC97" s="3577"/>
      <c r="LD97" s="3577"/>
      <c r="LE97" s="3577"/>
      <c r="LF97" s="3577"/>
      <c r="LG97" s="3577"/>
      <c r="LH97" s="3577"/>
      <c r="LJ97" s="3575"/>
      <c r="LK97" s="3571"/>
      <c r="LL97" s="3576"/>
    </row>
    <row r="98" spans="1:325" s="3580" customFormat="1" ht="18" customHeight="1">
      <c r="A98" s="3545">
        <v>95</v>
      </c>
      <c r="B98" s="3546" t="s">
        <v>4496</v>
      </c>
      <c r="C98" s="3546">
        <v>1420</v>
      </c>
      <c r="D98" s="3551">
        <v>157.01</v>
      </c>
      <c r="E98" s="3548" t="s">
        <v>3799</v>
      </c>
      <c r="F98" s="3546" t="s">
        <v>3790</v>
      </c>
      <c r="G98" s="3546" t="s">
        <v>4647</v>
      </c>
      <c r="H98" s="3546" t="s">
        <v>4648</v>
      </c>
      <c r="I98" s="3594" t="s">
        <v>4649</v>
      </c>
      <c r="J98" s="3629" t="s">
        <v>4414</v>
      </c>
      <c r="K98" s="3545"/>
      <c r="L98" s="3555"/>
      <c r="M98" s="3658">
        <v>59744.28</v>
      </c>
      <c r="N98" s="3658">
        <v>59744.28</v>
      </c>
      <c r="O98" s="3551">
        <f t="shared" si="135"/>
        <v>0</v>
      </c>
      <c r="P98" s="3658">
        <v>11891.55</v>
      </c>
      <c r="Q98" s="3547">
        <f>11891.55</f>
        <v>11891.55</v>
      </c>
      <c r="R98" s="3547">
        <f t="shared" si="132"/>
        <v>0</v>
      </c>
      <c r="S98" s="3547">
        <f t="shared" si="125"/>
        <v>4.1700008637439554</v>
      </c>
      <c r="T98" s="3658">
        <v>19914.759999999998</v>
      </c>
      <c r="U98" s="3553">
        <f t="shared" si="136"/>
        <v>238977.12</v>
      </c>
      <c r="V98" s="3547">
        <f>19914.76*2*12-19914.76*2</f>
        <v>438124.72</v>
      </c>
      <c r="W98" s="3547">
        <f t="shared" si="126"/>
        <v>0.83000035771214287</v>
      </c>
      <c r="X98" s="3663">
        <v>3963.85</v>
      </c>
      <c r="Y98" s="3547">
        <f t="shared" si="198"/>
        <v>47566.2</v>
      </c>
      <c r="Z98" s="3554"/>
      <c r="AA98" s="3555"/>
      <c r="AB98" s="3593" t="s">
        <v>3899</v>
      </c>
      <c r="AC98" s="3556">
        <f t="shared" si="138"/>
        <v>219444.28690410961</v>
      </c>
      <c r="AD98" s="3556">
        <f t="shared" si="139"/>
        <v>159700.00690410958</v>
      </c>
      <c r="AE98" s="3556">
        <f t="shared" si="139"/>
        <v>159700.00999999998</v>
      </c>
      <c r="AF98" s="3556">
        <f t="shared" si="140"/>
        <v>3.0958903953433037E-3</v>
      </c>
      <c r="AG98" s="3556"/>
      <c r="AH98" s="3557">
        <f t="shared" si="141"/>
        <v>47566.19999999999</v>
      </c>
      <c r="AI98" s="3558">
        <f t="shared" si="142"/>
        <v>35674.649999999994</v>
      </c>
      <c r="AJ98" s="3558">
        <f t="shared" si="142"/>
        <v>35674.649999999994</v>
      </c>
      <c r="AK98" s="3557">
        <f t="shared" si="159"/>
        <v>0</v>
      </c>
      <c r="AL98" s="3557"/>
      <c r="AM98" s="3547" t="s">
        <v>3822</v>
      </c>
      <c r="AN98" s="3609">
        <v>19914.759999999998</v>
      </c>
      <c r="AO98" s="3562">
        <v>19914.759999999998</v>
      </c>
      <c r="AP98" s="3561">
        <f t="shared" si="199"/>
        <v>0</v>
      </c>
      <c r="AQ98" s="3559">
        <v>3963.85</v>
      </c>
      <c r="AR98" s="3562">
        <v>3963.85</v>
      </c>
      <c r="AS98" s="3561">
        <f t="shared" si="200"/>
        <v>0</v>
      </c>
      <c r="AT98" s="3563" t="s">
        <v>4650</v>
      </c>
      <c r="AU98" s="3547" t="s">
        <v>3824</v>
      </c>
      <c r="AV98" s="3609">
        <v>19914.759999999998</v>
      </c>
      <c r="AW98" s="3562">
        <v>19914.759999999998</v>
      </c>
      <c r="AX98" s="3561">
        <f t="shared" si="201"/>
        <v>0</v>
      </c>
      <c r="AY98" s="3559">
        <v>3963.85</v>
      </c>
      <c r="AZ98" s="3562">
        <v>3963.85</v>
      </c>
      <c r="BA98" s="3561">
        <f t="shared" si="202"/>
        <v>0</v>
      </c>
      <c r="BB98" s="3563" t="s">
        <v>3944</v>
      </c>
      <c r="BC98" s="3547" t="s">
        <v>3826</v>
      </c>
      <c r="BD98" s="3609">
        <v>19914.759999999998</v>
      </c>
      <c r="BE98" s="3562">
        <v>19914.759999999998</v>
      </c>
      <c r="BF98" s="3561">
        <f t="shared" si="203"/>
        <v>0</v>
      </c>
      <c r="BG98" s="3559">
        <v>3963.85</v>
      </c>
      <c r="BH98" s="3562">
        <f>3963.85</f>
        <v>3963.85</v>
      </c>
      <c r="BI98" s="3561">
        <f t="shared" si="204"/>
        <v>0</v>
      </c>
      <c r="BJ98" s="3563" t="s">
        <v>3945</v>
      </c>
      <c r="BK98" s="3547" t="s">
        <v>3873</v>
      </c>
      <c r="BL98" s="3609">
        <v>19914.759999999998</v>
      </c>
      <c r="BM98" s="3603">
        <v>19914.759999999998</v>
      </c>
      <c r="BN98" s="3602">
        <f t="shared" si="205"/>
        <v>0</v>
      </c>
      <c r="BO98" s="3604">
        <v>3963.85</v>
      </c>
      <c r="BP98" s="3603">
        <f>3963.85</f>
        <v>3963.85</v>
      </c>
      <c r="BQ98" s="3561">
        <f t="shared" si="206"/>
        <v>0</v>
      </c>
      <c r="BR98" s="3563" t="s">
        <v>3962</v>
      </c>
      <c r="BS98" s="3547" t="s">
        <v>3875</v>
      </c>
      <c r="BT98" s="3559">
        <v>19914.759999999998</v>
      </c>
      <c r="BU98" s="3603">
        <v>19914.759999999998</v>
      </c>
      <c r="BV98" s="3602">
        <f t="shared" si="207"/>
        <v>0</v>
      </c>
      <c r="BW98" s="3604">
        <v>3963.85</v>
      </c>
      <c r="BX98" s="3603">
        <v>3963.85</v>
      </c>
      <c r="BY98" s="3561">
        <f t="shared" si="208"/>
        <v>0</v>
      </c>
      <c r="BZ98" s="3563" t="s">
        <v>3963</v>
      </c>
      <c r="CA98" s="3547" t="s">
        <v>3877</v>
      </c>
      <c r="CB98" s="3609">
        <v>19914.759999999998</v>
      </c>
      <c r="CC98" s="3562">
        <v>19914.759999999998</v>
      </c>
      <c r="CD98" s="3561">
        <f t="shared" si="164"/>
        <v>0</v>
      </c>
      <c r="CE98" s="3559">
        <v>3963.85</v>
      </c>
      <c r="CF98" s="3562">
        <v>3963.85</v>
      </c>
      <c r="CG98" s="3561">
        <f t="shared" si="165"/>
        <v>0</v>
      </c>
      <c r="CH98" s="3563" t="s">
        <v>4200</v>
      </c>
      <c r="CI98" s="3547" t="s">
        <v>3948</v>
      </c>
      <c r="CJ98" s="3609">
        <v>19914.759999999998</v>
      </c>
      <c r="CK98" s="3603">
        <v>19914.759999999998</v>
      </c>
      <c r="CL98" s="3561">
        <f t="shared" si="133"/>
        <v>0</v>
      </c>
      <c r="CM98" s="3559">
        <v>3963.85</v>
      </c>
      <c r="CN98" s="3562">
        <v>3963.85</v>
      </c>
      <c r="CO98" s="3561">
        <f t="shared" si="166"/>
        <v>0</v>
      </c>
      <c r="CP98" s="3563" t="s">
        <v>4201</v>
      </c>
      <c r="CQ98" s="3597" t="s">
        <v>3950</v>
      </c>
      <c r="CR98" s="3601">
        <f>19914.76*12/365*27</f>
        <v>17677.759561643838</v>
      </c>
      <c r="CS98" s="3603">
        <v>17677.759999999998</v>
      </c>
      <c r="CT98" s="3561">
        <f t="shared" si="167"/>
        <v>4.3835616088472307E-4</v>
      </c>
      <c r="CU98" s="3559">
        <v>3963.85</v>
      </c>
      <c r="CV98" s="3603">
        <v>3963.85</v>
      </c>
      <c r="CW98" s="3561">
        <f t="shared" si="168"/>
        <v>0</v>
      </c>
      <c r="CX98" s="3563" t="s">
        <v>4651</v>
      </c>
      <c r="CY98" s="3597" t="s">
        <v>3966</v>
      </c>
      <c r="CZ98" s="3601">
        <f>19914.76*12/365*4</f>
        <v>2618.9273424657536</v>
      </c>
      <c r="DA98" s="3603">
        <v>2618.9299999999998</v>
      </c>
      <c r="DB98" s="3561">
        <f t="shared" si="169"/>
        <v>2.6575342462820117E-3</v>
      </c>
      <c r="DC98" s="3559">
        <v>3963.85</v>
      </c>
      <c r="DD98" s="3603">
        <v>3963.85</v>
      </c>
      <c r="DE98" s="3561">
        <f t="shared" si="170"/>
        <v>0</v>
      </c>
      <c r="DF98" s="3563" t="s">
        <v>4652</v>
      </c>
      <c r="DG98" s="3547" t="s">
        <v>3968</v>
      </c>
      <c r="DH98" s="3609">
        <v>19914.759999999998</v>
      </c>
      <c r="DI98" s="3562"/>
      <c r="DJ98" s="3561">
        <f t="shared" si="171"/>
        <v>-19914.759999999998</v>
      </c>
      <c r="DK98" s="3559">
        <v>3963.85</v>
      </c>
      <c r="DL98" s="3562"/>
      <c r="DM98" s="3561">
        <f t="shared" si="172"/>
        <v>-3963.85</v>
      </c>
      <c r="DN98" s="3563"/>
      <c r="DO98" s="3547" t="s">
        <v>3969</v>
      </c>
      <c r="DP98" s="3609">
        <v>19914.759999999998</v>
      </c>
      <c r="DQ98" s="3562"/>
      <c r="DR98" s="3561">
        <f t="shared" si="173"/>
        <v>-19914.759999999998</v>
      </c>
      <c r="DS98" s="3559">
        <v>3963.85</v>
      </c>
      <c r="DT98" s="3562"/>
      <c r="DU98" s="3561">
        <f t="shared" si="209"/>
        <v>-3963.85</v>
      </c>
      <c r="DV98" s="3563"/>
      <c r="DW98" s="3547" t="s">
        <v>3970</v>
      </c>
      <c r="DX98" s="3609">
        <v>19914.759999999998</v>
      </c>
      <c r="DY98" s="3562"/>
      <c r="DZ98" s="3561">
        <f t="shared" si="175"/>
        <v>-19914.759999999998</v>
      </c>
      <c r="EA98" s="3559">
        <v>3963.85</v>
      </c>
      <c r="EB98" s="3562"/>
      <c r="EC98" s="3561">
        <f t="shared" si="176"/>
        <v>-3963.85</v>
      </c>
      <c r="ED98" s="3563"/>
      <c r="EF98" s="3565">
        <f t="shared" si="153"/>
        <v>208994.55895629482</v>
      </c>
      <c r="EG98" s="3565">
        <f t="shared" si="143"/>
        <v>168567.4662491846</v>
      </c>
      <c r="EH98" s="3565">
        <f t="shared" si="143"/>
        <v>168567.46624918457</v>
      </c>
      <c r="EI98" s="3565">
        <f t="shared" si="143"/>
        <v>168567.46666666665</v>
      </c>
      <c r="EJ98" s="3565">
        <f t="shared" si="154"/>
        <v>4.1748204967007041E-4</v>
      </c>
      <c r="EK98" s="3566">
        <f t="shared" si="155"/>
        <v>4.1748207877390087E-4</v>
      </c>
      <c r="EL98" s="3610"/>
      <c r="EM98" s="3567">
        <f t="shared" si="156"/>
        <v>44873.773584905633</v>
      </c>
      <c r="EN98" s="3557">
        <f t="shared" si="144"/>
        <v>33655.330188679232</v>
      </c>
      <c r="EO98" s="3557">
        <f t="shared" si="144"/>
        <v>33655.33018867924</v>
      </c>
      <c r="EP98" s="3557">
        <f t="shared" si="144"/>
        <v>33655.33018867924</v>
      </c>
      <c r="EQ98" s="3557">
        <f t="shared" si="157"/>
        <v>0</v>
      </c>
      <c r="ER98" s="3557">
        <f t="shared" si="158"/>
        <v>0</v>
      </c>
      <c r="ES98" s="3557"/>
      <c r="ET98" s="3568">
        <v>18966.4380952381</v>
      </c>
      <c r="EU98" s="3569">
        <f>19914.76/1.05</f>
        <v>18966.438095238093</v>
      </c>
      <c r="EV98" s="3562">
        <f>19914.76/1.05</f>
        <v>18966.438095238093</v>
      </c>
      <c r="EW98" s="3547">
        <f t="shared" si="210"/>
        <v>0</v>
      </c>
      <c r="EX98" s="3568">
        <v>3739.4811320754702</v>
      </c>
      <c r="EY98" s="3569">
        <f>3963.85/1.06</f>
        <v>3739.4811320754716</v>
      </c>
      <c r="EZ98" s="3562">
        <f>3963.85/1.06</f>
        <v>3739.4811320754716</v>
      </c>
      <c r="FA98" s="3547">
        <f t="shared" si="211"/>
        <v>0</v>
      </c>
      <c r="FB98" s="3568">
        <v>18966.4380952381</v>
      </c>
      <c r="FC98" s="3569">
        <f>19914.76/1.05</f>
        <v>18966.438095238093</v>
      </c>
      <c r="FD98" s="3562">
        <f>19914.76/1.05</f>
        <v>18966.438095238093</v>
      </c>
      <c r="FE98" s="3547">
        <f t="shared" si="212"/>
        <v>0</v>
      </c>
      <c r="FF98" s="3568">
        <v>3739.4811320754702</v>
      </c>
      <c r="FG98" s="3569">
        <f>3963.85/1.06</f>
        <v>3739.4811320754716</v>
      </c>
      <c r="FH98" s="3562">
        <f>3963.85/1.06</f>
        <v>3739.4811320754716</v>
      </c>
      <c r="FI98" s="3547">
        <f t="shared" si="213"/>
        <v>0</v>
      </c>
      <c r="FJ98" s="3568">
        <v>18966.4380952381</v>
      </c>
      <c r="FK98" s="3559">
        <f>19914.76/1.05</f>
        <v>18966.438095238093</v>
      </c>
      <c r="FL98" s="3562">
        <f>19914.76/1.05</f>
        <v>18966.438095238093</v>
      </c>
      <c r="FM98" s="3547">
        <f t="shared" si="214"/>
        <v>0</v>
      </c>
      <c r="FN98" s="3568">
        <v>3739.4811320754702</v>
      </c>
      <c r="FO98" s="3559">
        <f>3963.85/1.06</f>
        <v>3739.4811320754716</v>
      </c>
      <c r="FP98" s="3562">
        <f>3963.85/1.06</f>
        <v>3739.4811320754716</v>
      </c>
      <c r="FQ98" s="3547">
        <f t="shared" si="215"/>
        <v>0</v>
      </c>
      <c r="FR98" s="3568">
        <v>18966.4380952381</v>
      </c>
      <c r="FS98" s="3559">
        <f>19914.76/1.05</f>
        <v>18966.438095238093</v>
      </c>
      <c r="FT98" s="3560">
        <f>19914.76/1.05</f>
        <v>18966.438095238093</v>
      </c>
      <c r="FU98" s="3547">
        <f t="shared" si="216"/>
        <v>0</v>
      </c>
      <c r="FV98" s="3568">
        <v>3739.4811320754702</v>
      </c>
      <c r="FW98" s="3559">
        <f>3963.85/1.06</f>
        <v>3739.4811320754716</v>
      </c>
      <c r="FX98" s="3560">
        <f>3963.85/1.06</f>
        <v>3739.4811320754716</v>
      </c>
      <c r="FY98" s="3547">
        <f t="shared" si="217"/>
        <v>0</v>
      </c>
      <c r="FZ98" s="3568">
        <v>18966.4380952381</v>
      </c>
      <c r="GA98" s="3569">
        <f>19914.76/1.05</f>
        <v>18966.438095238093</v>
      </c>
      <c r="GB98" s="3560">
        <f>19914.76/1.05</f>
        <v>18966.438095238093</v>
      </c>
      <c r="GC98" s="3547">
        <f t="shared" si="218"/>
        <v>0</v>
      </c>
      <c r="GD98" s="3568">
        <v>3739.4811320754702</v>
      </c>
      <c r="GE98" s="3569">
        <f>3963.85/1.06</f>
        <v>3739.4811320754716</v>
      </c>
      <c r="GF98" s="3560">
        <f>3963.85/1.06</f>
        <v>3739.4811320754716</v>
      </c>
      <c r="GG98" s="3547">
        <f t="shared" si="219"/>
        <v>0</v>
      </c>
      <c r="GH98" s="3568">
        <v>18966.4380952381</v>
      </c>
      <c r="GI98" s="3569">
        <f>19914.76/1.05</f>
        <v>18966.438095238093</v>
      </c>
      <c r="GJ98" s="3562">
        <f>19914.76/1.05</f>
        <v>18966.438095238093</v>
      </c>
      <c r="GK98" s="3547">
        <f t="shared" si="181"/>
        <v>0</v>
      </c>
      <c r="GL98" s="3568">
        <v>3739.4811320754702</v>
      </c>
      <c r="GM98" s="3569">
        <f>3963.85/1.06</f>
        <v>3739.4811320754716</v>
      </c>
      <c r="GN98" s="3562">
        <f>3963.85/1.06</f>
        <v>3739.4811320754716</v>
      </c>
      <c r="GO98" s="3547">
        <f t="shared" si="182"/>
        <v>0</v>
      </c>
      <c r="GP98" s="3568">
        <v>18966.4380952381</v>
      </c>
      <c r="GQ98" s="3569">
        <f>19914.76/1.05</f>
        <v>18966.438095238093</v>
      </c>
      <c r="GR98" s="3562">
        <f>19914.76/1.05</f>
        <v>18966.438095238093</v>
      </c>
      <c r="GS98" s="3547">
        <f t="shared" si="183"/>
        <v>0</v>
      </c>
      <c r="GT98" s="3568">
        <v>3739.4811320754702</v>
      </c>
      <c r="GU98" s="3569">
        <f>3963.85/1.06</f>
        <v>3739.4811320754716</v>
      </c>
      <c r="GV98" s="3562">
        <f>3963.85/1.06</f>
        <v>3739.4811320754716</v>
      </c>
      <c r="GW98" s="3547">
        <f t="shared" si="184"/>
        <v>0</v>
      </c>
      <c r="GX98" s="3568">
        <v>18966.4380952381</v>
      </c>
      <c r="GY98" s="3569">
        <f>19914.76/1.05</f>
        <v>18966.438095238093</v>
      </c>
      <c r="GZ98" s="3560">
        <f>19914.76/1.05</f>
        <v>18966.438095238093</v>
      </c>
      <c r="HA98" s="3547">
        <f t="shared" si="185"/>
        <v>0</v>
      </c>
      <c r="HB98" s="3568">
        <v>3739.4811320754702</v>
      </c>
      <c r="HC98" s="3569">
        <f>3963.85/1.06</f>
        <v>3739.4811320754716</v>
      </c>
      <c r="HD98" s="3562">
        <f>3963.85/1.06</f>
        <v>3739.4811320754716</v>
      </c>
      <c r="HE98" s="3547">
        <f t="shared" si="186"/>
        <v>0</v>
      </c>
      <c r="HF98" s="3568">
        <v>16835.961487279801</v>
      </c>
      <c r="HG98" s="3592">
        <f>19914.76/1.05*12/365*27</f>
        <v>16835.961487279841</v>
      </c>
      <c r="HH98" s="3560">
        <f>17677.76/1.05</f>
        <v>16835.961904761902</v>
      </c>
      <c r="HI98" s="3547">
        <f t="shared" ref="HI98:HI132" si="224">HH98-HF98</f>
        <v>4.1748210060177371E-4</v>
      </c>
      <c r="HJ98" s="3568">
        <v>3739.4811320754702</v>
      </c>
      <c r="HK98" s="3569">
        <f>3963.85/1.06</f>
        <v>3739.4811320754716</v>
      </c>
      <c r="HL98" s="3562">
        <f>3963.85/1.06</f>
        <v>3739.4811320754716</v>
      </c>
      <c r="HM98" s="3547">
        <f t="shared" si="220"/>
        <v>0</v>
      </c>
      <c r="HN98" s="3568">
        <v>2494.2165166340501</v>
      </c>
      <c r="HO98" s="3592">
        <f>19914.76/1.05*12/365*4</f>
        <v>2494.2165166340505</v>
      </c>
      <c r="HP98" s="3562">
        <f>2618.93/1.05</f>
        <v>2494.2190476190472</v>
      </c>
      <c r="HQ98" s="3547">
        <f t="shared" ref="HQ98:HQ132" si="225">HP98-HN98</f>
        <v>2.5309849970653886E-3</v>
      </c>
      <c r="HR98" s="3568">
        <v>3739.4811320754702</v>
      </c>
      <c r="HS98" s="3569">
        <f>3963.85/1.06</f>
        <v>3739.4811320754716</v>
      </c>
      <c r="HT98" s="3562">
        <f>3963.85/1.06</f>
        <v>3739.4811320754716</v>
      </c>
      <c r="HU98" s="3547">
        <f t="shared" si="221"/>
        <v>0</v>
      </c>
      <c r="HV98" s="3568">
        <v>18966.4380952381</v>
      </c>
      <c r="HW98" s="3569">
        <f>19914.76/1.05</f>
        <v>18966.438095238093</v>
      </c>
      <c r="HX98" s="3562"/>
      <c r="HY98" s="3547">
        <f t="shared" ref="HY98:HY132" si="226">HX98-HV98</f>
        <v>-18966.4380952381</v>
      </c>
      <c r="HZ98" s="3568">
        <v>3739.4811320754702</v>
      </c>
      <c r="IA98" s="3569">
        <f>3963.85/1.06</f>
        <v>3739.4811320754716</v>
      </c>
      <c r="IB98" s="3562"/>
      <c r="IC98" s="3547">
        <f t="shared" si="222"/>
        <v>-3739.4811320754702</v>
      </c>
      <c r="ID98" s="3568">
        <v>18966.4380952381</v>
      </c>
      <c r="IE98" s="3569">
        <f>19914.76/1.05</f>
        <v>18966.438095238093</v>
      </c>
      <c r="IF98" s="3562"/>
      <c r="IG98" s="3547">
        <f t="shared" ref="IG98:IG132" si="227">IF98-ID98</f>
        <v>-18966.4380952381</v>
      </c>
      <c r="IH98" s="3568">
        <v>3739.4811320754702</v>
      </c>
      <c r="II98" s="3569">
        <f>3963.85/1.06</f>
        <v>3739.4811320754716</v>
      </c>
      <c r="IJ98" s="3562"/>
      <c r="IK98" s="3547">
        <f t="shared" si="223"/>
        <v>-3739.4811320754702</v>
      </c>
      <c r="IL98" s="3547" t="s">
        <v>3970</v>
      </c>
      <c r="IM98" s="3569">
        <f>19914.76/1.05</f>
        <v>18966.438095238093</v>
      </c>
      <c r="IN98" s="3569">
        <f>3963.85/1.06</f>
        <v>3739.4811320754716</v>
      </c>
      <c r="IO98" s="3547"/>
      <c r="IP98" s="3560">
        <f t="shared" si="195"/>
        <v>0</v>
      </c>
      <c r="IQ98" s="3568"/>
      <c r="IR98" s="3568"/>
      <c r="IS98" s="3568"/>
      <c r="IT98" s="3568"/>
      <c r="IU98" s="3568"/>
      <c r="IV98" s="3568"/>
      <c r="IW98" s="3568"/>
      <c r="IX98" s="3568"/>
      <c r="IY98" s="3568"/>
      <c r="IZ98" s="3560"/>
      <c r="JA98" s="3560"/>
      <c r="JB98" s="3560"/>
      <c r="JC98" s="3560">
        <f t="shared" si="134"/>
        <v>0</v>
      </c>
      <c r="JD98" s="3547"/>
      <c r="JE98" s="3568"/>
      <c r="JF98" s="3568"/>
      <c r="JG98" s="3568"/>
      <c r="JH98" s="3568"/>
      <c r="JI98" s="3568"/>
      <c r="JJ98" s="3568"/>
      <c r="JK98" s="3568"/>
      <c r="JL98" s="3568"/>
      <c r="JM98" s="3568"/>
      <c r="JN98" s="3560"/>
      <c r="JO98" s="3560"/>
      <c r="JP98" s="3607" t="s">
        <v>3837</v>
      </c>
      <c r="JQ98" s="3583">
        <f>19914.76/1.05</f>
        <v>18966.438095238093</v>
      </c>
      <c r="JR98" s="3583">
        <f>3963.85/1.06</f>
        <v>3739.4811320754716</v>
      </c>
      <c r="JS98" s="3573">
        <f t="shared" si="145"/>
        <v>8.3673512563109398E-11</v>
      </c>
      <c r="JT98" s="3573">
        <f t="shared" si="152"/>
        <v>-1.1823431123048067E-11</v>
      </c>
      <c r="JU98" s="3574">
        <f t="shared" si="146"/>
        <v>-1.7280399333685637E-11</v>
      </c>
      <c r="JV98" s="3574">
        <f t="shared" si="147"/>
        <v>0</v>
      </c>
      <c r="JW98" s="3575"/>
      <c r="JX98" s="3576">
        <f t="shared" si="148"/>
        <v>2494.2190476190472</v>
      </c>
      <c r="JY98" s="3576">
        <f t="shared" si="149"/>
        <v>3739.4811320754716</v>
      </c>
      <c r="JZ98" s="3577"/>
      <c r="KA98" s="3573">
        <f t="shared" si="197"/>
        <v>4.1748210060177371E-4</v>
      </c>
      <c r="KB98" s="3573"/>
      <c r="KC98" s="3573"/>
      <c r="KD98" s="3573">
        <f t="shared" si="150"/>
        <v>4.1748210060177371E-4</v>
      </c>
      <c r="KE98" s="3571"/>
      <c r="KF98" s="3579"/>
      <c r="KG98" s="3579"/>
      <c r="KH98" s="3579"/>
      <c r="KI98" s="3579"/>
      <c r="KJ98" s="3579"/>
      <c r="KK98" s="3579"/>
      <c r="KL98" s="3579"/>
      <c r="KM98" s="3579"/>
      <c r="KN98" s="3579"/>
      <c r="KO98" s="3579"/>
      <c r="KP98" s="3579"/>
      <c r="KQ98" s="3579">
        <f t="shared" si="151"/>
        <v>0</v>
      </c>
      <c r="KR98" s="3579">
        <f t="shared" si="196"/>
        <v>4.1748204967007041E-8</v>
      </c>
      <c r="KS98" s="3577"/>
      <c r="KT98" s="3577"/>
      <c r="KU98" s="3577"/>
      <c r="KV98" s="3577"/>
      <c r="KW98" s="3577"/>
      <c r="KX98" s="3577"/>
      <c r="KY98" s="3577"/>
      <c r="KZ98" s="3577"/>
      <c r="LA98" s="3577"/>
      <c r="LB98" s="3577"/>
      <c r="LC98" s="3577"/>
      <c r="LD98" s="3577"/>
      <c r="LE98" s="3577"/>
      <c r="LF98" s="3577"/>
      <c r="LG98" s="3577"/>
      <c r="LH98" s="3577"/>
      <c r="LJ98" s="3575"/>
      <c r="LK98" s="3571"/>
      <c r="LL98" s="3576"/>
    </row>
    <row r="99" spans="1:325" s="3580" customFormat="1" ht="18" customHeight="1">
      <c r="A99" s="3545">
        <v>96</v>
      </c>
      <c r="B99" s="3546" t="s">
        <v>4496</v>
      </c>
      <c r="C99" s="3546">
        <v>1421</v>
      </c>
      <c r="D99" s="3551">
        <v>99.49</v>
      </c>
      <c r="E99" s="3548" t="s">
        <v>3799</v>
      </c>
      <c r="F99" s="3546" t="s">
        <v>3790</v>
      </c>
      <c r="G99" s="3546" t="s">
        <v>4653</v>
      </c>
      <c r="H99" s="3546" t="s">
        <v>4654</v>
      </c>
      <c r="I99" s="3594" t="s">
        <v>4649</v>
      </c>
      <c r="J99" s="3629" t="s">
        <v>4414</v>
      </c>
      <c r="K99" s="3545"/>
      <c r="L99" s="3555"/>
      <c r="M99" s="3551">
        <v>37857.18</v>
      </c>
      <c r="N99" s="3551">
        <v>37857.18</v>
      </c>
      <c r="O99" s="3551">
        <f t="shared" si="135"/>
        <v>0</v>
      </c>
      <c r="P99" s="3547">
        <v>7535.13</v>
      </c>
      <c r="Q99" s="3547">
        <v>7535.13</v>
      </c>
      <c r="R99" s="3547">
        <f t="shared" si="132"/>
        <v>0</v>
      </c>
      <c r="S99" s="3547">
        <f t="shared" si="125"/>
        <v>4.1699990499492623</v>
      </c>
      <c r="T99" s="3658">
        <v>12619.06</v>
      </c>
      <c r="U99" s="3553">
        <f t="shared" si="136"/>
        <v>151428.72</v>
      </c>
      <c r="V99" s="3547">
        <f>12619.06*2*12-12619.06*2</f>
        <v>277619.32</v>
      </c>
      <c r="W99" s="3547">
        <f t="shared" si="126"/>
        <v>0.83000067467371264</v>
      </c>
      <c r="X99" s="3663">
        <v>2511.71</v>
      </c>
      <c r="Y99" s="3547">
        <f t="shared" si="198"/>
        <v>30140.52</v>
      </c>
      <c r="Z99" s="3554"/>
      <c r="AA99" s="3555"/>
      <c r="AB99" s="3593" t="s">
        <v>3899</v>
      </c>
      <c r="AC99" s="3556">
        <f t="shared" si="138"/>
        <v>139051.66936986303</v>
      </c>
      <c r="AD99" s="3556">
        <f t="shared" si="139"/>
        <v>101194.48936986302</v>
      </c>
      <c r="AE99" s="3556">
        <f t="shared" si="139"/>
        <v>101194.49</v>
      </c>
      <c r="AF99" s="3556">
        <f t="shared" si="140"/>
        <v>6.3013698672875762E-4</v>
      </c>
      <c r="AG99" s="3556"/>
      <c r="AH99" s="3557">
        <f t="shared" si="141"/>
        <v>30140.519999999993</v>
      </c>
      <c r="AI99" s="3558">
        <f t="shared" si="142"/>
        <v>22605.389999999996</v>
      </c>
      <c r="AJ99" s="3558">
        <f t="shared" si="142"/>
        <v>22605.389999999996</v>
      </c>
      <c r="AK99" s="3557">
        <f t="shared" si="159"/>
        <v>0</v>
      </c>
      <c r="AL99" s="3557"/>
      <c r="AM99" s="3547" t="s">
        <v>3822</v>
      </c>
      <c r="AN99" s="3609">
        <v>12619.06</v>
      </c>
      <c r="AO99" s="3562">
        <v>12619.06</v>
      </c>
      <c r="AP99" s="3561">
        <f t="shared" si="199"/>
        <v>0</v>
      </c>
      <c r="AQ99" s="3559">
        <v>2511.71</v>
      </c>
      <c r="AR99" s="3562">
        <v>2511.71</v>
      </c>
      <c r="AS99" s="3561">
        <f t="shared" si="200"/>
        <v>0</v>
      </c>
      <c r="AT99" s="3563" t="s">
        <v>4650</v>
      </c>
      <c r="AU99" s="3547" t="s">
        <v>3824</v>
      </c>
      <c r="AV99" s="3609">
        <v>12619.06</v>
      </c>
      <c r="AW99" s="3562">
        <v>12619.06</v>
      </c>
      <c r="AX99" s="3561">
        <f t="shared" si="201"/>
        <v>0</v>
      </c>
      <c r="AY99" s="3559">
        <v>2511.71</v>
      </c>
      <c r="AZ99" s="3562">
        <v>2511.71</v>
      </c>
      <c r="BA99" s="3561">
        <f t="shared" si="202"/>
        <v>0</v>
      </c>
      <c r="BB99" s="3563" t="s">
        <v>3944</v>
      </c>
      <c r="BC99" s="3547" t="s">
        <v>3826</v>
      </c>
      <c r="BD99" s="3609">
        <v>12619.06</v>
      </c>
      <c r="BE99" s="3562">
        <v>12619.06</v>
      </c>
      <c r="BF99" s="3561">
        <f t="shared" si="203"/>
        <v>0</v>
      </c>
      <c r="BG99" s="3559">
        <v>2511.71</v>
      </c>
      <c r="BH99" s="3562">
        <v>2511.71</v>
      </c>
      <c r="BI99" s="3561">
        <f t="shared" si="204"/>
        <v>0</v>
      </c>
      <c r="BJ99" s="3563" t="s">
        <v>3945</v>
      </c>
      <c r="BK99" s="3547" t="s">
        <v>3873</v>
      </c>
      <c r="BL99" s="3609">
        <v>12619.06</v>
      </c>
      <c r="BM99" s="3603">
        <v>12619.06</v>
      </c>
      <c r="BN99" s="3602">
        <f t="shared" si="205"/>
        <v>0</v>
      </c>
      <c r="BO99" s="3604">
        <v>2511.71</v>
      </c>
      <c r="BP99" s="3603">
        <v>2511.71</v>
      </c>
      <c r="BQ99" s="3561">
        <f t="shared" si="206"/>
        <v>0</v>
      </c>
      <c r="BR99" s="3563" t="s">
        <v>3962</v>
      </c>
      <c r="BS99" s="3547" t="s">
        <v>3875</v>
      </c>
      <c r="BT99" s="3559">
        <v>12619.06</v>
      </c>
      <c r="BU99" s="3603">
        <v>12619.06</v>
      </c>
      <c r="BV99" s="3602">
        <f t="shared" si="207"/>
        <v>0</v>
      </c>
      <c r="BW99" s="3604">
        <v>2511.71</v>
      </c>
      <c r="BX99" s="3603">
        <v>2511.71</v>
      </c>
      <c r="BY99" s="3561">
        <f t="shared" si="208"/>
        <v>0</v>
      </c>
      <c r="BZ99" s="3563" t="s">
        <v>3963</v>
      </c>
      <c r="CA99" s="3547" t="s">
        <v>3877</v>
      </c>
      <c r="CB99" s="3609">
        <v>12619.06</v>
      </c>
      <c r="CC99" s="3562">
        <v>12619.06</v>
      </c>
      <c r="CD99" s="3561">
        <f t="shared" si="164"/>
        <v>0</v>
      </c>
      <c r="CE99" s="3559">
        <v>2511.71</v>
      </c>
      <c r="CF99" s="3562">
        <v>2511.71</v>
      </c>
      <c r="CG99" s="3561">
        <f t="shared" si="165"/>
        <v>0</v>
      </c>
      <c r="CH99" s="3563" t="s">
        <v>4200</v>
      </c>
      <c r="CI99" s="3547" t="s">
        <v>3948</v>
      </c>
      <c r="CJ99" s="3609">
        <v>12619.06</v>
      </c>
      <c r="CK99" s="3603">
        <f>12619.06</f>
        <v>12619.06</v>
      </c>
      <c r="CL99" s="3561">
        <f t="shared" si="133"/>
        <v>0</v>
      </c>
      <c r="CM99" s="3559">
        <v>2511.71</v>
      </c>
      <c r="CN99" s="3562">
        <v>2511.71</v>
      </c>
      <c r="CO99" s="3561">
        <f t="shared" si="166"/>
        <v>0</v>
      </c>
      <c r="CP99" s="3563" t="s">
        <v>4201</v>
      </c>
      <c r="CQ99" s="3597" t="s">
        <v>3950</v>
      </c>
      <c r="CR99" s="3601">
        <f>12619.06*12/365*27</f>
        <v>11201.576547945206</v>
      </c>
      <c r="CS99" s="3603">
        <v>11201.58</v>
      </c>
      <c r="CT99" s="3561">
        <f t="shared" si="167"/>
        <v>3.4520547942520352E-3</v>
      </c>
      <c r="CU99" s="3559">
        <v>2511.71</v>
      </c>
      <c r="CV99" s="3603">
        <v>2511.71</v>
      </c>
      <c r="CW99" s="3561">
        <f t="shared" si="168"/>
        <v>0</v>
      </c>
      <c r="CX99" s="3563" t="s">
        <v>4651</v>
      </c>
      <c r="CY99" s="3597" t="s">
        <v>3966</v>
      </c>
      <c r="CZ99" s="3601">
        <f>12619.06*12/365*4</f>
        <v>1659.4928219178082</v>
      </c>
      <c r="DA99" s="3603">
        <v>1659.49</v>
      </c>
      <c r="DB99" s="3561">
        <f t="shared" si="169"/>
        <v>-2.8219178082053986E-3</v>
      </c>
      <c r="DC99" s="3559">
        <v>2511.71</v>
      </c>
      <c r="DD99" s="3603">
        <v>2511.71</v>
      </c>
      <c r="DE99" s="3561">
        <f t="shared" si="170"/>
        <v>0</v>
      </c>
      <c r="DF99" s="3563" t="s">
        <v>4652</v>
      </c>
      <c r="DG99" s="3547" t="s">
        <v>3968</v>
      </c>
      <c r="DH99" s="3609">
        <v>12619.06</v>
      </c>
      <c r="DI99" s="3562"/>
      <c r="DJ99" s="3561">
        <f t="shared" si="171"/>
        <v>-12619.06</v>
      </c>
      <c r="DK99" s="3559">
        <v>2511.71</v>
      </c>
      <c r="DL99" s="3562"/>
      <c r="DM99" s="3561">
        <f t="shared" si="172"/>
        <v>-2511.71</v>
      </c>
      <c r="DN99" s="3563"/>
      <c r="DO99" s="3547" t="s">
        <v>3969</v>
      </c>
      <c r="DP99" s="3609">
        <v>12619.06</v>
      </c>
      <c r="DQ99" s="3562"/>
      <c r="DR99" s="3561">
        <f t="shared" si="173"/>
        <v>-12619.06</v>
      </c>
      <c r="DS99" s="3559">
        <v>2511.71</v>
      </c>
      <c r="DT99" s="3562"/>
      <c r="DU99" s="3561">
        <f t="shared" si="209"/>
        <v>-2511.71</v>
      </c>
      <c r="DV99" s="3563"/>
      <c r="DW99" s="3547" t="s">
        <v>3970</v>
      </c>
      <c r="DX99" s="3609">
        <v>12619.06</v>
      </c>
      <c r="DY99" s="3562"/>
      <c r="DZ99" s="3561">
        <f t="shared" si="175"/>
        <v>-12619.06</v>
      </c>
      <c r="EA99" s="3559">
        <v>2511.71</v>
      </c>
      <c r="EB99" s="3562"/>
      <c r="EC99" s="3561">
        <f t="shared" si="176"/>
        <v>-2511.71</v>
      </c>
      <c r="ED99" s="3563"/>
      <c r="EF99" s="3565">
        <f t="shared" si="153"/>
        <v>132430.16130463165</v>
      </c>
      <c r="EG99" s="3565">
        <f t="shared" si="143"/>
        <v>106813.38718851941</v>
      </c>
      <c r="EH99" s="3565">
        <f t="shared" si="143"/>
        <v>106813.38718851923</v>
      </c>
      <c r="EI99" s="3565">
        <f t="shared" si="143"/>
        <v>106813.39047619047</v>
      </c>
      <c r="EJ99" s="3565">
        <f t="shared" si="154"/>
        <v>3.2876710611162707E-3</v>
      </c>
      <c r="EK99" s="3566">
        <f t="shared" si="155"/>
        <v>3.2876712357392535E-3</v>
      </c>
      <c r="EL99" s="3610"/>
      <c r="EM99" s="3567">
        <f t="shared" si="156"/>
        <v>28434.452830188715</v>
      </c>
      <c r="EN99" s="3557">
        <f t="shared" si="144"/>
        <v>21325.839622641539</v>
      </c>
      <c r="EO99" s="3557">
        <f t="shared" si="144"/>
        <v>21325.839622641506</v>
      </c>
      <c r="EP99" s="3557">
        <f t="shared" si="144"/>
        <v>21325.839622641506</v>
      </c>
      <c r="EQ99" s="3557">
        <f t="shared" si="157"/>
        <v>-3.2741809263825417E-11</v>
      </c>
      <c r="ER99" s="3557">
        <f t="shared" si="158"/>
        <v>0</v>
      </c>
      <c r="ES99" s="3557"/>
      <c r="ET99" s="3568">
        <v>12018.152380952401</v>
      </c>
      <c r="EU99" s="3569">
        <f>12619.06/1.05</f>
        <v>12018.152380952381</v>
      </c>
      <c r="EV99" s="3562">
        <f>12619.06/1.05</f>
        <v>12018.152380952381</v>
      </c>
      <c r="EW99" s="3547">
        <f t="shared" si="210"/>
        <v>-2.0008883439004421E-11</v>
      </c>
      <c r="EX99" s="3568">
        <v>2369.53773584906</v>
      </c>
      <c r="EY99" s="3569">
        <f>2511.71/1.06</f>
        <v>2369.5377358490564</v>
      </c>
      <c r="EZ99" s="3562">
        <f>2511.71/1.06</f>
        <v>2369.5377358490564</v>
      </c>
      <c r="FA99" s="3547">
        <f t="shared" si="211"/>
        <v>-3.637978807091713E-12</v>
      </c>
      <c r="FB99" s="3568">
        <v>12018.152380952401</v>
      </c>
      <c r="FC99" s="3569">
        <f>12619.06/1.05</f>
        <v>12018.152380952381</v>
      </c>
      <c r="FD99" s="3562">
        <f>12619.06/1.05</f>
        <v>12018.152380952381</v>
      </c>
      <c r="FE99" s="3547">
        <f t="shared" si="212"/>
        <v>-2.0008883439004421E-11</v>
      </c>
      <c r="FF99" s="3568">
        <v>2369.53773584906</v>
      </c>
      <c r="FG99" s="3569">
        <f>2511.71/1.06</f>
        <v>2369.5377358490564</v>
      </c>
      <c r="FH99" s="3562">
        <f>2511.71/1.06</f>
        <v>2369.5377358490564</v>
      </c>
      <c r="FI99" s="3547">
        <f t="shared" si="213"/>
        <v>-3.637978807091713E-12</v>
      </c>
      <c r="FJ99" s="3568">
        <v>12018.152380952401</v>
      </c>
      <c r="FK99" s="3559">
        <f>12619.06/1.05</f>
        <v>12018.152380952381</v>
      </c>
      <c r="FL99" s="3562">
        <f>12619.06/1.05</f>
        <v>12018.152380952381</v>
      </c>
      <c r="FM99" s="3547">
        <f t="shared" si="214"/>
        <v>-2.0008883439004421E-11</v>
      </c>
      <c r="FN99" s="3568">
        <v>2369.53773584906</v>
      </c>
      <c r="FO99" s="3559">
        <f>2511.71/1.06</f>
        <v>2369.5377358490564</v>
      </c>
      <c r="FP99" s="3562">
        <f>2511.71/1.06</f>
        <v>2369.5377358490564</v>
      </c>
      <c r="FQ99" s="3547">
        <f t="shared" si="215"/>
        <v>-3.637978807091713E-12</v>
      </c>
      <c r="FR99" s="3568">
        <v>12018.152380952401</v>
      </c>
      <c r="FS99" s="3559">
        <f>12619.06/1.05</f>
        <v>12018.152380952381</v>
      </c>
      <c r="FT99" s="3560">
        <f>12619.06/1.05</f>
        <v>12018.152380952381</v>
      </c>
      <c r="FU99" s="3547">
        <f t="shared" si="216"/>
        <v>-2.0008883439004421E-11</v>
      </c>
      <c r="FV99" s="3568">
        <v>2369.53773584906</v>
      </c>
      <c r="FW99" s="3559">
        <f>2511.71/1.06</f>
        <v>2369.5377358490564</v>
      </c>
      <c r="FX99" s="3560">
        <f>2511.71/1.06</f>
        <v>2369.5377358490564</v>
      </c>
      <c r="FY99" s="3547">
        <f t="shared" si="217"/>
        <v>-3.637978807091713E-12</v>
      </c>
      <c r="FZ99" s="3568">
        <v>12018.152380952401</v>
      </c>
      <c r="GA99" s="3569">
        <f>12619.06/1.05</f>
        <v>12018.152380952381</v>
      </c>
      <c r="GB99" s="3560">
        <f>12619.06/1.05</f>
        <v>12018.152380952381</v>
      </c>
      <c r="GC99" s="3547">
        <f t="shared" si="218"/>
        <v>-2.0008883439004421E-11</v>
      </c>
      <c r="GD99" s="3568">
        <v>2369.53773584906</v>
      </c>
      <c r="GE99" s="3569">
        <f>2511.71/1.06</f>
        <v>2369.5377358490564</v>
      </c>
      <c r="GF99" s="3560">
        <f>2511.71/1.06</f>
        <v>2369.5377358490564</v>
      </c>
      <c r="GG99" s="3547">
        <f t="shared" si="219"/>
        <v>-3.637978807091713E-12</v>
      </c>
      <c r="GH99" s="3568">
        <v>12018.152380952401</v>
      </c>
      <c r="GI99" s="3569">
        <f>12619.06/1.05</f>
        <v>12018.152380952381</v>
      </c>
      <c r="GJ99" s="3562">
        <f>12619.06/1.05</f>
        <v>12018.152380952381</v>
      </c>
      <c r="GK99" s="3547">
        <f t="shared" si="181"/>
        <v>-2.0008883439004421E-11</v>
      </c>
      <c r="GL99" s="3568">
        <v>2369.53773584906</v>
      </c>
      <c r="GM99" s="3569">
        <f>2511.71/1.06</f>
        <v>2369.5377358490564</v>
      </c>
      <c r="GN99" s="3562">
        <f>2511.71/1.06</f>
        <v>2369.5377358490564</v>
      </c>
      <c r="GO99" s="3547">
        <f t="shared" si="182"/>
        <v>-3.637978807091713E-12</v>
      </c>
      <c r="GP99" s="3568">
        <v>12018.152380952401</v>
      </c>
      <c r="GQ99" s="3569">
        <f>12619.06/1.05</f>
        <v>12018.152380952381</v>
      </c>
      <c r="GR99" s="3562">
        <f>12619.06/1.05</f>
        <v>12018.152380952381</v>
      </c>
      <c r="GS99" s="3547">
        <f t="shared" si="183"/>
        <v>-2.0008883439004421E-11</v>
      </c>
      <c r="GT99" s="3568">
        <v>2369.53773584906</v>
      </c>
      <c r="GU99" s="3569">
        <f>2511.71/1.06</f>
        <v>2369.5377358490564</v>
      </c>
      <c r="GV99" s="3562">
        <f>2511.71/1.06</f>
        <v>2369.5377358490564</v>
      </c>
      <c r="GW99" s="3547">
        <f t="shared" si="184"/>
        <v>-3.637978807091713E-12</v>
      </c>
      <c r="GX99" s="3568">
        <v>12018.152380952401</v>
      </c>
      <c r="GY99" s="3569">
        <f>12619.06/1.05</f>
        <v>12018.152380952381</v>
      </c>
      <c r="GZ99" s="3560">
        <f>12619.06/1.05</f>
        <v>12018.152380952381</v>
      </c>
      <c r="HA99" s="3547">
        <f t="shared" si="185"/>
        <v>-2.0008883439004421E-11</v>
      </c>
      <c r="HB99" s="3568">
        <v>2369.53773584906</v>
      </c>
      <c r="HC99" s="3569">
        <f>2511.71/1.06</f>
        <v>2369.5377358490564</v>
      </c>
      <c r="HD99" s="3562">
        <f>2511.71/1.06</f>
        <v>2369.5377358490564</v>
      </c>
      <c r="HE99" s="3547">
        <f t="shared" si="186"/>
        <v>-3.637978807091713E-12</v>
      </c>
      <c r="HF99" s="3568">
        <v>10668.168140900199</v>
      </c>
      <c r="HG99" s="3592">
        <f>12619.06/1.05*12/365*27</f>
        <v>10668.168140900196</v>
      </c>
      <c r="HH99" s="3560">
        <f>11201.58/1.05</f>
        <v>10668.171428571428</v>
      </c>
      <c r="HI99" s="3547">
        <f t="shared" si="224"/>
        <v>3.2876712284632958E-3</v>
      </c>
      <c r="HJ99" s="3568">
        <v>2369.53773584906</v>
      </c>
      <c r="HK99" s="3569">
        <f>2511.71/1.06</f>
        <v>2369.5377358490564</v>
      </c>
      <c r="HL99" s="3562">
        <f>2511.71/1.06</f>
        <v>2369.5377358490564</v>
      </c>
      <c r="HM99" s="3547">
        <f t="shared" si="220"/>
        <v>-3.637978807091713E-12</v>
      </c>
      <c r="HN99" s="3568">
        <v>1580.4693542074399</v>
      </c>
      <c r="HO99" s="3592">
        <f>12619.06/1.05*12/365*4</f>
        <v>1580.4693542074365</v>
      </c>
      <c r="HP99" s="3562">
        <f>1659.49/1.05</f>
        <v>1580.4666666666667</v>
      </c>
      <c r="HQ99" s="3547">
        <f t="shared" si="225"/>
        <v>-2.6875407731949963E-3</v>
      </c>
      <c r="HR99" s="3568">
        <v>2369.53773584906</v>
      </c>
      <c r="HS99" s="3569">
        <f>2511.71/1.06</f>
        <v>2369.5377358490564</v>
      </c>
      <c r="HT99" s="3562">
        <f>2511.71/1.06</f>
        <v>2369.5377358490564</v>
      </c>
      <c r="HU99" s="3547">
        <f t="shared" si="221"/>
        <v>-3.637978807091713E-12</v>
      </c>
      <c r="HV99" s="3568">
        <v>12018.152380952401</v>
      </c>
      <c r="HW99" s="3569">
        <f>12619.06/1.05</f>
        <v>12018.152380952381</v>
      </c>
      <c r="HX99" s="3562"/>
      <c r="HY99" s="3547">
        <f t="shared" si="226"/>
        <v>-12018.152380952401</v>
      </c>
      <c r="HZ99" s="3568">
        <v>2369.53773584906</v>
      </c>
      <c r="IA99" s="3569">
        <f>2511.71/1.06</f>
        <v>2369.5377358490564</v>
      </c>
      <c r="IB99" s="3562"/>
      <c r="IC99" s="3547">
        <f t="shared" si="222"/>
        <v>-2369.53773584906</v>
      </c>
      <c r="ID99" s="3568">
        <v>12018.152380952401</v>
      </c>
      <c r="IE99" s="3569">
        <f>12619.06/1.05</f>
        <v>12018.152380952381</v>
      </c>
      <c r="IF99" s="3562"/>
      <c r="IG99" s="3547">
        <f t="shared" si="227"/>
        <v>-12018.152380952401</v>
      </c>
      <c r="IH99" s="3568">
        <v>2369.53773584906</v>
      </c>
      <c r="II99" s="3569">
        <f>2511.71/1.06</f>
        <v>2369.5377358490564</v>
      </c>
      <c r="IJ99" s="3562"/>
      <c r="IK99" s="3547">
        <f t="shared" si="223"/>
        <v>-2369.53773584906</v>
      </c>
      <c r="IL99" s="3547" t="s">
        <v>3970</v>
      </c>
      <c r="IM99" s="3569">
        <f>12619.06/1.05</f>
        <v>12018.152380952381</v>
      </c>
      <c r="IN99" s="3569">
        <f>2511.71/1.06</f>
        <v>2369.5377358490564</v>
      </c>
      <c r="IO99" s="3547"/>
      <c r="IP99" s="3560">
        <f t="shared" si="195"/>
        <v>0</v>
      </c>
      <c r="IQ99" s="3568"/>
      <c r="IR99" s="3568"/>
      <c r="IS99" s="3568"/>
      <c r="IT99" s="3568"/>
      <c r="IU99" s="3568"/>
      <c r="IV99" s="3568"/>
      <c r="IW99" s="3568"/>
      <c r="IX99" s="3568"/>
      <c r="IY99" s="3568"/>
      <c r="IZ99" s="3560"/>
      <c r="JA99" s="3560"/>
      <c r="JB99" s="3560"/>
      <c r="JC99" s="3560">
        <f t="shared" si="134"/>
        <v>0</v>
      </c>
      <c r="JD99" s="3547"/>
      <c r="JE99" s="3568"/>
      <c r="JF99" s="3568"/>
      <c r="JG99" s="3568"/>
      <c r="JH99" s="3568"/>
      <c r="JI99" s="3568"/>
      <c r="JJ99" s="3568"/>
      <c r="JK99" s="3568"/>
      <c r="JL99" s="3568"/>
      <c r="JM99" s="3568"/>
      <c r="JN99" s="3560"/>
      <c r="JO99" s="3560"/>
      <c r="JP99" s="3607" t="s">
        <v>3837</v>
      </c>
      <c r="JQ99" s="3583">
        <f>12619.06/1.05</f>
        <v>12018.152380952381</v>
      </c>
      <c r="JR99" s="3583">
        <f>2511.71/1.06</f>
        <v>2369.5377358490564</v>
      </c>
      <c r="JS99" s="3573">
        <f t="shared" si="145"/>
        <v>0</v>
      </c>
      <c r="JT99" s="3573">
        <f t="shared" si="152"/>
        <v>0</v>
      </c>
      <c r="JU99" s="3574">
        <f t="shared" si="146"/>
        <v>7.73070496506989E-12</v>
      </c>
      <c r="JV99" s="3574">
        <f t="shared" si="147"/>
        <v>0</v>
      </c>
      <c r="JW99" s="3575"/>
      <c r="JX99" s="3576">
        <f t="shared" si="148"/>
        <v>1580.4666666666667</v>
      </c>
      <c r="JY99" s="3576">
        <f t="shared" si="149"/>
        <v>2369.5377358490564</v>
      </c>
      <c r="JZ99" s="3577"/>
      <c r="KA99" s="3573">
        <f t="shared" si="197"/>
        <v>3.287671224825317E-3</v>
      </c>
      <c r="KB99" s="3573"/>
      <c r="KC99" s="3573"/>
      <c r="KD99" s="3573">
        <f t="shared" si="150"/>
        <v>3.287671224825317E-3</v>
      </c>
      <c r="KE99" s="3571"/>
      <c r="KF99" s="3579"/>
      <c r="KG99" s="3579"/>
      <c r="KH99" s="3579"/>
      <c r="KI99" s="3579"/>
      <c r="KJ99" s="3579"/>
      <c r="KK99" s="3579"/>
      <c r="KL99" s="3579"/>
      <c r="KM99" s="3579"/>
      <c r="KN99" s="3579"/>
      <c r="KO99" s="3579"/>
      <c r="KP99" s="3579"/>
      <c r="KQ99" s="3579">
        <f t="shared" si="151"/>
        <v>0</v>
      </c>
      <c r="KR99" s="3579">
        <f t="shared" si="196"/>
        <v>3.2876710283744614E-7</v>
      </c>
      <c r="KS99" s="3577"/>
      <c r="KT99" s="3577"/>
      <c r="KU99" s="3577"/>
      <c r="KV99" s="3577"/>
      <c r="KW99" s="3577"/>
      <c r="KX99" s="3577"/>
      <c r="KY99" s="3577"/>
      <c r="KZ99" s="3577"/>
      <c r="LA99" s="3577"/>
      <c r="LB99" s="3577"/>
      <c r="LC99" s="3577"/>
      <c r="LD99" s="3577"/>
      <c r="LE99" s="3577"/>
      <c r="LF99" s="3577"/>
      <c r="LG99" s="3577"/>
      <c r="LH99" s="3577"/>
      <c r="LJ99" s="3575"/>
      <c r="LK99" s="3571"/>
      <c r="LL99" s="3576"/>
    </row>
    <row r="100" spans="1:325" s="3580" customFormat="1" ht="18" customHeight="1">
      <c r="A100" s="3545">
        <v>97</v>
      </c>
      <c r="B100" s="3546" t="s">
        <v>4496</v>
      </c>
      <c r="C100" s="3546" t="s">
        <v>4655</v>
      </c>
      <c r="D100" s="3547">
        <v>40.799999999999997</v>
      </c>
      <c r="E100" s="3548" t="s">
        <v>3799</v>
      </c>
      <c r="F100" s="3546" t="s">
        <v>3790</v>
      </c>
      <c r="G100" s="3546" t="s">
        <v>4656</v>
      </c>
      <c r="H100" s="3546" t="s">
        <v>4657</v>
      </c>
      <c r="I100" s="3594" t="s">
        <v>4658</v>
      </c>
      <c r="J100" s="3653" t="s">
        <v>4659</v>
      </c>
      <c r="K100" s="3545"/>
      <c r="L100" s="3555"/>
      <c r="M100" s="3551">
        <v>15524.91</v>
      </c>
      <c r="N100" s="3551">
        <v>15524.91</v>
      </c>
      <c r="O100" s="3551">
        <f t="shared" si="135"/>
        <v>0</v>
      </c>
      <c r="P100" s="3547">
        <v>3090.09</v>
      </c>
      <c r="Q100" s="3547">
        <v>3090.09</v>
      </c>
      <c r="R100" s="3547">
        <f t="shared" si="132"/>
        <v>0</v>
      </c>
      <c r="S100" s="3547">
        <f t="shared" si="125"/>
        <v>4.17</v>
      </c>
      <c r="T100" s="3690">
        <v>5174.97</v>
      </c>
      <c r="U100" s="3553">
        <f t="shared" si="136"/>
        <v>62099.64</v>
      </c>
      <c r="V100" s="3547">
        <f>5174.97*22+5485.22*12</f>
        <v>179671.98</v>
      </c>
      <c r="W100" s="3547">
        <f t="shared" si="126"/>
        <v>0.83000000000000018</v>
      </c>
      <c r="X100" s="3663">
        <v>1030.03</v>
      </c>
      <c r="Y100" s="3547">
        <f t="shared" si="198"/>
        <v>12360.36</v>
      </c>
      <c r="Z100" s="3554"/>
      <c r="AA100" s="3555"/>
      <c r="AB100" s="3593" t="s">
        <v>3804</v>
      </c>
      <c r="AC100" s="3556">
        <f t="shared" si="138"/>
        <v>67591.520000000004</v>
      </c>
      <c r="AD100" s="3556">
        <f t="shared" si="139"/>
        <v>52066.61</v>
      </c>
      <c r="AE100" s="3556">
        <f t="shared" si="139"/>
        <v>52066.61</v>
      </c>
      <c r="AF100" s="3556">
        <f t="shared" si="140"/>
        <v>0</v>
      </c>
      <c r="AG100" s="3556"/>
      <c r="AH100" s="3557">
        <f t="shared" si="141"/>
        <v>14739.310000000001</v>
      </c>
      <c r="AI100" s="3558">
        <f t="shared" si="142"/>
        <v>11649.220000000001</v>
      </c>
      <c r="AJ100" s="3558">
        <f t="shared" si="142"/>
        <v>11649.220000000001</v>
      </c>
      <c r="AK100" s="3557">
        <f t="shared" si="159"/>
        <v>0</v>
      </c>
      <c r="AL100" s="3557"/>
      <c r="AM100" s="3547" t="s">
        <v>4319</v>
      </c>
      <c r="AN100" s="3609">
        <f>15524.91</f>
        <v>15524.91</v>
      </c>
      <c r="AO100" s="3562">
        <v>15524.91</v>
      </c>
      <c r="AP100" s="3561">
        <f t="shared" si="199"/>
        <v>0</v>
      </c>
      <c r="AQ100" s="3559">
        <f>3090.09</f>
        <v>3090.09</v>
      </c>
      <c r="AR100" s="3562">
        <v>3090.09</v>
      </c>
      <c r="AS100" s="3561">
        <f t="shared" si="200"/>
        <v>0</v>
      </c>
      <c r="AT100" s="3563" t="s">
        <v>4660</v>
      </c>
      <c r="AU100" s="3584" t="s">
        <v>4661</v>
      </c>
      <c r="AV100" s="3609">
        <f>-4858.06</f>
        <v>-4858.0600000000004</v>
      </c>
      <c r="AW100" s="3562">
        <f>-7036.47+2178.41</f>
        <v>-4858.0600000000004</v>
      </c>
      <c r="AX100" s="3561">
        <f t="shared" si="201"/>
        <v>0</v>
      </c>
      <c r="AY100" s="3559">
        <f>-711.14</f>
        <v>-711.14</v>
      </c>
      <c r="AZ100" s="3562">
        <f>-1030.03+318.89</f>
        <v>-711.14</v>
      </c>
      <c r="BA100" s="3561">
        <f t="shared" si="202"/>
        <v>0</v>
      </c>
      <c r="BB100" s="3563" t="s">
        <v>4662</v>
      </c>
      <c r="BC100" s="3547" t="s">
        <v>4323</v>
      </c>
      <c r="BD100" s="3609">
        <f>5174.97*3</f>
        <v>15524.91</v>
      </c>
      <c r="BE100" s="3562">
        <f>15524.91</f>
        <v>15524.91</v>
      </c>
      <c r="BF100" s="3561">
        <f t="shared" si="203"/>
        <v>0</v>
      </c>
      <c r="BG100" s="3559">
        <f>1030.03*3</f>
        <v>3090.09</v>
      </c>
      <c r="BH100" s="3562">
        <v>3090.09</v>
      </c>
      <c r="BI100" s="3561">
        <f t="shared" si="204"/>
        <v>0</v>
      </c>
      <c r="BJ100" s="3563" t="s">
        <v>4663</v>
      </c>
      <c r="BK100" s="3547"/>
      <c r="BL100" s="3609"/>
      <c r="BM100" s="3562"/>
      <c r="BN100" s="3561">
        <f t="shared" si="205"/>
        <v>0</v>
      </c>
      <c r="BO100" s="3559"/>
      <c r="BP100" s="3562"/>
      <c r="BQ100" s="3561">
        <f t="shared" si="206"/>
        <v>0</v>
      </c>
      <c r="BR100" s="3563" t="s">
        <v>4663</v>
      </c>
      <c r="BS100" s="3547"/>
      <c r="BT100" s="3559"/>
      <c r="BU100" s="3562"/>
      <c r="BV100" s="3561">
        <f t="shared" si="207"/>
        <v>0</v>
      </c>
      <c r="BW100" s="3559"/>
      <c r="BX100" s="3562"/>
      <c r="BY100" s="3561">
        <f t="shared" si="208"/>
        <v>0</v>
      </c>
      <c r="BZ100" s="3563" t="s">
        <v>4663</v>
      </c>
      <c r="CA100" s="3547" t="s">
        <v>4325</v>
      </c>
      <c r="CB100" s="3609">
        <f>5174.97*3</f>
        <v>15524.91</v>
      </c>
      <c r="CC100" s="3603">
        <v>15524.91</v>
      </c>
      <c r="CD100" s="3561">
        <f t="shared" si="164"/>
        <v>0</v>
      </c>
      <c r="CE100" s="3559">
        <f>1030.03*3</f>
        <v>3090.09</v>
      </c>
      <c r="CF100" s="3562">
        <v>3090.09</v>
      </c>
      <c r="CG100" s="3561">
        <f t="shared" si="165"/>
        <v>0</v>
      </c>
      <c r="CH100" s="3563" t="s">
        <v>4664</v>
      </c>
      <c r="CI100" s="3547"/>
      <c r="CJ100" s="3609"/>
      <c r="CK100" s="3562"/>
      <c r="CL100" s="3561">
        <f t="shared" si="133"/>
        <v>0</v>
      </c>
      <c r="CM100" s="3559"/>
      <c r="CN100" s="3562"/>
      <c r="CO100" s="3561">
        <f t="shared" si="166"/>
        <v>0</v>
      </c>
      <c r="CP100" s="3563" t="s">
        <v>4664</v>
      </c>
      <c r="CQ100" s="3547"/>
      <c r="CR100" s="3609"/>
      <c r="CS100" s="3603"/>
      <c r="CT100" s="3561">
        <f t="shared" si="167"/>
        <v>0</v>
      </c>
      <c r="CU100" s="3559"/>
      <c r="CV100" s="3603"/>
      <c r="CW100" s="3561">
        <f t="shared" si="168"/>
        <v>0</v>
      </c>
      <c r="CX100" s="3563" t="s">
        <v>4664</v>
      </c>
      <c r="CY100" s="3597" t="s">
        <v>4327</v>
      </c>
      <c r="CZ100" s="3601">
        <f>5174.97*2</f>
        <v>10349.94</v>
      </c>
      <c r="DA100" s="3562">
        <v>10349.94</v>
      </c>
      <c r="DB100" s="3561">
        <f t="shared" si="169"/>
        <v>0</v>
      </c>
      <c r="DC100" s="3559">
        <f>1030.03*3</f>
        <v>3090.09</v>
      </c>
      <c r="DD100" s="3562">
        <v>3090.09</v>
      </c>
      <c r="DE100" s="3561">
        <f t="shared" si="170"/>
        <v>0</v>
      </c>
      <c r="DF100" s="3563" t="s">
        <v>4665</v>
      </c>
      <c r="DG100" s="3547"/>
      <c r="DH100" s="3609"/>
      <c r="DI100" s="3562"/>
      <c r="DJ100" s="3561">
        <f t="shared" si="171"/>
        <v>0</v>
      </c>
      <c r="DK100" s="3559"/>
      <c r="DL100" s="3562"/>
      <c r="DM100" s="3561">
        <f t="shared" si="172"/>
        <v>0</v>
      </c>
      <c r="DN100" s="3563"/>
      <c r="DO100" s="3547"/>
      <c r="DP100" s="3609"/>
      <c r="DQ100" s="3562"/>
      <c r="DR100" s="3561">
        <f t="shared" si="173"/>
        <v>0</v>
      </c>
      <c r="DS100" s="3559"/>
      <c r="DT100" s="3562"/>
      <c r="DU100" s="3561">
        <f t="shared" si="209"/>
        <v>0</v>
      </c>
      <c r="DV100" s="3563"/>
      <c r="DW100" s="3547" t="s">
        <v>4666</v>
      </c>
      <c r="DX100" s="3559">
        <f>5174.97*3</f>
        <v>15524.91</v>
      </c>
      <c r="DY100" s="3562"/>
      <c r="DZ100" s="3561">
        <f t="shared" si="175"/>
        <v>-15524.91</v>
      </c>
      <c r="EA100" s="3559">
        <f>1030.03*3</f>
        <v>3090.09</v>
      </c>
      <c r="EB100" s="3562"/>
      <c r="EC100" s="3561">
        <f t="shared" si="176"/>
        <v>-3090.09</v>
      </c>
      <c r="ED100" s="3563"/>
      <c r="EF100" s="3565">
        <f t="shared" si="153"/>
        <v>41129.994285714303</v>
      </c>
      <c r="EG100" s="3565">
        <f t="shared" si="143"/>
        <v>26344.365714285719</v>
      </c>
      <c r="EH100" s="3565">
        <f t="shared" si="143"/>
        <v>44811.219047619044</v>
      </c>
      <c r="EI100" s="3565">
        <f t="shared" si="143"/>
        <v>44811.219047619044</v>
      </c>
      <c r="EJ100" s="3565">
        <f t="shared" si="154"/>
        <v>18466.853333333325</v>
      </c>
      <c r="EK100" s="3566">
        <f t="shared" si="155"/>
        <v>0</v>
      </c>
      <c r="EL100" s="3610"/>
      <c r="EM100" s="3567">
        <f t="shared" si="156"/>
        <v>8221.07169811321</v>
      </c>
      <c r="EN100" s="3557">
        <f t="shared" si="144"/>
        <v>5305.8924528301905</v>
      </c>
      <c r="EO100" s="3557">
        <f t="shared" si="144"/>
        <v>8726.905660377357</v>
      </c>
      <c r="EP100" s="3557">
        <f t="shared" si="144"/>
        <v>8726.905660377357</v>
      </c>
      <c r="EQ100" s="3557">
        <f t="shared" si="157"/>
        <v>3421.0132075471665</v>
      </c>
      <c r="ER100" s="3557">
        <f t="shared" si="158"/>
        <v>0</v>
      </c>
      <c r="ES100" s="3557"/>
      <c r="ET100" s="3568">
        <v>6701.4</v>
      </c>
      <c r="EU100" s="3569">
        <f>(7036.47/1.05)+(5174.97/1.05-5174.97/1.05*12/365*10)</f>
        <v>10009.599999999999</v>
      </c>
      <c r="EV100" s="3606">
        <f>7036.47/1.05+15524.91/3/1.05-15524.91/3/1.05*12/365*10</f>
        <v>10009.6</v>
      </c>
      <c r="EW100" s="3547">
        <f t="shared" si="210"/>
        <v>3308.2000000000007</v>
      </c>
      <c r="EX100" s="3568">
        <v>971.72641509434004</v>
      </c>
      <c r="EY100" s="3569">
        <f>(1030.03/1.06)+(3090.09/3/1.06-3090.09/3/1.06*12/365*10)</f>
        <v>1623.9811320754716</v>
      </c>
      <c r="EZ100" s="3606">
        <f>(1030.03/1.06)+(3090.09/3/1.06-3090.09/3/1.06*12/365*10)</f>
        <v>1623.9811320754716</v>
      </c>
      <c r="FA100" s="3547">
        <f t="shared" si="211"/>
        <v>652.25471698113154</v>
      </c>
      <c r="FB100" s="3568">
        <v>6701.4</v>
      </c>
      <c r="FC100" s="3592">
        <f>5174.97/1.05-4858.06/1.05</f>
        <v>301.81904761904752</v>
      </c>
      <c r="FD100" s="3606">
        <f>15524.91/3/1.05-4858.06/1.05</f>
        <v>301.81904761904752</v>
      </c>
      <c r="FE100" s="3547">
        <f t="shared" si="212"/>
        <v>-6399.5809523809521</v>
      </c>
      <c r="FF100" s="3568">
        <v>971.72641509434004</v>
      </c>
      <c r="FG100" s="3592">
        <f>1030.03/1.06-711.14/1.06</f>
        <v>300.83962264150944</v>
      </c>
      <c r="FH100" s="3606">
        <f>3090.09/3/1.06-711.14/1.06</f>
        <v>300.83962264150944</v>
      </c>
      <c r="FI100" s="3547">
        <f t="shared" si="213"/>
        <v>-670.8867924528306</v>
      </c>
      <c r="FJ100" s="3568">
        <v>3084.48</v>
      </c>
      <c r="FK100" s="3559">
        <f>5174.97/1.05</f>
        <v>4928.5428571428574</v>
      </c>
      <c r="FL100" s="3562">
        <f>15524.91/3/1.05</f>
        <v>4928.5428571428574</v>
      </c>
      <c r="FM100" s="3547">
        <f t="shared" si="214"/>
        <v>1844.0628571428574</v>
      </c>
      <c r="FN100" s="3568">
        <v>971.72641509434004</v>
      </c>
      <c r="FO100" s="3559">
        <f>1030.03/1.06</f>
        <v>971.72641509433959</v>
      </c>
      <c r="FP100" s="3562">
        <f>3090.09/3/1.06</f>
        <v>971.72641509433959</v>
      </c>
      <c r="FQ100" s="3547">
        <f t="shared" si="215"/>
        <v>0</v>
      </c>
      <c r="FR100" s="3568"/>
      <c r="FS100" s="3559">
        <f>5174.97/1.05</f>
        <v>4928.5428571428574</v>
      </c>
      <c r="FT100" s="3560">
        <f>15524.91/3/1.05*12/365*10+15524.91/3/1.05-15524.91/3/1.05*12/365*10</f>
        <v>4928.5428571428574</v>
      </c>
      <c r="FU100" s="3547">
        <f t="shared" si="216"/>
        <v>4928.5428571428574</v>
      </c>
      <c r="FV100" s="3568">
        <v>447.26037735849002</v>
      </c>
      <c r="FW100" s="3559">
        <f>1030.03/1.06</f>
        <v>971.72641509433959</v>
      </c>
      <c r="FX100" s="3560">
        <f>3090.09/3/1.06*12/365*10+3090.09/3/1.06-3090.09/3/1.06*12/365*10</f>
        <v>971.72641509433947</v>
      </c>
      <c r="FY100" s="3547">
        <f t="shared" si="217"/>
        <v>524.46603773584945</v>
      </c>
      <c r="FZ100" s="3568"/>
      <c r="GA100" s="3569">
        <f>5174.97/1.05</f>
        <v>4928.5428571428574</v>
      </c>
      <c r="GB100" s="3560">
        <f>15524.91/3/1.05</f>
        <v>4928.5428571428574</v>
      </c>
      <c r="GC100" s="3547">
        <f t="shared" si="218"/>
        <v>4928.5428571428574</v>
      </c>
      <c r="GD100" s="3568"/>
      <c r="GE100" s="3569">
        <f>1030.03/1.06</f>
        <v>971.72641509433959</v>
      </c>
      <c r="GF100" s="3560">
        <f>3090.09/3/1.06</f>
        <v>971.72641509433959</v>
      </c>
      <c r="GG100" s="3547">
        <f t="shared" si="219"/>
        <v>971.72641509433959</v>
      </c>
      <c r="GH100" s="3568"/>
      <c r="GI100" s="3569">
        <f>5174.97/1.05</f>
        <v>4928.5428571428574</v>
      </c>
      <c r="GJ100" s="3560">
        <f>15524.91/3/1.05</f>
        <v>4928.5428571428574</v>
      </c>
      <c r="GK100" s="3547">
        <f t="shared" si="181"/>
        <v>4928.5428571428574</v>
      </c>
      <c r="GL100" s="3568"/>
      <c r="GM100" s="3569">
        <f>1030.03/1.06</f>
        <v>971.72641509433959</v>
      </c>
      <c r="GN100" s="3560">
        <f>3090.09/3/1.06</f>
        <v>971.72641509433959</v>
      </c>
      <c r="GO100" s="3547">
        <f t="shared" si="182"/>
        <v>971.72641509433959</v>
      </c>
      <c r="GP100" s="3568"/>
      <c r="GQ100" s="3569">
        <f>5174.97/1.05</f>
        <v>4928.5428571428574</v>
      </c>
      <c r="GR100" s="3562">
        <f>15524.91/3/1.05*12/365*10+15524.91/3/1.05-15524.91/3/1.05*12/365*10</f>
        <v>4928.5428571428574</v>
      </c>
      <c r="GS100" s="3547">
        <f t="shared" si="183"/>
        <v>4928.5428571428574</v>
      </c>
      <c r="GT100" s="3568"/>
      <c r="GU100" s="3569">
        <f>1030.03/1.06</f>
        <v>971.72641509433959</v>
      </c>
      <c r="GV100" s="3562">
        <f>3090.09/3/1.06*12/365*10+3090.09/3/1.06-3090.09/3/1.06*12/365*10</f>
        <v>971.72641509433947</v>
      </c>
      <c r="GW100" s="3547">
        <f t="shared" si="184"/>
        <v>971.72641509433947</v>
      </c>
      <c r="GX100" s="3568">
        <v>4928.5428571428602</v>
      </c>
      <c r="GY100" s="3569">
        <f>5174.97/1.05</f>
        <v>4928.5428571428574</v>
      </c>
      <c r="GZ100" s="3560">
        <f>15524.91/3/1.05</f>
        <v>4928.5428571428574</v>
      </c>
      <c r="HA100" s="3547">
        <f t="shared" si="185"/>
        <v>0</v>
      </c>
      <c r="HB100" s="3568">
        <v>971.72641509434004</v>
      </c>
      <c r="HC100" s="3569">
        <f>1030.03/1.06</f>
        <v>971.72641509433959</v>
      </c>
      <c r="HD100" s="3562">
        <f>3090.09/1.06/3</f>
        <v>971.72641509433959</v>
      </c>
      <c r="HE100" s="3547">
        <f t="shared" si="186"/>
        <v>0</v>
      </c>
      <c r="HF100" s="3568">
        <v>4928.5428571428602</v>
      </c>
      <c r="HG100" s="3569">
        <f>5174.97/1.05</f>
        <v>4928.5428571428574</v>
      </c>
      <c r="HH100" s="3560">
        <f>15524.91/3/1.05</f>
        <v>4928.5428571428574</v>
      </c>
      <c r="HI100" s="3547">
        <f t="shared" si="224"/>
        <v>0</v>
      </c>
      <c r="HJ100" s="3568">
        <v>971.72641509434004</v>
      </c>
      <c r="HK100" s="3569">
        <f>1030.03/1.06</f>
        <v>971.72641509433959</v>
      </c>
      <c r="HL100" s="3562">
        <f>3090.09/1.06/3</f>
        <v>971.72641509433959</v>
      </c>
      <c r="HM100" s="3547">
        <f t="shared" si="220"/>
        <v>0</v>
      </c>
      <c r="HN100" s="3568">
        <v>4928.5428571428602</v>
      </c>
      <c r="HO100" s="3569">
        <f>5174.97/1.05</f>
        <v>4928.5428571428574</v>
      </c>
      <c r="HP100" s="3562">
        <f>15524.91/3/1.05*12/365*10+15524.91/3/1.05-15524.91/3/1.05*12/365*10</f>
        <v>4928.5428571428574</v>
      </c>
      <c r="HQ100" s="3547">
        <f t="shared" si="225"/>
        <v>0</v>
      </c>
      <c r="HR100" s="3568">
        <v>971.72641509434004</v>
      </c>
      <c r="HS100" s="3569">
        <f>1030.03/1.06</f>
        <v>971.72641509433959</v>
      </c>
      <c r="HT100" s="3562">
        <f>3090.09/3/1.06*12/365*10+3090.09/3/1.06-3090.09/3/1.06*12/365*10</f>
        <v>971.72641509433947</v>
      </c>
      <c r="HU100" s="3547">
        <f t="shared" si="221"/>
        <v>0</v>
      </c>
      <c r="HV100" s="3568">
        <v>4928.5428571428602</v>
      </c>
      <c r="HW100" s="3569">
        <f>5174.97/1.05</f>
        <v>4928.5428571428574</v>
      </c>
      <c r="HX100" s="3562">
        <f>10349.94/1.05/2</f>
        <v>4928.5428571428574</v>
      </c>
      <c r="HY100" s="3547">
        <f t="shared" si="226"/>
        <v>0</v>
      </c>
      <c r="HZ100" s="3568">
        <v>971.72641509434004</v>
      </c>
      <c r="IA100" s="3569">
        <f>1030.03/1.06</f>
        <v>971.72641509433959</v>
      </c>
      <c r="IB100" s="3562">
        <f>3090.09/3/1.06</f>
        <v>971.72641509433959</v>
      </c>
      <c r="IC100" s="3547">
        <f t="shared" si="222"/>
        <v>0</v>
      </c>
      <c r="ID100" s="3568">
        <v>4928.5428571428602</v>
      </c>
      <c r="IE100" s="3592">
        <f>5174.97/1.05*12/365*10</f>
        <v>1620.3428571428574</v>
      </c>
      <c r="IF100" s="3605">
        <f>10349.94/1.05/2*12/365*10</f>
        <v>1620.3428571428574</v>
      </c>
      <c r="IG100" s="3547">
        <f t="shared" si="227"/>
        <v>-3308.2000000000025</v>
      </c>
      <c r="IH100" s="3568">
        <v>971.72641509434004</v>
      </c>
      <c r="II100" s="3569">
        <f>1030.03/1.06</f>
        <v>971.72641509433959</v>
      </c>
      <c r="IJ100" s="3562">
        <f>3090.09/3/1.06</f>
        <v>971.72641509433959</v>
      </c>
      <c r="IK100" s="3547">
        <f t="shared" si="223"/>
        <v>0</v>
      </c>
      <c r="IL100" s="3547" t="s">
        <v>4519</v>
      </c>
      <c r="IM100" s="3569">
        <f>5174.97/1.05*3</f>
        <v>14785.628571428573</v>
      </c>
      <c r="IN100" s="3569">
        <f>1030.03/1.06*3+1030.03*12/365*10/1.06</f>
        <v>3234.6509433962265</v>
      </c>
      <c r="IO100" s="3607"/>
      <c r="IP100" s="3560">
        <f t="shared" si="195"/>
        <v>0</v>
      </c>
      <c r="IQ100" s="3568"/>
      <c r="IR100" s="3568"/>
      <c r="IS100" s="3568"/>
      <c r="IT100" s="3568"/>
      <c r="IU100" s="3568"/>
      <c r="IV100" s="3568"/>
      <c r="IW100" s="3568"/>
      <c r="IX100" s="3568"/>
      <c r="IY100" s="3568"/>
      <c r="IZ100" s="3560"/>
      <c r="JA100" s="3560"/>
      <c r="JB100" s="3560"/>
      <c r="JC100" s="3560">
        <f t="shared" si="134"/>
        <v>319.47169811320754</v>
      </c>
      <c r="JD100" s="3562">
        <f>3090.09/3/1.06*12/365*10</f>
        <v>319.47169811320754</v>
      </c>
      <c r="JE100" s="3568"/>
      <c r="JF100" s="3568"/>
      <c r="JG100" s="3568"/>
      <c r="JH100" s="3568"/>
      <c r="JI100" s="3568"/>
      <c r="JJ100" s="3568"/>
      <c r="JK100" s="3568"/>
      <c r="JL100" s="3568"/>
      <c r="JM100" s="3568"/>
      <c r="JN100" s="3560"/>
      <c r="JO100" s="3560"/>
      <c r="JP100" s="3547" t="s">
        <v>3837</v>
      </c>
      <c r="JQ100" s="3583">
        <f>7036.47/1.05</f>
        <v>6701.4</v>
      </c>
      <c r="JR100" s="3583">
        <f>1030.03/1.06</f>
        <v>971.72641509433959</v>
      </c>
      <c r="JS100" s="3573">
        <f t="shared" si="145"/>
        <v>0</v>
      </c>
      <c r="JT100" s="3573">
        <f t="shared" si="152"/>
        <v>0</v>
      </c>
      <c r="JU100" s="3574">
        <f t="shared" si="146"/>
        <v>0</v>
      </c>
      <c r="JV100" s="3574">
        <f t="shared" si="147"/>
        <v>0</v>
      </c>
      <c r="JW100" s="3575"/>
      <c r="JX100" s="3576">
        <f t="shared" si="148"/>
        <v>11477.428571428572</v>
      </c>
      <c r="JY100" s="3576">
        <f t="shared" si="149"/>
        <v>3234.650943396226</v>
      </c>
      <c r="JZ100" s="3577"/>
      <c r="KA100" s="3573">
        <f t="shared" si="197"/>
        <v>0</v>
      </c>
      <c r="KB100" s="3573"/>
      <c r="KC100" s="3573"/>
      <c r="KD100" s="3573">
        <f t="shared" si="150"/>
        <v>0</v>
      </c>
      <c r="KE100" s="3578"/>
      <c r="KF100" s="3579"/>
      <c r="KG100" s="3579"/>
      <c r="KH100" s="3579">
        <f>5453.01/10000+5900.27/10000*3</f>
        <v>2.3153820000000005</v>
      </c>
      <c r="KI100" s="3579">
        <f>1844.06/10000</f>
        <v>0.18440599999999999</v>
      </c>
      <c r="KJ100" s="3579"/>
      <c r="KK100" s="3579"/>
      <c r="KL100" s="3579"/>
      <c r="KM100" s="3579"/>
      <c r="KN100" s="3579"/>
      <c r="KO100" s="3579"/>
      <c r="KP100" s="3579">
        <f>3960.45/10000-7070.47/10000</f>
        <v>-0.311002</v>
      </c>
      <c r="KQ100" s="3579">
        <f t="shared" si="151"/>
        <v>2.1887860000000003</v>
      </c>
      <c r="KR100" s="3579">
        <f t="shared" si="196"/>
        <v>6.5408804905686679E-7</v>
      </c>
      <c r="KS100" s="3577"/>
      <c r="KT100" s="3577"/>
      <c r="KU100" s="3577"/>
      <c r="KV100" s="3577"/>
      <c r="KW100" s="3577"/>
      <c r="KX100" s="3577"/>
      <c r="KY100" s="3577"/>
      <c r="KZ100" s="3577"/>
      <c r="LA100" s="3577"/>
      <c r="LB100" s="3577"/>
      <c r="LC100" s="3577"/>
      <c r="LD100" s="3577"/>
      <c r="LE100" s="3577"/>
      <c r="LF100" s="3577"/>
      <c r="LG100" s="3577"/>
      <c r="LH100" s="3577"/>
      <c r="LJ100" s="3575"/>
      <c r="LK100" s="3571"/>
      <c r="LL100" s="3576"/>
    </row>
    <row r="101" spans="1:325" s="3580" customFormat="1" ht="18" customHeight="1">
      <c r="A101" s="3545">
        <v>98</v>
      </c>
      <c r="B101" s="3546" t="s">
        <v>4496</v>
      </c>
      <c r="C101" s="3546" t="s">
        <v>4667</v>
      </c>
      <c r="D101" s="3547">
        <v>15</v>
      </c>
      <c r="E101" s="3548" t="s">
        <v>3799</v>
      </c>
      <c r="F101" s="3546" t="s">
        <v>3790</v>
      </c>
      <c r="G101" s="3546" t="s">
        <v>4668</v>
      </c>
      <c r="H101" s="3546" t="s">
        <v>4669</v>
      </c>
      <c r="I101" s="3594" t="s">
        <v>4670</v>
      </c>
      <c r="J101" s="3594" t="s">
        <v>4671</v>
      </c>
      <c r="K101" s="3545"/>
      <c r="L101" s="3555"/>
      <c r="M101" s="3551">
        <v>6392.07</v>
      </c>
      <c r="N101" s="3551">
        <v>6392.07</v>
      </c>
      <c r="O101" s="3551">
        <f t="shared" si="135"/>
        <v>0</v>
      </c>
      <c r="P101" s="3547">
        <v>1136.07</v>
      </c>
      <c r="Q101" s="3547">
        <v>1136.07</v>
      </c>
      <c r="R101" s="3547">
        <f t="shared" si="132"/>
        <v>0</v>
      </c>
      <c r="S101" s="3547">
        <f t="shared" si="125"/>
        <v>4.6700054794520547</v>
      </c>
      <c r="T101" s="3658">
        <v>2130.69</v>
      </c>
      <c r="U101" s="3553">
        <f t="shared" si="136"/>
        <v>25568.28</v>
      </c>
      <c r="V101" s="3547">
        <f>T101*12</f>
        <v>25568.28</v>
      </c>
      <c r="W101" s="3547">
        <f t="shared" si="126"/>
        <v>0.83000547945205472</v>
      </c>
      <c r="X101" s="3663">
        <v>378.69</v>
      </c>
      <c r="Y101" s="3547">
        <f t="shared" si="198"/>
        <v>4544.28</v>
      </c>
      <c r="Z101" s="3554"/>
      <c r="AA101" s="3555"/>
      <c r="AB101" s="3593" t="s">
        <v>3804</v>
      </c>
      <c r="AC101" s="3556">
        <f t="shared" si="138"/>
        <v>26937</v>
      </c>
      <c r="AD101" s="3556">
        <f t="shared" ref="AD101:AE132" si="228">SUM(AN101,AV101,BD101,BL101,BT101,CB101,CJ101,CR101,CZ101)</f>
        <v>20544.93</v>
      </c>
      <c r="AE101" s="3556">
        <f t="shared" si="228"/>
        <v>20544.93</v>
      </c>
      <c r="AF101" s="3556">
        <f t="shared" si="140"/>
        <v>0</v>
      </c>
      <c r="AG101" s="3556"/>
      <c r="AH101" s="3557">
        <f t="shared" si="141"/>
        <v>4544.28</v>
      </c>
      <c r="AI101" s="3558">
        <f t="shared" ref="AI101:AJ132" si="229">SUM(AQ101,AY101,BG101,BO101,BW101,CE101,CM101,CU101,DC101)</f>
        <v>3408.21</v>
      </c>
      <c r="AJ101" s="3558">
        <f t="shared" si="229"/>
        <v>3408.21</v>
      </c>
      <c r="AK101" s="3557">
        <f t="shared" si="159"/>
        <v>0</v>
      </c>
      <c r="AL101" s="3557"/>
      <c r="AM101" s="3547" t="s">
        <v>3855</v>
      </c>
      <c r="AN101" s="3609">
        <f>2358.81*3</f>
        <v>7076.43</v>
      </c>
      <c r="AO101" s="3562">
        <v>7076.43</v>
      </c>
      <c r="AP101" s="3561">
        <f t="shared" si="199"/>
        <v>0</v>
      </c>
      <c r="AQ101" s="3559">
        <f>378.69*3</f>
        <v>1136.07</v>
      </c>
      <c r="AR101" s="3562">
        <v>1136.07</v>
      </c>
      <c r="AS101" s="3561">
        <f t="shared" si="200"/>
        <v>0</v>
      </c>
      <c r="AT101" s="3563" t="s">
        <v>4672</v>
      </c>
      <c r="AU101" s="3547"/>
      <c r="AV101" s="3609"/>
      <c r="AW101" s="3562"/>
      <c r="AX101" s="3561">
        <f t="shared" si="201"/>
        <v>0</v>
      </c>
      <c r="AY101" s="3559"/>
      <c r="AZ101" s="3562"/>
      <c r="BA101" s="3561">
        <f t="shared" si="202"/>
        <v>0</v>
      </c>
      <c r="BB101" s="3563" t="s">
        <v>4672</v>
      </c>
      <c r="BC101" s="3547"/>
      <c r="BD101" s="3609"/>
      <c r="BE101" s="3562"/>
      <c r="BF101" s="3561">
        <f t="shared" si="203"/>
        <v>0</v>
      </c>
      <c r="BG101" s="3559"/>
      <c r="BH101" s="3562"/>
      <c r="BI101" s="3561">
        <f t="shared" si="204"/>
        <v>0</v>
      </c>
      <c r="BJ101" s="3563" t="s">
        <v>4672</v>
      </c>
      <c r="BK101" s="3547" t="s">
        <v>4673</v>
      </c>
      <c r="BL101" s="3609">
        <f>3*2358.81</f>
        <v>7076.43</v>
      </c>
      <c r="BM101" s="3603">
        <v>7076.43</v>
      </c>
      <c r="BN101" s="3602">
        <f t="shared" si="205"/>
        <v>0</v>
      </c>
      <c r="BO101" s="3604">
        <f>3*378.69</f>
        <v>1136.07</v>
      </c>
      <c r="BP101" s="3603">
        <v>1136.07</v>
      </c>
      <c r="BQ101" s="3561">
        <f t="shared" si="206"/>
        <v>0</v>
      </c>
      <c r="BR101" s="3563" t="s">
        <v>4674</v>
      </c>
      <c r="BS101" s="3547"/>
      <c r="BT101" s="3559"/>
      <c r="BU101" s="3562"/>
      <c r="BV101" s="3561">
        <f t="shared" si="207"/>
        <v>0</v>
      </c>
      <c r="BW101" s="3559"/>
      <c r="BX101" s="3562"/>
      <c r="BY101" s="3561">
        <f t="shared" si="208"/>
        <v>0</v>
      </c>
      <c r="BZ101" s="3563" t="s">
        <v>4674</v>
      </c>
      <c r="CA101" s="3547"/>
      <c r="CB101" s="3609"/>
      <c r="CC101" s="3562"/>
      <c r="CD101" s="3561">
        <f t="shared" si="164"/>
        <v>0</v>
      </c>
      <c r="CE101" s="3559"/>
      <c r="CF101" s="3562"/>
      <c r="CG101" s="3561">
        <f t="shared" si="165"/>
        <v>0</v>
      </c>
      <c r="CH101" s="3563" t="s">
        <v>4674</v>
      </c>
      <c r="CI101" s="3547"/>
      <c r="CJ101" s="3609"/>
      <c r="CK101" s="3562"/>
      <c r="CL101" s="3561">
        <f t="shared" si="133"/>
        <v>0</v>
      </c>
      <c r="CM101" s="3559"/>
      <c r="CN101" s="3562"/>
      <c r="CO101" s="3561">
        <f t="shared" si="166"/>
        <v>0</v>
      </c>
      <c r="CP101" s="3630" t="s">
        <v>4674</v>
      </c>
      <c r="CQ101" s="3597" t="s">
        <v>3859</v>
      </c>
      <c r="CR101" s="3621">
        <f>2130.69*3</f>
        <v>6392.07</v>
      </c>
      <c r="CS101" s="3603">
        <v>6392.07</v>
      </c>
      <c r="CT101" s="3602">
        <f t="shared" si="167"/>
        <v>0</v>
      </c>
      <c r="CU101" s="3604">
        <f>378.69*3</f>
        <v>1136.07</v>
      </c>
      <c r="CV101" s="3603">
        <v>1136.07</v>
      </c>
      <c r="CW101" s="3561">
        <f t="shared" si="168"/>
        <v>0</v>
      </c>
      <c r="CX101" s="3563" t="s">
        <v>4675</v>
      </c>
      <c r="CY101" s="3597"/>
      <c r="CZ101" s="3609"/>
      <c r="DA101" s="3562"/>
      <c r="DB101" s="3561">
        <f t="shared" si="169"/>
        <v>0</v>
      </c>
      <c r="DC101" s="3559"/>
      <c r="DD101" s="3562"/>
      <c r="DE101" s="3561">
        <f t="shared" si="170"/>
        <v>0</v>
      </c>
      <c r="DF101" s="3563" t="s">
        <v>4675</v>
      </c>
      <c r="DG101" s="3547" t="s">
        <v>3861</v>
      </c>
      <c r="DH101" s="3609">
        <f>2130.69*3</f>
        <v>6392.07</v>
      </c>
      <c r="DI101" s="3603"/>
      <c r="DJ101" s="3561">
        <f t="shared" si="171"/>
        <v>-6392.07</v>
      </c>
      <c r="DK101" s="3559">
        <f>378.69*3</f>
        <v>1136.07</v>
      </c>
      <c r="DL101" s="3603"/>
      <c r="DM101" s="3561">
        <f t="shared" si="172"/>
        <v>-1136.07</v>
      </c>
      <c r="DN101" s="3630" t="s">
        <v>4674</v>
      </c>
      <c r="DO101" s="3547"/>
      <c r="DP101" s="3609"/>
      <c r="DQ101" s="3562"/>
      <c r="DR101" s="3561">
        <f t="shared" si="173"/>
        <v>0</v>
      </c>
      <c r="DS101" s="3559"/>
      <c r="DT101" s="3562"/>
      <c r="DU101" s="3561">
        <f t="shared" si="209"/>
        <v>0</v>
      </c>
      <c r="DV101" s="3563"/>
      <c r="DW101" s="3547"/>
      <c r="DX101" s="3609"/>
      <c r="DY101" s="3562"/>
      <c r="DZ101" s="3561">
        <f t="shared" si="175"/>
        <v>0</v>
      </c>
      <c r="EA101" s="3559"/>
      <c r="EB101" s="3562"/>
      <c r="EC101" s="3561">
        <f t="shared" si="176"/>
        <v>0</v>
      </c>
      <c r="ED101" s="3563"/>
      <c r="EF101" s="3565">
        <f t="shared" si="153"/>
        <v>18792.934383561624</v>
      </c>
      <c r="EG101" s="3565">
        <f t="shared" ref="EG101:EI132" si="230">SUM(ET101,FB101,FJ101,FR101,FZ101,GH101,GP101,GX101,HF101)</f>
        <v>16980.970097847334</v>
      </c>
      <c r="EH101" s="3565">
        <f t="shared" si="230"/>
        <v>19905.283052837574</v>
      </c>
      <c r="EI101" s="3565">
        <f t="shared" si="230"/>
        <v>19905.283052837574</v>
      </c>
      <c r="EJ101" s="3565">
        <f t="shared" si="154"/>
        <v>2924.3129549902405</v>
      </c>
      <c r="EK101" s="3566">
        <f t="shared" si="155"/>
        <v>0</v>
      </c>
      <c r="EL101" s="3610"/>
      <c r="EM101" s="3567">
        <f t="shared" si="156"/>
        <v>3057.7065068493139</v>
      </c>
      <c r="EN101" s="3557">
        <f t="shared" ref="EN101:EP132" si="231">SUM(EX101,FF101,FN101,FV101,GD101,GL101,GT101,HB101,HJ101)</f>
        <v>2700.4541483587477</v>
      </c>
      <c r="EO101" s="3557">
        <f t="shared" si="231"/>
        <v>3215.2924528301878</v>
      </c>
      <c r="EP101" s="3557">
        <f t="shared" si="231"/>
        <v>3215.2924528301878</v>
      </c>
      <c r="EQ101" s="3557">
        <f t="shared" si="157"/>
        <v>514.8383044714401</v>
      </c>
      <c r="ER101" s="3557">
        <f t="shared" si="158"/>
        <v>0</v>
      </c>
      <c r="ES101" s="3557"/>
      <c r="ET101" s="3568">
        <v>2246.4857142857099</v>
      </c>
      <c r="EU101" s="3569">
        <f>2358.81/1.05</f>
        <v>2246.485714285714</v>
      </c>
      <c r="EV101" s="3562">
        <f>7076.43/1.05/3</f>
        <v>2246.485714285714</v>
      </c>
      <c r="EW101" s="3547">
        <f t="shared" si="210"/>
        <v>4.0927261579781771E-12</v>
      </c>
      <c r="EX101" s="3568">
        <v>357.25471698113199</v>
      </c>
      <c r="EY101" s="3569">
        <f>378.69/1.06</f>
        <v>357.25471698113205</v>
      </c>
      <c r="EZ101" s="3562">
        <f>1136.07/3/1.06</f>
        <v>357.25471698113205</v>
      </c>
      <c r="FA101" s="3547">
        <f t="shared" si="211"/>
        <v>0</v>
      </c>
      <c r="FB101" s="3568">
        <v>2246.4857142857099</v>
      </c>
      <c r="FC101" s="3569">
        <f>2358.81/1.05</f>
        <v>2246.485714285714</v>
      </c>
      <c r="FD101" s="3562">
        <f>7076.43/1.05/3*12/365*17+7076.43/1.05/3-7076.43/1.05/3*12/365*17</f>
        <v>2246.485714285714</v>
      </c>
      <c r="FE101" s="3547">
        <f t="shared" si="212"/>
        <v>4.0927261579781771E-12</v>
      </c>
      <c r="FF101" s="3568">
        <v>357.25471698113199</v>
      </c>
      <c r="FG101" s="3569">
        <f>378.69/1.06</f>
        <v>357.25471698113205</v>
      </c>
      <c r="FH101" s="3562">
        <f>1136.07/3/1.06*12/365*17+1136.07/3/1.06-1136.07/3/1.06*12/365*17</f>
        <v>357.25471698113199</v>
      </c>
      <c r="FI101" s="3547">
        <f t="shared" si="213"/>
        <v>0</v>
      </c>
      <c r="FJ101" s="3568">
        <v>2246.4857142857099</v>
      </c>
      <c r="FK101" s="3559">
        <f>2358.81/1.05</f>
        <v>2246.485714285714</v>
      </c>
      <c r="FL101" s="3562">
        <f>7076.43/1.05/3</f>
        <v>2246.485714285714</v>
      </c>
      <c r="FM101" s="3547">
        <f t="shared" si="214"/>
        <v>4.0927261579781771E-12</v>
      </c>
      <c r="FN101" s="3568">
        <v>357.25471698113199</v>
      </c>
      <c r="FO101" s="3559">
        <f>378.69/1.06</f>
        <v>357.25471698113205</v>
      </c>
      <c r="FP101" s="3562">
        <f>1136.07/3/1.06</f>
        <v>357.25471698113205</v>
      </c>
      <c r="FQ101" s="3547">
        <f t="shared" si="215"/>
        <v>0</v>
      </c>
      <c r="FR101" s="3568">
        <v>2246.4857142857099</v>
      </c>
      <c r="FS101" s="3559">
        <f>2358.81/1.05</f>
        <v>2246.485714285714</v>
      </c>
      <c r="FT101" s="3560">
        <f>7076.43/1.05/3</f>
        <v>2246.485714285714</v>
      </c>
      <c r="FU101" s="3547">
        <f t="shared" si="216"/>
        <v>4.0927261579781771E-12</v>
      </c>
      <c r="FV101" s="3568">
        <v>357.25471698113199</v>
      </c>
      <c r="FW101" s="3559">
        <f>378.69/1.06</f>
        <v>357.25471698113205</v>
      </c>
      <c r="FX101" s="3560">
        <f>1136.07/3/1.06</f>
        <v>357.25471698113205</v>
      </c>
      <c r="FY101" s="3547">
        <f t="shared" si="217"/>
        <v>0</v>
      </c>
      <c r="FZ101" s="3568">
        <v>2246.4857142857099</v>
      </c>
      <c r="GA101" s="3569">
        <f>2358.81/1.05</f>
        <v>2246.485714285714</v>
      </c>
      <c r="GB101" s="3560">
        <f>7076.43/1.05/3*12/365*17+7076.43/1.05/3-7076.43/1.05/3*12/365*17</f>
        <v>2246.485714285714</v>
      </c>
      <c r="GC101" s="3547">
        <f t="shared" si="218"/>
        <v>4.0927261579781771E-12</v>
      </c>
      <c r="GD101" s="3568">
        <v>357.25471698113199</v>
      </c>
      <c r="GE101" s="3569">
        <f>378.69/1.06</f>
        <v>357.25471698113205</v>
      </c>
      <c r="GF101" s="3560">
        <f>1136.07/3/1.06*12/365*17+1136.07/3/1.06-1136.07/3/1.06*12/365*17</f>
        <v>357.25471698113199</v>
      </c>
      <c r="GG101" s="3547">
        <f t="shared" si="219"/>
        <v>0</v>
      </c>
      <c r="GH101" s="3568">
        <v>2246.4857142857099</v>
      </c>
      <c r="GI101" s="3569">
        <f>2358.81/1.05</f>
        <v>2246.485714285714</v>
      </c>
      <c r="GJ101" s="3560">
        <f>7076.43/3/1.05</f>
        <v>2246.485714285714</v>
      </c>
      <c r="GK101" s="3547">
        <f t="shared" si="181"/>
        <v>4.0927261579781771E-12</v>
      </c>
      <c r="GL101" s="3568">
        <v>357.25471698113199</v>
      </c>
      <c r="GM101" s="3569">
        <f>378.69/1.06</f>
        <v>357.25471698113205</v>
      </c>
      <c r="GN101" s="3560">
        <f>1136.07/3/1.06</f>
        <v>357.25471698113205</v>
      </c>
      <c r="GO101" s="3547">
        <f t="shared" si="182"/>
        <v>0</v>
      </c>
      <c r="GP101" s="3568">
        <v>2246.4857142857099</v>
      </c>
      <c r="GQ101" s="3569">
        <f>2358.81/1.05</f>
        <v>2246.485714285714</v>
      </c>
      <c r="GR101" s="3562">
        <f>7076.43/3/1.05</f>
        <v>2246.485714285714</v>
      </c>
      <c r="GS101" s="3547">
        <f t="shared" si="183"/>
        <v>4.0927261579781771E-12</v>
      </c>
      <c r="GT101" s="3568">
        <v>357.25471698113199</v>
      </c>
      <c r="GU101" s="3569">
        <f>378.69/1.06</f>
        <v>357.25471698113205</v>
      </c>
      <c r="GV101" s="3562">
        <f>1136.07/3/1.06</f>
        <v>357.25471698113205</v>
      </c>
      <c r="GW101" s="3547">
        <f t="shared" si="184"/>
        <v>0</v>
      </c>
      <c r="GX101" s="3568">
        <v>1255.5700978473601</v>
      </c>
      <c r="GY101" s="3592">
        <f>2358.81/1.05*12/365*17+2130.69/1.05-2130.69/1.05*12/365*17</f>
        <v>2150.6544814090021</v>
      </c>
      <c r="GZ101" s="3560">
        <f>7076.43/1.05/3*12/365*17+6392.07/3/1.05-6392.07/3/1.05*12/365*17</f>
        <v>2150.6544814090021</v>
      </c>
      <c r="HA101" s="3547">
        <f t="shared" si="185"/>
        <v>895.08438356164197</v>
      </c>
      <c r="HB101" s="3568">
        <v>199.671129490824</v>
      </c>
      <c r="HC101" s="3592">
        <f>378.69/1.06*12/365*17+378.69/1.06-378.69/1.06*12/365*17</f>
        <v>357.25471698113199</v>
      </c>
      <c r="HD101" s="3672">
        <f>1136.07/3/1.06*12/365*17+1136.07/3/1.06-1136.07/3/1.06*12/365*17</f>
        <v>357.25471698113199</v>
      </c>
      <c r="HE101" s="3547">
        <f t="shared" si="186"/>
        <v>157.58358749030799</v>
      </c>
      <c r="HF101" s="3568"/>
      <c r="HG101" s="3569">
        <f>2130.69/1.05</f>
        <v>2029.2285714285713</v>
      </c>
      <c r="HH101" s="3560">
        <f>6392.07/3/1.05</f>
        <v>2029.2285714285713</v>
      </c>
      <c r="HI101" s="3547">
        <f t="shared" si="224"/>
        <v>2029.2285714285713</v>
      </c>
      <c r="HJ101" s="3568"/>
      <c r="HK101" s="3569">
        <f>378.69/1.06</f>
        <v>357.25471698113205</v>
      </c>
      <c r="HL101" s="3562">
        <f>1136.07/3/1.06</f>
        <v>357.25471698113205</v>
      </c>
      <c r="HM101" s="3547">
        <f t="shared" si="220"/>
        <v>357.25471698113205</v>
      </c>
      <c r="HN101" s="3568"/>
      <c r="HO101" s="3569">
        <f>2130.69/1.05</f>
        <v>2029.2285714285713</v>
      </c>
      <c r="HP101" s="3562">
        <f>6392.07/3/1.05</f>
        <v>2029.2285714285713</v>
      </c>
      <c r="HQ101" s="3547">
        <f t="shared" si="225"/>
        <v>2029.2285714285713</v>
      </c>
      <c r="HR101" s="3568"/>
      <c r="HS101" s="3569">
        <f>378.69/1.06</f>
        <v>357.25471698113205</v>
      </c>
      <c r="HT101" s="3562">
        <f>1136.07/3/1.06</f>
        <v>357.25471698113205</v>
      </c>
      <c r="HU101" s="3547">
        <f t="shared" si="221"/>
        <v>357.25471698113205</v>
      </c>
      <c r="HV101" s="3568"/>
      <c r="HW101" s="3569">
        <f>2130.69/1.05</f>
        <v>2029.2285714285713</v>
      </c>
      <c r="HX101" s="3560">
        <f>6392.07/3/1.05*12/365*17</f>
        <v>1134.1441878669273</v>
      </c>
      <c r="HY101" s="3547">
        <f t="shared" si="226"/>
        <v>1134.1441878669273</v>
      </c>
      <c r="HZ101" s="3568"/>
      <c r="IA101" s="3569">
        <f>378.69/1.06</f>
        <v>357.25471698113205</v>
      </c>
      <c r="IB101" s="3562">
        <f>1136.07/3/1.06*12/365*17</f>
        <v>199.67112949082446</v>
      </c>
      <c r="IC101" s="3547">
        <f t="shared" si="222"/>
        <v>199.67112949082446</v>
      </c>
      <c r="ID101" s="3568">
        <v>1811.9642857142901</v>
      </c>
      <c r="IE101" s="3569">
        <f>2130.69/1.05</f>
        <v>2029.2285714285713</v>
      </c>
      <c r="IF101" s="3562"/>
      <c r="IG101" s="3547">
        <f t="shared" si="227"/>
        <v>-1811.9642857142901</v>
      </c>
      <c r="IH101" s="3568">
        <v>357.252358490566</v>
      </c>
      <c r="II101" s="3569">
        <f>378.69/1.06</f>
        <v>357.25471698113205</v>
      </c>
      <c r="IJ101" s="3562"/>
      <c r="IK101" s="3547">
        <f t="shared" si="223"/>
        <v>-357.252358490566</v>
      </c>
      <c r="IL101" s="3547" t="s">
        <v>3862</v>
      </c>
      <c r="IM101" s="3569">
        <f>2130.69/1.05+2130.69/1.05*12/365*17</f>
        <v>3163.3727592954983</v>
      </c>
      <c r="IN101" s="3569">
        <f>378.69/1.06+378.69/1.06*12/365*17</f>
        <v>556.92584647195645</v>
      </c>
      <c r="IO101" s="3607"/>
      <c r="IP101" s="3560">
        <f t="shared" si="195"/>
        <v>0</v>
      </c>
      <c r="IQ101" s="3568"/>
      <c r="IR101" s="3568"/>
      <c r="IS101" s="3568"/>
      <c r="IT101" s="3568"/>
      <c r="IU101" s="3568"/>
      <c r="IV101" s="3568"/>
      <c r="IW101" s="3568"/>
      <c r="IX101" s="3568"/>
      <c r="IY101" s="3568"/>
      <c r="IZ101" s="3560"/>
      <c r="JA101" s="3560"/>
      <c r="JB101" s="3560"/>
      <c r="JC101" s="3560">
        <f t="shared" si="134"/>
        <v>0</v>
      </c>
      <c r="JD101" s="3607"/>
      <c r="JE101" s="3568"/>
      <c r="JF101" s="3568"/>
      <c r="JG101" s="3568"/>
      <c r="JH101" s="3568"/>
      <c r="JI101" s="3568"/>
      <c r="JJ101" s="3568"/>
      <c r="JK101" s="3568"/>
      <c r="JL101" s="3568"/>
      <c r="JM101" s="3568"/>
      <c r="JN101" s="3560"/>
      <c r="JO101" s="3560"/>
      <c r="JP101" s="3547" t="s">
        <v>4676</v>
      </c>
      <c r="JQ101" s="3583">
        <f>2358.81/1.05+2358.81/1.05*12/365*17</f>
        <v>3502.0558121330719</v>
      </c>
      <c r="JR101" s="3583">
        <f>378.69/1.06+378.69/1.06*12/365*17</f>
        <v>556.92584647195645</v>
      </c>
      <c r="JS101" s="3573">
        <f t="shared" si="145"/>
        <v>0</v>
      </c>
      <c r="JT101" s="3573">
        <f t="shared" si="152"/>
        <v>1.3642420526593924E-12</v>
      </c>
      <c r="JU101" s="3574">
        <f t="shared" si="146"/>
        <v>0</v>
      </c>
      <c r="JV101" s="3574">
        <f t="shared" si="147"/>
        <v>9.0949470177292824E-13</v>
      </c>
      <c r="JW101" s="3575"/>
      <c r="JX101" s="3576">
        <f t="shared" si="148"/>
        <v>3163.3727592954983</v>
      </c>
      <c r="JY101" s="3576">
        <f t="shared" si="149"/>
        <v>556.92584647195645</v>
      </c>
      <c r="JZ101" s="3577"/>
      <c r="KA101" s="3573">
        <f t="shared" si="197"/>
        <v>2386.4832884097032</v>
      </c>
      <c r="KB101" s="3573"/>
      <c r="KC101" s="3573"/>
      <c r="KD101" s="3573">
        <f t="shared" si="150"/>
        <v>2386.4832884097032</v>
      </c>
      <c r="KE101" s="3662" t="s">
        <v>3761</v>
      </c>
      <c r="KF101" s="3579"/>
      <c r="KG101" s="3579"/>
      <c r="KH101" s="3579">
        <f>1052.67/10000+2386.48/10000</f>
        <v>0.34391500000000003</v>
      </c>
      <c r="KI101" s="3579"/>
      <c r="KJ101" s="3579"/>
      <c r="KK101" s="3579"/>
      <c r="KL101" s="3579"/>
      <c r="KM101" s="3579"/>
      <c r="KN101" s="3579"/>
      <c r="KO101" s="3579"/>
      <c r="KP101" s="3579"/>
      <c r="KQ101" s="3579">
        <f t="shared" si="151"/>
        <v>0.34391500000000003</v>
      </c>
      <c r="KR101" s="3579">
        <f t="shared" si="196"/>
        <v>1.259461680502838E-7</v>
      </c>
      <c r="KS101" s="3577"/>
      <c r="KT101" s="3577"/>
      <c r="KU101" s="3577"/>
      <c r="KV101" s="3577"/>
      <c r="KW101" s="3577"/>
      <c r="KX101" s="3577"/>
      <c r="KY101" s="3577"/>
      <c r="KZ101" s="3577"/>
      <c r="LA101" s="3577"/>
      <c r="LB101" s="3577"/>
      <c r="LC101" s="3577"/>
      <c r="LD101" s="3577"/>
      <c r="LE101" s="3577"/>
      <c r="LF101" s="3577"/>
      <c r="LG101" s="3577"/>
      <c r="LH101" s="3577"/>
      <c r="LJ101" s="3575"/>
      <c r="LK101" s="3571"/>
      <c r="LL101" s="3576"/>
    </row>
    <row r="102" spans="1:325" s="3580" customFormat="1" ht="18" customHeight="1">
      <c r="A102" s="3545">
        <v>99</v>
      </c>
      <c r="B102" s="3546" t="s">
        <v>4677</v>
      </c>
      <c r="C102" s="3546" t="s">
        <v>4678</v>
      </c>
      <c r="D102" s="3547">
        <v>365.87</v>
      </c>
      <c r="E102" s="3608" t="s">
        <v>4022</v>
      </c>
      <c r="F102" s="3546" t="s">
        <v>3790</v>
      </c>
      <c r="G102" s="3549" t="s">
        <v>4679</v>
      </c>
      <c r="H102" s="3546" t="s">
        <v>4680</v>
      </c>
      <c r="I102" s="3594" t="s">
        <v>4428</v>
      </c>
      <c r="J102" s="3653" t="s">
        <v>4681</v>
      </c>
      <c r="K102" s="3545" t="s">
        <v>4005</v>
      </c>
      <c r="L102" s="3545"/>
      <c r="M102" s="3551">
        <v>152572.35</v>
      </c>
      <c r="N102" s="3551">
        <v>152572.35</v>
      </c>
      <c r="O102" s="3551">
        <f t="shared" si="135"/>
        <v>0</v>
      </c>
      <c r="P102" s="3547">
        <v>27710.07</v>
      </c>
      <c r="Q102" s="3547">
        <v>27710.07</v>
      </c>
      <c r="R102" s="3547">
        <f t="shared" si="132"/>
        <v>0</v>
      </c>
      <c r="S102" s="3547">
        <f t="shared" ref="S102:S132" si="232">U102/365/D102</f>
        <v>4.5699995993786242</v>
      </c>
      <c r="T102" s="3682">
        <v>50857.45</v>
      </c>
      <c r="U102" s="3553">
        <f t="shared" si="136"/>
        <v>610289.39999999991</v>
      </c>
      <c r="V102" s="3547">
        <v>2357693.58</v>
      </c>
      <c r="W102" s="3547">
        <f t="shared" ref="W102:W132" si="233">Y102/365/D102</f>
        <v>0.82999972667887489</v>
      </c>
      <c r="X102" s="3663">
        <v>9236.69</v>
      </c>
      <c r="Y102" s="3547">
        <f t="shared" si="198"/>
        <v>110840.28</v>
      </c>
      <c r="Z102" s="3554"/>
      <c r="AA102" s="3555"/>
      <c r="AB102" s="3650" t="s">
        <v>3804</v>
      </c>
      <c r="AC102" s="3556">
        <f t="shared" si="138"/>
        <v>519709.44999999995</v>
      </c>
      <c r="AD102" s="3556">
        <f t="shared" si="228"/>
        <v>367137.1</v>
      </c>
      <c r="AE102" s="3556">
        <f t="shared" si="228"/>
        <v>367137.1</v>
      </c>
      <c r="AF102" s="3556">
        <f t="shared" si="140"/>
        <v>0</v>
      </c>
      <c r="AG102" s="3556"/>
      <c r="AH102" s="3557">
        <f t="shared" si="141"/>
        <v>104463.17000000001</v>
      </c>
      <c r="AI102" s="3558">
        <f t="shared" si="229"/>
        <v>76753.100000000006</v>
      </c>
      <c r="AJ102" s="3558">
        <f t="shared" si="229"/>
        <v>76753.100000000006</v>
      </c>
      <c r="AK102" s="3557">
        <f t="shared" si="159"/>
        <v>0</v>
      </c>
      <c r="AL102" s="3557"/>
      <c r="AM102" s="3547"/>
      <c r="AN102" s="3562"/>
      <c r="AO102" s="3562"/>
      <c r="AP102" s="3561">
        <f t="shared" si="199"/>
        <v>0</v>
      </c>
      <c r="AQ102" s="3562"/>
      <c r="AR102" s="3562"/>
      <c r="AS102" s="3561">
        <f t="shared" si="200"/>
        <v>0</v>
      </c>
      <c r="AT102" s="3563" t="s">
        <v>4682</v>
      </c>
      <c r="AU102" s="3584" t="s">
        <v>4321</v>
      </c>
      <c r="AV102" s="3609">
        <v>-39722.5</v>
      </c>
      <c r="AW102" s="3562">
        <f>-57534.58+17812.08</f>
        <v>-39722.5</v>
      </c>
      <c r="AX102" s="3561">
        <f t="shared" si="201"/>
        <v>0</v>
      </c>
      <c r="AY102" s="3559">
        <f>-6377.11</f>
        <v>-6377.11</v>
      </c>
      <c r="AZ102" s="3562">
        <f>-9236.69+2859.58</f>
        <v>-6377.1100000000006</v>
      </c>
      <c r="BA102" s="3561">
        <f t="shared" si="202"/>
        <v>0</v>
      </c>
      <c r="BB102" s="3563" t="s">
        <v>4683</v>
      </c>
      <c r="BC102" s="3547" t="s">
        <v>4217</v>
      </c>
      <c r="BD102" s="3631">
        <v>101714.9</v>
      </c>
      <c r="BE102" s="3562">
        <f>50857.45+50857.45</f>
        <v>101714.9</v>
      </c>
      <c r="BF102" s="3561">
        <f t="shared" si="203"/>
        <v>0</v>
      </c>
      <c r="BG102" s="3559">
        <v>27710.07</v>
      </c>
      <c r="BH102" s="3562">
        <v>27710.07</v>
      </c>
      <c r="BI102" s="3561">
        <f t="shared" si="204"/>
        <v>0</v>
      </c>
      <c r="BJ102" s="3563" t="s">
        <v>4684</v>
      </c>
      <c r="BK102" s="3547"/>
      <c r="BL102" s="3609"/>
      <c r="BM102" s="3562">
        <f>90000+62572.35</f>
        <v>152572.35</v>
      </c>
      <c r="BN102" s="3561">
        <f t="shared" si="205"/>
        <v>152572.35</v>
      </c>
      <c r="BO102" s="3559"/>
      <c r="BP102" s="3562">
        <v>27710.07</v>
      </c>
      <c r="BQ102" s="3561">
        <f t="shared" si="206"/>
        <v>27710.07</v>
      </c>
      <c r="BR102" s="3691" t="s">
        <v>4685</v>
      </c>
      <c r="BS102" s="3547" t="s">
        <v>4219</v>
      </c>
      <c r="BT102" s="3559">
        <f>50857.45*3</f>
        <v>152572.34999999998</v>
      </c>
      <c r="BU102" s="3562"/>
      <c r="BV102" s="3561">
        <f t="shared" si="207"/>
        <v>-152572.34999999998</v>
      </c>
      <c r="BW102" s="3559">
        <f>9236.69*3</f>
        <v>27710.07</v>
      </c>
      <c r="BX102" s="3562"/>
      <c r="BY102" s="3561">
        <f t="shared" si="208"/>
        <v>-27710.07</v>
      </c>
      <c r="BZ102" s="3691" t="s">
        <v>4685</v>
      </c>
      <c r="CA102" s="3547"/>
      <c r="CB102" s="3609"/>
      <c r="CC102" s="3562"/>
      <c r="CD102" s="3561">
        <f t="shared" si="164"/>
        <v>0</v>
      </c>
      <c r="CE102" s="3559"/>
      <c r="CF102" s="3562"/>
      <c r="CG102" s="3561">
        <f t="shared" si="165"/>
        <v>0</v>
      </c>
      <c r="CH102" s="3691" t="s">
        <v>4685</v>
      </c>
      <c r="CI102" s="3547"/>
      <c r="CJ102" s="3609"/>
      <c r="CK102" s="3562">
        <v>152572.35</v>
      </c>
      <c r="CL102" s="3561">
        <f t="shared" si="133"/>
        <v>152572.35</v>
      </c>
      <c r="CM102" s="3559"/>
      <c r="CN102" s="3562">
        <v>27710.07</v>
      </c>
      <c r="CO102" s="3561">
        <f t="shared" si="166"/>
        <v>27710.07</v>
      </c>
      <c r="CP102" s="3691" t="s">
        <v>4686</v>
      </c>
      <c r="CQ102" s="3597" t="s">
        <v>4221</v>
      </c>
      <c r="CR102" s="3604">
        <f>50857.45*3</f>
        <v>152572.34999999998</v>
      </c>
      <c r="CS102" s="3603"/>
      <c r="CT102" s="3602">
        <f t="shared" si="167"/>
        <v>-152572.34999999998</v>
      </c>
      <c r="CU102" s="3604">
        <f>9236.69*3</f>
        <v>27710.07</v>
      </c>
      <c r="CV102" s="3603"/>
      <c r="CW102" s="3561">
        <f t="shared" si="168"/>
        <v>-27710.07</v>
      </c>
      <c r="CX102" s="3691" t="s">
        <v>4686</v>
      </c>
      <c r="CY102" s="3597"/>
      <c r="CZ102" s="3609"/>
      <c r="DA102" s="3562"/>
      <c r="DB102" s="3561">
        <f t="shared" si="169"/>
        <v>0</v>
      </c>
      <c r="DC102" s="3559"/>
      <c r="DD102" s="3562"/>
      <c r="DE102" s="3561">
        <f t="shared" si="170"/>
        <v>0</v>
      </c>
      <c r="DF102" s="3692" t="s">
        <v>4686</v>
      </c>
      <c r="DG102" s="3547"/>
      <c r="DH102" s="3609"/>
      <c r="DI102" s="3562"/>
      <c r="DJ102" s="3561">
        <f t="shared" si="171"/>
        <v>0</v>
      </c>
      <c r="DK102" s="3559"/>
      <c r="DL102" s="3562"/>
      <c r="DM102" s="3561">
        <f t="shared" si="172"/>
        <v>0</v>
      </c>
      <c r="DN102" s="3563"/>
      <c r="DO102" s="3547" t="s">
        <v>4223</v>
      </c>
      <c r="DP102" s="3559">
        <f>50857.45*3</f>
        <v>152572.34999999998</v>
      </c>
      <c r="DQ102" s="3562"/>
      <c r="DR102" s="3561">
        <f t="shared" si="173"/>
        <v>-152572.34999999998</v>
      </c>
      <c r="DS102" s="3559">
        <f>9236.69*3</f>
        <v>27710.07</v>
      </c>
      <c r="DT102" s="3562"/>
      <c r="DU102" s="3561">
        <f t="shared" si="209"/>
        <v>-27710.07</v>
      </c>
      <c r="DV102" s="3563"/>
      <c r="DW102" s="3547"/>
      <c r="DX102" s="3609"/>
      <c r="DY102" s="3562"/>
      <c r="DZ102" s="3561">
        <f t="shared" si="175"/>
        <v>0</v>
      </c>
      <c r="EA102" s="3559"/>
      <c r="EB102" s="3562"/>
      <c r="EC102" s="3561">
        <f t="shared" si="176"/>
        <v>0</v>
      </c>
      <c r="ED102" s="3563"/>
      <c r="EE102" s="3564"/>
      <c r="EF102" s="3565">
        <f t="shared" si="153"/>
        <v>601362.22550000029</v>
      </c>
      <c r="EG102" s="3565">
        <f t="shared" si="230"/>
        <v>493153.55964285741</v>
      </c>
      <c r="EH102" s="3565">
        <f t="shared" si="230"/>
        <v>307577.88571428572</v>
      </c>
      <c r="EI102" s="3565">
        <f t="shared" si="230"/>
        <v>307577.88571428577</v>
      </c>
      <c r="EJ102" s="3565">
        <f t="shared" si="154"/>
        <v>-185575.67392857163</v>
      </c>
      <c r="EK102" s="3566">
        <f t="shared" si="155"/>
        <v>0</v>
      </c>
      <c r="EL102" s="3610"/>
      <c r="EM102" s="3567">
        <f t="shared" si="156"/>
        <v>99003.789205974812</v>
      </c>
      <c r="EN102" s="3557">
        <f t="shared" si="231"/>
        <v>78424.752240566013</v>
      </c>
      <c r="EO102" s="3557">
        <f t="shared" si="231"/>
        <v>63694.726415094345</v>
      </c>
      <c r="EP102" s="3557">
        <f t="shared" si="231"/>
        <v>63694.726415094345</v>
      </c>
      <c r="EQ102" s="3557">
        <f t="shared" si="157"/>
        <v>-14730.025825471668</v>
      </c>
      <c r="ER102" s="3557">
        <f t="shared" si="158"/>
        <v>0</v>
      </c>
      <c r="ES102" s="3557"/>
      <c r="ET102" s="3568">
        <v>54794.839960317498</v>
      </c>
      <c r="EU102" s="3569">
        <f>57534.58/1.05</f>
        <v>54794.838095238098</v>
      </c>
      <c r="EV102" s="3562">
        <f>57534.58/1.05</f>
        <v>54794.838095238098</v>
      </c>
      <c r="EW102" s="3547">
        <f t="shared" si="210"/>
        <v>-1.8650794008863159E-3</v>
      </c>
      <c r="EX102" s="3568">
        <v>8713.8613600628905</v>
      </c>
      <c r="EY102" s="3569">
        <f>9236.69/1.06</f>
        <v>8713.8584905660373</v>
      </c>
      <c r="EZ102" s="3562">
        <f>9236.69/1.06</f>
        <v>8713.8584905660373</v>
      </c>
      <c r="FA102" s="3547">
        <f t="shared" si="211"/>
        <v>-2.8694968532363418E-3</v>
      </c>
      <c r="FB102" s="3568">
        <v>54794.839960317498</v>
      </c>
      <c r="FC102" s="3592">
        <f>-39722.5/1.05</f>
        <v>-37830.952380952382</v>
      </c>
      <c r="FD102" s="3606">
        <f>-39722.5/1.05</f>
        <v>-37830.952380952382</v>
      </c>
      <c r="FE102" s="3547">
        <f t="shared" si="212"/>
        <v>-92625.792341269873</v>
      </c>
      <c r="FF102" s="3568">
        <v>8713.8613600628905</v>
      </c>
      <c r="FG102" s="3592">
        <f>-6377.11/1.06</f>
        <v>-6016.1415094339618</v>
      </c>
      <c r="FH102" s="3606">
        <f>-6377.11/1.06</f>
        <v>-6016.1415094339618</v>
      </c>
      <c r="FI102" s="3547">
        <f t="shared" si="213"/>
        <v>-14730.002869496853</v>
      </c>
      <c r="FJ102" s="3568">
        <v>54794.839960317498</v>
      </c>
      <c r="FK102" s="3559">
        <f>50857.45/1.05</f>
        <v>48435.666666666664</v>
      </c>
      <c r="FL102" s="3562">
        <f>101714.9/1.05/2</f>
        <v>48435.666666666664</v>
      </c>
      <c r="FM102" s="3547">
        <f t="shared" si="214"/>
        <v>-6359.1732936508342</v>
      </c>
      <c r="FN102" s="3568">
        <v>8713.8613600628905</v>
      </c>
      <c r="FO102" s="3559">
        <f>9236.69/1.06</f>
        <v>8713.8584905660373</v>
      </c>
      <c r="FP102" s="3562">
        <f>27710.07/3/1.06</f>
        <v>8713.8584905660373</v>
      </c>
      <c r="FQ102" s="3547">
        <f t="shared" si="215"/>
        <v>-2.8694968532363418E-3</v>
      </c>
      <c r="FR102" s="3568">
        <v>54794.839960317498</v>
      </c>
      <c r="FS102" s="3631"/>
      <c r="FT102" s="3672"/>
      <c r="FU102" s="3547">
        <f t="shared" si="216"/>
        <v>-54794.839960317498</v>
      </c>
      <c r="FV102" s="3568">
        <v>8713.8613600628905</v>
      </c>
      <c r="FW102" s="3559">
        <f>9236.69/1.06</f>
        <v>8713.8584905660373</v>
      </c>
      <c r="FX102" s="3560">
        <f>27710.07/3/1.06</f>
        <v>8713.8584905660373</v>
      </c>
      <c r="FY102" s="3547">
        <f t="shared" si="217"/>
        <v>-2.8694968532363418E-3</v>
      </c>
      <c r="FZ102" s="3568">
        <v>54794.839960317498</v>
      </c>
      <c r="GA102" s="3569">
        <f>50857.45/1.05</f>
        <v>48435.666666666664</v>
      </c>
      <c r="GB102" s="3560">
        <f>101714.9/1.05/2</f>
        <v>48435.666666666664</v>
      </c>
      <c r="GC102" s="3547">
        <f t="shared" si="218"/>
        <v>-6359.1732936508342</v>
      </c>
      <c r="GD102" s="3568">
        <v>8713.8613600628905</v>
      </c>
      <c r="GE102" s="3569">
        <f>9236.69/1.06</f>
        <v>8713.8584905660373</v>
      </c>
      <c r="GF102" s="3560">
        <f>27710.07/3/1.06</f>
        <v>8713.8584905660373</v>
      </c>
      <c r="GG102" s="3547">
        <f t="shared" si="219"/>
        <v>-2.8694968532363418E-3</v>
      </c>
      <c r="GH102" s="3568">
        <v>54794.839960317498</v>
      </c>
      <c r="GI102" s="3569">
        <f>50857.45/1.05</f>
        <v>48435.666666666664</v>
      </c>
      <c r="GJ102" s="3560">
        <f>152572.35/3/1.05</f>
        <v>48435.666666666672</v>
      </c>
      <c r="GK102" s="3547">
        <f t="shared" si="181"/>
        <v>-6359.173293650827</v>
      </c>
      <c r="GL102" s="3568">
        <v>8713.8613600628905</v>
      </c>
      <c r="GM102" s="3569">
        <f>9236.69/1.06</f>
        <v>8713.8584905660373</v>
      </c>
      <c r="GN102" s="3560">
        <f>27710.07/3/1.06</f>
        <v>8713.8584905660373</v>
      </c>
      <c r="GO102" s="3547">
        <f t="shared" si="182"/>
        <v>-2.8694968532363418E-3</v>
      </c>
      <c r="GP102" s="3568">
        <v>54794.839960317498</v>
      </c>
      <c r="GQ102" s="3569">
        <f>50857.45/1.05</f>
        <v>48435.666666666664</v>
      </c>
      <c r="GR102" s="3562">
        <f>152572.35/3/1.05</f>
        <v>48435.666666666672</v>
      </c>
      <c r="GS102" s="3547">
        <f t="shared" si="183"/>
        <v>-6359.173293650827</v>
      </c>
      <c r="GT102" s="3568">
        <v>8713.8613600628905</v>
      </c>
      <c r="GU102" s="3569">
        <f>9236.69/1.06</f>
        <v>8713.8584905660373</v>
      </c>
      <c r="GV102" s="3562">
        <f>27710.07/3/1.06</f>
        <v>8713.8584905660373</v>
      </c>
      <c r="GW102" s="3547">
        <f t="shared" si="184"/>
        <v>-2.8694968532363418E-3</v>
      </c>
      <c r="GX102" s="3568">
        <v>54794.839960317498</v>
      </c>
      <c r="GY102" s="3569">
        <f>50857.45/1.05</f>
        <v>48435.666666666664</v>
      </c>
      <c r="GZ102" s="3560">
        <f>152572.35/3/1.05</f>
        <v>48435.666666666672</v>
      </c>
      <c r="HA102" s="3547">
        <f t="shared" si="185"/>
        <v>-6359.173293650827</v>
      </c>
      <c r="HB102" s="3568">
        <v>8713.8613600628905</v>
      </c>
      <c r="HC102" s="3569">
        <f>9236.69/1.06</f>
        <v>8713.8584905660373</v>
      </c>
      <c r="HD102" s="3560">
        <f>27710.07/3/1.06</f>
        <v>8713.8584905660373</v>
      </c>
      <c r="HE102" s="3547">
        <f t="shared" si="186"/>
        <v>-2.8694968532363418E-3</v>
      </c>
      <c r="HF102" s="3568">
        <v>54794.839960317498</v>
      </c>
      <c r="HG102" s="3569">
        <f>50857.45/1.05</f>
        <v>48435.666666666664</v>
      </c>
      <c r="HH102" s="3560">
        <f>152572.35/3/1.05</f>
        <v>48435.666666666672</v>
      </c>
      <c r="HI102" s="3547">
        <f t="shared" si="224"/>
        <v>-6359.173293650827</v>
      </c>
      <c r="HJ102" s="3568">
        <v>8713.8613600628905</v>
      </c>
      <c r="HK102" s="3569">
        <f>9236.69/1.06</f>
        <v>8713.8584905660373</v>
      </c>
      <c r="HL102" s="3562">
        <f>27710.07/3/1.06</f>
        <v>8713.8584905660373</v>
      </c>
      <c r="HM102" s="3547">
        <f t="shared" si="220"/>
        <v>-2.8694968532363418E-3</v>
      </c>
      <c r="HN102" s="3568">
        <v>19816.216095238098</v>
      </c>
      <c r="HO102" s="3569">
        <f>50857.45/1.05</f>
        <v>48435.666666666664</v>
      </c>
      <c r="HP102" s="3562">
        <f>152572.35/3/1.05</f>
        <v>48435.666666666672</v>
      </c>
      <c r="HQ102" s="3547">
        <f t="shared" si="225"/>
        <v>28619.450571428573</v>
      </c>
      <c r="HR102" s="3568">
        <v>3151.3142452830202</v>
      </c>
      <c r="HS102" s="3569">
        <f>9236.69/1.06</f>
        <v>8713.8584905660373</v>
      </c>
      <c r="HT102" s="3562">
        <f>27710.07/3/1.06</f>
        <v>8713.8584905660373</v>
      </c>
      <c r="HU102" s="3547">
        <f t="shared" si="221"/>
        <v>5562.5442452830175</v>
      </c>
      <c r="HV102" s="3568">
        <v>44196.224880952403</v>
      </c>
      <c r="HW102" s="3569">
        <f>50857.45/1.05</f>
        <v>48435.666666666664</v>
      </c>
      <c r="HX102" s="3562">
        <f>152572.35/3/1.05</f>
        <v>48435.666666666672</v>
      </c>
      <c r="HY102" s="3547">
        <f t="shared" si="226"/>
        <v>4239.4417857142689</v>
      </c>
      <c r="HZ102" s="3568">
        <v>8713.8613600628905</v>
      </c>
      <c r="IA102" s="3569">
        <f>9236.69/1.06</f>
        <v>8713.8584905660373</v>
      </c>
      <c r="IB102" s="3562">
        <f>27710.07/3/1.06</f>
        <v>8713.8584905660373</v>
      </c>
      <c r="IC102" s="3547">
        <f t="shared" si="222"/>
        <v>-2.8694968532363418E-3</v>
      </c>
      <c r="ID102" s="3568">
        <v>44196.224880952403</v>
      </c>
      <c r="IE102" s="3569">
        <f>50857.45/1.05</f>
        <v>48435.666666666664</v>
      </c>
      <c r="IF102" s="3562"/>
      <c r="IG102" s="3547">
        <f t="shared" si="227"/>
        <v>-44196.224880952403</v>
      </c>
      <c r="IH102" s="3568">
        <v>8713.8613600628905</v>
      </c>
      <c r="II102" s="3569">
        <f>9236.69/1.06</f>
        <v>8713.8584905660373</v>
      </c>
      <c r="IJ102" s="3562"/>
      <c r="IK102" s="3547">
        <f t="shared" si="223"/>
        <v>-8713.8613600628905</v>
      </c>
      <c r="IL102" s="3547" t="s">
        <v>4224</v>
      </c>
      <c r="IM102" s="3559">
        <f>50857.45/1.05*2</f>
        <v>96871.333333333328</v>
      </c>
      <c r="IN102" s="3559">
        <f>9236.69/1.06*2</f>
        <v>17427.716981132075</v>
      </c>
      <c r="IO102" s="3607"/>
      <c r="IP102" s="3560">
        <f t="shared" si="195"/>
        <v>0</v>
      </c>
      <c r="IQ102" s="3568"/>
      <c r="IR102" s="3568"/>
      <c r="IS102" s="3568"/>
      <c r="IT102" s="3568"/>
      <c r="IU102" s="3568"/>
      <c r="IV102" s="3568"/>
      <c r="IW102" s="3568"/>
      <c r="IX102" s="3568"/>
      <c r="IY102" s="3568"/>
      <c r="IZ102" s="3560"/>
      <c r="JA102" s="3560"/>
      <c r="JB102" s="3560"/>
      <c r="JC102" s="3560">
        <f t="shared" si="134"/>
        <v>0</v>
      </c>
      <c r="JD102" s="3607"/>
      <c r="JE102" s="3568"/>
      <c r="JF102" s="3568"/>
      <c r="JG102" s="3568"/>
      <c r="JH102" s="3568"/>
      <c r="JI102" s="3568"/>
      <c r="JJ102" s="3568"/>
      <c r="JK102" s="3568"/>
      <c r="JL102" s="3568"/>
      <c r="JM102" s="3568"/>
      <c r="JN102" s="3560"/>
      <c r="JO102" s="3560"/>
      <c r="JP102" s="3607" t="s">
        <v>3837</v>
      </c>
      <c r="JQ102" s="3583">
        <f>57534.58/1.05</f>
        <v>54794.838095238098</v>
      </c>
      <c r="JR102" s="3583">
        <f>9236.69/1.06</f>
        <v>8713.8584905660373</v>
      </c>
      <c r="JS102" s="3573">
        <f t="shared" si="145"/>
        <v>0</v>
      </c>
      <c r="JT102" s="3573">
        <f t="shared" si="152"/>
        <v>0</v>
      </c>
      <c r="JU102" s="3574">
        <f t="shared" si="146"/>
        <v>-1.4551915228366852E-10</v>
      </c>
      <c r="JV102" s="3574">
        <f t="shared" si="147"/>
        <v>0</v>
      </c>
      <c r="JW102" s="3575"/>
      <c r="JX102" s="3576">
        <f t="shared" si="148"/>
        <v>96871.333333333343</v>
      </c>
      <c r="JY102" s="3576">
        <f t="shared" si="149"/>
        <v>17427.716981132075</v>
      </c>
      <c r="JZ102" s="3577"/>
      <c r="KA102" s="3573">
        <f t="shared" si="197"/>
        <v>-6359.1761631476802</v>
      </c>
      <c r="KB102" s="3573"/>
      <c r="KC102" s="3573"/>
      <c r="KD102" s="3573">
        <f t="shared" si="150"/>
        <v>-6359.1761631476802</v>
      </c>
      <c r="KE102" s="3578" t="s">
        <v>3815</v>
      </c>
      <c r="KF102" s="3579"/>
      <c r="KG102" s="3579"/>
      <c r="KH102" s="3579"/>
      <c r="KI102" s="3579"/>
      <c r="KJ102" s="3579"/>
      <c r="KK102" s="3579"/>
      <c r="KL102" s="3579">
        <f>-107355.8/10000</f>
        <v>-10.735580000000001</v>
      </c>
      <c r="KM102" s="3579">
        <f>-6359.18/10000*7</f>
        <v>-4.4514259999999997</v>
      </c>
      <c r="KN102" s="3579">
        <f>-48435.67/10000</f>
        <v>-4.8435670000000002</v>
      </c>
      <c r="KO102" s="3579"/>
      <c r="KP102" s="3579"/>
      <c r="KQ102" s="3579">
        <f t="shared" si="151"/>
        <v>-20.030573</v>
      </c>
      <c r="KR102" s="3579">
        <f t="shared" si="196"/>
        <v>3.0245956708085942E-6</v>
      </c>
      <c r="KS102" s="3577"/>
      <c r="KT102" s="3577"/>
      <c r="KU102" s="3577"/>
      <c r="KV102" s="3577"/>
      <c r="KW102" s="3577"/>
      <c r="KX102" s="3577"/>
      <c r="KY102" s="3577"/>
      <c r="KZ102" s="3577"/>
      <c r="LA102" s="3577"/>
      <c r="LB102" s="3577"/>
      <c r="LC102" s="3577"/>
      <c r="LD102" s="3577"/>
      <c r="LE102" s="3577"/>
      <c r="LF102" s="3577"/>
      <c r="LG102" s="3577"/>
      <c r="LH102" s="3577"/>
      <c r="LJ102" s="3575"/>
      <c r="LK102" s="3626">
        <v>12</v>
      </c>
      <c r="LL102" s="3627">
        <v>63098.86</v>
      </c>
      <c r="LM102" s="3580" t="s">
        <v>3954</v>
      </c>
    </row>
    <row r="103" spans="1:325" s="3580" customFormat="1" ht="18" customHeight="1">
      <c r="A103" s="3545">
        <v>100</v>
      </c>
      <c r="B103" s="3546" t="s">
        <v>4677</v>
      </c>
      <c r="C103" s="3546">
        <v>1501</v>
      </c>
      <c r="D103" s="3547">
        <v>252.15</v>
      </c>
      <c r="E103" s="3548" t="s">
        <v>3799</v>
      </c>
      <c r="F103" s="3546" t="s">
        <v>3790</v>
      </c>
      <c r="G103" s="3549" t="s">
        <v>4687</v>
      </c>
      <c r="H103" s="3546" t="s">
        <v>4688</v>
      </c>
      <c r="I103" s="3594" t="s">
        <v>4084</v>
      </c>
      <c r="J103" s="3653" t="s">
        <v>4689</v>
      </c>
      <c r="K103" s="3545" t="s">
        <v>4690</v>
      </c>
      <c r="L103" s="3545"/>
      <c r="M103" s="3551">
        <v>98247.09</v>
      </c>
      <c r="N103" s="3616">
        <v>98247.09</v>
      </c>
      <c r="O103" s="3551">
        <f t="shared" si="135"/>
        <v>0</v>
      </c>
      <c r="P103" s="3547">
        <v>19097.22</v>
      </c>
      <c r="Q103" s="3547">
        <v>19097.22</v>
      </c>
      <c r="R103" s="3547">
        <f t="shared" si="132"/>
        <v>0</v>
      </c>
      <c r="S103" s="3547">
        <f t="shared" si="232"/>
        <v>4.2699997555271239</v>
      </c>
      <c r="T103" s="3663">
        <v>32749.03</v>
      </c>
      <c r="U103" s="3553">
        <f t="shared" si="136"/>
        <v>392988.36</v>
      </c>
      <c r="V103" s="3547">
        <f>T103*11*2</f>
        <v>720478.65999999992</v>
      </c>
      <c r="W103" s="3547">
        <f t="shared" si="233"/>
        <v>0.83000040745479298</v>
      </c>
      <c r="X103" s="3663">
        <v>6365.74</v>
      </c>
      <c r="Y103" s="3547">
        <f t="shared" si="198"/>
        <v>76388.88</v>
      </c>
      <c r="Z103" s="3554"/>
      <c r="AA103" s="3555"/>
      <c r="AB103" s="3650" t="s">
        <v>3804</v>
      </c>
      <c r="AC103" s="3556">
        <f t="shared" si="138"/>
        <v>332863.40000000002</v>
      </c>
      <c r="AD103" s="3556">
        <f t="shared" si="228"/>
        <v>234616.31</v>
      </c>
      <c r="AE103" s="3556">
        <f t="shared" si="228"/>
        <v>234616.31</v>
      </c>
      <c r="AF103" s="3556">
        <f t="shared" si="140"/>
        <v>0</v>
      </c>
      <c r="AG103" s="3556"/>
      <c r="AH103" s="3557">
        <f t="shared" si="141"/>
        <v>71993.900000000009</v>
      </c>
      <c r="AI103" s="3558">
        <f t="shared" si="229"/>
        <v>52896.680000000008</v>
      </c>
      <c r="AJ103" s="3558">
        <f t="shared" si="229"/>
        <v>52896.680000000008</v>
      </c>
      <c r="AK103" s="3557">
        <f t="shared" si="159"/>
        <v>0</v>
      </c>
      <c r="AL103" s="3557"/>
      <c r="AM103" s="3547"/>
      <c r="AN103" s="3562"/>
      <c r="AO103" s="3562"/>
      <c r="AP103" s="3561">
        <f t="shared" si="199"/>
        <v>0</v>
      </c>
      <c r="AQ103" s="3562"/>
      <c r="AR103" s="3562"/>
      <c r="AS103" s="3561">
        <f t="shared" si="200"/>
        <v>0</v>
      </c>
      <c r="AT103" s="3563" t="s">
        <v>4682</v>
      </c>
      <c r="AU103" s="3584" t="s">
        <v>4321</v>
      </c>
      <c r="AV103" s="3609">
        <v>-27375.93</v>
      </c>
      <c r="AW103" s="3562">
        <f>-39651.64+12275.71</f>
        <v>-27375.93</v>
      </c>
      <c r="AX103" s="3561">
        <f t="shared" si="201"/>
        <v>0</v>
      </c>
      <c r="AY103" s="3559">
        <v>-4394.9799999999996</v>
      </c>
      <c r="AZ103" s="3562">
        <f>-6365.74+1970.76</f>
        <v>-4394.9799999999996</v>
      </c>
      <c r="BA103" s="3561">
        <f t="shared" si="202"/>
        <v>0</v>
      </c>
      <c r="BB103" s="3563" t="s">
        <v>4683</v>
      </c>
      <c r="BC103" s="3547" t="s">
        <v>4087</v>
      </c>
      <c r="BD103" s="3631">
        <v>65498.06</v>
      </c>
      <c r="BE103" s="3562">
        <v>65498.06</v>
      </c>
      <c r="BF103" s="3561">
        <f t="shared" si="203"/>
        <v>0</v>
      </c>
      <c r="BG103" s="3559">
        <v>19097.22</v>
      </c>
      <c r="BH103" s="3562">
        <v>19097.22</v>
      </c>
      <c r="BI103" s="3561">
        <f t="shared" si="204"/>
        <v>0</v>
      </c>
      <c r="BJ103" s="3563" t="s">
        <v>4691</v>
      </c>
      <c r="BK103" s="3547"/>
      <c r="BL103" s="3609"/>
      <c r="BM103" s="3562"/>
      <c r="BN103" s="3561">
        <f t="shared" si="205"/>
        <v>0</v>
      </c>
      <c r="BO103" s="3559"/>
      <c r="BP103" s="3562"/>
      <c r="BQ103" s="3561">
        <f t="shared" si="206"/>
        <v>0</v>
      </c>
      <c r="BR103" s="3563" t="s">
        <v>4691</v>
      </c>
      <c r="BS103" s="3547"/>
      <c r="BT103" s="3559"/>
      <c r="BU103" s="3562"/>
      <c r="BV103" s="3561">
        <f t="shared" si="207"/>
        <v>0</v>
      </c>
      <c r="BW103" s="3559"/>
      <c r="BX103" s="3562"/>
      <c r="BY103" s="3561">
        <f t="shared" si="208"/>
        <v>0</v>
      </c>
      <c r="BZ103" s="3563" t="s">
        <v>4691</v>
      </c>
      <c r="CA103" s="3547" t="s">
        <v>4089</v>
      </c>
      <c r="CB103" s="3609">
        <f>32749.03*3</f>
        <v>98247.09</v>
      </c>
      <c r="CC103" s="3562">
        <v>98247.09</v>
      </c>
      <c r="CD103" s="3561">
        <f t="shared" si="164"/>
        <v>0</v>
      </c>
      <c r="CE103" s="3559">
        <f>6365.74*3</f>
        <v>19097.22</v>
      </c>
      <c r="CF103" s="3562">
        <v>19097.22</v>
      </c>
      <c r="CG103" s="3561">
        <f t="shared" si="165"/>
        <v>0</v>
      </c>
      <c r="CH103" s="3563" t="s">
        <v>4692</v>
      </c>
      <c r="CI103" s="3547"/>
      <c r="CJ103" s="3609"/>
      <c r="CK103" s="3562"/>
      <c r="CL103" s="3561">
        <f t="shared" si="133"/>
        <v>0</v>
      </c>
      <c r="CM103" s="3559"/>
      <c r="CN103" s="3562"/>
      <c r="CO103" s="3561">
        <f t="shared" si="166"/>
        <v>0</v>
      </c>
      <c r="CP103" s="3630" t="s">
        <v>4692</v>
      </c>
      <c r="CQ103" s="3547"/>
      <c r="CR103" s="3621"/>
      <c r="CS103" s="3603"/>
      <c r="CT103" s="3602">
        <f t="shared" si="167"/>
        <v>0</v>
      </c>
      <c r="CU103" s="3604"/>
      <c r="CV103" s="3603"/>
      <c r="CW103" s="3561">
        <f t="shared" si="168"/>
        <v>0</v>
      </c>
      <c r="CX103" s="3630" t="s">
        <v>4692</v>
      </c>
      <c r="CY103" s="3597" t="s">
        <v>4091</v>
      </c>
      <c r="CZ103" s="3609">
        <f>32749.03*3</f>
        <v>98247.09</v>
      </c>
      <c r="DA103" s="3562">
        <v>98247.09</v>
      </c>
      <c r="DB103" s="3561">
        <f t="shared" si="169"/>
        <v>0</v>
      </c>
      <c r="DC103" s="3559">
        <f>6365.74*3</f>
        <v>19097.22</v>
      </c>
      <c r="DD103" s="3562">
        <v>19097.22</v>
      </c>
      <c r="DE103" s="3561">
        <f t="shared" si="170"/>
        <v>0</v>
      </c>
      <c r="DF103" s="3563" t="s">
        <v>4693</v>
      </c>
      <c r="DG103" s="3547"/>
      <c r="DH103" s="3609"/>
      <c r="DI103" s="3562"/>
      <c r="DJ103" s="3561">
        <f t="shared" si="171"/>
        <v>0</v>
      </c>
      <c r="DK103" s="3559"/>
      <c r="DL103" s="3562"/>
      <c r="DM103" s="3561">
        <f t="shared" si="172"/>
        <v>0</v>
      </c>
      <c r="DN103" s="3563"/>
      <c r="DO103" s="3547"/>
      <c r="DP103" s="3609"/>
      <c r="DQ103" s="3562"/>
      <c r="DR103" s="3561">
        <f t="shared" si="173"/>
        <v>0</v>
      </c>
      <c r="DS103" s="3559"/>
      <c r="DT103" s="3562"/>
      <c r="DU103" s="3561">
        <f t="shared" si="209"/>
        <v>0</v>
      </c>
      <c r="DV103" s="3563"/>
      <c r="DW103" s="3547" t="s">
        <v>4093</v>
      </c>
      <c r="DX103" s="3609">
        <f>32749.03*3</f>
        <v>98247.09</v>
      </c>
      <c r="DY103" s="3562"/>
      <c r="DZ103" s="3561">
        <f t="shared" si="175"/>
        <v>-98247.09</v>
      </c>
      <c r="EA103" s="3559">
        <f>6365.74*3</f>
        <v>19097.22</v>
      </c>
      <c r="EB103" s="3562"/>
      <c r="EC103" s="3561">
        <f t="shared" si="176"/>
        <v>-19097.22</v>
      </c>
      <c r="ED103" s="3563"/>
      <c r="EE103" s="3564"/>
      <c r="EF103" s="3565">
        <f t="shared" si="153"/>
        <v>353528.10821428586</v>
      </c>
      <c r="EG103" s="3565">
        <f t="shared" si="230"/>
        <v>339871.18392857158</v>
      </c>
      <c r="EH103" s="3565">
        <f t="shared" si="230"/>
        <v>167638.91428571427</v>
      </c>
      <c r="EI103" s="3565">
        <f t="shared" si="230"/>
        <v>167638.91428571427</v>
      </c>
      <c r="EJ103" s="3565">
        <f t="shared" si="154"/>
        <v>-172232.26964285731</v>
      </c>
      <c r="EK103" s="3566">
        <f t="shared" si="155"/>
        <v>0</v>
      </c>
      <c r="EL103" s="3610"/>
      <c r="EM103" s="3567">
        <f t="shared" si="156"/>
        <v>56220.52959905655</v>
      </c>
      <c r="EN103" s="3557">
        <f t="shared" si="231"/>
        <v>54048.709316037683</v>
      </c>
      <c r="EO103" s="3557">
        <f t="shared" si="231"/>
        <v>37891.698113207545</v>
      </c>
      <c r="EP103" s="3557">
        <f t="shared" si="231"/>
        <v>37891.698113207545</v>
      </c>
      <c r="EQ103" s="3557">
        <f t="shared" si="157"/>
        <v>-16157.011202830137</v>
      </c>
      <c r="ER103" s="3557">
        <f t="shared" si="158"/>
        <v>0</v>
      </c>
      <c r="ES103" s="3557"/>
      <c r="ET103" s="3568">
        <v>37763.464880952401</v>
      </c>
      <c r="EU103" s="3569">
        <f>39651.64/1.05</f>
        <v>37763.466666666667</v>
      </c>
      <c r="EV103" s="3562">
        <f>39651.64/1.05</f>
        <v>37763.466666666667</v>
      </c>
      <c r="EW103" s="3547">
        <f t="shared" si="210"/>
        <v>1.7857142665889114E-3</v>
      </c>
      <c r="EX103" s="3568">
        <v>6005.4121462264102</v>
      </c>
      <c r="EY103" s="3569">
        <f>6365.74/1.06</f>
        <v>6005.4150943396226</v>
      </c>
      <c r="EZ103" s="3562">
        <f>6365.74/1.06</f>
        <v>6005.4150943396226</v>
      </c>
      <c r="FA103" s="3547">
        <f t="shared" si="211"/>
        <v>2.9481132123692078E-3</v>
      </c>
      <c r="FB103" s="3568">
        <v>37763.464880952401</v>
      </c>
      <c r="FC103" s="3592">
        <f>-27375.93/1.05</f>
        <v>-26072.314285714285</v>
      </c>
      <c r="FD103" s="3606">
        <f>-27375.93/1.05</f>
        <v>-26072.314285714285</v>
      </c>
      <c r="FE103" s="3547">
        <f t="shared" si="212"/>
        <v>-63835.779166666689</v>
      </c>
      <c r="FF103" s="3568">
        <v>6005.4121462264102</v>
      </c>
      <c r="FG103" s="3592">
        <f>-4394.98/1.06</f>
        <v>-4146.2075471698108</v>
      </c>
      <c r="FH103" s="3606">
        <f>-4394.98/1.06</f>
        <v>-4146.2075471698108</v>
      </c>
      <c r="FI103" s="3547">
        <f t="shared" si="213"/>
        <v>-10151.61969339622</v>
      </c>
      <c r="FJ103" s="3568">
        <v>37763.464880952401</v>
      </c>
      <c r="FK103" s="3559"/>
      <c r="FL103" s="3562"/>
      <c r="FM103" s="3547">
        <f t="shared" si="214"/>
        <v>-37763.464880952401</v>
      </c>
      <c r="FN103" s="3568">
        <v>6005.4121462264102</v>
      </c>
      <c r="FO103" s="3559"/>
      <c r="FP103" s="3562"/>
      <c r="FQ103" s="3547">
        <f t="shared" si="215"/>
        <v>-6005.4121462264102</v>
      </c>
      <c r="FR103" s="3568">
        <v>37763.464880952401</v>
      </c>
      <c r="FS103" s="3631"/>
      <c r="FT103" s="3672"/>
      <c r="FU103" s="3547">
        <f t="shared" si="216"/>
        <v>-37763.464880952401</v>
      </c>
      <c r="FV103" s="3568">
        <v>6005.4121462264102</v>
      </c>
      <c r="FW103" s="3559">
        <f>6365.74/1.06</f>
        <v>6005.4150943396226</v>
      </c>
      <c r="FX103" s="3560">
        <f>19097.22/1.06/3</f>
        <v>6005.4150943396226</v>
      </c>
      <c r="FY103" s="3547">
        <f t="shared" si="217"/>
        <v>2.9481132123692078E-3</v>
      </c>
      <c r="FZ103" s="3568">
        <v>37763.464880952401</v>
      </c>
      <c r="GA103" s="3569">
        <f>32749.03/1.05</f>
        <v>31189.55238095238</v>
      </c>
      <c r="GB103" s="3560">
        <f>65498.06/1.05/2</f>
        <v>31189.55238095238</v>
      </c>
      <c r="GC103" s="3547">
        <f t="shared" si="218"/>
        <v>-6573.9125000000204</v>
      </c>
      <c r="GD103" s="3568">
        <v>6005.4121462264102</v>
      </c>
      <c r="GE103" s="3569">
        <f>6365.74/1.06</f>
        <v>6005.4150943396226</v>
      </c>
      <c r="GF103" s="3560">
        <f>19097.22/1.06/3</f>
        <v>6005.4150943396226</v>
      </c>
      <c r="GG103" s="3547">
        <f t="shared" si="219"/>
        <v>2.9481132123692078E-3</v>
      </c>
      <c r="GH103" s="3568">
        <v>37763.464880952401</v>
      </c>
      <c r="GI103" s="3569">
        <f>32749.03/1.05</f>
        <v>31189.55238095238</v>
      </c>
      <c r="GJ103" s="3560">
        <f>65498.06/1.05/2</f>
        <v>31189.55238095238</v>
      </c>
      <c r="GK103" s="3547">
        <f t="shared" si="181"/>
        <v>-6573.9125000000204</v>
      </c>
      <c r="GL103" s="3568">
        <v>6005.4121462264102</v>
      </c>
      <c r="GM103" s="3569">
        <f>6365.74/1.06</f>
        <v>6005.4150943396226</v>
      </c>
      <c r="GN103" s="3560">
        <f>19097.22/1.06/3</f>
        <v>6005.4150943396226</v>
      </c>
      <c r="GO103" s="3547">
        <f t="shared" si="182"/>
        <v>2.9481132123692078E-3</v>
      </c>
      <c r="GP103" s="3568">
        <v>37763.464880952401</v>
      </c>
      <c r="GQ103" s="3569">
        <f>32749.03/1.05</f>
        <v>31189.55238095238</v>
      </c>
      <c r="GR103" s="3562">
        <f>98247.09/3/1.05</f>
        <v>31189.55238095238</v>
      </c>
      <c r="GS103" s="3547">
        <f t="shared" si="183"/>
        <v>-6573.9125000000204</v>
      </c>
      <c r="GT103" s="3568">
        <v>6005.4121462264102</v>
      </c>
      <c r="GU103" s="3569">
        <f>6365.74/1.06</f>
        <v>6005.4150943396226</v>
      </c>
      <c r="GV103" s="3562">
        <f>19097.22/3/1.06</f>
        <v>6005.4150943396226</v>
      </c>
      <c r="GW103" s="3547">
        <f t="shared" si="184"/>
        <v>2.9481132123692078E-3</v>
      </c>
      <c r="GX103" s="3568">
        <v>37763.464880952401</v>
      </c>
      <c r="GY103" s="3569">
        <f>32749.03/1.05</f>
        <v>31189.55238095238</v>
      </c>
      <c r="GZ103" s="3562">
        <f>98247.09/3/1.05</f>
        <v>31189.55238095238</v>
      </c>
      <c r="HA103" s="3547">
        <f t="shared" si="185"/>
        <v>-6573.9125000000204</v>
      </c>
      <c r="HB103" s="3568">
        <v>6005.4121462264102</v>
      </c>
      <c r="HC103" s="3569">
        <f>6365.74/1.06</f>
        <v>6005.4150943396226</v>
      </c>
      <c r="HD103" s="3562">
        <f>19097.22/3/1.06</f>
        <v>6005.4150943396226</v>
      </c>
      <c r="HE103" s="3547">
        <f t="shared" si="186"/>
        <v>2.9481132123692078E-3</v>
      </c>
      <c r="HF103" s="3568">
        <v>37763.464880952401</v>
      </c>
      <c r="HG103" s="3569">
        <f>32749.03/1.05</f>
        <v>31189.55238095238</v>
      </c>
      <c r="HH103" s="3562">
        <f>98247.09/3/1.05</f>
        <v>31189.55238095238</v>
      </c>
      <c r="HI103" s="3547">
        <f t="shared" si="224"/>
        <v>-6573.9125000000204</v>
      </c>
      <c r="HJ103" s="3568">
        <v>6005.4121462264102</v>
      </c>
      <c r="HK103" s="3569">
        <f>6365.74/1.06</f>
        <v>6005.4150943396226</v>
      </c>
      <c r="HL103" s="3562">
        <f>19097.22/3/1.06</f>
        <v>6005.4150943396226</v>
      </c>
      <c r="HM103" s="3547">
        <f t="shared" si="220"/>
        <v>2.9481132123692078E-3</v>
      </c>
      <c r="HN103" s="3568">
        <v>13656.9242857143</v>
      </c>
      <c r="HO103" s="3569">
        <f>32749.03/1.05</f>
        <v>31189.55238095238</v>
      </c>
      <c r="HP103" s="3562">
        <f>98247.09/3/1.05</f>
        <v>31189.55238095238</v>
      </c>
      <c r="HQ103" s="3547">
        <f t="shared" si="225"/>
        <v>17532.62809523808</v>
      </c>
      <c r="HR103" s="3568">
        <v>2171.8202830188702</v>
      </c>
      <c r="HS103" s="3569">
        <f>6365.74/1.06</f>
        <v>6005.4150943396226</v>
      </c>
      <c r="HT103" s="3562">
        <f>19097.22/3/1.06</f>
        <v>6005.4150943396226</v>
      </c>
      <c r="HU103" s="3547">
        <f t="shared" si="221"/>
        <v>3833.5948113207523</v>
      </c>
      <c r="HV103" s="3568"/>
      <c r="HW103" s="3569">
        <f>32749.03/1.05</f>
        <v>31189.55238095238</v>
      </c>
      <c r="HX103" s="3562">
        <f>98247.09/3/1.05</f>
        <v>31189.55238095238</v>
      </c>
      <c r="HY103" s="3547">
        <f t="shared" si="226"/>
        <v>31189.55238095238</v>
      </c>
      <c r="HZ103" s="3568"/>
      <c r="IA103" s="3569">
        <f>6365.74/1.06</f>
        <v>6005.4150943396226</v>
      </c>
      <c r="IB103" s="3562">
        <f>19097.22/3/1.06</f>
        <v>6005.4150943396226</v>
      </c>
      <c r="IC103" s="3547">
        <f t="shared" si="222"/>
        <v>6005.4150943396226</v>
      </c>
      <c r="ID103" s="3568"/>
      <c r="IE103" s="3569">
        <f>32749.03/1.05</f>
        <v>31189.55238095238</v>
      </c>
      <c r="IF103" s="3562">
        <f>98247.09/3/1.05</f>
        <v>31189.55238095238</v>
      </c>
      <c r="IG103" s="3547">
        <f t="shared" si="227"/>
        <v>31189.55238095238</v>
      </c>
      <c r="IH103" s="3568"/>
      <c r="II103" s="3569">
        <f>6365.74/1.06</f>
        <v>6005.4150943396226</v>
      </c>
      <c r="IJ103" s="3562">
        <f>19097.22/3/1.06</f>
        <v>6005.4150943396226</v>
      </c>
      <c r="IK103" s="3547">
        <f t="shared" si="223"/>
        <v>6005.4150943396226</v>
      </c>
      <c r="IL103" s="3547" t="s">
        <v>4093</v>
      </c>
      <c r="IM103" s="3609">
        <f>32749.03*3/1.05</f>
        <v>93568.657142857133</v>
      </c>
      <c r="IN103" s="3559">
        <f>6365.74*3/1.06</f>
        <v>18016.245283018867</v>
      </c>
      <c r="IO103" s="3607"/>
      <c r="IP103" s="3560">
        <f t="shared" si="195"/>
        <v>0</v>
      </c>
      <c r="IQ103" s="3568"/>
      <c r="IR103" s="3568"/>
      <c r="IS103" s="3568"/>
      <c r="IT103" s="3568"/>
      <c r="IU103" s="3568"/>
      <c r="IV103" s="3568"/>
      <c r="IW103" s="3568"/>
      <c r="IX103" s="3568"/>
      <c r="IY103" s="3568"/>
      <c r="IZ103" s="3562"/>
      <c r="JA103" s="3562"/>
      <c r="JB103" s="3562"/>
      <c r="JC103" s="3560">
        <f t="shared" si="134"/>
        <v>0</v>
      </c>
      <c r="JD103" s="3607"/>
      <c r="JE103" s="3568"/>
      <c r="JF103" s="3568"/>
      <c r="JG103" s="3568"/>
      <c r="JH103" s="3568"/>
      <c r="JI103" s="3568"/>
      <c r="JJ103" s="3568"/>
      <c r="JK103" s="3568"/>
      <c r="JL103" s="3568"/>
      <c r="JM103" s="3568"/>
      <c r="JN103" s="3562"/>
      <c r="JO103" s="3562"/>
      <c r="JP103" s="3607" t="s">
        <v>3837</v>
      </c>
      <c r="JQ103" s="3583">
        <f>39651.64/1.05</f>
        <v>37763.466666666667</v>
      </c>
      <c r="JR103" s="3583">
        <f>6365.74/1.06</f>
        <v>6005.4150943396226</v>
      </c>
      <c r="JS103" s="3573">
        <f t="shared" si="145"/>
        <v>0</v>
      </c>
      <c r="JT103" s="3573">
        <f t="shared" si="152"/>
        <v>0</v>
      </c>
      <c r="JU103" s="3574">
        <f t="shared" si="146"/>
        <v>0</v>
      </c>
      <c r="JV103" s="3574">
        <f t="shared" si="147"/>
        <v>0</v>
      </c>
      <c r="JW103" s="3575"/>
      <c r="JX103" s="3576">
        <f t="shared" si="148"/>
        <v>93568.657142857148</v>
      </c>
      <c r="JY103" s="3576">
        <f t="shared" si="149"/>
        <v>18016.245283018867</v>
      </c>
      <c r="JZ103" s="3577"/>
      <c r="KA103" s="3573">
        <f t="shared" si="197"/>
        <v>-6573.909551886808</v>
      </c>
      <c r="KB103" s="3573"/>
      <c r="KC103" s="3573"/>
      <c r="KD103" s="3573">
        <f t="shared" si="150"/>
        <v>-6573.909551886808</v>
      </c>
      <c r="KE103" s="3578" t="s">
        <v>3815</v>
      </c>
      <c r="KF103" s="3579"/>
      <c r="KG103" s="3579"/>
      <c r="KH103" s="3579"/>
      <c r="KI103" s="3579"/>
      <c r="KJ103" s="3579"/>
      <c r="KK103" s="3579"/>
      <c r="KL103" s="3579">
        <f>-43768.88/10000-73987.39/10000</f>
        <v>-11.775627</v>
      </c>
      <c r="KM103" s="3579">
        <f>-6573.91/10000*6</f>
        <v>-3.9443459999999995</v>
      </c>
      <c r="KN103" s="3579">
        <f>-31189.55/10000</f>
        <v>-3.1189550000000001</v>
      </c>
      <c r="KO103" s="3579"/>
      <c r="KP103" s="3579"/>
      <c r="KQ103" s="3579">
        <f t="shared" si="151"/>
        <v>-18.838927999999999</v>
      </c>
      <c r="KR103" s="3579">
        <f t="shared" si="196"/>
        <v>-8.4568743119461942E-8</v>
      </c>
      <c r="KS103" s="3577"/>
      <c r="KT103" s="3577"/>
      <c r="KU103" s="3577"/>
      <c r="KV103" s="3577"/>
      <c r="KW103" s="3577"/>
      <c r="KX103" s="3577"/>
      <c r="KY103" s="3577"/>
      <c r="KZ103" s="3577"/>
      <c r="LA103" s="3577"/>
      <c r="LB103" s="3577"/>
      <c r="LC103" s="3577"/>
      <c r="LD103" s="3577"/>
      <c r="LE103" s="3577"/>
      <c r="LF103" s="3577"/>
      <c r="LG103" s="3577"/>
      <c r="LH103" s="3577"/>
      <c r="LJ103" s="3575"/>
      <c r="LK103" s="3626">
        <v>12</v>
      </c>
      <c r="LL103" s="3627">
        <v>43486.42</v>
      </c>
      <c r="LM103" s="3580" t="s">
        <v>3954</v>
      </c>
    </row>
    <row r="104" spans="1:325" s="3580" customFormat="1" ht="18" customHeight="1">
      <c r="A104" s="3545">
        <v>101</v>
      </c>
      <c r="B104" s="3546" t="s">
        <v>4677</v>
      </c>
      <c r="C104" s="3546">
        <v>1502</v>
      </c>
      <c r="D104" s="3547">
        <v>172.89</v>
      </c>
      <c r="E104" s="3608" t="s">
        <v>3865</v>
      </c>
      <c r="F104" s="3546" t="s">
        <v>3790</v>
      </c>
      <c r="G104" s="3684" t="s">
        <v>4694</v>
      </c>
      <c r="H104" s="3546" t="s">
        <v>4695</v>
      </c>
      <c r="I104" s="3594" t="s">
        <v>4696</v>
      </c>
      <c r="J104" s="3594" t="s">
        <v>4697</v>
      </c>
      <c r="K104" s="3545" t="s">
        <v>4698</v>
      </c>
      <c r="L104" s="3555"/>
      <c r="M104" s="3551"/>
      <c r="N104" s="3551"/>
      <c r="O104" s="3551">
        <f t="shared" si="135"/>
        <v>0</v>
      </c>
      <c r="P104" s="3547"/>
      <c r="Q104" s="3547"/>
      <c r="R104" s="3547">
        <f t="shared" si="132"/>
        <v>0</v>
      </c>
      <c r="S104" s="3547">
        <f t="shared" si="232"/>
        <v>0</v>
      </c>
      <c r="T104" s="3552"/>
      <c r="U104" s="3553">
        <f t="shared" si="136"/>
        <v>0</v>
      </c>
      <c r="V104" s="3547"/>
      <c r="W104" s="3547">
        <f t="shared" si="233"/>
        <v>0</v>
      </c>
      <c r="X104" s="3547"/>
      <c r="Y104" s="3547">
        <f t="shared" si="198"/>
        <v>0</v>
      </c>
      <c r="Z104" s="3554"/>
      <c r="AA104" s="3555"/>
      <c r="AB104" s="3547"/>
      <c r="AC104" s="3556">
        <f t="shared" si="138"/>
        <v>-18770.669999999998</v>
      </c>
      <c r="AD104" s="3556">
        <f t="shared" si="228"/>
        <v>-18770.669999999998</v>
      </c>
      <c r="AE104" s="3556">
        <f t="shared" si="228"/>
        <v>-18770.669999999998</v>
      </c>
      <c r="AF104" s="3556">
        <f t="shared" si="140"/>
        <v>0</v>
      </c>
      <c r="AG104" s="3556"/>
      <c r="AH104" s="3557">
        <f t="shared" si="141"/>
        <v>-3013.47</v>
      </c>
      <c r="AI104" s="3558">
        <f t="shared" si="229"/>
        <v>-3013.47</v>
      </c>
      <c r="AJ104" s="3558">
        <f t="shared" si="229"/>
        <v>-3013.4700000000003</v>
      </c>
      <c r="AK104" s="3557">
        <f t="shared" si="159"/>
        <v>0</v>
      </c>
      <c r="AL104" s="3557"/>
      <c r="AM104" s="3547"/>
      <c r="AN104" s="3562"/>
      <c r="AO104" s="3562"/>
      <c r="AP104" s="3561">
        <f t="shared" si="199"/>
        <v>0</v>
      </c>
      <c r="AQ104" s="3562"/>
      <c r="AR104" s="3562"/>
      <c r="AS104" s="3561">
        <f t="shared" si="200"/>
        <v>0</v>
      </c>
      <c r="AT104" s="3563" t="s">
        <v>4682</v>
      </c>
      <c r="AU104" s="3584" t="s">
        <v>4321</v>
      </c>
      <c r="AV104" s="3609">
        <v>-18770.669999999998</v>
      </c>
      <c r="AW104" s="3562">
        <f>-27187.67+8417</f>
        <v>-18770.669999999998</v>
      </c>
      <c r="AX104" s="3561">
        <f t="shared" si="201"/>
        <v>0</v>
      </c>
      <c r="AY104" s="3559">
        <v>-3013.47</v>
      </c>
      <c r="AZ104" s="3562">
        <f>-4364.75+1351.28</f>
        <v>-3013.4700000000003</v>
      </c>
      <c r="BA104" s="3561">
        <f t="shared" si="202"/>
        <v>0</v>
      </c>
      <c r="BB104" s="3563" t="s">
        <v>4683</v>
      </c>
      <c r="BC104" s="3547"/>
      <c r="BD104" s="3559"/>
      <c r="BE104" s="3562"/>
      <c r="BF104" s="3561">
        <f t="shared" si="203"/>
        <v>0</v>
      </c>
      <c r="BG104" s="3559"/>
      <c r="BH104" s="3562"/>
      <c r="BI104" s="3561">
        <f t="shared" si="204"/>
        <v>0</v>
      </c>
      <c r="BJ104" s="3563" t="s">
        <v>4683</v>
      </c>
      <c r="BK104" s="3547"/>
      <c r="BL104" s="3609"/>
      <c r="BM104" s="3562"/>
      <c r="BN104" s="3561">
        <f t="shared" si="205"/>
        <v>0</v>
      </c>
      <c r="BO104" s="3559"/>
      <c r="BP104" s="3562"/>
      <c r="BQ104" s="3561">
        <f t="shared" si="206"/>
        <v>0</v>
      </c>
      <c r="BR104" s="3563" t="s">
        <v>4683</v>
      </c>
      <c r="BS104" s="3547"/>
      <c r="BT104" s="3559"/>
      <c r="BU104" s="3562"/>
      <c r="BV104" s="3561">
        <f t="shared" si="207"/>
        <v>0</v>
      </c>
      <c r="BW104" s="3559"/>
      <c r="BX104" s="3562"/>
      <c r="BY104" s="3561">
        <f t="shared" si="208"/>
        <v>0</v>
      </c>
      <c r="BZ104" s="3563" t="s">
        <v>4683</v>
      </c>
      <c r="CA104" s="3547"/>
      <c r="CB104" s="3609"/>
      <c r="CC104" s="3562"/>
      <c r="CD104" s="3561">
        <f t="shared" si="164"/>
        <v>0</v>
      </c>
      <c r="CE104" s="3559"/>
      <c r="CF104" s="3562"/>
      <c r="CG104" s="3561">
        <f t="shared" si="165"/>
        <v>0</v>
      </c>
      <c r="CH104" s="3563" t="s">
        <v>4683</v>
      </c>
      <c r="CI104" s="3547"/>
      <c r="CJ104" s="3609"/>
      <c r="CK104" s="3562"/>
      <c r="CL104" s="3561">
        <f t="shared" si="133"/>
        <v>0</v>
      </c>
      <c r="CM104" s="3559"/>
      <c r="CN104" s="3562"/>
      <c r="CO104" s="3561">
        <f t="shared" si="166"/>
        <v>0</v>
      </c>
      <c r="CP104" s="3563" t="s">
        <v>4683</v>
      </c>
      <c r="CQ104" s="3547"/>
      <c r="CR104" s="3609"/>
      <c r="CS104" s="3603"/>
      <c r="CT104" s="3561">
        <f t="shared" si="167"/>
        <v>0</v>
      </c>
      <c r="CU104" s="3559"/>
      <c r="CV104" s="3603"/>
      <c r="CW104" s="3561">
        <f t="shared" si="168"/>
        <v>0</v>
      </c>
      <c r="CX104" s="3563" t="s">
        <v>4683</v>
      </c>
      <c r="CY104" s="3597"/>
      <c r="CZ104" s="3609"/>
      <c r="DA104" s="3562"/>
      <c r="DB104" s="3561">
        <f t="shared" si="169"/>
        <v>0</v>
      </c>
      <c r="DC104" s="3559"/>
      <c r="DD104" s="3562"/>
      <c r="DE104" s="3561">
        <f t="shared" si="170"/>
        <v>0</v>
      </c>
      <c r="DF104" s="3563" t="s">
        <v>4683</v>
      </c>
      <c r="DG104" s="3547"/>
      <c r="DH104" s="3609"/>
      <c r="DI104" s="3562"/>
      <c r="DJ104" s="3561">
        <f t="shared" si="171"/>
        <v>0</v>
      </c>
      <c r="DK104" s="3559"/>
      <c r="DL104" s="3562"/>
      <c r="DM104" s="3561">
        <f t="shared" si="172"/>
        <v>0</v>
      </c>
      <c r="DN104" s="3563"/>
      <c r="DO104" s="3547"/>
      <c r="DP104" s="3609"/>
      <c r="DQ104" s="3562"/>
      <c r="DR104" s="3561">
        <f t="shared" si="173"/>
        <v>0</v>
      </c>
      <c r="DS104" s="3559"/>
      <c r="DT104" s="3562"/>
      <c r="DU104" s="3561">
        <f t="shared" si="209"/>
        <v>0</v>
      </c>
      <c r="DV104" s="3563"/>
      <c r="DW104" s="3547"/>
      <c r="DX104" s="3609"/>
      <c r="DY104" s="3562"/>
      <c r="DZ104" s="3561">
        <f t="shared" si="175"/>
        <v>0</v>
      </c>
      <c r="EA104" s="3559"/>
      <c r="EB104" s="3562"/>
      <c r="EC104" s="3561">
        <f t="shared" si="176"/>
        <v>0</v>
      </c>
      <c r="ED104" s="3563"/>
      <c r="EE104" s="3564"/>
      <c r="EF104" s="3565">
        <f t="shared" si="153"/>
        <v>214053.71643020186</v>
      </c>
      <c r="EG104" s="3565">
        <f t="shared" si="230"/>
        <v>193169.01607305897</v>
      </c>
      <c r="EH104" s="3565">
        <f t="shared" si="230"/>
        <v>8016.1904761904734</v>
      </c>
      <c r="EI104" s="3565">
        <f t="shared" si="230"/>
        <v>8016.1904761904734</v>
      </c>
      <c r="EJ104" s="3565">
        <f t="shared" si="154"/>
        <v>-185152.8255968685</v>
      </c>
      <c r="EK104" s="3566">
        <f t="shared" si="155"/>
        <v>0</v>
      </c>
      <c r="EL104" s="3610"/>
      <c r="EM104" s="3567">
        <f t="shared" si="156"/>
        <v>34836.776365016762</v>
      </c>
      <c r="EN104" s="3557">
        <f t="shared" si="231"/>
        <v>30719.085681054505</v>
      </c>
      <c r="EO104" s="3557">
        <f t="shared" si="231"/>
        <v>1274.7924528301883</v>
      </c>
      <c r="EP104" s="3557">
        <f t="shared" si="231"/>
        <v>1274.7924528301883</v>
      </c>
      <c r="EQ104" s="3557">
        <f t="shared" si="157"/>
        <v>-29444.293228224316</v>
      </c>
      <c r="ER104" s="3557">
        <f t="shared" si="158"/>
        <v>0</v>
      </c>
      <c r="ES104" s="3557"/>
      <c r="ET104" s="3568">
        <v>25893.019047619</v>
      </c>
      <c r="EU104" s="3569">
        <f>27187.67/1.05</f>
        <v>25893.019047619044</v>
      </c>
      <c r="EV104" s="3562">
        <f>27187.67/1.05</f>
        <v>25893.019047619044</v>
      </c>
      <c r="EW104" s="3547">
        <f t="shared" si="210"/>
        <v>4.3655745685100555E-11</v>
      </c>
      <c r="EX104" s="3568">
        <v>4117.6886792452797</v>
      </c>
      <c r="EY104" s="3569">
        <f>4364.75/1.06</f>
        <v>4117.6886792452824</v>
      </c>
      <c r="EZ104" s="3562">
        <f>4364.75/1.06</f>
        <v>4117.6886792452824</v>
      </c>
      <c r="FA104" s="3547">
        <f t="shared" si="211"/>
        <v>0</v>
      </c>
      <c r="FB104" s="3568">
        <v>25893.019047619</v>
      </c>
      <c r="FC104" s="3592">
        <f>-18770.67/1.05</f>
        <v>-17876.82857142857</v>
      </c>
      <c r="FD104" s="3606">
        <f>-18770.67/1.05</f>
        <v>-17876.82857142857</v>
      </c>
      <c r="FE104" s="3547">
        <f t="shared" si="212"/>
        <v>-43769.84761904757</v>
      </c>
      <c r="FF104" s="3568">
        <v>4117.6886792452797</v>
      </c>
      <c r="FG104" s="3592">
        <f>-3013.47/1.06</f>
        <v>-2842.8962264150941</v>
      </c>
      <c r="FH104" s="3606">
        <f>-3013.47/1.06</f>
        <v>-2842.8962264150941</v>
      </c>
      <c r="FI104" s="3547">
        <f t="shared" si="213"/>
        <v>-6960.5849056603738</v>
      </c>
      <c r="FJ104" s="3568">
        <v>25893.019047619</v>
      </c>
      <c r="FK104" s="3559"/>
      <c r="FL104" s="3562"/>
      <c r="FM104" s="3547">
        <f t="shared" si="214"/>
        <v>-25893.019047619</v>
      </c>
      <c r="FN104" s="3568">
        <v>4117.6886792452797</v>
      </c>
      <c r="FO104" s="3559"/>
      <c r="FP104" s="3562"/>
      <c r="FQ104" s="3547">
        <f t="shared" si="215"/>
        <v>-4117.6886792452797</v>
      </c>
      <c r="FR104" s="3568">
        <v>25893.019047619</v>
      </c>
      <c r="FS104" s="3559"/>
      <c r="FT104" s="3560"/>
      <c r="FU104" s="3547">
        <f t="shared" si="216"/>
        <v>-25893.019047619</v>
      </c>
      <c r="FV104" s="3568">
        <v>4117.6886792452797</v>
      </c>
      <c r="FW104" s="3559"/>
      <c r="FX104" s="3560"/>
      <c r="FY104" s="3547">
        <f t="shared" si="217"/>
        <v>-4117.6886792452797</v>
      </c>
      <c r="FZ104" s="3568">
        <v>25893.019047619</v>
      </c>
      <c r="GA104" s="3569"/>
      <c r="GB104" s="3560"/>
      <c r="GC104" s="3547">
        <f t="shared" si="218"/>
        <v>-25893.019047619</v>
      </c>
      <c r="GD104" s="3568">
        <v>4117.6886792452797</v>
      </c>
      <c r="GE104" s="3569"/>
      <c r="GF104" s="3560"/>
      <c r="GG104" s="3547">
        <f t="shared" si="219"/>
        <v>-4117.6886792452797</v>
      </c>
      <c r="GH104" s="3568">
        <v>25893.019047619</v>
      </c>
      <c r="GI104" s="3569"/>
      <c r="GJ104" s="3560"/>
      <c r="GK104" s="3547">
        <f t="shared" si="181"/>
        <v>-25893.019047619</v>
      </c>
      <c r="GL104" s="3568">
        <v>4117.6886792452797</v>
      </c>
      <c r="GM104" s="3569"/>
      <c r="GN104" s="3560"/>
      <c r="GO104" s="3547">
        <f t="shared" si="182"/>
        <v>-4117.6886792452797</v>
      </c>
      <c r="GP104" s="3568">
        <v>25893.019047619</v>
      </c>
      <c r="GQ104" s="3569"/>
      <c r="GR104" s="3562"/>
      <c r="GS104" s="3547">
        <f t="shared" si="183"/>
        <v>-25893.019047619</v>
      </c>
      <c r="GT104" s="3568">
        <v>4117.6886792452797</v>
      </c>
      <c r="GU104" s="3569"/>
      <c r="GV104" s="3562"/>
      <c r="GW104" s="3547">
        <f t="shared" si="184"/>
        <v>-4117.6886792452797</v>
      </c>
      <c r="GX104" s="3568">
        <v>11917.882739725999</v>
      </c>
      <c r="GY104" s="3569"/>
      <c r="GZ104" s="3562"/>
      <c r="HA104" s="3547">
        <f t="shared" si="185"/>
        <v>-11917.882739725999</v>
      </c>
      <c r="HB104" s="3568">
        <v>1895.2649263375499</v>
      </c>
      <c r="HC104" s="3569"/>
      <c r="HD104" s="3562"/>
      <c r="HE104" s="3547">
        <f t="shared" si="186"/>
        <v>-1895.2649263375499</v>
      </c>
      <c r="HF104" s="3568"/>
      <c r="HG104" s="3569"/>
      <c r="HH104" s="3562"/>
      <c r="HI104" s="3547">
        <f t="shared" si="224"/>
        <v>0</v>
      </c>
      <c r="HJ104" s="3568"/>
      <c r="HK104" s="3569"/>
      <c r="HL104" s="3562"/>
      <c r="HM104" s="3547">
        <f t="shared" si="220"/>
        <v>0</v>
      </c>
      <c r="HN104" s="3568"/>
      <c r="HO104" s="3569"/>
      <c r="HP104" s="3562"/>
      <c r="HQ104" s="3547">
        <f t="shared" si="225"/>
        <v>0</v>
      </c>
      <c r="HR104" s="3568"/>
      <c r="HS104" s="3569"/>
      <c r="HT104" s="3562"/>
      <c r="HU104" s="3547">
        <f t="shared" si="221"/>
        <v>0</v>
      </c>
      <c r="HV104" s="3568"/>
      <c r="HW104" s="3569"/>
      <c r="HX104" s="3562"/>
      <c r="HY104" s="3547">
        <f t="shared" si="226"/>
        <v>0</v>
      </c>
      <c r="HZ104" s="3568"/>
      <c r="IA104" s="3569"/>
      <c r="IB104" s="3562"/>
      <c r="IC104" s="3547">
        <f t="shared" si="222"/>
        <v>0</v>
      </c>
      <c r="ID104" s="3568">
        <v>20884.700357142901</v>
      </c>
      <c r="IE104" s="3569"/>
      <c r="IF104" s="3562"/>
      <c r="IG104" s="3547">
        <f t="shared" si="227"/>
        <v>-20884.700357142901</v>
      </c>
      <c r="IH104" s="3568">
        <v>4117.6906839622598</v>
      </c>
      <c r="II104" s="3569"/>
      <c r="IJ104" s="3562"/>
      <c r="IK104" s="3547">
        <f t="shared" si="223"/>
        <v>-4117.6906839622598</v>
      </c>
      <c r="IL104" s="3547"/>
      <c r="IM104" s="3569"/>
      <c r="IN104" s="3569"/>
      <c r="IO104" s="3607"/>
      <c r="IP104" s="3560">
        <f t="shared" si="195"/>
        <v>0</v>
      </c>
      <c r="IQ104" s="3568"/>
      <c r="IR104" s="3568"/>
      <c r="IS104" s="3568"/>
      <c r="IT104" s="3568"/>
      <c r="IU104" s="3568"/>
      <c r="IV104" s="3568"/>
      <c r="IW104" s="3568"/>
      <c r="IX104" s="3568"/>
      <c r="IY104" s="3568"/>
      <c r="IZ104" s="3560"/>
      <c r="JA104" s="3560"/>
      <c r="JB104" s="3560"/>
      <c r="JC104" s="3560">
        <f t="shared" si="134"/>
        <v>0</v>
      </c>
      <c r="JD104" s="3607"/>
      <c r="JE104" s="3568"/>
      <c r="JF104" s="3568"/>
      <c r="JG104" s="3568"/>
      <c r="JH104" s="3568"/>
      <c r="JI104" s="3568"/>
      <c r="JJ104" s="3568"/>
      <c r="JK104" s="3568"/>
      <c r="JL104" s="3568"/>
      <c r="JM104" s="3568"/>
      <c r="JN104" s="3560"/>
      <c r="JO104" s="3560"/>
      <c r="JP104" s="3547" t="s">
        <v>3837</v>
      </c>
      <c r="JQ104" s="3583">
        <f>27187.67/1.05</f>
        <v>25893.019047619044</v>
      </c>
      <c r="JR104" s="3583">
        <f>4364.75/1.06</f>
        <v>4117.6886792452824</v>
      </c>
      <c r="JS104" s="3573">
        <f t="shared" si="145"/>
        <v>0</v>
      </c>
      <c r="JT104" s="3573">
        <f t="shared" si="152"/>
        <v>0</v>
      </c>
      <c r="JU104" s="3574">
        <f t="shared" si="146"/>
        <v>0</v>
      </c>
      <c r="JV104" s="3574">
        <f t="shared" si="147"/>
        <v>-4.5474735088646412E-13</v>
      </c>
      <c r="JW104" s="3575"/>
      <c r="JX104" s="3576">
        <f t="shared" si="148"/>
        <v>0</v>
      </c>
      <c r="JY104" s="3576">
        <f t="shared" si="149"/>
        <v>0</v>
      </c>
      <c r="JZ104" s="3577"/>
      <c r="KA104" s="3573">
        <f t="shared" si="197"/>
        <v>0</v>
      </c>
      <c r="KB104" s="3573"/>
      <c r="KC104" s="3573"/>
      <c r="KD104" s="3573">
        <f t="shared" si="150"/>
        <v>0</v>
      </c>
      <c r="KE104" s="3578"/>
      <c r="KF104" s="3579"/>
      <c r="KG104" s="3579"/>
      <c r="KH104" s="3579"/>
      <c r="KI104" s="3579"/>
      <c r="KJ104" s="3579"/>
      <c r="KK104" s="3579"/>
      <c r="KL104" s="3579">
        <f>-30010.71/10000*6-13813.15/10000</f>
        <v>-19.387741000000002</v>
      </c>
      <c r="KM104" s="3579"/>
      <c r="KN104" s="3579"/>
      <c r="KO104" s="3579"/>
      <c r="KP104" s="3579">
        <f>-20719.72/10000</f>
        <v>-2.0719720000000001</v>
      </c>
      <c r="KQ104" s="3579">
        <f t="shared" si="151"/>
        <v>-21.459713000000001</v>
      </c>
      <c r="KR104" s="3579">
        <f t="shared" si="196"/>
        <v>1.1174907186273231E-6</v>
      </c>
      <c r="KS104" s="3577"/>
      <c r="KT104" s="3577"/>
      <c r="KU104" s="3577"/>
      <c r="KV104" s="3577"/>
      <c r="KW104" s="3577"/>
      <c r="KX104" s="3577"/>
      <c r="KY104" s="3577"/>
      <c r="KZ104" s="3577"/>
      <c r="LA104" s="3577"/>
      <c r="LB104" s="3577"/>
      <c r="LC104" s="3577"/>
      <c r="LD104" s="3577"/>
      <c r="LE104" s="3577"/>
      <c r="LF104" s="3577"/>
      <c r="LG104" s="3577"/>
      <c r="LH104" s="3577"/>
      <c r="LJ104" s="3575"/>
      <c r="LK104" s="3571"/>
      <c r="LL104" s="3576"/>
    </row>
    <row r="105" spans="1:325" s="3580" customFormat="1" ht="18" customHeight="1">
      <c r="A105" s="3545">
        <v>102</v>
      </c>
      <c r="B105" s="3546" t="s">
        <v>4677</v>
      </c>
      <c r="C105" s="3546" t="s">
        <v>4699</v>
      </c>
      <c r="D105" s="3547">
        <v>407.9</v>
      </c>
      <c r="E105" s="3548" t="s">
        <v>3799</v>
      </c>
      <c r="F105" s="3546" t="s">
        <v>3790</v>
      </c>
      <c r="G105" s="3546" t="s">
        <v>4700</v>
      </c>
      <c r="H105" s="3546" t="s">
        <v>4701</v>
      </c>
      <c r="I105" s="3594" t="s">
        <v>4702</v>
      </c>
      <c r="J105" s="3653" t="s">
        <v>4703</v>
      </c>
      <c r="K105" s="3545"/>
      <c r="L105" s="3555"/>
      <c r="M105" s="3551">
        <v>155211.06</v>
      </c>
      <c r="N105" s="3551">
        <v>155211.06</v>
      </c>
      <c r="O105" s="3551">
        <f t="shared" si="135"/>
        <v>0</v>
      </c>
      <c r="P105" s="3547"/>
      <c r="Q105" s="3547"/>
      <c r="R105" s="3547">
        <f t="shared" si="132"/>
        <v>0</v>
      </c>
      <c r="S105" s="3547">
        <f t="shared" si="232"/>
        <v>4.170000302249746</v>
      </c>
      <c r="T105" s="3682">
        <v>51737.02</v>
      </c>
      <c r="U105" s="3553">
        <f t="shared" si="136"/>
        <v>620844.24</v>
      </c>
      <c r="V105" s="3547">
        <f>51737.02*12*2-51737.02*2+54838.76*12*2-54838.76*2+58064.57*12-58064.57</f>
        <v>2983377.4299999997</v>
      </c>
      <c r="W105" s="3547">
        <f t="shared" si="233"/>
        <v>0.83000036941635591</v>
      </c>
      <c r="X105" s="3663">
        <v>10297.780000000001</v>
      </c>
      <c r="Y105" s="3547">
        <f t="shared" si="198"/>
        <v>123573.36000000002</v>
      </c>
      <c r="Z105" s="3554"/>
      <c r="AA105" s="3555"/>
      <c r="AB105" s="3593" t="s">
        <v>4187</v>
      </c>
      <c r="AC105" s="3556">
        <f t="shared" si="138"/>
        <v>569107.22000000009</v>
      </c>
      <c r="AD105" s="3556">
        <f t="shared" si="228"/>
        <v>413896.16000000003</v>
      </c>
      <c r="AE105" s="3556">
        <f t="shared" si="228"/>
        <v>413896.16000000003</v>
      </c>
      <c r="AF105" s="3556">
        <f t="shared" si="140"/>
        <v>0</v>
      </c>
      <c r="AG105" s="3556"/>
      <c r="AH105" s="3557">
        <f t="shared" si="141"/>
        <v>123573.36</v>
      </c>
      <c r="AI105" s="3558">
        <f t="shared" si="229"/>
        <v>92680.02</v>
      </c>
      <c r="AJ105" s="3558">
        <f t="shared" si="229"/>
        <v>92680.02</v>
      </c>
      <c r="AK105" s="3557">
        <f t="shared" si="159"/>
        <v>0</v>
      </c>
      <c r="AL105" s="3557"/>
      <c r="AM105" s="3547" t="s">
        <v>4704</v>
      </c>
      <c r="AN105" s="3609">
        <v>51737.02</v>
      </c>
      <c r="AO105" s="3562">
        <v>51737.02</v>
      </c>
      <c r="AP105" s="3561">
        <f t="shared" si="199"/>
        <v>0</v>
      </c>
      <c r="AQ105" s="3559">
        <v>10297.780000000001</v>
      </c>
      <c r="AR105" s="3562">
        <v>10297.780000000001</v>
      </c>
      <c r="AS105" s="3561">
        <f t="shared" si="200"/>
        <v>0</v>
      </c>
      <c r="AT105" s="3563" t="s">
        <v>4705</v>
      </c>
      <c r="AU105" s="3547" t="s">
        <v>4706</v>
      </c>
      <c r="AV105" s="3609">
        <v>51737.02</v>
      </c>
      <c r="AW105" s="3562">
        <v>51737.02</v>
      </c>
      <c r="AX105" s="3561">
        <f t="shared" si="201"/>
        <v>0</v>
      </c>
      <c r="AY105" s="3559">
        <v>10297.780000000001</v>
      </c>
      <c r="AZ105" s="3562">
        <v>10297.780000000001</v>
      </c>
      <c r="BA105" s="3561">
        <f t="shared" si="202"/>
        <v>0</v>
      </c>
      <c r="BB105" s="3563" t="s">
        <v>4707</v>
      </c>
      <c r="BC105" s="3547" t="s">
        <v>4708</v>
      </c>
      <c r="BD105" s="3609">
        <v>51737.02</v>
      </c>
      <c r="BE105" s="3562">
        <v>51737.02</v>
      </c>
      <c r="BF105" s="3561">
        <f t="shared" si="203"/>
        <v>0</v>
      </c>
      <c r="BG105" s="3559">
        <v>10297.780000000001</v>
      </c>
      <c r="BH105" s="3562">
        <v>10297.780000000001</v>
      </c>
      <c r="BI105" s="3561">
        <f t="shared" si="204"/>
        <v>0</v>
      </c>
      <c r="BJ105" s="3563" t="s">
        <v>4709</v>
      </c>
      <c r="BK105" s="3547" t="s">
        <v>4710</v>
      </c>
      <c r="BL105" s="3609">
        <v>51737.02</v>
      </c>
      <c r="BM105" s="3603">
        <v>51737.02</v>
      </c>
      <c r="BN105" s="3602">
        <f t="shared" si="205"/>
        <v>0</v>
      </c>
      <c r="BO105" s="3604">
        <v>10297.780000000001</v>
      </c>
      <c r="BP105" s="3603">
        <v>10297.780000000001</v>
      </c>
      <c r="BQ105" s="3561">
        <f t="shared" si="206"/>
        <v>0</v>
      </c>
      <c r="BR105" s="3563" t="s">
        <v>4711</v>
      </c>
      <c r="BS105" s="3547" t="s">
        <v>4712</v>
      </c>
      <c r="BT105" s="3559">
        <v>51737.02</v>
      </c>
      <c r="BU105" s="3603">
        <v>51737.02</v>
      </c>
      <c r="BV105" s="3602">
        <f t="shared" si="207"/>
        <v>0</v>
      </c>
      <c r="BW105" s="3604">
        <v>10297.780000000001</v>
      </c>
      <c r="BX105" s="3603">
        <v>10297.780000000001</v>
      </c>
      <c r="BY105" s="3561">
        <f t="shared" si="208"/>
        <v>0</v>
      </c>
      <c r="BZ105" s="3563" t="s">
        <v>4713</v>
      </c>
      <c r="CA105" s="3547" t="s">
        <v>4714</v>
      </c>
      <c r="CB105" s="3609">
        <v>51737.02</v>
      </c>
      <c r="CC105" s="3603">
        <v>51737.02</v>
      </c>
      <c r="CD105" s="3561">
        <f t="shared" si="164"/>
        <v>0</v>
      </c>
      <c r="CE105" s="3559">
        <v>10297.780000000001</v>
      </c>
      <c r="CF105" s="3562">
        <v>10297.780000000001</v>
      </c>
      <c r="CG105" s="3561">
        <f t="shared" si="165"/>
        <v>0</v>
      </c>
      <c r="CH105" s="3563" t="s">
        <v>4715</v>
      </c>
      <c r="CI105" s="3597" t="s">
        <v>4716</v>
      </c>
      <c r="CJ105" s="3559">
        <f>51737.02</f>
        <v>51737.02</v>
      </c>
      <c r="CK105" s="3603">
        <v>51737.02</v>
      </c>
      <c r="CL105" s="3561">
        <f t="shared" si="133"/>
        <v>0</v>
      </c>
      <c r="CM105" s="3559">
        <v>10297.780000000001</v>
      </c>
      <c r="CN105" s="3562">
        <v>10297.780000000001</v>
      </c>
      <c r="CO105" s="3561">
        <f t="shared" si="166"/>
        <v>0</v>
      </c>
      <c r="CP105" s="3563" t="s">
        <v>4717</v>
      </c>
      <c r="CQ105" s="3597" t="s">
        <v>4718</v>
      </c>
      <c r="CR105" s="3601"/>
      <c r="CS105" s="3562"/>
      <c r="CT105" s="3561">
        <f t="shared" si="167"/>
        <v>0</v>
      </c>
      <c r="CU105" s="3559">
        <v>10297.780000000001</v>
      </c>
      <c r="CV105" s="3603">
        <v>10297.780000000001</v>
      </c>
      <c r="CW105" s="3561">
        <f t="shared" si="168"/>
        <v>0</v>
      </c>
      <c r="CX105" s="3563" t="s">
        <v>4719</v>
      </c>
      <c r="CY105" s="3597" t="s">
        <v>4720</v>
      </c>
      <c r="CZ105" s="3609">
        <v>51737.02</v>
      </c>
      <c r="DA105" s="3603">
        <v>51737.02</v>
      </c>
      <c r="DB105" s="3561">
        <f t="shared" si="169"/>
        <v>0</v>
      </c>
      <c r="DC105" s="3559">
        <v>10297.780000000001</v>
      </c>
      <c r="DD105" s="3603">
        <v>10297.780000000001</v>
      </c>
      <c r="DE105" s="3561">
        <f t="shared" si="170"/>
        <v>0</v>
      </c>
      <c r="DF105" s="3563" t="s">
        <v>4721</v>
      </c>
      <c r="DG105" s="3547" t="s">
        <v>4722</v>
      </c>
      <c r="DH105" s="3609">
        <v>51737.02</v>
      </c>
      <c r="DI105" s="3562"/>
      <c r="DJ105" s="3561">
        <f t="shared" si="171"/>
        <v>-51737.02</v>
      </c>
      <c r="DK105" s="3559">
        <v>10297.780000000001</v>
      </c>
      <c r="DL105" s="3562"/>
      <c r="DM105" s="3561">
        <f t="shared" si="172"/>
        <v>-10297.780000000001</v>
      </c>
      <c r="DN105" s="3563"/>
      <c r="DO105" s="3547" t="s">
        <v>4723</v>
      </c>
      <c r="DP105" s="3609">
        <v>51737.02</v>
      </c>
      <c r="DQ105" s="3562"/>
      <c r="DR105" s="3561">
        <f t="shared" si="173"/>
        <v>-51737.02</v>
      </c>
      <c r="DS105" s="3559">
        <v>10297.780000000001</v>
      </c>
      <c r="DT105" s="3562"/>
      <c r="DU105" s="3561">
        <f t="shared" si="209"/>
        <v>-10297.780000000001</v>
      </c>
      <c r="DV105" s="3563"/>
      <c r="DW105" s="3547" t="s">
        <v>4724</v>
      </c>
      <c r="DX105" s="3609">
        <v>51737.02</v>
      </c>
      <c r="DY105" s="3562"/>
      <c r="DZ105" s="3561">
        <f t="shared" si="175"/>
        <v>-51737.02</v>
      </c>
      <c r="EA105" s="3559">
        <v>10297.780000000001</v>
      </c>
      <c r="EB105" s="3562"/>
      <c r="EC105" s="3561">
        <f t="shared" si="176"/>
        <v>-10297.780000000001</v>
      </c>
      <c r="ED105" s="3563"/>
      <c r="EE105" s="3564"/>
      <c r="EF105" s="3565">
        <f t="shared" si="153"/>
        <v>541331.89876060025</v>
      </c>
      <c r="EG105" s="3565">
        <f t="shared" si="230"/>
        <v>393511.84161774308</v>
      </c>
      <c r="EH105" s="3565">
        <f t="shared" si="230"/>
        <v>394186.81904761901</v>
      </c>
      <c r="EI105" s="3565">
        <f t="shared" si="230"/>
        <v>394186.81904761901</v>
      </c>
      <c r="EJ105" s="3565">
        <f t="shared" si="154"/>
        <v>674.97742987592937</v>
      </c>
      <c r="EK105" s="3565">
        <f t="shared" si="155"/>
        <v>0</v>
      </c>
      <c r="EL105" s="3610"/>
      <c r="EM105" s="3557">
        <f t="shared" si="156"/>
        <v>116578.64150943396</v>
      </c>
      <c r="EN105" s="3557">
        <f t="shared" si="231"/>
        <v>87433.981132075467</v>
      </c>
      <c r="EO105" s="3557">
        <f t="shared" si="231"/>
        <v>87433.981132075467</v>
      </c>
      <c r="EP105" s="3557">
        <f t="shared" si="231"/>
        <v>87433.981132075482</v>
      </c>
      <c r="EQ105" s="3557">
        <f t="shared" si="157"/>
        <v>0</v>
      </c>
      <c r="ER105" s="3557">
        <f t="shared" si="158"/>
        <v>0</v>
      </c>
      <c r="ES105" s="3557"/>
      <c r="ET105" s="3568">
        <v>49273.352380952398</v>
      </c>
      <c r="EU105" s="3569">
        <f>51737.02/1.05</f>
        <v>49273.352380952376</v>
      </c>
      <c r="EV105" s="3562">
        <f>51737.02/1.05*12/365*16+51737.02/1.05-51737.02/1.05*12/365*16</f>
        <v>49273.352380952376</v>
      </c>
      <c r="EW105" s="3547">
        <f t="shared" si="210"/>
        <v>0</v>
      </c>
      <c r="EX105" s="3568">
        <v>9714.8867924528295</v>
      </c>
      <c r="EY105" s="3569">
        <f>10297.78/1.06</f>
        <v>9714.8867924528295</v>
      </c>
      <c r="EZ105" s="3562">
        <f>10297.78/1.06*12/365*16+10297.78/1.06-10297.78/1.06*12/365*16</f>
        <v>9714.8867924528313</v>
      </c>
      <c r="FA105" s="3547">
        <f t="shared" si="211"/>
        <v>0</v>
      </c>
      <c r="FB105" s="3568">
        <v>49273.352380952398</v>
      </c>
      <c r="FC105" s="3569">
        <f>51737.02/1.05</f>
        <v>49273.352380952376</v>
      </c>
      <c r="FD105" s="3562">
        <f>51737.02/1.05*12/365*16+51737.02/1.05-51737.02/1.05*12/365*16</f>
        <v>49273.352380952376</v>
      </c>
      <c r="FE105" s="3547">
        <f t="shared" si="212"/>
        <v>0</v>
      </c>
      <c r="FF105" s="3568">
        <v>9714.8867924528295</v>
      </c>
      <c r="FG105" s="3569">
        <f>10297.78/1.06</f>
        <v>9714.8867924528295</v>
      </c>
      <c r="FH105" s="3562">
        <f>10297.78/1.06*12/365*16+10297.78/1.06-10297.78/1.06*12/365*16</f>
        <v>9714.8867924528313</v>
      </c>
      <c r="FI105" s="3547">
        <f t="shared" si="213"/>
        <v>0</v>
      </c>
      <c r="FJ105" s="3568">
        <v>49273.352380952398</v>
      </c>
      <c r="FK105" s="3559">
        <f>51737.02/1.05</f>
        <v>49273.352380952376</v>
      </c>
      <c r="FL105" s="3562">
        <f>51737.02/1.05*12/365*16+51737.02/1.05-51737.02/1.05*12/365*16</f>
        <v>49273.352380952376</v>
      </c>
      <c r="FM105" s="3547">
        <f t="shared" si="214"/>
        <v>0</v>
      </c>
      <c r="FN105" s="3568">
        <v>9714.8867924528295</v>
      </c>
      <c r="FO105" s="3559">
        <f>10297.78/1.06</f>
        <v>9714.8867924528295</v>
      </c>
      <c r="FP105" s="3562">
        <f>10297.78/1.06*12/365*16+10297.78/1.06-10297.78/1.06*12/365*16</f>
        <v>9714.8867924528313</v>
      </c>
      <c r="FQ105" s="3547">
        <f t="shared" si="215"/>
        <v>0</v>
      </c>
      <c r="FR105" s="3568">
        <v>49273.352380952398</v>
      </c>
      <c r="FS105" s="3559">
        <f>51737.02/1.05</f>
        <v>49273.352380952376</v>
      </c>
      <c r="FT105" s="3560">
        <f>51737.02/1.05*12/365*16+51737.02/1.05-51737.02/1.05*12/365*16</f>
        <v>49273.352380952376</v>
      </c>
      <c r="FU105" s="3547">
        <f t="shared" si="216"/>
        <v>0</v>
      </c>
      <c r="FV105" s="3568">
        <v>9714.8867924528295</v>
      </c>
      <c r="FW105" s="3559">
        <f>10297.78/1.06</f>
        <v>9714.8867924528295</v>
      </c>
      <c r="FX105" s="3560">
        <f>10297.78/1.06*12/365*16+10297.78/1.06-10297.78/1.06*12/365*16</f>
        <v>9714.8867924528313</v>
      </c>
      <c r="FY105" s="3547">
        <f t="shared" si="217"/>
        <v>0</v>
      </c>
      <c r="FZ105" s="3568">
        <v>49273.352380952398</v>
      </c>
      <c r="GA105" s="3569">
        <f>51737.02/1.05</f>
        <v>49273.352380952376</v>
      </c>
      <c r="GB105" s="3560">
        <f>51737.02/1.05*12/365*16+51737.02/1.05-51737.02/1.05*12/365*16</f>
        <v>49273.352380952376</v>
      </c>
      <c r="GC105" s="3547">
        <f t="shared" si="218"/>
        <v>0</v>
      </c>
      <c r="GD105" s="3568">
        <v>9714.8867924528295</v>
      </c>
      <c r="GE105" s="3569">
        <f>10297.78/1.06</f>
        <v>9714.8867924528295</v>
      </c>
      <c r="GF105" s="3560">
        <f>10297.78/1.06*12/365*16+10297.78/1.06-10297.78/1.06*12/365*16</f>
        <v>9714.8867924528313</v>
      </c>
      <c r="GG105" s="3547">
        <f t="shared" si="219"/>
        <v>0</v>
      </c>
      <c r="GH105" s="3568">
        <v>49273.352380952398</v>
      </c>
      <c r="GI105" s="3569">
        <f>51737.02/1.05</f>
        <v>49273.352380952376</v>
      </c>
      <c r="GJ105" s="3560">
        <f>51737.02/1.05*12/365*16+51737.02/1.05-51737.02/1.05*12/365*16</f>
        <v>49273.352380952376</v>
      </c>
      <c r="GK105" s="3547">
        <f t="shared" si="181"/>
        <v>0</v>
      </c>
      <c r="GL105" s="3568">
        <v>9714.8867924528295</v>
      </c>
      <c r="GM105" s="3569">
        <f>10297.78/1.06</f>
        <v>9714.8867924528295</v>
      </c>
      <c r="GN105" s="3560">
        <f>10297.78/1.06*12/365*16+10297.78/1.06-10297.78/1.06*12/365*16</f>
        <v>9714.8867924528313</v>
      </c>
      <c r="GO105" s="3547">
        <f t="shared" si="182"/>
        <v>0</v>
      </c>
      <c r="GP105" s="3568">
        <v>49273.352380952398</v>
      </c>
      <c r="GQ105" s="3569">
        <f>51737.02/1.05</f>
        <v>49273.352380952376</v>
      </c>
      <c r="GR105" s="3562">
        <f>51737.02/1.05*12/365*16+51737.02/1.05-51737.02/1.05*12/365*16</f>
        <v>49273.352380952376</v>
      </c>
      <c r="GS105" s="3547">
        <f t="shared" si="183"/>
        <v>0</v>
      </c>
      <c r="GT105" s="3568">
        <v>9714.8867924528295</v>
      </c>
      <c r="GU105" s="3569">
        <f>10297.78/1.06</f>
        <v>9714.8867924528295</v>
      </c>
      <c r="GV105" s="3562">
        <f>10297.78/1.06*12/365*16+10297.78/1.06-10297.78/1.06*12/365*16</f>
        <v>9714.8867924528313</v>
      </c>
      <c r="GW105" s="3547">
        <f t="shared" si="184"/>
        <v>0</v>
      </c>
      <c r="GX105" s="3568">
        <v>25919.1333072407</v>
      </c>
      <c r="GY105" s="3592">
        <f>51737.02/1.05*12/365*16</f>
        <v>25919.1333072407</v>
      </c>
      <c r="GZ105" s="3605">
        <f>51737.02/1.05*12/365*16</f>
        <v>25919.1333072407</v>
      </c>
      <c r="HA105" s="3547">
        <f t="shared" si="185"/>
        <v>0</v>
      </c>
      <c r="HB105" s="3568">
        <v>9714.8867924528295</v>
      </c>
      <c r="HC105" s="3569">
        <f>10297.78/1.06</f>
        <v>9714.8867924528295</v>
      </c>
      <c r="HD105" s="3562">
        <f>10297.78/1.06*12/365*16+10297.78/1.06-10297.78/1.06*12/365*16</f>
        <v>9714.8867924528313</v>
      </c>
      <c r="HE105" s="3547">
        <f t="shared" si="186"/>
        <v>0</v>
      </c>
      <c r="HF105" s="3568">
        <v>22679.241643835601</v>
      </c>
      <c r="HG105" s="3592">
        <f>51737.02/1.05-51737.02/1.05*12/365*16</f>
        <v>23354.219073711676</v>
      </c>
      <c r="HH105" s="3605">
        <f>51737.02/1.05-51737.02/1.05*12/365*16</f>
        <v>23354.219073711676</v>
      </c>
      <c r="HI105" s="3547">
        <f t="shared" si="224"/>
        <v>674.97742987607489</v>
      </c>
      <c r="HJ105" s="3568">
        <v>9714.8867924528295</v>
      </c>
      <c r="HK105" s="3569">
        <f>10297.78/1.06</f>
        <v>9714.8867924528295</v>
      </c>
      <c r="HL105" s="3562">
        <f>10297.78/1.06*12/365*16+10297.78/1.06-10297.78/1.06*12/365*16</f>
        <v>9714.8867924528313</v>
      </c>
      <c r="HM105" s="3547">
        <f t="shared" si="220"/>
        <v>0</v>
      </c>
      <c r="HN105" s="3568">
        <v>49273.352380952398</v>
      </c>
      <c r="HO105" s="3569">
        <f>51737.02/1.05</f>
        <v>49273.352380952376</v>
      </c>
      <c r="HP105" s="3562">
        <f>51737.02/1.05*12/365*16</f>
        <v>25919.1333072407</v>
      </c>
      <c r="HQ105" s="3547">
        <f t="shared" si="225"/>
        <v>-23354.219073711698</v>
      </c>
      <c r="HR105" s="3568">
        <v>9714.8867924528295</v>
      </c>
      <c r="HS105" s="3569">
        <f>10297.78/1.06</f>
        <v>9714.8867924528295</v>
      </c>
      <c r="HT105" s="3562">
        <f>10297.78/1.06*12/365*16</f>
        <v>5110.2966141121733</v>
      </c>
      <c r="HU105" s="3547">
        <f t="shared" si="221"/>
        <v>-4604.5901783406562</v>
      </c>
      <c r="HV105" s="3568">
        <v>49273.352380952398</v>
      </c>
      <c r="HW105" s="3569">
        <f>51737.02/1.05</f>
        <v>49273.352380952376</v>
      </c>
      <c r="HX105" s="3562"/>
      <c r="HY105" s="3547">
        <f t="shared" si="226"/>
        <v>-49273.352380952398</v>
      </c>
      <c r="HZ105" s="3568">
        <v>9714.8867924528295</v>
      </c>
      <c r="IA105" s="3569">
        <f>10297.78/1.06</f>
        <v>9714.8867924528295</v>
      </c>
      <c r="IB105" s="3562"/>
      <c r="IC105" s="3547">
        <f t="shared" si="222"/>
        <v>-9714.8867924528295</v>
      </c>
      <c r="ID105" s="3568">
        <v>49273.352380952398</v>
      </c>
      <c r="IE105" s="3569">
        <f>51737.02/1.05</f>
        <v>49273.352380952376</v>
      </c>
      <c r="IF105" s="3562"/>
      <c r="IG105" s="3547">
        <f t="shared" si="227"/>
        <v>-49273.352380952398</v>
      </c>
      <c r="IH105" s="3568">
        <v>9714.8867924528295</v>
      </c>
      <c r="II105" s="3569">
        <f>10297.78/1.06</f>
        <v>9714.8867924528295</v>
      </c>
      <c r="IJ105" s="3562"/>
      <c r="IK105" s="3547">
        <f t="shared" si="223"/>
        <v>-9714.8867924528295</v>
      </c>
      <c r="IL105" s="3547" t="s">
        <v>4725</v>
      </c>
      <c r="IM105" s="3569">
        <f>51737.02/1.05*12/365*16</f>
        <v>25919.1333072407</v>
      </c>
      <c r="IN105" s="3569">
        <f>10297.78/1.06*12/365*16</f>
        <v>5110.2966141121733</v>
      </c>
      <c r="IO105" s="3607"/>
      <c r="IP105" s="3560">
        <f t="shared" si="195"/>
        <v>0</v>
      </c>
      <c r="IQ105" s="3568"/>
      <c r="IR105" s="3568"/>
      <c r="IS105" s="3568"/>
      <c r="IT105" s="3568"/>
      <c r="IU105" s="3568"/>
      <c r="IV105" s="3568"/>
      <c r="IW105" s="3568"/>
      <c r="IX105" s="3568"/>
      <c r="IY105" s="3568"/>
      <c r="IZ105" s="3560"/>
      <c r="JA105" s="3560"/>
      <c r="JB105" s="3560"/>
      <c r="JC105" s="3560">
        <f t="shared" si="134"/>
        <v>0</v>
      </c>
      <c r="JD105" s="3607"/>
      <c r="JE105" s="3568"/>
      <c r="JF105" s="3568"/>
      <c r="JG105" s="3568"/>
      <c r="JH105" s="3568"/>
      <c r="JI105" s="3568"/>
      <c r="JJ105" s="3568"/>
      <c r="JK105" s="3568"/>
      <c r="JL105" s="3568"/>
      <c r="JM105" s="3568"/>
      <c r="JN105" s="3560"/>
      <c r="JO105" s="3560"/>
      <c r="JP105" s="3547" t="s">
        <v>4726</v>
      </c>
      <c r="JQ105" s="3583">
        <f>51737.02/1.05*12/365*16</f>
        <v>25919.1333072407</v>
      </c>
      <c r="JR105" s="3583">
        <f>10297.78/1.06*12/365*16</f>
        <v>5110.2966141121733</v>
      </c>
      <c r="JS105" s="3573">
        <f t="shared" si="145"/>
        <v>8.7311491370201111E-11</v>
      </c>
      <c r="JT105" s="3573">
        <f t="shared" si="152"/>
        <v>0</v>
      </c>
      <c r="JU105" s="3574">
        <f t="shared" si="146"/>
        <v>8.7311491370201111E-11</v>
      </c>
      <c r="JV105" s="3574">
        <f t="shared" si="147"/>
        <v>-1.546140993013978E-11</v>
      </c>
      <c r="JW105" s="3575"/>
      <c r="JX105" s="3576">
        <f t="shared" si="148"/>
        <v>25919.1333072407</v>
      </c>
      <c r="JY105" s="3576">
        <f t="shared" si="149"/>
        <v>5110.2966141121733</v>
      </c>
      <c r="JZ105" s="3577"/>
      <c r="KA105" s="3573">
        <f t="shared" si="197"/>
        <v>674.97742987607489</v>
      </c>
      <c r="KB105" s="3573"/>
      <c r="KC105" s="3573"/>
      <c r="KD105" s="3573">
        <f t="shared" si="150"/>
        <v>674.97742987607489</v>
      </c>
      <c r="KE105" s="3578" t="s">
        <v>3986</v>
      </c>
      <c r="KF105" s="3579"/>
      <c r="KG105" s="3579"/>
      <c r="KH105" s="3579"/>
      <c r="KI105" s="3579"/>
      <c r="KJ105" s="3579"/>
      <c r="KK105" s="3579"/>
      <c r="KL105" s="3579"/>
      <c r="KM105" s="3579"/>
      <c r="KN105" s="3579"/>
      <c r="KO105" s="3579"/>
      <c r="KP105" s="3579">
        <f>674.98/10000</f>
        <v>6.7498000000000002E-2</v>
      </c>
      <c r="KQ105" s="3579">
        <f t="shared" si="151"/>
        <v>6.7498000000000002E-2</v>
      </c>
      <c r="KR105" s="3632">
        <f t="shared" si="196"/>
        <v>-2.5701240706499373E-7</v>
      </c>
      <c r="KS105" s="3577"/>
      <c r="KT105" s="3577"/>
      <c r="KU105" s="3577"/>
      <c r="KV105" s="3577"/>
      <c r="KW105" s="3577"/>
      <c r="KX105" s="3577"/>
      <c r="KY105" s="3577"/>
      <c r="KZ105" s="3577"/>
      <c r="LA105" s="3577"/>
      <c r="LB105" s="3577"/>
      <c r="LC105" s="3577"/>
      <c r="LD105" s="3577"/>
      <c r="LE105" s="3577"/>
      <c r="LF105" s="3577"/>
      <c r="LG105" s="3577"/>
      <c r="LH105" s="3577"/>
      <c r="LJ105" s="3575"/>
      <c r="LK105" s="3571"/>
      <c r="LL105" s="3576"/>
    </row>
    <row r="106" spans="1:325" s="3580" customFormat="1" ht="18" customHeight="1">
      <c r="A106" s="3545">
        <v>103</v>
      </c>
      <c r="B106" s="3546" t="s">
        <v>4677</v>
      </c>
      <c r="C106" s="3546">
        <v>1505</v>
      </c>
      <c r="D106" s="3547">
        <v>207.73</v>
      </c>
      <c r="E106" s="3548" t="s">
        <v>3799</v>
      </c>
      <c r="F106" s="3546" t="s">
        <v>3790</v>
      </c>
      <c r="G106" s="3546" t="s">
        <v>4727</v>
      </c>
      <c r="H106" s="3546" t="s">
        <v>4728</v>
      </c>
      <c r="I106" s="3594" t="s">
        <v>4702</v>
      </c>
      <c r="J106" s="3653" t="s">
        <v>4703</v>
      </c>
      <c r="K106" s="3545"/>
      <c r="L106" s="3555"/>
      <c r="M106" s="3551">
        <v>79043.850000000006</v>
      </c>
      <c r="N106" s="3551">
        <v>79043.850000000006</v>
      </c>
      <c r="O106" s="3551">
        <f t="shared" si="135"/>
        <v>0</v>
      </c>
      <c r="P106" s="3547"/>
      <c r="Q106" s="3547"/>
      <c r="R106" s="3547">
        <f t="shared" si="132"/>
        <v>0</v>
      </c>
      <c r="S106" s="3547">
        <f t="shared" si="232"/>
        <v>4.1699993867170839</v>
      </c>
      <c r="T106" s="3682">
        <v>26347.95</v>
      </c>
      <c r="U106" s="3553">
        <f t="shared" si="136"/>
        <v>316175.40000000002</v>
      </c>
      <c r="V106" s="3547">
        <f>26347.95*2*12-26347.95*2+27927.57*2*12-27927.57*2+29570.37*12-29570.37</f>
        <v>1519335.51</v>
      </c>
      <c r="W106" s="3547">
        <f t="shared" si="233"/>
        <v>0.83000048139411742</v>
      </c>
      <c r="X106" s="3663">
        <v>5244.32</v>
      </c>
      <c r="Y106" s="3547">
        <f t="shared" si="198"/>
        <v>62931.839999999997</v>
      </c>
      <c r="Z106" s="3554"/>
      <c r="AA106" s="3555"/>
      <c r="AB106" s="3593" t="s">
        <v>4187</v>
      </c>
      <c r="AC106" s="3556">
        <f t="shared" si="138"/>
        <v>289827.45000000007</v>
      </c>
      <c r="AD106" s="3556">
        <f t="shared" si="228"/>
        <v>210783.60000000003</v>
      </c>
      <c r="AE106" s="3556">
        <f t="shared" si="228"/>
        <v>210783.60000000003</v>
      </c>
      <c r="AF106" s="3556">
        <f t="shared" si="140"/>
        <v>0</v>
      </c>
      <c r="AG106" s="3556"/>
      <c r="AH106" s="3557">
        <f t="shared" si="141"/>
        <v>62931.839999999997</v>
      </c>
      <c r="AI106" s="3558">
        <f t="shared" si="229"/>
        <v>47198.879999999997</v>
      </c>
      <c r="AJ106" s="3558">
        <f t="shared" si="229"/>
        <v>47198.879999999997</v>
      </c>
      <c r="AK106" s="3557">
        <f t="shared" si="159"/>
        <v>0</v>
      </c>
      <c r="AL106" s="3557"/>
      <c r="AM106" s="3547" t="s">
        <v>4704</v>
      </c>
      <c r="AN106" s="3609">
        <v>26347.95</v>
      </c>
      <c r="AO106" s="3562">
        <v>26347.95</v>
      </c>
      <c r="AP106" s="3561">
        <f t="shared" si="199"/>
        <v>0</v>
      </c>
      <c r="AQ106" s="3559">
        <v>5244.32</v>
      </c>
      <c r="AR106" s="3562">
        <v>5244.32</v>
      </c>
      <c r="AS106" s="3561">
        <f t="shared" si="200"/>
        <v>0</v>
      </c>
      <c r="AT106" s="3563" t="s">
        <v>4705</v>
      </c>
      <c r="AU106" s="3547" t="s">
        <v>4706</v>
      </c>
      <c r="AV106" s="3609">
        <v>26347.95</v>
      </c>
      <c r="AW106" s="3562">
        <v>26347.95</v>
      </c>
      <c r="AX106" s="3561">
        <f t="shared" si="201"/>
        <v>0</v>
      </c>
      <c r="AY106" s="3559">
        <v>5244.32</v>
      </c>
      <c r="AZ106" s="3562">
        <v>5244.32</v>
      </c>
      <c r="BA106" s="3561">
        <f t="shared" si="202"/>
        <v>0</v>
      </c>
      <c r="BB106" s="3563" t="s">
        <v>4729</v>
      </c>
      <c r="BC106" s="3547" t="s">
        <v>4708</v>
      </c>
      <c r="BD106" s="3609">
        <v>26347.95</v>
      </c>
      <c r="BE106" s="3562">
        <v>26347.95</v>
      </c>
      <c r="BF106" s="3561">
        <f t="shared" si="203"/>
        <v>0</v>
      </c>
      <c r="BG106" s="3559">
        <v>5244.32</v>
      </c>
      <c r="BH106" s="3562">
        <v>5244.32</v>
      </c>
      <c r="BI106" s="3561">
        <f t="shared" si="204"/>
        <v>0</v>
      </c>
      <c r="BJ106" s="3563" t="s">
        <v>4709</v>
      </c>
      <c r="BK106" s="3547" t="s">
        <v>4710</v>
      </c>
      <c r="BL106" s="3609">
        <v>26347.95</v>
      </c>
      <c r="BM106" s="3603">
        <v>26347.95</v>
      </c>
      <c r="BN106" s="3602">
        <f t="shared" si="205"/>
        <v>0</v>
      </c>
      <c r="BO106" s="3604">
        <v>5244.32</v>
      </c>
      <c r="BP106" s="3603">
        <v>5244.32</v>
      </c>
      <c r="BQ106" s="3561">
        <f t="shared" si="206"/>
        <v>0</v>
      </c>
      <c r="BR106" s="3563" t="s">
        <v>4711</v>
      </c>
      <c r="BS106" s="3547" t="s">
        <v>4712</v>
      </c>
      <c r="BT106" s="3559">
        <v>26347.95</v>
      </c>
      <c r="BU106" s="3603">
        <v>26347.95</v>
      </c>
      <c r="BV106" s="3602">
        <f t="shared" si="207"/>
        <v>0</v>
      </c>
      <c r="BW106" s="3604">
        <v>5244.32</v>
      </c>
      <c r="BX106" s="3603">
        <v>5244.32</v>
      </c>
      <c r="BY106" s="3561">
        <f t="shared" si="208"/>
        <v>0</v>
      </c>
      <c r="BZ106" s="3563" t="s">
        <v>4713</v>
      </c>
      <c r="CA106" s="3547" t="s">
        <v>4714</v>
      </c>
      <c r="CB106" s="3609">
        <v>26347.95</v>
      </c>
      <c r="CC106" s="3603">
        <v>26347.95</v>
      </c>
      <c r="CD106" s="3561">
        <f t="shared" si="164"/>
        <v>0</v>
      </c>
      <c r="CE106" s="3559">
        <v>5244.32</v>
      </c>
      <c r="CF106" s="3562">
        <v>5244.32</v>
      </c>
      <c r="CG106" s="3561">
        <f t="shared" si="165"/>
        <v>0</v>
      </c>
      <c r="CH106" s="3563" t="s">
        <v>4715</v>
      </c>
      <c r="CI106" s="3597" t="s">
        <v>4716</v>
      </c>
      <c r="CJ106" s="3559">
        <f>26347.95</f>
        <v>26347.95</v>
      </c>
      <c r="CK106" s="3603">
        <v>26347.95</v>
      </c>
      <c r="CL106" s="3561">
        <f t="shared" si="133"/>
        <v>0</v>
      </c>
      <c r="CM106" s="3559">
        <v>5244.32</v>
      </c>
      <c r="CN106" s="3583">
        <v>5244.32</v>
      </c>
      <c r="CO106" s="3561">
        <f t="shared" si="166"/>
        <v>0</v>
      </c>
      <c r="CP106" s="3563" t="s">
        <v>4717</v>
      </c>
      <c r="CQ106" s="3597" t="s">
        <v>4718</v>
      </c>
      <c r="CR106" s="3601"/>
      <c r="CS106" s="3562"/>
      <c r="CT106" s="3561">
        <f t="shared" si="167"/>
        <v>0</v>
      </c>
      <c r="CU106" s="3559">
        <v>5244.32</v>
      </c>
      <c r="CV106" s="3603">
        <v>5244.32</v>
      </c>
      <c r="CW106" s="3561">
        <f t="shared" si="168"/>
        <v>0</v>
      </c>
      <c r="CX106" s="3563" t="s">
        <v>4719</v>
      </c>
      <c r="CY106" s="3597" t="s">
        <v>4720</v>
      </c>
      <c r="CZ106" s="3609">
        <v>26347.95</v>
      </c>
      <c r="DA106" s="3603">
        <v>26347.95</v>
      </c>
      <c r="DB106" s="3561">
        <f t="shared" si="169"/>
        <v>0</v>
      </c>
      <c r="DC106" s="3559">
        <v>5244.32</v>
      </c>
      <c r="DD106" s="3603">
        <v>5244.32</v>
      </c>
      <c r="DE106" s="3561">
        <f t="shared" si="170"/>
        <v>0</v>
      </c>
      <c r="DF106" s="3563" t="s">
        <v>4721</v>
      </c>
      <c r="DG106" s="3547" t="s">
        <v>4722</v>
      </c>
      <c r="DH106" s="3609">
        <v>26347.95</v>
      </c>
      <c r="DI106" s="3562"/>
      <c r="DJ106" s="3561">
        <f t="shared" si="171"/>
        <v>-26347.95</v>
      </c>
      <c r="DK106" s="3559">
        <v>5244.32</v>
      </c>
      <c r="DL106" s="3562"/>
      <c r="DM106" s="3561">
        <f t="shared" si="172"/>
        <v>-5244.32</v>
      </c>
      <c r="DN106" s="3563"/>
      <c r="DO106" s="3547" t="s">
        <v>4723</v>
      </c>
      <c r="DP106" s="3609">
        <v>26347.95</v>
      </c>
      <c r="DQ106" s="3562"/>
      <c r="DR106" s="3561">
        <f t="shared" si="173"/>
        <v>-26347.95</v>
      </c>
      <c r="DS106" s="3559">
        <v>5244.32</v>
      </c>
      <c r="DT106" s="3562"/>
      <c r="DU106" s="3561">
        <f t="shared" si="209"/>
        <v>-5244.32</v>
      </c>
      <c r="DV106" s="3563"/>
      <c r="DW106" s="3547" t="s">
        <v>4724</v>
      </c>
      <c r="DX106" s="3609">
        <v>26347.95</v>
      </c>
      <c r="DY106" s="3562"/>
      <c r="DZ106" s="3561">
        <f t="shared" si="175"/>
        <v>-26347.95</v>
      </c>
      <c r="EA106" s="3559">
        <v>5244.32</v>
      </c>
      <c r="EB106" s="3562"/>
      <c r="EC106" s="3561">
        <f t="shared" si="176"/>
        <v>-5244.32</v>
      </c>
      <c r="ED106" s="3563"/>
      <c r="EE106" s="3564"/>
      <c r="EF106" s="3565">
        <f t="shared" si="153"/>
        <v>275682.39921722101</v>
      </c>
      <c r="EG106" s="3565">
        <f t="shared" si="230"/>
        <v>200402.54207436391</v>
      </c>
      <c r="EH106" s="3565">
        <f t="shared" si="230"/>
        <v>200746.28571428571</v>
      </c>
      <c r="EI106" s="3565">
        <f t="shared" si="230"/>
        <v>200746.28571428571</v>
      </c>
      <c r="EJ106" s="3565">
        <f t="shared" si="154"/>
        <v>343.7436399217986</v>
      </c>
      <c r="EK106" s="3565">
        <f t="shared" si="155"/>
        <v>0</v>
      </c>
      <c r="EL106" s="3610"/>
      <c r="EM106" s="3557">
        <f t="shared" si="156"/>
        <v>59369.660377358501</v>
      </c>
      <c r="EN106" s="3557">
        <f t="shared" si="231"/>
        <v>44527.245283018878</v>
      </c>
      <c r="EO106" s="3557">
        <f t="shared" si="231"/>
        <v>44527.245283018863</v>
      </c>
      <c r="EP106" s="3557">
        <f t="shared" si="231"/>
        <v>44527.24528301887</v>
      </c>
      <c r="EQ106" s="3557">
        <f t="shared" si="157"/>
        <v>0</v>
      </c>
      <c r="ER106" s="3557">
        <f t="shared" si="158"/>
        <v>0</v>
      </c>
      <c r="ES106" s="3557"/>
      <c r="ET106" s="3568">
        <v>25093.285714285699</v>
      </c>
      <c r="EU106" s="3569">
        <f>26347.95/1.05</f>
        <v>25093.285714285714</v>
      </c>
      <c r="EV106" s="3562">
        <f>26347.95/1.05*12/365*16+26347.95/1.05-26347.95/1.05*12/365*16</f>
        <v>25093.285714285714</v>
      </c>
      <c r="EW106" s="3547">
        <f t="shared" si="210"/>
        <v>0</v>
      </c>
      <c r="EX106" s="3568">
        <v>4947.4716981132096</v>
      </c>
      <c r="EY106" s="3569">
        <f>5244.32/1.06</f>
        <v>4947.4716981132069</v>
      </c>
      <c r="EZ106" s="3562">
        <f>10488.64/2/1.06*12/365*16+5244.32/1.06-5244.32/1.06*12/365*16</f>
        <v>4947.4716981132078</v>
      </c>
      <c r="FA106" s="3547">
        <f t="shared" si="211"/>
        <v>0</v>
      </c>
      <c r="FB106" s="3568">
        <v>25093.285714285699</v>
      </c>
      <c r="FC106" s="3569">
        <f>26347.95/1.05</f>
        <v>25093.285714285714</v>
      </c>
      <c r="FD106" s="3562">
        <f>26347.95/1.05*12/365*16+26347.95/1.05-26347.95/1.05*12/365*16</f>
        <v>25093.285714285714</v>
      </c>
      <c r="FE106" s="3547">
        <f t="shared" si="212"/>
        <v>0</v>
      </c>
      <c r="FF106" s="3568">
        <v>4947.4716981132096</v>
      </c>
      <c r="FG106" s="3569">
        <f>5244.32/1.06</f>
        <v>4947.4716981132069</v>
      </c>
      <c r="FH106" s="3562">
        <f>5244.32/1.06*12/365*16+5244.32/1.06-5244.32/1.06*12/365*16</f>
        <v>4947.4716981132078</v>
      </c>
      <c r="FI106" s="3547">
        <f t="shared" si="213"/>
        <v>0</v>
      </c>
      <c r="FJ106" s="3568">
        <v>25093.285714285699</v>
      </c>
      <c r="FK106" s="3559">
        <f>26347.95/1.05</f>
        <v>25093.285714285714</v>
      </c>
      <c r="FL106" s="3562">
        <f>26347.95/1.05*12/365*16+26347.95/1.05-26347.95/1.05*12/365*16</f>
        <v>25093.285714285714</v>
      </c>
      <c r="FM106" s="3547">
        <f t="shared" si="214"/>
        <v>0</v>
      </c>
      <c r="FN106" s="3568">
        <v>4947.4716981132096</v>
      </c>
      <c r="FO106" s="3559">
        <f>5244.32/1.06</f>
        <v>4947.4716981132069</v>
      </c>
      <c r="FP106" s="3562">
        <f>5244.32/1.06*12/365*16+5244.32/1.06-5244.32/1.06*12/365*16</f>
        <v>4947.4716981132078</v>
      </c>
      <c r="FQ106" s="3547">
        <f t="shared" si="215"/>
        <v>0</v>
      </c>
      <c r="FR106" s="3568">
        <v>25093.285714285699</v>
      </c>
      <c r="FS106" s="3559">
        <f>26347.95/1.05</f>
        <v>25093.285714285714</v>
      </c>
      <c r="FT106" s="3560">
        <f>26347.95/1.05*12/365*16+26347.95/1.05-26347.95/1.05*12/365*16</f>
        <v>25093.285714285714</v>
      </c>
      <c r="FU106" s="3547">
        <f t="shared" si="216"/>
        <v>0</v>
      </c>
      <c r="FV106" s="3568">
        <v>4947.4716981132096</v>
      </c>
      <c r="FW106" s="3559">
        <f>5244.32/1.06</f>
        <v>4947.4716981132069</v>
      </c>
      <c r="FX106" s="3560">
        <f>5244.32/1.06*12/365*16+5244.32/1.06-5244.32/1.06*12/365*16</f>
        <v>4947.4716981132078</v>
      </c>
      <c r="FY106" s="3547">
        <f t="shared" si="217"/>
        <v>0</v>
      </c>
      <c r="FZ106" s="3568">
        <v>25093.285714285699</v>
      </c>
      <c r="GA106" s="3569">
        <f>26347.95/1.05</f>
        <v>25093.285714285714</v>
      </c>
      <c r="GB106" s="3560">
        <f>26347.95/1.05*12/365*16+26347.95/1.05-26347.95/1.05*12/365*16</f>
        <v>25093.285714285714</v>
      </c>
      <c r="GC106" s="3547">
        <f t="shared" si="218"/>
        <v>0</v>
      </c>
      <c r="GD106" s="3568">
        <v>4947.4716981132096</v>
      </c>
      <c r="GE106" s="3569">
        <f>5244.32/1.06</f>
        <v>4947.4716981132069</v>
      </c>
      <c r="GF106" s="3560">
        <f>5244.32/1.06*12/365*16+5244.32/1.06-5244.32/1.06*12/365*16</f>
        <v>4947.4716981132078</v>
      </c>
      <c r="GG106" s="3547">
        <f t="shared" si="219"/>
        <v>0</v>
      </c>
      <c r="GH106" s="3568">
        <v>25093.285714285699</v>
      </c>
      <c r="GI106" s="3569">
        <f>26347.95/1.05</f>
        <v>25093.285714285714</v>
      </c>
      <c r="GJ106" s="3560">
        <f>26347.95/1.05*12/365*16+26347.95/1.05-26347.95/1.05*12/365*16</f>
        <v>25093.285714285714</v>
      </c>
      <c r="GK106" s="3547">
        <f t="shared" si="181"/>
        <v>0</v>
      </c>
      <c r="GL106" s="3568">
        <v>4947.4716981132096</v>
      </c>
      <c r="GM106" s="3569">
        <f>5244.32/1.06</f>
        <v>4947.4716981132069</v>
      </c>
      <c r="GN106" s="3560">
        <f>5244.32/1.06*12/365*16+5244.32/1.06-5244.32/1.06*12/365*16</f>
        <v>4947.4716981132078</v>
      </c>
      <c r="GO106" s="3547">
        <f t="shared" si="182"/>
        <v>0</v>
      </c>
      <c r="GP106" s="3568">
        <v>25093.285714285699</v>
      </c>
      <c r="GQ106" s="3569">
        <f>26347.95/1.05</f>
        <v>25093.285714285714</v>
      </c>
      <c r="GR106" s="3562">
        <f>26347.95/1.05*12/365*16+26347.95/1.05-26347.95/1.05*12/365*16</f>
        <v>25093.285714285714</v>
      </c>
      <c r="GS106" s="3547">
        <f t="shared" si="183"/>
        <v>0</v>
      </c>
      <c r="GT106" s="3568">
        <v>4947.4716981132096</v>
      </c>
      <c r="GU106" s="3569">
        <f>5244.32/1.06</f>
        <v>4947.4716981132069</v>
      </c>
      <c r="GV106" s="3562">
        <f>5244.32/1.06*12/365*16+5244.32/1.06-5244.32/1.06*12/365*16</f>
        <v>4947.4716981132078</v>
      </c>
      <c r="GW106" s="3547">
        <f t="shared" si="184"/>
        <v>0</v>
      </c>
      <c r="GX106" s="3568">
        <v>13199.7557729941</v>
      </c>
      <c r="GY106" s="3592">
        <f>26347.95/1.05*12/365*16</f>
        <v>13199.755772994129</v>
      </c>
      <c r="GZ106" s="3605">
        <f>26347.95/1.05*12/365*16</f>
        <v>13199.755772994129</v>
      </c>
      <c r="HA106" s="3547">
        <f t="shared" si="185"/>
        <v>2.9103830456733704E-11</v>
      </c>
      <c r="HB106" s="3568">
        <v>4947.4716981132096</v>
      </c>
      <c r="HC106" s="3569">
        <f>5244.32/1.06</f>
        <v>4947.4716981132069</v>
      </c>
      <c r="HD106" s="3562">
        <f>5244.32/1.06*12/365*16+5244.32/1.06-5244.32/1.06*12/365*16</f>
        <v>4947.4716981132078</v>
      </c>
      <c r="HE106" s="3547">
        <f t="shared" si="186"/>
        <v>0</v>
      </c>
      <c r="HF106" s="3568">
        <v>11549.786301369901</v>
      </c>
      <c r="HG106" s="3592">
        <f>26347.95/1.05-26347.95/1.05*12/365*16</f>
        <v>11893.529941291585</v>
      </c>
      <c r="HH106" s="3605">
        <f>26347.95/1.05-26347.95/1.05*12/365*16</f>
        <v>11893.529941291585</v>
      </c>
      <c r="HI106" s="3547">
        <f t="shared" si="224"/>
        <v>343.74363992168401</v>
      </c>
      <c r="HJ106" s="3568">
        <v>4947.4716981132096</v>
      </c>
      <c r="HK106" s="3569">
        <f>5244.32/1.06</f>
        <v>4947.4716981132069</v>
      </c>
      <c r="HL106" s="3562">
        <f>5244.32/1.06*12/365*16+5244.32/1.06-5244.32/1.06*12/365*16</f>
        <v>4947.4716981132078</v>
      </c>
      <c r="HM106" s="3547">
        <f t="shared" si="220"/>
        <v>0</v>
      </c>
      <c r="HN106" s="3568">
        <v>25093.285714285699</v>
      </c>
      <c r="HO106" s="3569">
        <f>26347.95/1.05</f>
        <v>25093.285714285714</v>
      </c>
      <c r="HP106" s="3562">
        <f>26347.95/1.05*12/365*16</f>
        <v>13199.755772994129</v>
      </c>
      <c r="HQ106" s="3547">
        <f t="shared" si="225"/>
        <v>-11893.52994129157</v>
      </c>
      <c r="HR106" s="3568">
        <v>4947.4716981132096</v>
      </c>
      <c r="HS106" s="3569">
        <f>5244.32/1.06</f>
        <v>4947.4716981132069</v>
      </c>
      <c r="HT106" s="3562">
        <f>5244.32/1.06*12/365*16</f>
        <v>2602.5056603773578</v>
      </c>
      <c r="HU106" s="3547">
        <f t="shared" si="221"/>
        <v>-2344.9660377358518</v>
      </c>
      <c r="HV106" s="3568">
        <v>25093.285714285699</v>
      </c>
      <c r="HW106" s="3569">
        <f>26347.95/1.05</f>
        <v>25093.285714285714</v>
      </c>
      <c r="HX106" s="3562"/>
      <c r="HY106" s="3547">
        <f t="shared" si="226"/>
        <v>-25093.285714285699</v>
      </c>
      <c r="HZ106" s="3568">
        <v>4947.4716981132096</v>
      </c>
      <c r="IA106" s="3569">
        <f>5244.32/1.06</f>
        <v>4947.4716981132069</v>
      </c>
      <c r="IB106" s="3562"/>
      <c r="IC106" s="3547">
        <f t="shared" si="222"/>
        <v>-4947.4716981132096</v>
      </c>
      <c r="ID106" s="3568">
        <v>25093.285714285699</v>
      </c>
      <c r="IE106" s="3569">
        <f>26347.95/1.05</f>
        <v>25093.285714285714</v>
      </c>
      <c r="IF106" s="3562"/>
      <c r="IG106" s="3547">
        <f t="shared" si="227"/>
        <v>-25093.285714285699</v>
      </c>
      <c r="IH106" s="3568">
        <v>4947.4716981132096</v>
      </c>
      <c r="II106" s="3569">
        <f>5244.32/1.06</f>
        <v>4947.4716981132069</v>
      </c>
      <c r="IJ106" s="3562"/>
      <c r="IK106" s="3547">
        <f t="shared" si="223"/>
        <v>-4947.4716981132096</v>
      </c>
      <c r="IL106" s="3547" t="s">
        <v>4725</v>
      </c>
      <c r="IM106" s="3569">
        <f>26347.95/1.05*12/365*16</f>
        <v>13199.755772994129</v>
      </c>
      <c r="IN106" s="3569">
        <f>5244.32/1.06*12/365*16</f>
        <v>2602.5056603773578</v>
      </c>
      <c r="IO106" s="3607"/>
      <c r="IP106" s="3560">
        <f t="shared" si="195"/>
        <v>0</v>
      </c>
      <c r="IQ106" s="3568"/>
      <c r="IR106" s="3568"/>
      <c r="IS106" s="3568"/>
      <c r="IT106" s="3568"/>
      <c r="IU106" s="3568"/>
      <c r="IV106" s="3568"/>
      <c r="IW106" s="3568"/>
      <c r="IX106" s="3568"/>
      <c r="IY106" s="3568"/>
      <c r="IZ106" s="3560"/>
      <c r="JA106" s="3560"/>
      <c r="JB106" s="3560"/>
      <c r="JC106" s="3560">
        <f t="shared" si="134"/>
        <v>0</v>
      </c>
      <c r="JD106" s="3607"/>
      <c r="JE106" s="3568"/>
      <c r="JF106" s="3568"/>
      <c r="JG106" s="3568"/>
      <c r="JH106" s="3568"/>
      <c r="JI106" s="3568"/>
      <c r="JJ106" s="3568"/>
      <c r="JK106" s="3568"/>
      <c r="JL106" s="3568"/>
      <c r="JM106" s="3568"/>
      <c r="JN106" s="3560"/>
      <c r="JO106" s="3560"/>
      <c r="JP106" s="3547" t="s">
        <v>4726</v>
      </c>
      <c r="JQ106" s="3583">
        <f>26347.95/1.05*12/365*16</f>
        <v>13199.755772994129</v>
      </c>
      <c r="JR106" s="3583">
        <f>5244.32/1.06*12/365*16</f>
        <v>2602.5056603773578</v>
      </c>
      <c r="JS106" s="3573">
        <f t="shared" si="145"/>
        <v>6.184563972055912E-11</v>
      </c>
      <c r="JT106" s="3573">
        <f t="shared" si="152"/>
        <v>0</v>
      </c>
      <c r="JU106" s="3574">
        <f t="shared" si="146"/>
        <v>3.2741809263825417E-11</v>
      </c>
      <c r="JV106" s="3574">
        <f t="shared" si="147"/>
        <v>-9.5496943686157465E-12</v>
      </c>
      <c r="JW106" s="3575"/>
      <c r="JX106" s="3576">
        <f t="shared" si="148"/>
        <v>13199.755772994129</v>
      </c>
      <c r="JY106" s="3576">
        <f t="shared" si="149"/>
        <v>2602.5056603773578</v>
      </c>
      <c r="JZ106" s="3577"/>
      <c r="KA106" s="3573">
        <f t="shared" si="197"/>
        <v>343.74363992168401</v>
      </c>
      <c r="KB106" s="3573"/>
      <c r="KC106" s="3573"/>
      <c r="KD106" s="3573">
        <f t="shared" si="150"/>
        <v>343.74363992168401</v>
      </c>
      <c r="KE106" s="3578" t="s">
        <v>3986</v>
      </c>
      <c r="KF106" s="3579"/>
      <c r="KG106" s="3579"/>
      <c r="KH106" s="3579"/>
      <c r="KI106" s="3579"/>
      <c r="KJ106" s="3579"/>
      <c r="KK106" s="3579"/>
      <c r="KL106" s="3579"/>
      <c r="KM106" s="3579"/>
      <c r="KN106" s="3579"/>
      <c r="KO106" s="3579"/>
      <c r="KP106" s="3579">
        <f>343.74/10000</f>
        <v>3.4374000000000002E-2</v>
      </c>
      <c r="KQ106" s="3579">
        <f t="shared" si="151"/>
        <v>3.4374000000000002E-2</v>
      </c>
      <c r="KR106" s="3632">
        <f t="shared" si="196"/>
        <v>3.6399217985538801E-7</v>
      </c>
      <c r="KS106" s="3577"/>
      <c r="KT106" s="3577"/>
      <c r="KU106" s="3577"/>
      <c r="KV106" s="3577"/>
      <c r="KW106" s="3577"/>
      <c r="KX106" s="3577"/>
      <c r="KY106" s="3577"/>
      <c r="KZ106" s="3577"/>
      <c r="LA106" s="3577"/>
      <c r="LB106" s="3577"/>
      <c r="LC106" s="3577"/>
      <c r="LD106" s="3577"/>
      <c r="LE106" s="3577"/>
      <c r="LF106" s="3577"/>
      <c r="LG106" s="3577"/>
      <c r="LH106" s="3577"/>
      <c r="LJ106" s="3575"/>
      <c r="LK106" s="3571"/>
      <c r="LL106" s="3576"/>
    </row>
    <row r="107" spans="1:325" s="3580" customFormat="1" ht="18" customHeight="1">
      <c r="A107" s="3545">
        <v>104</v>
      </c>
      <c r="B107" s="3546" t="s">
        <v>4677</v>
      </c>
      <c r="C107" s="3546" t="s">
        <v>4730</v>
      </c>
      <c r="D107" s="3547">
        <f>1354.77-172.89-407.9-207.73</f>
        <v>566.25000000000011</v>
      </c>
      <c r="E107" s="3548" t="s">
        <v>3799</v>
      </c>
      <c r="F107" s="3546" t="s">
        <v>3790</v>
      </c>
      <c r="G107" s="3546" t="s">
        <v>4731</v>
      </c>
      <c r="H107" s="3546" t="s">
        <v>4732</v>
      </c>
      <c r="I107" s="3594" t="s">
        <v>4040</v>
      </c>
      <c r="J107" s="3653" t="s">
        <v>4703</v>
      </c>
      <c r="K107" s="3545"/>
      <c r="L107" s="3555"/>
      <c r="M107" s="3551">
        <v>215465.19</v>
      </c>
      <c r="N107" s="3551">
        <v>215465.19</v>
      </c>
      <c r="O107" s="3551">
        <f t="shared" si="135"/>
        <v>0</v>
      </c>
      <c r="P107" s="3547"/>
      <c r="Q107" s="3547"/>
      <c r="R107" s="3547">
        <f t="shared" si="132"/>
        <v>0</v>
      </c>
      <c r="S107" s="3547">
        <f t="shared" si="232"/>
        <v>4.1699997459856659</v>
      </c>
      <c r="T107" s="3682">
        <v>71821.73</v>
      </c>
      <c r="U107" s="3553">
        <f t="shared" si="136"/>
        <v>861860.76</v>
      </c>
      <c r="V107" s="3547">
        <v>3713261.7625000002</v>
      </c>
      <c r="W107" s="3547">
        <f t="shared" si="233"/>
        <v>0.82999981856119009</v>
      </c>
      <c r="X107" s="3663">
        <v>14295.45</v>
      </c>
      <c r="Y107" s="3547">
        <f t="shared" si="198"/>
        <v>171545.40000000002</v>
      </c>
      <c r="Z107" s="3554"/>
      <c r="AA107" s="3555"/>
      <c r="AB107" s="3552" t="s">
        <v>4187</v>
      </c>
      <c r="AC107" s="3556">
        <f t="shared" si="138"/>
        <v>790039.02999999991</v>
      </c>
      <c r="AD107" s="3556">
        <f t="shared" si="228"/>
        <v>574573.84</v>
      </c>
      <c r="AE107" s="3556">
        <f t="shared" si="228"/>
        <v>574573.84</v>
      </c>
      <c r="AF107" s="3556">
        <f t="shared" si="140"/>
        <v>0</v>
      </c>
      <c r="AG107" s="3556"/>
      <c r="AH107" s="3557">
        <f t="shared" si="141"/>
        <v>171545.40000000002</v>
      </c>
      <c r="AI107" s="3558">
        <f t="shared" si="229"/>
        <v>128659.04999999999</v>
      </c>
      <c r="AJ107" s="3558">
        <f t="shared" si="229"/>
        <v>128659.04999999999</v>
      </c>
      <c r="AK107" s="3557">
        <f t="shared" si="159"/>
        <v>0</v>
      </c>
      <c r="AL107" s="3557"/>
      <c r="AM107" s="3547" t="s">
        <v>4704</v>
      </c>
      <c r="AN107" s="3609">
        <v>71821.73</v>
      </c>
      <c r="AO107" s="3562">
        <f>71821.73</f>
        <v>71821.73</v>
      </c>
      <c r="AP107" s="3561">
        <f t="shared" si="199"/>
        <v>0</v>
      </c>
      <c r="AQ107" s="3559">
        <v>14295.45</v>
      </c>
      <c r="AR107" s="3562">
        <v>14295.45</v>
      </c>
      <c r="AS107" s="3561">
        <f t="shared" si="200"/>
        <v>0</v>
      </c>
      <c r="AT107" s="3563" t="s">
        <v>4705</v>
      </c>
      <c r="AU107" s="3547" t="s">
        <v>4706</v>
      </c>
      <c r="AV107" s="3609">
        <v>71821.73</v>
      </c>
      <c r="AW107" s="3562">
        <v>71821.73</v>
      </c>
      <c r="AX107" s="3561">
        <f t="shared" si="201"/>
        <v>0</v>
      </c>
      <c r="AY107" s="3559">
        <v>14295.45</v>
      </c>
      <c r="AZ107" s="3562">
        <v>14295.45</v>
      </c>
      <c r="BA107" s="3561">
        <f t="shared" si="202"/>
        <v>0</v>
      </c>
      <c r="BB107" s="3563" t="s">
        <v>4707</v>
      </c>
      <c r="BC107" s="3547" t="s">
        <v>4708</v>
      </c>
      <c r="BD107" s="3609">
        <v>71821.73</v>
      </c>
      <c r="BE107" s="3562">
        <v>71821.73</v>
      </c>
      <c r="BF107" s="3561">
        <f t="shared" si="203"/>
        <v>0</v>
      </c>
      <c r="BG107" s="3559">
        <v>14295.45</v>
      </c>
      <c r="BH107" s="3562">
        <v>14295.45</v>
      </c>
      <c r="BI107" s="3561">
        <f t="shared" si="204"/>
        <v>0</v>
      </c>
      <c r="BJ107" s="3563" t="s">
        <v>4709</v>
      </c>
      <c r="BK107" s="3547" t="s">
        <v>4710</v>
      </c>
      <c r="BL107" s="3609">
        <v>71821.73</v>
      </c>
      <c r="BM107" s="3603">
        <v>71821.73</v>
      </c>
      <c r="BN107" s="3602">
        <f t="shared" si="205"/>
        <v>0</v>
      </c>
      <c r="BO107" s="3604">
        <v>14295.45</v>
      </c>
      <c r="BP107" s="3603">
        <v>14295.45</v>
      </c>
      <c r="BQ107" s="3561">
        <f t="shared" si="206"/>
        <v>0</v>
      </c>
      <c r="BR107" s="3563" t="s">
        <v>4711</v>
      </c>
      <c r="BS107" s="3547" t="s">
        <v>4712</v>
      </c>
      <c r="BT107" s="3559">
        <v>71821.73</v>
      </c>
      <c r="BU107" s="3603">
        <v>71821.73</v>
      </c>
      <c r="BV107" s="3602">
        <f t="shared" si="207"/>
        <v>0</v>
      </c>
      <c r="BW107" s="3604">
        <v>14295.45</v>
      </c>
      <c r="BX107" s="3603">
        <v>14295.45</v>
      </c>
      <c r="BY107" s="3561">
        <f t="shared" si="208"/>
        <v>0</v>
      </c>
      <c r="BZ107" s="3563" t="s">
        <v>4713</v>
      </c>
      <c r="CA107" s="3547" t="s">
        <v>4714</v>
      </c>
      <c r="CB107" s="3609">
        <v>71821.73</v>
      </c>
      <c r="CC107" s="3603">
        <v>71821.73</v>
      </c>
      <c r="CD107" s="3561">
        <f t="shared" si="164"/>
        <v>0</v>
      </c>
      <c r="CE107" s="3559">
        <v>14295.45</v>
      </c>
      <c r="CF107" s="3562">
        <v>14295.45</v>
      </c>
      <c r="CG107" s="3561">
        <f t="shared" si="165"/>
        <v>0</v>
      </c>
      <c r="CH107" s="3563" t="s">
        <v>4715</v>
      </c>
      <c r="CI107" s="3597" t="s">
        <v>4716</v>
      </c>
      <c r="CJ107" s="3559">
        <f>71821.73</f>
        <v>71821.73</v>
      </c>
      <c r="CK107" s="3603">
        <v>71821.73</v>
      </c>
      <c r="CL107" s="3561">
        <f t="shared" si="133"/>
        <v>0</v>
      </c>
      <c r="CM107" s="3559">
        <v>14295.45</v>
      </c>
      <c r="CN107" s="3562">
        <v>14295.45</v>
      </c>
      <c r="CO107" s="3561">
        <f t="shared" si="166"/>
        <v>0</v>
      </c>
      <c r="CP107" s="3563" t="s">
        <v>4733</v>
      </c>
      <c r="CQ107" s="3597" t="s">
        <v>4718</v>
      </c>
      <c r="CR107" s="3601"/>
      <c r="CS107" s="3562"/>
      <c r="CT107" s="3561">
        <f t="shared" si="167"/>
        <v>0</v>
      </c>
      <c r="CU107" s="3559">
        <v>14295.45</v>
      </c>
      <c r="CV107" s="3603">
        <v>14295.45</v>
      </c>
      <c r="CW107" s="3561">
        <f t="shared" si="168"/>
        <v>0</v>
      </c>
      <c r="CX107" s="3563" t="s">
        <v>4719</v>
      </c>
      <c r="CY107" s="3597" t="s">
        <v>4720</v>
      </c>
      <c r="CZ107" s="3609">
        <v>71821.73</v>
      </c>
      <c r="DA107" s="3603">
        <v>71821.73</v>
      </c>
      <c r="DB107" s="3561">
        <f t="shared" si="169"/>
        <v>0</v>
      </c>
      <c r="DC107" s="3559">
        <v>14295.45</v>
      </c>
      <c r="DD107" s="3603">
        <v>14295.45</v>
      </c>
      <c r="DE107" s="3561">
        <f t="shared" si="170"/>
        <v>0</v>
      </c>
      <c r="DF107" s="3563" t="s">
        <v>4721</v>
      </c>
      <c r="DG107" s="3547" t="s">
        <v>4722</v>
      </c>
      <c r="DH107" s="3609">
        <v>71821.73</v>
      </c>
      <c r="DI107" s="3562"/>
      <c r="DJ107" s="3561">
        <f t="shared" si="171"/>
        <v>-71821.73</v>
      </c>
      <c r="DK107" s="3559">
        <v>14295.45</v>
      </c>
      <c r="DL107" s="3562"/>
      <c r="DM107" s="3561">
        <f t="shared" si="172"/>
        <v>-14295.45</v>
      </c>
      <c r="DN107" s="3563"/>
      <c r="DO107" s="3547" t="s">
        <v>4723</v>
      </c>
      <c r="DP107" s="3609">
        <v>71821.73</v>
      </c>
      <c r="DQ107" s="3562"/>
      <c r="DR107" s="3561">
        <f t="shared" si="173"/>
        <v>-71821.73</v>
      </c>
      <c r="DS107" s="3559">
        <v>14295.45</v>
      </c>
      <c r="DT107" s="3562"/>
      <c r="DU107" s="3561">
        <f t="shared" si="209"/>
        <v>-14295.45</v>
      </c>
      <c r="DV107" s="3563"/>
      <c r="DW107" s="3547" t="s">
        <v>4724</v>
      </c>
      <c r="DX107" s="3609">
        <v>71821.73</v>
      </c>
      <c r="DY107" s="3562"/>
      <c r="DZ107" s="3561">
        <f t="shared" si="175"/>
        <v>-71821.73</v>
      </c>
      <c r="EA107" s="3559">
        <v>14295.45</v>
      </c>
      <c r="EB107" s="3562"/>
      <c r="EC107" s="3561">
        <f t="shared" si="176"/>
        <v>-14295.45</v>
      </c>
      <c r="ED107" s="3563"/>
      <c r="EF107" s="3565">
        <f t="shared" si="153"/>
        <v>751481.11493802967</v>
      </c>
      <c r="EG107" s="3565">
        <f t="shared" si="230"/>
        <v>546276.17208088702</v>
      </c>
      <c r="EH107" s="3565">
        <f t="shared" si="230"/>
        <v>547213.18095238088</v>
      </c>
      <c r="EI107" s="3565">
        <f t="shared" si="230"/>
        <v>547213.18095238088</v>
      </c>
      <c r="EJ107" s="3565">
        <f t="shared" si="154"/>
        <v>937.00887149386108</v>
      </c>
      <c r="EK107" s="3565">
        <f t="shared" si="155"/>
        <v>0</v>
      </c>
      <c r="EL107" s="3610"/>
      <c r="EM107" s="3557">
        <f t="shared" si="156"/>
        <v>161835.28301886842</v>
      </c>
      <c r="EN107" s="3557">
        <f t="shared" si="231"/>
        <v>121376.46226415133</v>
      </c>
      <c r="EO107" s="3557">
        <f t="shared" si="231"/>
        <v>121376.46226415095</v>
      </c>
      <c r="EP107" s="3557">
        <f t="shared" si="231"/>
        <v>121376.46226415095</v>
      </c>
      <c r="EQ107" s="3557">
        <f t="shared" si="157"/>
        <v>-3.7834979593753815E-10</v>
      </c>
      <c r="ER107" s="3557">
        <f t="shared" si="158"/>
        <v>0</v>
      </c>
      <c r="ES107" s="3557"/>
      <c r="ET107" s="3568">
        <v>68401.647619047595</v>
      </c>
      <c r="EU107" s="3569">
        <f>71821.73/1.05</f>
        <v>68401.64761904761</v>
      </c>
      <c r="EV107" s="3562">
        <f>71821.73*12/365/1.05*16+71821.73/1.05-71821.73*12/365/1.05*16</f>
        <v>68401.64761904761</v>
      </c>
      <c r="EW107" s="3547">
        <f t="shared" si="210"/>
        <v>0</v>
      </c>
      <c r="EX107" s="3568">
        <v>13486.273584905701</v>
      </c>
      <c r="EY107" s="3569">
        <f>14295.45/1.06</f>
        <v>13486.273584905661</v>
      </c>
      <c r="EZ107" s="3562">
        <f>14295.45/1.06*12/365*16+14295.45/1.06-14295.45/1.06*12/365*16</f>
        <v>13486.273584905659</v>
      </c>
      <c r="FA107" s="3547">
        <f t="shared" si="211"/>
        <v>-4.1836756281554699E-11</v>
      </c>
      <c r="FB107" s="3568">
        <v>68401.647619047595</v>
      </c>
      <c r="FC107" s="3569">
        <f>71821.73/1.05</f>
        <v>68401.64761904761</v>
      </c>
      <c r="FD107" s="3562">
        <f>71821.73/1.05*12/365*16+71821.73/1.05-71821.73/1.05*12/365*16</f>
        <v>68401.64761904761</v>
      </c>
      <c r="FE107" s="3547">
        <f t="shared" si="212"/>
        <v>0</v>
      </c>
      <c r="FF107" s="3568">
        <v>13486.273584905701</v>
      </c>
      <c r="FG107" s="3569">
        <f>14295.45/1.06</f>
        <v>13486.273584905661</v>
      </c>
      <c r="FH107" s="3562">
        <f>14295.45/1.06*12/365*16+14295.45/1.06-14295.45/1.06*12/365*16</f>
        <v>13486.273584905659</v>
      </c>
      <c r="FI107" s="3547">
        <f t="shared" si="213"/>
        <v>-4.1836756281554699E-11</v>
      </c>
      <c r="FJ107" s="3568">
        <v>68401.647619047595</v>
      </c>
      <c r="FK107" s="3559">
        <f>71821.73/1.05</f>
        <v>68401.64761904761</v>
      </c>
      <c r="FL107" s="3562">
        <f>71821.73/1.05*12/365*16+71821.73/1.05-71821.73/1.05*12/365*16</f>
        <v>68401.64761904761</v>
      </c>
      <c r="FM107" s="3547">
        <f t="shared" si="214"/>
        <v>0</v>
      </c>
      <c r="FN107" s="3568">
        <v>13486.273584905701</v>
      </c>
      <c r="FO107" s="3559">
        <f>14295.45/1.06</f>
        <v>13486.273584905661</v>
      </c>
      <c r="FP107" s="3562">
        <f>14295.45/1.06*12/365*16+14295.45/1.06-14295.45/1.06*12/365*16</f>
        <v>13486.273584905659</v>
      </c>
      <c r="FQ107" s="3547">
        <f t="shared" si="215"/>
        <v>-4.1836756281554699E-11</v>
      </c>
      <c r="FR107" s="3568">
        <v>68401.647619047595</v>
      </c>
      <c r="FS107" s="3559">
        <f>71821.73/1.05</f>
        <v>68401.64761904761</v>
      </c>
      <c r="FT107" s="3560">
        <f>71821.73/1.05*12/365*16+71821.73/1.05-71821.73/1.05*12/365*16</f>
        <v>68401.64761904761</v>
      </c>
      <c r="FU107" s="3547">
        <f t="shared" si="216"/>
        <v>0</v>
      </c>
      <c r="FV107" s="3568">
        <v>13486.273584905701</v>
      </c>
      <c r="FW107" s="3559">
        <f>14295.45/1.06</f>
        <v>13486.273584905661</v>
      </c>
      <c r="FX107" s="3560">
        <f>14295.45/1.06*12/365*16+14295.45/1.06-14295.45/1.06*12/365*16</f>
        <v>13486.273584905659</v>
      </c>
      <c r="FY107" s="3547">
        <f t="shared" si="217"/>
        <v>-4.1836756281554699E-11</v>
      </c>
      <c r="FZ107" s="3568">
        <v>68401.647619047595</v>
      </c>
      <c r="GA107" s="3569">
        <f>71821.73/1.05</f>
        <v>68401.64761904761</v>
      </c>
      <c r="GB107" s="3560">
        <f>71821.73/1.05*12/365*16+71821.73/1.05-71821.73/1.05*12/365*16</f>
        <v>68401.64761904761</v>
      </c>
      <c r="GC107" s="3547">
        <f t="shared" si="218"/>
        <v>0</v>
      </c>
      <c r="GD107" s="3568">
        <v>13486.273584905701</v>
      </c>
      <c r="GE107" s="3569">
        <f>14295.45/1.06</f>
        <v>13486.273584905661</v>
      </c>
      <c r="GF107" s="3560">
        <f>14295.45/1.06*12/365*16+14295.45/1.06-14295.45/1.06*12/365*16</f>
        <v>13486.273584905659</v>
      </c>
      <c r="GG107" s="3547">
        <f t="shared" si="219"/>
        <v>-4.1836756281554699E-11</v>
      </c>
      <c r="GH107" s="3568">
        <v>68401.647619047595</v>
      </c>
      <c r="GI107" s="3569">
        <f>71821.73/1.05</f>
        <v>68401.64761904761</v>
      </c>
      <c r="GJ107" s="3560">
        <f>71821.73/1.05*12/365*16+71821.73/1.05-71821.73/1.05*12/365*16</f>
        <v>68401.64761904761</v>
      </c>
      <c r="GK107" s="3547">
        <f t="shared" si="181"/>
        <v>0</v>
      </c>
      <c r="GL107" s="3568">
        <v>13486.273584905701</v>
      </c>
      <c r="GM107" s="3569">
        <f>14295.45/1.06</f>
        <v>13486.273584905661</v>
      </c>
      <c r="GN107" s="3560">
        <f>14295.45/1.06*12/365*16+14295.45/1.06-14295.45/1.06*12/365*16</f>
        <v>13486.273584905659</v>
      </c>
      <c r="GO107" s="3547">
        <f t="shared" si="182"/>
        <v>-4.1836756281554699E-11</v>
      </c>
      <c r="GP107" s="3568">
        <v>68401.647619047595</v>
      </c>
      <c r="GQ107" s="3569">
        <f>71821.73/1.05</f>
        <v>68401.64761904761</v>
      </c>
      <c r="GR107" s="3562">
        <f>71821.73/1.05*12/365*16+71821.73/1.05-71821.73/1.05*12/365*16</f>
        <v>68401.64761904761</v>
      </c>
      <c r="GS107" s="3547">
        <f t="shared" si="183"/>
        <v>0</v>
      </c>
      <c r="GT107" s="3568">
        <v>13486.273584905701</v>
      </c>
      <c r="GU107" s="3569">
        <f>14295.45/1.06</f>
        <v>13486.273584905661</v>
      </c>
      <c r="GV107" s="3562">
        <f>14295.45/1.06*12/365*16+14295.45/1.06-14295.45/1.06*12/365*16</f>
        <v>13486.273584905659</v>
      </c>
      <c r="GW107" s="3547">
        <f t="shared" si="184"/>
        <v>-4.1836756281554699E-11</v>
      </c>
      <c r="GX107" s="3568">
        <v>35981.140665362</v>
      </c>
      <c r="GY107" s="3592">
        <f>71821.73/1.05*12/365*16</f>
        <v>35981.140665362029</v>
      </c>
      <c r="GZ107" s="3605">
        <f>71821.73/1.05*12/365*16</f>
        <v>35981.140665362029</v>
      </c>
      <c r="HA107" s="3547">
        <f t="shared" si="185"/>
        <v>0</v>
      </c>
      <c r="HB107" s="3568">
        <v>13486.273584905701</v>
      </c>
      <c r="HC107" s="3569">
        <f>14295.45/1.06</f>
        <v>13486.273584905661</v>
      </c>
      <c r="HD107" s="3562">
        <f>14295.45/1.06*12/365*16+14295.45/1.06-14295.45/1.06*12/365*16</f>
        <v>13486.273584905659</v>
      </c>
      <c r="HE107" s="3547">
        <f t="shared" si="186"/>
        <v>-4.1836756281554699E-11</v>
      </c>
      <c r="HF107" s="3568">
        <v>31483.4980821918</v>
      </c>
      <c r="HG107" s="3592">
        <f>71821.73/1.05-71821.73/1.05*12/365*16</f>
        <v>32420.506953685581</v>
      </c>
      <c r="HH107" s="3605">
        <f>71821.73/1.05-71821.73/1.05*12/365*16</f>
        <v>32420.506953685581</v>
      </c>
      <c r="HI107" s="3547">
        <f t="shared" si="224"/>
        <v>937.00887149378104</v>
      </c>
      <c r="HJ107" s="3568">
        <v>13486.273584905701</v>
      </c>
      <c r="HK107" s="3569">
        <f>14295.45/1.06</f>
        <v>13486.273584905661</v>
      </c>
      <c r="HL107" s="3562">
        <f>14295.45/1.06*12/365*16+14295.45/1.06-14295.45/1.06*12/365*16</f>
        <v>13486.273584905659</v>
      </c>
      <c r="HM107" s="3547">
        <f t="shared" si="220"/>
        <v>-4.1836756281554699E-11</v>
      </c>
      <c r="HN107" s="3568">
        <v>68401.647619047595</v>
      </c>
      <c r="HO107" s="3569">
        <f>71821.73/1.05</f>
        <v>68401.64761904761</v>
      </c>
      <c r="HP107" s="3562">
        <f>71821.73/1.05*12/365*16</f>
        <v>35981.140665362029</v>
      </c>
      <c r="HQ107" s="3547">
        <f t="shared" si="225"/>
        <v>-32420.506953685566</v>
      </c>
      <c r="HR107" s="3568">
        <v>13486.273584905701</v>
      </c>
      <c r="HS107" s="3569">
        <f>14295.45/1.06</f>
        <v>13486.273584905661</v>
      </c>
      <c r="HT107" s="3562">
        <f>14295.45/1.06*12/365*16</f>
        <v>7094.1493926079092</v>
      </c>
      <c r="HU107" s="3547">
        <f t="shared" si="221"/>
        <v>-6392.1241922977915</v>
      </c>
      <c r="HV107" s="3568">
        <v>68401.647619047595</v>
      </c>
      <c r="HW107" s="3569">
        <f>71821.73/1.05</f>
        <v>68401.64761904761</v>
      </c>
      <c r="HX107" s="3562"/>
      <c r="HY107" s="3547">
        <f t="shared" si="226"/>
        <v>-68401.647619047595</v>
      </c>
      <c r="HZ107" s="3568">
        <v>13486.273584905701</v>
      </c>
      <c r="IA107" s="3569">
        <f>14295.45/1.06</f>
        <v>13486.273584905661</v>
      </c>
      <c r="IB107" s="3562"/>
      <c r="IC107" s="3547">
        <f t="shared" si="222"/>
        <v>-13486.273584905701</v>
      </c>
      <c r="ID107" s="3568">
        <v>68401.647619047595</v>
      </c>
      <c r="IE107" s="3569">
        <f>71821.73/1.05</f>
        <v>68401.64761904761</v>
      </c>
      <c r="IF107" s="3562"/>
      <c r="IG107" s="3547">
        <f t="shared" si="227"/>
        <v>-68401.647619047595</v>
      </c>
      <c r="IH107" s="3568">
        <v>13486.273584905701</v>
      </c>
      <c r="II107" s="3569">
        <f>14295.45/1.06</f>
        <v>13486.273584905661</v>
      </c>
      <c r="IJ107" s="3562"/>
      <c r="IK107" s="3547">
        <f t="shared" si="223"/>
        <v>-13486.273584905701</v>
      </c>
      <c r="IL107" s="3547" t="s">
        <v>4725</v>
      </c>
      <c r="IM107" s="3569">
        <f>71821.73/1.05*12/365*16</f>
        <v>35981.140665362029</v>
      </c>
      <c r="IN107" s="3569">
        <f>14295.45/1.06*12/365*16</f>
        <v>7094.1493926079092</v>
      </c>
      <c r="IO107" s="3607"/>
      <c r="IP107" s="3560">
        <f t="shared" si="195"/>
        <v>0</v>
      </c>
      <c r="IQ107" s="3568"/>
      <c r="IR107" s="3568"/>
      <c r="IS107" s="3568"/>
      <c r="IT107" s="3568"/>
      <c r="IU107" s="3568"/>
      <c r="IV107" s="3568"/>
      <c r="IW107" s="3568"/>
      <c r="IX107" s="3568"/>
      <c r="IY107" s="3568"/>
      <c r="IZ107" s="3560"/>
      <c r="JA107" s="3560"/>
      <c r="JB107" s="3560"/>
      <c r="JC107" s="3560">
        <f t="shared" si="134"/>
        <v>0</v>
      </c>
      <c r="JD107" s="3607"/>
      <c r="JE107" s="3568"/>
      <c r="JF107" s="3568"/>
      <c r="JG107" s="3568"/>
      <c r="JH107" s="3568"/>
      <c r="JI107" s="3568"/>
      <c r="JJ107" s="3568"/>
      <c r="JK107" s="3568"/>
      <c r="JL107" s="3568"/>
      <c r="JM107" s="3568"/>
      <c r="JN107" s="3560"/>
      <c r="JO107" s="3560"/>
      <c r="JP107" s="3547" t="s">
        <v>4726</v>
      </c>
      <c r="JQ107" s="3583">
        <f>71821.73/1.05*12/365*16</f>
        <v>35981.140665362029</v>
      </c>
      <c r="JR107" s="3583">
        <f>14295.45/1.06*12/365*16</f>
        <v>7094.1493926079092</v>
      </c>
      <c r="JS107" s="3573">
        <f t="shared" si="145"/>
        <v>-2.5465851649641991E-10</v>
      </c>
      <c r="JT107" s="3573">
        <f t="shared" si="152"/>
        <v>3.2741809263825417E-11</v>
      </c>
      <c r="JU107" s="3574">
        <f t="shared" si="146"/>
        <v>0</v>
      </c>
      <c r="JV107" s="3574">
        <f t="shared" si="147"/>
        <v>-2.5465851649641991E-11</v>
      </c>
      <c r="JW107" s="3575"/>
      <c r="JX107" s="3576">
        <f t="shared" si="148"/>
        <v>35981.140665362029</v>
      </c>
      <c r="JY107" s="3576">
        <f t="shared" si="149"/>
        <v>7094.1493926079092</v>
      </c>
      <c r="JZ107" s="3577"/>
      <c r="KA107" s="3573">
        <f t="shared" si="197"/>
        <v>937.00887149373921</v>
      </c>
      <c r="KB107" s="3573"/>
      <c r="KC107" s="3573"/>
      <c r="KD107" s="3573">
        <f t="shared" si="150"/>
        <v>937.00887149373921</v>
      </c>
      <c r="KE107" s="3578" t="s">
        <v>3986</v>
      </c>
      <c r="KF107" s="3579"/>
      <c r="KG107" s="3579"/>
      <c r="KH107" s="3579"/>
      <c r="KI107" s="3579"/>
      <c r="KJ107" s="3579"/>
      <c r="KK107" s="3579"/>
      <c r="KL107" s="3579"/>
      <c r="KM107" s="3579"/>
      <c r="KN107" s="3579"/>
      <c r="KO107" s="3579"/>
      <c r="KP107" s="3579">
        <f>937.01/10000</f>
        <v>9.3700999999999993E-2</v>
      </c>
      <c r="KQ107" s="3579">
        <f t="shared" si="151"/>
        <v>9.3700999999999993E-2</v>
      </c>
      <c r="KR107" s="3632">
        <f t="shared" si="196"/>
        <v>-1.128506517261707E-7</v>
      </c>
      <c r="KS107" s="3577"/>
      <c r="KT107" s="3577"/>
      <c r="KU107" s="3577"/>
      <c r="KV107" s="3577"/>
      <c r="KW107" s="3577"/>
      <c r="KX107" s="3577"/>
      <c r="KY107" s="3577"/>
      <c r="KZ107" s="3577"/>
      <c r="LA107" s="3577"/>
      <c r="LB107" s="3577"/>
      <c r="LC107" s="3577"/>
      <c r="LD107" s="3577"/>
      <c r="LE107" s="3577"/>
      <c r="LF107" s="3577"/>
      <c r="LG107" s="3577"/>
      <c r="LH107" s="3577"/>
      <c r="LJ107" s="3575"/>
      <c r="LK107" s="3571"/>
      <c r="LL107" s="3576"/>
    </row>
    <row r="108" spans="1:325" s="3580" customFormat="1" ht="18" customHeight="1">
      <c r="A108" s="3545">
        <v>105</v>
      </c>
      <c r="B108" s="3546" t="s">
        <v>4734</v>
      </c>
      <c r="C108" s="3546" t="s">
        <v>4735</v>
      </c>
      <c r="D108" s="3547">
        <f>356.16+150</f>
        <v>506.16</v>
      </c>
      <c r="E108" s="3548" t="s">
        <v>3799</v>
      </c>
      <c r="F108" s="3546" t="s">
        <v>3790</v>
      </c>
      <c r="G108" s="3546" t="s">
        <v>4644</v>
      </c>
      <c r="H108" s="3546" t="s">
        <v>4736</v>
      </c>
      <c r="I108" s="3594" t="s">
        <v>4737</v>
      </c>
      <c r="J108" s="3594" t="s">
        <v>4738</v>
      </c>
      <c r="K108" s="3545" t="s">
        <v>3885</v>
      </c>
      <c r="L108" s="3555"/>
      <c r="M108" s="3551">
        <v>192600.21</v>
      </c>
      <c r="N108" s="3616">
        <f>217747.32+21039.99-(217747.32+21039.99)+192600.21</f>
        <v>192600.21</v>
      </c>
      <c r="O108" s="3551">
        <f t="shared" si="135"/>
        <v>0</v>
      </c>
      <c r="P108" s="3547">
        <v>38335.29</v>
      </c>
      <c r="Q108" s="3547">
        <f>26974.68+11360.61</f>
        <v>38335.29</v>
      </c>
      <c r="R108" s="3547">
        <f t="shared" si="132"/>
        <v>0</v>
      </c>
      <c r="S108" s="3547">
        <f t="shared" si="232"/>
        <v>4.170000064953201</v>
      </c>
      <c r="T108" s="3658">
        <v>64200.07</v>
      </c>
      <c r="U108" s="3553">
        <f t="shared" si="136"/>
        <v>770400.84</v>
      </c>
      <c r="V108" s="3547">
        <f>64200.07*12</f>
        <v>770400.84</v>
      </c>
      <c r="W108" s="3547">
        <f t="shared" si="233"/>
        <v>0.8299999350467987</v>
      </c>
      <c r="X108" s="3663">
        <v>12778.43</v>
      </c>
      <c r="Y108" s="3547">
        <f t="shared" si="198"/>
        <v>153341.16</v>
      </c>
      <c r="Z108" s="3554"/>
      <c r="AA108" s="3555"/>
      <c r="AB108" s="3552" t="s">
        <v>3804</v>
      </c>
      <c r="AC108" s="3556">
        <f t="shared" si="138"/>
        <v>816587.94</v>
      </c>
      <c r="AD108" s="3556">
        <f t="shared" si="228"/>
        <v>623987.73</v>
      </c>
      <c r="AE108" s="3556">
        <f t="shared" si="228"/>
        <v>623987.73</v>
      </c>
      <c r="AF108" s="3556">
        <f t="shared" si="140"/>
        <v>0</v>
      </c>
      <c r="AG108" s="3556"/>
      <c r="AH108" s="3557">
        <f t="shared" si="141"/>
        <v>153341.16</v>
      </c>
      <c r="AI108" s="3558">
        <f t="shared" si="229"/>
        <v>115005.87</v>
      </c>
      <c r="AJ108" s="3558">
        <f t="shared" si="229"/>
        <v>115005.87</v>
      </c>
      <c r="AK108" s="3557">
        <f t="shared" si="159"/>
        <v>0</v>
      </c>
      <c r="AL108" s="3557"/>
      <c r="AM108" s="3547"/>
      <c r="AN108" s="3609"/>
      <c r="AO108" s="3562"/>
      <c r="AP108" s="3561">
        <f t="shared" si="199"/>
        <v>0</v>
      </c>
      <c r="AQ108" s="3559"/>
      <c r="AR108" s="3562"/>
      <c r="AS108" s="3561">
        <f t="shared" si="200"/>
        <v>0</v>
      </c>
      <c r="AT108" s="3563" t="s">
        <v>4577</v>
      </c>
      <c r="AU108" s="3547"/>
      <c r="AV108" s="3609"/>
      <c r="AW108" s="3562"/>
      <c r="AX108" s="3561">
        <f t="shared" si="201"/>
        <v>0</v>
      </c>
      <c r="AY108" s="3559"/>
      <c r="AZ108" s="3562"/>
      <c r="BA108" s="3561">
        <f t="shared" si="202"/>
        <v>0</v>
      </c>
      <c r="BB108" s="3563" t="s">
        <v>4577</v>
      </c>
      <c r="BC108" s="3547" t="s">
        <v>4739</v>
      </c>
      <c r="BD108" s="3609">
        <f>3*79595.77</f>
        <v>238787.31</v>
      </c>
      <c r="BE108" s="3562">
        <f>90000+90000+58787.31</f>
        <v>238787.31</v>
      </c>
      <c r="BF108" s="3561">
        <f t="shared" si="203"/>
        <v>0</v>
      </c>
      <c r="BG108" s="3559">
        <f>3*12778.43</f>
        <v>38335.29</v>
      </c>
      <c r="BH108" s="3562">
        <v>38335.29</v>
      </c>
      <c r="BI108" s="3561">
        <f t="shared" si="204"/>
        <v>0</v>
      </c>
      <c r="BJ108" s="3563" t="s">
        <v>4740</v>
      </c>
      <c r="BK108" s="3547"/>
      <c r="BL108" s="3609"/>
      <c r="BM108" s="3562"/>
      <c r="BN108" s="3561">
        <f t="shared" si="205"/>
        <v>0</v>
      </c>
      <c r="BO108" s="3559"/>
      <c r="BP108" s="3562"/>
      <c r="BQ108" s="3561">
        <f t="shared" si="206"/>
        <v>0</v>
      </c>
      <c r="BR108" s="3563" t="s">
        <v>4740</v>
      </c>
      <c r="BS108" s="3547"/>
      <c r="BT108" s="3559"/>
      <c r="BU108" s="3562"/>
      <c r="BV108" s="3561">
        <f t="shared" si="207"/>
        <v>0</v>
      </c>
      <c r="BW108" s="3559"/>
      <c r="BX108" s="3562"/>
      <c r="BY108" s="3561">
        <f t="shared" si="208"/>
        <v>0</v>
      </c>
      <c r="BZ108" s="3563" t="s">
        <v>4740</v>
      </c>
      <c r="CA108" s="3547" t="s">
        <v>4089</v>
      </c>
      <c r="CB108" s="3609">
        <f>64200.07*3</f>
        <v>192600.21</v>
      </c>
      <c r="CC108" s="3603">
        <v>192600.21</v>
      </c>
      <c r="CD108" s="3561">
        <f t="shared" si="164"/>
        <v>0</v>
      </c>
      <c r="CE108" s="3559">
        <f>12778.43*3</f>
        <v>38335.29</v>
      </c>
      <c r="CF108" s="3562">
        <v>38335.29</v>
      </c>
      <c r="CG108" s="3561">
        <f t="shared" si="165"/>
        <v>0</v>
      </c>
      <c r="CH108" s="3563" t="s">
        <v>4741</v>
      </c>
      <c r="CI108" s="3547"/>
      <c r="CJ108" s="3609"/>
      <c r="CK108" s="3562"/>
      <c r="CL108" s="3561">
        <f t="shared" si="133"/>
        <v>0</v>
      </c>
      <c r="CM108" s="3559"/>
      <c r="CN108" s="3562"/>
      <c r="CO108" s="3561">
        <f t="shared" si="166"/>
        <v>0</v>
      </c>
      <c r="CP108" s="3563" t="s">
        <v>4741</v>
      </c>
      <c r="CQ108" s="3547"/>
      <c r="CR108" s="3609"/>
      <c r="CS108" s="3562"/>
      <c r="CT108" s="3561">
        <f t="shared" si="167"/>
        <v>0</v>
      </c>
      <c r="CU108" s="3559"/>
      <c r="CV108" s="3603"/>
      <c r="CW108" s="3561">
        <f t="shared" si="168"/>
        <v>0</v>
      </c>
      <c r="CX108" s="3563" t="s">
        <v>4741</v>
      </c>
      <c r="CY108" s="3597" t="s">
        <v>4091</v>
      </c>
      <c r="CZ108" s="3609">
        <f>64200.07*3</f>
        <v>192600.21</v>
      </c>
      <c r="DA108" s="3562">
        <v>192600.21</v>
      </c>
      <c r="DB108" s="3561">
        <f t="shared" si="169"/>
        <v>0</v>
      </c>
      <c r="DC108" s="3559">
        <f>12778.43*3</f>
        <v>38335.29</v>
      </c>
      <c r="DD108" s="3562">
        <v>38335.29</v>
      </c>
      <c r="DE108" s="3561">
        <f t="shared" si="170"/>
        <v>0</v>
      </c>
      <c r="DF108" s="3563" t="s">
        <v>4693</v>
      </c>
      <c r="DG108" s="3547"/>
      <c r="DH108" s="3609"/>
      <c r="DI108" s="3562"/>
      <c r="DJ108" s="3561">
        <f t="shared" si="171"/>
        <v>0</v>
      </c>
      <c r="DK108" s="3559"/>
      <c r="DL108" s="3562"/>
      <c r="DM108" s="3561">
        <f t="shared" si="172"/>
        <v>0</v>
      </c>
      <c r="DN108" s="3563"/>
      <c r="DO108" s="3547"/>
      <c r="DP108" s="3609"/>
      <c r="DQ108" s="3562"/>
      <c r="DR108" s="3561">
        <f t="shared" si="173"/>
        <v>0</v>
      </c>
      <c r="DS108" s="3559"/>
      <c r="DT108" s="3562"/>
      <c r="DU108" s="3561">
        <f t="shared" si="209"/>
        <v>0</v>
      </c>
      <c r="DV108" s="3563"/>
      <c r="DW108" s="3547" t="s">
        <v>4093</v>
      </c>
      <c r="DX108" s="3609">
        <f>64200.07*3</f>
        <v>192600.21</v>
      </c>
      <c r="DY108" s="3562"/>
      <c r="DZ108" s="3561">
        <f t="shared" si="175"/>
        <v>-192600.21</v>
      </c>
      <c r="EA108" s="3559">
        <f>12778.43*3</f>
        <v>38335.29</v>
      </c>
      <c r="EB108" s="3562"/>
      <c r="EC108" s="3561">
        <f t="shared" si="176"/>
        <v>-38335.29</v>
      </c>
      <c r="ED108" s="3563"/>
      <c r="EE108" s="3564"/>
      <c r="EF108" s="3565">
        <f t="shared" si="153"/>
        <v>821690.50857142836</v>
      </c>
      <c r="EG108" s="3565">
        <f t="shared" si="230"/>
        <v>638261.73999999976</v>
      </c>
      <c r="EH108" s="3565">
        <f t="shared" si="230"/>
        <v>638261.74285714282</v>
      </c>
      <c r="EI108" s="3565">
        <f t="shared" si="230"/>
        <v>638261.74285714282</v>
      </c>
      <c r="EJ108" s="3565">
        <f t="shared" si="154"/>
        <v>2.8571430593729019E-3</v>
      </c>
      <c r="EK108" s="3566">
        <f t="shared" si="155"/>
        <v>0</v>
      </c>
      <c r="EL108" s="3610"/>
      <c r="EM108" s="3567">
        <f t="shared" si="156"/>
        <v>144661.47735849061</v>
      </c>
      <c r="EN108" s="3557">
        <f t="shared" si="231"/>
        <v>108496.1066037735</v>
      </c>
      <c r="EO108" s="3557">
        <f t="shared" si="231"/>
        <v>108496.10377358488</v>
      </c>
      <c r="EP108" s="3557">
        <f t="shared" si="231"/>
        <v>108496.10377358488</v>
      </c>
      <c r="EQ108" s="3557">
        <f t="shared" si="157"/>
        <v>-2.8301886195549741E-3</v>
      </c>
      <c r="ER108" s="3557">
        <f t="shared" si="158"/>
        <v>0</v>
      </c>
      <c r="ES108" s="3557"/>
      <c r="ET108" s="3568">
        <v>75805.495238095202</v>
      </c>
      <c r="EU108" s="3569">
        <f>79595.77/1.05</f>
        <v>75805.495238095245</v>
      </c>
      <c r="EV108" s="3562">
        <f>238787.31/3/1.05</f>
        <v>75805.495238095245</v>
      </c>
      <c r="EW108" s="3547">
        <f t="shared" si="210"/>
        <v>0</v>
      </c>
      <c r="EX108" s="3568">
        <v>12055.122641509401</v>
      </c>
      <c r="EY108" s="3569">
        <f>12778.43/1.06</f>
        <v>12055.122641509433</v>
      </c>
      <c r="EZ108" s="3562">
        <f>38335.29/3/1.06</f>
        <v>12055.122641509433</v>
      </c>
      <c r="FA108" s="3547">
        <f t="shared" si="211"/>
        <v>3.2741809263825417E-11</v>
      </c>
      <c r="FB108" s="3568">
        <v>75805.495238095202</v>
      </c>
      <c r="FC108" s="3569">
        <f>79595.77/1.05</f>
        <v>75805.495238095245</v>
      </c>
      <c r="FD108" s="3562">
        <f>238787.31/3/1.05</f>
        <v>75805.495238095245</v>
      </c>
      <c r="FE108" s="3547">
        <f t="shared" si="212"/>
        <v>0</v>
      </c>
      <c r="FF108" s="3568">
        <v>12055.122641509401</v>
      </c>
      <c r="FG108" s="3569">
        <f>12778.43/1.06</f>
        <v>12055.122641509433</v>
      </c>
      <c r="FH108" s="3562">
        <f>38335.29/3/1.06</f>
        <v>12055.122641509433</v>
      </c>
      <c r="FI108" s="3547">
        <f t="shared" si="213"/>
        <v>3.2741809263825417E-11</v>
      </c>
      <c r="FJ108" s="3568">
        <v>75805.495238095202</v>
      </c>
      <c r="FK108" s="3569">
        <f>79595.77/1.05</f>
        <v>75805.495238095245</v>
      </c>
      <c r="FL108" s="3562">
        <f>238787.31/3/1.05</f>
        <v>75805.495238095245</v>
      </c>
      <c r="FM108" s="3547">
        <f t="shared" si="214"/>
        <v>0</v>
      </c>
      <c r="FN108" s="3568">
        <v>12055.122641509401</v>
      </c>
      <c r="FO108" s="3569">
        <f>12778.43/1.06</f>
        <v>12055.122641509433</v>
      </c>
      <c r="FP108" s="3562">
        <f>38335.29/3/1.06</f>
        <v>12055.122641509433</v>
      </c>
      <c r="FQ108" s="3547">
        <f t="shared" si="215"/>
        <v>3.2741809263825417E-11</v>
      </c>
      <c r="FR108" s="3568">
        <v>75805.495238095202</v>
      </c>
      <c r="FS108" s="3569">
        <f>79595.77/1.05</f>
        <v>75805.495238095245</v>
      </c>
      <c r="FT108" s="3560">
        <f>238787.31/3/1.05</f>
        <v>75805.495238095245</v>
      </c>
      <c r="FU108" s="3547">
        <f t="shared" si="216"/>
        <v>0</v>
      </c>
      <c r="FV108" s="3568">
        <v>12055.122641509401</v>
      </c>
      <c r="FW108" s="3569">
        <f>12778.43/1.06</f>
        <v>12055.122641509433</v>
      </c>
      <c r="FX108" s="3560">
        <f>38335.29/3/1.06</f>
        <v>12055.122641509433</v>
      </c>
      <c r="FY108" s="3547">
        <f t="shared" si="217"/>
        <v>3.2741809263825417E-11</v>
      </c>
      <c r="FZ108" s="3568">
        <v>75805.495238095202</v>
      </c>
      <c r="GA108" s="3569">
        <f>79595.77/1.05</f>
        <v>75805.495238095245</v>
      </c>
      <c r="GB108" s="3560">
        <f>238787.31/3/1.05</f>
        <v>75805.495238095245</v>
      </c>
      <c r="GC108" s="3547">
        <f t="shared" si="218"/>
        <v>0</v>
      </c>
      <c r="GD108" s="3568">
        <v>12055.122641509401</v>
      </c>
      <c r="GE108" s="3569">
        <f>12778.43/1.06</f>
        <v>12055.122641509433</v>
      </c>
      <c r="GF108" s="3560">
        <f>38335.29/3/1.06</f>
        <v>12055.122641509433</v>
      </c>
      <c r="GG108" s="3547">
        <f t="shared" si="219"/>
        <v>3.2741809263825417E-11</v>
      </c>
      <c r="GH108" s="3568">
        <v>75805.495238095202</v>
      </c>
      <c r="GI108" s="3569">
        <f>79595.77/1.05</f>
        <v>75805.495238095245</v>
      </c>
      <c r="GJ108" s="3560">
        <f>238787.31/3/1.05</f>
        <v>75805.495238095245</v>
      </c>
      <c r="GK108" s="3547">
        <f t="shared" si="181"/>
        <v>0</v>
      </c>
      <c r="GL108" s="3568">
        <v>12055.122641509401</v>
      </c>
      <c r="GM108" s="3569">
        <f>12778.43/1.06</f>
        <v>12055.122641509433</v>
      </c>
      <c r="GN108" s="3560">
        <f>38335.29/3/1.06</f>
        <v>12055.122641509433</v>
      </c>
      <c r="GO108" s="3547">
        <f t="shared" si="182"/>
        <v>3.2741809263825417E-11</v>
      </c>
      <c r="GP108" s="3568">
        <v>61142.922857142898</v>
      </c>
      <c r="GQ108" s="3569">
        <f>64200.07/1.05</f>
        <v>61142.923809523803</v>
      </c>
      <c r="GR108" s="3562">
        <f>192600.21/3/1.05</f>
        <v>61142.923809523803</v>
      </c>
      <c r="GS108" s="3547">
        <f t="shared" si="183"/>
        <v>9.5238090580096468E-4</v>
      </c>
      <c r="GT108" s="3568">
        <v>12055.123584905699</v>
      </c>
      <c r="GU108" s="3569">
        <f>12778.43/1.06</f>
        <v>12055.122641509433</v>
      </c>
      <c r="GV108" s="3562">
        <f>38335.29/3/1.06</f>
        <v>12055.122641509433</v>
      </c>
      <c r="GW108" s="3547">
        <f t="shared" si="184"/>
        <v>-9.4339626593864523E-4</v>
      </c>
      <c r="GX108" s="3568">
        <v>61142.922857142898</v>
      </c>
      <c r="GY108" s="3569">
        <f>64200.07/1.05</f>
        <v>61142.923809523803</v>
      </c>
      <c r="GZ108" s="3562">
        <f>192600.21/3/1.05</f>
        <v>61142.923809523803</v>
      </c>
      <c r="HA108" s="3547">
        <f t="shared" si="185"/>
        <v>9.5238090580096468E-4</v>
      </c>
      <c r="HB108" s="3568">
        <v>12055.123584905699</v>
      </c>
      <c r="HC108" s="3569">
        <f>12778.43/1.06</f>
        <v>12055.122641509433</v>
      </c>
      <c r="HD108" s="3562">
        <f>38335.29/3/1.06</f>
        <v>12055.122641509433</v>
      </c>
      <c r="HE108" s="3547">
        <f t="shared" si="186"/>
        <v>-9.4339626593864523E-4</v>
      </c>
      <c r="HF108" s="3568">
        <v>61142.922857142898</v>
      </c>
      <c r="HG108" s="3569">
        <f>64200.07/1.05</f>
        <v>61142.923809523803</v>
      </c>
      <c r="HH108" s="3562">
        <f>192600.21/3/1.05</f>
        <v>61142.923809523803</v>
      </c>
      <c r="HI108" s="3547">
        <f t="shared" si="224"/>
        <v>9.5238090580096468E-4</v>
      </c>
      <c r="HJ108" s="3568">
        <v>12055.123584905699</v>
      </c>
      <c r="HK108" s="3569">
        <f>12778.43/1.06</f>
        <v>12055.122641509433</v>
      </c>
      <c r="HL108" s="3562">
        <f>38335.29/3/1.06</f>
        <v>12055.122641509433</v>
      </c>
      <c r="HM108" s="3547">
        <f t="shared" si="220"/>
        <v>-9.4339626593864523E-4</v>
      </c>
      <c r="HN108" s="3568">
        <v>61142.922857142898</v>
      </c>
      <c r="HO108" s="3569">
        <f>64200.07/1.05</f>
        <v>61142.923809523803</v>
      </c>
      <c r="HP108" s="3562">
        <f>192600.21/3/1.05</f>
        <v>61142.923809523803</v>
      </c>
      <c r="HQ108" s="3547">
        <f t="shared" si="225"/>
        <v>9.5238090580096468E-4</v>
      </c>
      <c r="HR108" s="3568">
        <v>12055.123584905699</v>
      </c>
      <c r="HS108" s="3569">
        <f>12778.43/1.06</f>
        <v>12055.122641509433</v>
      </c>
      <c r="HT108" s="3562">
        <f>38335.29/3/1.06</f>
        <v>12055.122641509433</v>
      </c>
      <c r="HU108" s="3547">
        <f t="shared" si="221"/>
        <v>-9.4339626593864523E-4</v>
      </c>
      <c r="HV108" s="3568">
        <v>61142.922857142898</v>
      </c>
      <c r="HW108" s="3569">
        <f>64200.07/1.05</f>
        <v>61142.923809523803</v>
      </c>
      <c r="HX108" s="3562">
        <f>192600.21/3/1.05</f>
        <v>61142.923809523803</v>
      </c>
      <c r="HY108" s="3547">
        <f t="shared" si="226"/>
        <v>9.5238090580096468E-4</v>
      </c>
      <c r="HZ108" s="3568">
        <v>12055.123584905699</v>
      </c>
      <c r="IA108" s="3569">
        <f>12778.43/1.06</f>
        <v>12055.122641509433</v>
      </c>
      <c r="IB108" s="3562">
        <f>38335.29/3/1.06</f>
        <v>12055.122641509433</v>
      </c>
      <c r="IC108" s="3547">
        <f t="shared" si="222"/>
        <v>-9.4339626593864523E-4</v>
      </c>
      <c r="ID108" s="3568">
        <v>61142.922857142898</v>
      </c>
      <c r="IE108" s="3569">
        <f>64200.07/1.05</f>
        <v>61142.923809523803</v>
      </c>
      <c r="IF108" s="3562">
        <f>192600.21/3/1.05</f>
        <v>61142.923809523803</v>
      </c>
      <c r="IG108" s="3547">
        <f t="shared" si="227"/>
        <v>9.5238090580096468E-4</v>
      </c>
      <c r="IH108" s="3568">
        <v>12055.123584905699</v>
      </c>
      <c r="II108" s="3569">
        <f>12778.43/1.06</f>
        <v>12055.122641509433</v>
      </c>
      <c r="IJ108" s="3562">
        <f>38335.29/3/1.06</f>
        <v>12055.122641509433</v>
      </c>
      <c r="IK108" s="3547">
        <f t="shared" si="223"/>
        <v>-9.4339626593864523E-4</v>
      </c>
      <c r="IL108" s="3547" t="s">
        <v>4093</v>
      </c>
      <c r="IM108" s="3569">
        <f>64200.07*3/1.05</f>
        <v>183428.7714285714</v>
      </c>
      <c r="IN108" s="3569">
        <f>12778.43*3/1.06</f>
        <v>36165.367924528298</v>
      </c>
      <c r="IO108" s="3547"/>
      <c r="IP108" s="3560">
        <f t="shared" si="195"/>
        <v>0</v>
      </c>
      <c r="IQ108" s="3568"/>
      <c r="IR108" s="3568"/>
      <c r="IS108" s="3568"/>
      <c r="IT108" s="3568"/>
      <c r="IU108" s="3568"/>
      <c r="IV108" s="3568"/>
      <c r="IW108" s="3568"/>
      <c r="IX108" s="3568"/>
      <c r="IY108" s="3568"/>
      <c r="IZ108" s="3560"/>
      <c r="JA108" s="3560"/>
      <c r="JB108" s="3560"/>
      <c r="JC108" s="3560">
        <f t="shared" si="134"/>
        <v>0</v>
      </c>
      <c r="JD108" s="3547"/>
      <c r="JE108" s="3568"/>
      <c r="JF108" s="3568"/>
      <c r="JG108" s="3568"/>
      <c r="JH108" s="3568"/>
      <c r="JI108" s="3568"/>
      <c r="JJ108" s="3568"/>
      <c r="JK108" s="3568"/>
      <c r="JL108" s="3568"/>
      <c r="JM108" s="3568"/>
      <c r="JN108" s="3560"/>
      <c r="JO108" s="3560"/>
      <c r="JP108" s="3547" t="s">
        <v>4094</v>
      </c>
      <c r="JQ108" s="3583">
        <f>79595.77/1.05*3</f>
        <v>227416.48571428575</v>
      </c>
      <c r="JR108" s="3583">
        <f>12778.43/1.06*3</f>
        <v>36165.367924528298</v>
      </c>
      <c r="JS108" s="3573">
        <f t="shared" si="145"/>
        <v>0</v>
      </c>
      <c r="JT108" s="3573">
        <f t="shared" si="152"/>
        <v>0</v>
      </c>
      <c r="JU108" s="3574">
        <f t="shared" si="146"/>
        <v>0</v>
      </c>
      <c r="JV108" s="3574">
        <f t="shared" si="147"/>
        <v>0</v>
      </c>
      <c r="JW108" s="3575"/>
      <c r="JX108" s="3576">
        <f t="shared" si="148"/>
        <v>183428.7714285714</v>
      </c>
      <c r="JY108" s="3576">
        <f t="shared" si="149"/>
        <v>36165.367924528298</v>
      </c>
      <c r="JZ108" s="3577"/>
      <c r="KA108" s="3573">
        <f t="shared" si="197"/>
        <v>8.9846398623194546E-6</v>
      </c>
      <c r="KB108" s="3573"/>
      <c r="KC108" s="3573"/>
      <c r="KD108" s="3573">
        <f t="shared" si="150"/>
        <v>8.9846398623194546E-6</v>
      </c>
      <c r="KE108" s="3571"/>
      <c r="KF108" s="3579"/>
      <c r="KG108" s="3579"/>
      <c r="KH108" s="3579"/>
      <c r="KI108" s="3579"/>
      <c r="KJ108" s="3579"/>
      <c r="KK108" s="3579"/>
      <c r="KL108" s="3579"/>
      <c r="KM108" s="3579"/>
      <c r="KN108" s="3579"/>
      <c r="KO108" s="3579"/>
      <c r="KP108" s="3579"/>
      <c r="KQ108" s="3579">
        <f t="shared" si="151"/>
        <v>0</v>
      </c>
      <c r="KR108" s="3579">
        <f t="shared" si="196"/>
        <v>2.6954439817927778E-9</v>
      </c>
      <c r="KS108" s="3577"/>
      <c r="KT108" s="3577"/>
      <c r="KU108" s="3577"/>
      <c r="KV108" s="3577"/>
      <c r="KW108" s="3577"/>
      <c r="KX108" s="3577"/>
      <c r="KY108" s="3577"/>
      <c r="KZ108" s="3577"/>
      <c r="LA108" s="3577"/>
      <c r="LB108" s="3577"/>
      <c r="LC108" s="3577"/>
      <c r="LD108" s="3577"/>
      <c r="LE108" s="3577"/>
      <c r="LF108" s="3577"/>
      <c r="LG108" s="3577"/>
      <c r="LH108" s="3577"/>
      <c r="LJ108" s="3575"/>
      <c r="LK108" s="3571"/>
      <c r="LL108" s="3576"/>
    </row>
    <row r="109" spans="1:325" s="3580" customFormat="1" ht="18" customHeight="1">
      <c r="A109" s="3545">
        <v>106</v>
      </c>
      <c r="B109" s="3546" t="s">
        <v>4734</v>
      </c>
      <c r="C109" s="3546">
        <v>1608</v>
      </c>
      <c r="D109" s="3547">
        <f>300-150</f>
        <v>150</v>
      </c>
      <c r="E109" s="3548" t="s">
        <v>3799</v>
      </c>
      <c r="F109" s="3546" t="s">
        <v>3790</v>
      </c>
      <c r="G109" s="3546" t="s">
        <v>4742</v>
      </c>
      <c r="H109" s="3546" t="s">
        <v>4743</v>
      </c>
      <c r="I109" s="3594" t="s">
        <v>4737</v>
      </c>
      <c r="J109" s="3594" t="s">
        <v>4738</v>
      </c>
      <c r="K109" s="3545" t="s">
        <v>4048</v>
      </c>
      <c r="L109" s="3555"/>
      <c r="M109" s="3551">
        <v>57076.89</v>
      </c>
      <c r="N109" s="3616">
        <v>57076.89</v>
      </c>
      <c r="O109" s="3547">
        <f t="shared" si="135"/>
        <v>0</v>
      </c>
      <c r="P109" s="3551">
        <v>11360.64</v>
      </c>
      <c r="Q109" s="3547">
        <f>22721.25-11360.61</f>
        <v>11360.64</v>
      </c>
      <c r="R109" s="3547">
        <f t="shared" si="132"/>
        <v>0</v>
      </c>
      <c r="S109" s="3547">
        <f t="shared" si="232"/>
        <v>4.1700010958904103</v>
      </c>
      <c r="T109" s="3658">
        <v>19025.63</v>
      </c>
      <c r="U109" s="3553">
        <f t="shared" si="136"/>
        <v>228307.56</v>
      </c>
      <c r="V109" s="3547">
        <f>19025.63*12</f>
        <v>228307.56</v>
      </c>
      <c r="W109" s="3547">
        <f t="shared" si="233"/>
        <v>0.83000109589041093</v>
      </c>
      <c r="X109" s="3663">
        <v>3786.88</v>
      </c>
      <c r="Y109" s="3547">
        <f t="shared" si="198"/>
        <v>45442.559999999998</v>
      </c>
      <c r="Z109" s="3554"/>
      <c r="AA109" s="3555"/>
      <c r="AB109" s="3552" t="s">
        <v>3804</v>
      </c>
      <c r="AC109" s="3556">
        <f t="shared" si="138"/>
        <v>241995.06</v>
      </c>
      <c r="AD109" s="3556">
        <f t="shared" si="228"/>
        <v>184918.16999999998</v>
      </c>
      <c r="AE109" s="3556">
        <f t="shared" si="228"/>
        <v>184918.16999999998</v>
      </c>
      <c r="AF109" s="3556">
        <f t="shared" si="140"/>
        <v>0</v>
      </c>
      <c r="AG109" s="3556"/>
      <c r="AH109" s="3557">
        <f t="shared" si="141"/>
        <v>45442.559999999998</v>
      </c>
      <c r="AI109" s="3558">
        <f t="shared" si="229"/>
        <v>34081.919999999998</v>
      </c>
      <c r="AJ109" s="3558">
        <f t="shared" si="229"/>
        <v>34081.919999999998</v>
      </c>
      <c r="AK109" s="3557">
        <f t="shared" si="159"/>
        <v>0</v>
      </c>
      <c r="AL109" s="3557"/>
      <c r="AM109" s="3547"/>
      <c r="AN109" s="3609"/>
      <c r="AO109" s="3562"/>
      <c r="AP109" s="3561">
        <f t="shared" si="199"/>
        <v>0</v>
      </c>
      <c r="AQ109" s="3559"/>
      <c r="AR109" s="3562"/>
      <c r="AS109" s="3561">
        <f t="shared" si="200"/>
        <v>0</v>
      </c>
      <c r="AT109" s="3563" t="s">
        <v>4577</v>
      </c>
      <c r="AU109" s="3547"/>
      <c r="AV109" s="3609"/>
      <c r="AW109" s="3562"/>
      <c r="AX109" s="3561">
        <f t="shared" si="201"/>
        <v>0</v>
      </c>
      <c r="AY109" s="3559"/>
      <c r="AZ109" s="3562"/>
      <c r="BA109" s="3561">
        <f t="shared" si="202"/>
        <v>0</v>
      </c>
      <c r="BB109" s="3563" t="s">
        <v>4577</v>
      </c>
      <c r="BC109" s="3547" t="s">
        <v>4739</v>
      </c>
      <c r="BD109" s="3609">
        <f>3*23588.13</f>
        <v>70764.39</v>
      </c>
      <c r="BE109" s="3562">
        <v>70764.39</v>
      </c>
      <c r="BF109" s="3561">
        <f t="shared" si="203"/>
        <v>0</v>
      </c>
      <c r="BG109" s="3559">
        <f>3*3786.88</f>
        <v>11360.64</v>
      </c>
      <c r="BH109" s="3562">
        <f>11360.64</f>
        <v>11360.64</v>
      </c>
      <c r="BI109" s="3561">
        <f t="shared" si="204"/>
        <v>0</v>
      </c>
      <c r="BJ109" s="3563" t="s">
        <v>4740</v>
      </c>
      <c r="BK109" s="3547"/>
      <c r="BL109" s="3609"/>
      <c r="BM109" s="3562"/>
      <c r="BN109" s="3561">
        <f t="shared" si="205"/>
        <v>0</v>
      </c>
      <c r="BO109" s="3559"/>
      <c r="BP109" s="3562"/>
      <c r="BQ109" s="3561">
        <f t="shared" si="206"/>
        <v>0</v>
      </c>
      <c r="BR109" s="3563" t="s">
        <v>4740</v>
      </c>
      <c r="BS109" s="3547"/>
      <c r="BT109" s="3559"/>
      <c r="BU109" s="3562"/>
      <c r="BV109" s="3561">
        <f t="shared" si="207"/>
        <v>0</v>
      </c>
      <c r="BW109" s="3559"/>
      <c r="BX109" s="3562"/>
      <c r="BY109" s="3561">
        <f t="shared" si="208"/>
        <v>0</v>
      </c>
      <c r="BZ109" s="3563" t="s">
        <v>4740</v>
      </c>
      <c r="CA109" s="3547" t="s">
        <v>4089</v>
      </c>
      <c r="CB109" s="3609">
        <f>19025.63*3</f>
        <v>57076.89</v>
      </c>
      <c r="CC109" s="3603">
        <v>57076.89</v>
      </c>
      <c r="CD109" s="3561">
        <f t="shared" si="164"/>
        <v>0</v>
      </c>
      <c r="CE109" s="3559">
        <f>3786.88*3</f>
        <v>11360.64</v>
      </c>
      <c r="CF109" s="3562">
        <v>11360.64</v>
      </c>
      <c r="CG109" s="3561">
        <f t="shared" si="165"/>
        <v>0</v>
      </c>
      <c r="CH109" s="3563" t="s">
        <v>4741</v>
      </c>
      <c r="CI109" s="3547"/>
      <c r="CJ109" s="3609"/>
      <c r="CK109" s="3562"/>
      <c r="CL109" s="3561">
        <f t="shared" si="133"/>
        <v>0</v>
      </c>
      <c r="CM109" s="3559"/>
      <c r="CN109" s="3562"/>
      <c r="CO109" s="3561">
        <f t="shared" si="166"/>
        <v>0</v>
      </c>
      <c r="CP109" s="3563" t="s">
        <v>4741</v>
      </c>
      <c r="CQ109" s="3547"/>
      <c r="CR109" s="3609"/>
      <c r="CS109" s="3562"/>
      <c r="CT109" s="3561">
        <f t="shared" si="167"/>
        <v>0</v>
      </c>
      <c r="CU109" s="3559"/>
      <c r="CV109" s="3603"/>
      <c r="CW109" s="3561">
        <f t="shared" si="168"/>
        <v>0</v>
      </c>
      <c r="CX109" s="3563" t="s">
        <v>4741</v>
      </c>
      <c r="CY109" s="3597" t="s">
        <v>4091</v>
      </c>
      <c r="CZ109" s="3609">
        <f>19025.63*3</f>
        <v>57076.89</v>
      </c>
      <c r="DA109" s="3562">
        <v>57076.89</v>
      </c>
      <c r="DB109" s="3561">
        <f t="shared" si="169"/>
        <v>0</v>
      </c>
      <c r="DC109" s="3559">
        <f>3786.88*3</f>
        <v>11360.64</v>
      </c>
      <c r="DD109" s="3562">
        <v>11360.64</v>
      </c>
      <c r="DE109" s="3561">
        <f t="shared" si="170"/>
        <v>0</v>
      </c>
      <c r="DF109" s="3563" t="s">
        <v>4693</v>
      </c>
      <c r="DG109" s="3547"/>
      <c r="DH109" s="3609"/>
      <c r="DI109" s="3562"/>
      <c r="DJ109" s="3561">
        <f t="shared" si="171"/>
        <v>0</v>
      </c>
      <c r="DK109" s="3559"/>
      <c r="DL109" s="3562"/>
      <c r="DM109" s="3561">
        <f t="shared" si="172"/>
        <v>0</v>
      </c>
      <c r="DN109" s="3563"/>
      <c r="DO109" s="3547"/>
      <c r="DP109" s="3609"/>
      <c r="DQ109" s="3562"/>
      <c r="DR109" s="3561">
        <f t="shared" si="173"/>
        <v>0</v>
      </c>
      <c r="DS109" s="3559"/>
      <c r="DT109" s="3562"/>
      <c r="DU109" s="3561">
        <f t="shared" si="209"/>
        <v>0</v>
      </c>
      <c r="DV109" s="3563"/>
      <c r="DW109" s="3547" t="s">
        <v>4093</v>
      </c>
      <c r="DX109" s="3609">
        <f>19025.63*3</f>
        <v>57076.89</v>
      </c>
      <c r="DY109" s="3562"/>
      <c r="DZ109" s="3561">
        <f t="shared" si="175"/>
        <v>-57076.89</v>
      </c>
      <c r="EA109" s="3559">
        <f>3786.88*3</f>
        <v>11360.64</v>
      </c>
      <c r="EB109" s="3562"/>
      <c r="EC109" s="3561">
        <f t="shared" si="176"/>
        <v>-11360.64</v>
      </c>
      <c r="ED109" s="3563"/>
      <c r="EE109" s="3564"/>
      <c r="EF109" s="3565">
        <f t="shared" si="153"/>
        <v>243507.1142857146</v>
      </c>
      <c r="EG109" s="3565">
        <f t="shared" si="230"/>
        <v>189148.18571428591</v>
      </c>
      <c r="EH109" s="3565">
        <f t="shared" si="230"/>
        <v>189148.25714285712</v>
      </c>
      <c r="EI109" s="3565">
        <f t="shared" si="230"/>
        <v>189148.25714285712</v>
      </c>
      <c r="EJ109" s="3565">
        <f t="shared" si="154"/>
        <v>7.1428571216529235E-2</v>
      </c>
      <c r="EK109" s="3566">
        <f t="shared" si="155"/>
        <v>0</v>
      </c>
      <c r="EL109" s="3610"/>
      <c r="EM109" s="3567">
        <f t="shared" si="156"/>
        <v>42870.311320754699</v>
      </c>
      <c r="EN109" s="3557">
        <f t="shared" si="231"/>
        <v>32152.740566037715</v>
      </c>
      <c r="EO109" s="3557">
        <f t="shared" si="231"/>
        <v>32152.75471698113</v>
      </c>
      <c r="EP109" s="3557">
        <f t="shared" si="231"/>
        <v>32152.754716981126</v>
      </c>
      <c r="EQ109" s="3557">
        <f t="shared" si="157"/>
        <v>1.4150943410641048E-2</v>
      </c>
      <c r="ER109" s="3557">
        <f t="shared" si="158"/>
        <v>0</v>
      </c>
      <c r="ES109" s="3557"/>
      <c r="ET109" s="3568">
        <v>22464.8761904762</v>
      </c>
      <c r="EU109" s="3569">
        <f>23588.13/1.05</f>
        <v>22464.885714285716</v>
      </c>
      <c r="EV109" s="3562">
        <f>70764.39/3/1.05</f>
        <v>22464.885714285716</v>
      </c>
      <c r="EW109" s="3547">
        <f t="shared" si="210"/>
        <v>9.5238095163949765E-3</v>
      </c>
      <c r="EX109" s="3568">
        <v>3572.5283018867899</v>
      </c>
      <c r="EY109" s="3569">
        <f>3786.88/1.06</f>
        <v>3572.5283018867922</v>
      </c>
      <c r="EZ109" s="3562">
        <f>11360.64/3/1.06</f>
        <v>3572.5283018867917</v>
      </c>
      <c r="FA109" s="3547">
        <f t="shared" si="211"/>
        <v>0</v>
      </c>
      <c r="FB109" s="3568">
        <v>22464.8761904762</v>
      </c>
      <c r="FC109" s="3569">
        <f>23588.13/1.05</f>
        <v>22464.885714285716</v>
      </c>
      <c r="FD109" s="3562">
        <f>70764.39/3/1.05</f>
        <v>22464.885714285716</v>
      </c>
      <c r="FE109" s="3547">
        <f t="shared" si="212"/>
        <v>9.5238095163949765E-3</v>
      </c>
      <c r="FF109" s="3568">
        <v>3572.5283018867899</v>
      </c>
      <c r="FG109" s="3569">
        <f>3786.88/1.06</f>
        <v>3572.5283018867922</v>
      </c>
      <c r="FH109" s="3562">
        <f>11360.64/3/1.06</f>
        <v>3572.5283018867917</v>
      </c>
      <c r="FI109" s="3547">
        <f t="shared" si="213"/>
        <v>0</v>
      </c>
      <c r="FJ109" s="3568">
        <v>22464.8761904762</v>
      </c>
      <c r="FK109" s="3569">
        <f>23588.13/1.05</f>
        <v>22464.885714285716</v>
      </c>
      <c r="FL109" s="3562">
        <f>70764.39/3/1.05</f>
        <v>22464.885714285716</v>
      </c>
      <c r="FM109" s="3547">
        <f t="shared" si="214"/>
        <v>9.5238095163949765E-3</v>
      </c>
      <c r="FN109" s="3568">
        <v>3572.5283018867899</v>
      </c>
      <c r="FO109" s="3569">
        <f>3786.88/1.06</f>
        <v>3572.5283018867922</v>
      </c>
      <c r="FP109" s="3562">
        <f>11360.64/3/1.06</f>
        <v>3572.5283018867917</v>
      </c>
      <c r="FQ109" s="3547">
        <f t="shared" si="215"/>
        <v>0</v>
      </c>
      <c r="FR109" s="3568">
        <v>22464.8761904762</v>
      </c>
      <c r="FS109" s="3569">
        <f>23588.13/1.05</f>
        <v>22464.885714285716</v>
      </c>
      <c r="FT109" s="3560">
        <f>70764.39/3/1.05</f>
        <v>22464.885714285716</v>
      </c>
      <c r="FU109" s="3547">
        <f t="shared" si="216"/>
        <v>9.5238095163949765E-3</v>
      </c>
      <c r="FV109" s="3568">
        <v>3572.5283018867899</v>
      </c>
      <c r="FW109" s="3569">
        <f>3786.88/1.06</f>
        <v>3572.5283018867922</v>
      </c>
      <c r="FX109" s="3560">
        <f>11360.64/3/1.06</f>
        <v>3572.5283018867917</v>
      </c>
      <c r="FY109" s="3547">
        <f t="shared" si="217"/>
        <v>0</v>
      </c>
      <c r="FZ109" s="3568">
        <v>22464.8761904762</v>
      </c>
      <c r="GA109" s="3569">
        <f>23588.13/1.05</f>
        <v>22464.885714285716</v>
      </c>
      <c r="GB109" s="3560">
        <f>70764.39/3/1.05</f>
        <v>22464.885714285716</v>
      </c>
      <c r="GC109" s="3547">
        <f t="shared" si="218"/>
        <v>9.5238095163949765E-3</v>
      </c>
      <c r="GD109" s="3568">
        <v>3572.5283018867899</v>
      </c>
      <c r="GE109" s="3569">
        <f>3786.88/1.06</f>
        <v>3572.5283018867922</v>
      </c>
      <c r="GF109" s="3560">
        <f>11360.64/3/1.06</f>
        <v>3572.5283018867917</v>
      </c>
      <c r="GG109" s="3547">
        <f t="shared" si="219"/>
        <v>0</v>
      </c>
      <c r="GH109" s="3568">
        <v>22464.8761904762</v>
      </c>
      <c r="GI109" s="3569">
        <f>23588.13/1.05</f>
        <v>22464.885714285716</v>
      </c>
      <c r="GJ109" s="3560">
        <f>70764.39/3/1.05</f>
        <v>22464.885714285716</v>
      </c>
      <c r="GK109" s="3547">
        <f t="shared" si="181"/>
        <v>9.5238095163949765E-3</v>
      </c>
      <c r="GL109" s="3568">
        <v>3572.5283018867899</v>
      </c>
      <c r="GM109" s="3569">
        <f>3786.88/1.06</f>
        <v>3572.5283018867922</v>
      </c>
      <c r="GN109" s="3560">
        <f>11360.64/3/1.06</f>
        <v>3572.5283018867917</v>
      </c>
      <c r="GO109" s="3547">
        <f t="shared" si="182"/>
        <v>0</v>
      </c>
      <c r="GP109" s="3568">
        <v>18119.642857142899</v>
      </c>
      <c r="GQ109" s="3569">
        <f>19025.63/1.05</f>
        <v>18119.647619047621</v>
      </c>
      <c r="GR109" s="3562">
        <f>57076.89/3/1.05</f>
        <v>18119.647619047621</v>
      </c>
      <c r="GS109" s="3547">
        <f t="shared" si="183"/>
        <v>4.7619047218177002E-3</v>
      </c>
      <c r="GT109" s="3568">
        <v>3572.5235849056598</v>
      </c>
      <c r="GU109" s="3569">
        <f>3786.88/1.06</f>
        <v>3572.5283018867922</v>
      </c>
      <c r="GV109" s="3562">
        <f>11360.64/3/1.06</f>
        <v>3572.5283018867917</v>
      </c>
      <c r="GW109" s="3547">
        <f t="shared" si="184"/>
        <v>4.7169811318781285E-3</v>
      </c>
      <c r="GX109" s="3568">
        <v>18119.642857142899</v>
      </c>
      <c r="GY109" s="3569">
        <f>19025.63/1.05</f>
        <v>18119.647619047621</v>
      </c>
      <c r="GZ109" s="3562">
        <f>57076.89/3/1.05</f>
        <v>18119.647619047621</v>
      </c>
      <c r="HA109" s="3547">
        <f t="shared" si="185"/>
        <v>4.7619047218177002E-3</v>
      </c>
      <c r="HB109" s="3568">
        <v>3572.5235849056598</v>
      </c>
      <c r="HC109" s="3569">
        <f>3786.88/1.06</f>
        <v>3572.5283018867922</v>
      </c>
      <c r="HD109" s="3562">
        <f>11360.64/3/1.06</f>
        <v>3572.5283018867917</v>
      </c>
      <c r="HE109" s="3547">
        <f t="shared" si="186"/>
        <v>4.7169811318781285E-3</v>
      </c>
      <c r="HF109" s="3568">
        <v>18119.642857142899</v>
      </c>
      <c r="HG109" s="3569">
        <f>19025.63/1.05</f>
        <v>18119.647619047621</v>
      </c>
      <c r="HH109" s="3562">
        <f>57076.89/3/1.05</f>
        <v>18119.647619047621</v>
      </c>
      <c r="HI109" s="3547">
        <f t="shared" si="224"/>
        <v>4.7619047218177002E-3</v>
      </c>
      <c r="HJ109" s="3568">
        <v>3572.5235849056598</v>
      </c>
      <c r="HK109" s="3569">
        <f>3786.88/1.06</f>
        <v>3572.5283018867922</v>
      </c>
      <c r="HL109" s="3562">
        <f>11360.64/3/1.06</f>
        <v>3572.5283018867917</v>
      </c>
      <c r="HM109" s="3547">
        <f t="shared" si="220"/>
        <v>4.7169811318781285E-3</v>
      </c>
      <c r="HN109" s="3568">
        <v>18119.642857142899</v>
      </c>
      <c r="HO109" s="3569">
        <f>19025.63/1.05</f>
        <v>18119.647619047621</v>
      </c>
      <c r="HP109" s="3562">
        <f>57076.89/3/1.05</f>
        <v>18119.647619047621</v>
      </c>
      <c r="HQ109" s="3547">
        <f t="shared" si="225"/>
        <v>4.7619047218177002E-3</v>
      </c>
      <c r="HR109" s="3568">
        <v>3572.5235849056598</v>
      </c>
      <c r="HS109" s="3569">
        <f>3786.88/1.06</f>
        <v>3572.5283018867922</v>
      </c>
      <c r="HT109" s="3562">
        <f>11360.64/3/1.06</f>
        <v>3572.5283018867917</v>
      </c>
      <c r="HU109" s="3547">
        <f t="shared" si="221"/>
        <v>4.7169811318781285E-3</v>
      </c>
      <c r="HV109" s="3568">
        <v>18119.642857142899</v>
      </c>
      <c r="HW109" s="3569">
        <f>19025.63/1.05</f>
        <v>18119.647619047621</v>
      </c>
      <c r="HX109" s="3562">
        <f>57076.89/3/1.05</f>
        <v>18119.647619047621</v>
      </c>
      <c r="HY109" s="3547">
        <f t="shared" si="226"/>
        <v>4.7619047218177002E-3</v>
      </c>
      <c r="HZ109" s="3568">
        <v>3572.5235849056598</v>
      </c>
      <c r="IA109" s="3569">
        <f>3786.88/1.06</f>
        <v>3572.5283018867922</v>
      </c>
      <c r="IB109" s="3562">
        <f>11360.64/3/1.06</f>
        <v>3572.5283018867917</v>
      </c>
      <c r="IC109" s="3547">
        <f t="shared" si="222"/>
        <v>4.7169811318781285E-3</v>
      </c>
      <c r="ID109" s="3568">
        <v>18119.642857142899</v>
      </c>
      <c r="IE109" s="3569">
        <f>19025.63/1.05</f>
        <v>18119.647619047621</v>
      </c>
      <c r="IF109" s="3562">
        <f>57076.89/3/1.05</f>
        <v>18119.647619047621</v>
      </c>
      <c r="IG109" s="3547">
        <f t="shared" si="227"/>
        <v>4.7619047218177002E-3</v>
      </c>
      <c r="IH109" s="3568">
        <v>3572.5235849056598</v>
      </c>
      <c r="II109" s="3569">
        <f>3786.88/1.06</f>
        <v>3572.5283018867922</v>
      </c>
      <c r="IJ109" s="3562">
        <f>11360.64/3/1.06</f>
        <v>3572.5283018867917</v>
      </c>
      <c r="IK109" s="3547">
        <f t="shared" si="223"/>
        <v>4.7169811318781285E-3</v>
      </c>
      <c r="IL109" s="3547" t="s">
        <v>4093</v>
      </c>
      <c r="IM109" s="3569">
        <f>19025.63*3/1.05</f>
        <v>54358.942857142851</v>
      </c>
      <c r="IN109" s="3569">
        <f>3786.88*3/1.06</f>
        <v>10717.584905660377</v>
      </c>
      <c r="IO109" s="3547"/>
      <c r="IP109" s="3560">
        <f t="shared" si="195"/>
        <v>0</v>
      </c>
      <c r="IQ109" s="3568"/>
      <c r="IR109" s="3568"/>
      <c r="IS109" s="3568"/>
      <c r="IT109" s="3568"/>
      <c r="IU109" s="3568"/>
      <c r="IV109" s="3568"/>
      <c r="IW109" s="3568"/>
      <c r="IX109" s="3568"/>
      <c r="IY109" s="3568"/>
      <c r="IZ109" s="3560"/>
      <c r="JA109" s="3560"/>
      <c r="JB109" s="3560"/>
      <c r="JC109" s="3560">
        <f t="shared" si="134"/>
        <v>0</v>
      </c>
      <c r="JD109" s="3547"/>
      <c r="JE109" s="3568"/>
      <c r="JF109" s="3568"/>
      <c r="JG109" s="3568"/>
      <c r="JH109" s="3568"/>
      <c r="JI109" s="3568"/>
      <c r="JJ109" s="3568"/>
      <c r="JK109" s="3568"/>
      <c r="JL109" s="3568"/>
      <c r="JM109" s="3568"/>
      <c r="JN109" s="3560"/>
      <c r="JO109" s="3560"/>
      <c r="JP109" s="3547" t="s">
        <v>4094</v>
      </c>
      <c r="JQ109" s="3583">
        <f>23588.13/1.05*3</f>
        <v>67394.657142857148</v>
      </c>
      <c r="JR109" s="3583">
        <f>3786.88/1.06*3</f>
        <v>10717.584905660377</v>
      </c>
      <c r="JS109" s="3573">
        <f t="shared" si="145"/>
        <v>0</v>
      </c>
      <c r="JT109" s="3573">
        <f t="shared" si="152"/>
        <v>0</v>
      </c>
      <c r="JU109" s="3574">
        <f t="shared" si="146"/>
        <v>0</v>
      </c>
      <c r="JV109" s="3574">
        <f t="shared" si="147"/>
        <v>0</v>
      </c>
      <c r="JW109" s="3575"/>
      <c r="JX109" s="3576">
        <f t="shared" si="148"/>
        <v>54358.942857142858</v>
      </c>
      <c r="JY109" s="3576">
        <f t="shared" si="149"/>
        <v>10717.584905660375</v>
      </c>
      <c r="JZ109" s="3577"/>
      <c r="KA109" s="3573">
        <f t="shared" si="197"/>
        <v>9.4788858536958287E-3</v>
      </c>
      <c r="KB109" s="3573"/>
      <c r="KC109" s="3573"/>
      <c r="KD109" s="3573">
        <f t="shared" si="150"/>
        <v>9.4788858536958287E-3</v>
      </c>
      <c r="KE109" s="3571"/>
      <c r="KF109" s="3579"/>
      <c r="KG109" s="3579"/>
      <c r="KH109" s="3579"/>
      <c r="KI109" s="3579"/>
      <c r="KJ109" s="3579"/>
      <c r="KK109" s="3579"/>
      <c r="KL109" s="3579"/>
      <c r="KM109" s="3579"/>
      <c r="KN109" s="3579"/>
      <c r="KO109" s="3579"/>
      <c r="KP109" s="3579"/>
      <c r="KQ109" s="3579">
        <f t="shared" si="151"/>
        <v>0</v>
      </c>
      <c r="KR109" s="3579">
        <f t="shared" si="196"/>
        <v>8.557951462717029E-6</v>
      </c>
      <c r="KS109" s="3577"/>
      <c r="KT109" s="3577"/>
      <c r="KU109" s="3577"/>
      <c r="KV109" s="3577"/>
      <c r="KW109" s="3577"/>
      <c r="KX109" s="3577"/>
      <c r="KY109" s="3577"/>
      <c r="KZ109" s="3577"/>
      <c r="LA109" s="3577"/>
      <c r="LB109" s="3577"/>
      <c r="LC109" s="3577"/>
      <c r="LD109" s="3577"/>
      <c r="LE109" s="3577"/>
      <c r="LF109" s="3577"/>
      <c r="LG109" s="3577"/>
      <c r="LH109" s="3577"/>
      <c r="LJ109" s="3575"/>
      <c r="LK109" s="3626">
        <v>12</v>
      </c>
      <c r="LL109" s="3627">
        <v>64240</v>
      </c>
      <c r="LM109" s="3580" t="s">
        <v>4095</v>
      </c>
    </row>
    <row r="110" spans="1:325" s="3580" customFormat="1" ht="18" customHeight="1">
      <c r="A110" s="3545">
        <v>107</v>
      </c>
      <c r="B110" s="3546" t="s">
        <v>4734</v>
      </c>
      <c r="C110" s="3546" t="s">
        <v>4744</v>
      </c>
      <c r="D110" s="3547">
        <v>1004.65</v>
      </c>
      <c r="E110" s="3548" t="s">
        <v>3799</v>
      </c>
      <c r="F110" s="3546" t="s">
        <v>3790</v>
      </c>
      <c r="G110" s="3546" t="s">
        <v>4304</v>
      </c>
      <c r="H110" s="3546" t="s">
        <v>4745</v>
      </c>
      <c r="I110" s="3594" t="s">
        <v>4746</v>
      </c>
      <c r="J110" s="3594" t="s">
        <v>4747</v>
      </c>
      <c r="K110" s="3545" t="s">
        <v>3991</v>
      </c>
      <c r="L110" s="3555"/>
      <c r="M110" s="3551">
        <v>382281.87</v>
      </c>
      <c r="N110" s="3616">
        <v>707725.68</v>
      </c>
      <c r="O110" s="3547">
        <f t="shared" si="135"/>
        <v>325443.81000000006</v>
      </c>
      <c r="P110" s="3551">
        <v>76089.69</v>
      </c>
      <c r="Q110" s="3547">
        <v>76089.69</v>
      </c>
      <c r="R110" s="3547">
        <f t="shared" si="132"/>
        <v>0</v>
      </c>
      <c r="S110" s="3547">
        <f t="shared" si="232"/>
        <v>4.169999856830124</v>
      </c>
      <c r="T110" s="3552">
        <v>127427.29</v>
      </c>
      <c r="U110" s="3553">
        <f t="shared" si="136"/>
        <v>1529127.48</v>
      </c>
      <c r="V110" s="3547">
        <f>T110*2*12</f>
        <v>3058254.96</v>
      </c>
      <c r="W110" s="3547">
        <f t="shared" si="233"/>
        <v>0.83000011589942391</v>
      </c>
      <c r="X110" s="3658">
        <v>25363.23</v>
      </c>
      <c r="Y110" s="3547">
        <f t="shared" si="198"/>
        <v>304358.76</v>
      </c>
      <c r="Z110" s="3554"/>
      <c r="AA110" s="3555"/>
      <c r="AB110" s="3650" t="s">
        <v>3804</v>
      </c>
      <c r="AC110" s="3556">
        <f t="shared" si="138"/>
        <v>2783682.4836712331</v>
      </c>
      <c r="AD110" s="3556">
        <f t="shared" si="228"/>
        <v>2019118.7436712331</v>
      </c>
      <c r="AE110" s="3556">
        <f t="shared" si="228"/>
        <v>2019118.7400000002</v>
      </c>
      <c r="AF110" s="3556">
        <f t="shared" si="140"/>
        <v>-3.6712328437715769E-3</v>
      </c>
      <c r="AG110" s="3556"/>
      <c r="AH110" s="3557">
        <f t="shared" si="141"/>
        <v>369260.83347945212</v>
      </c>
      <c r="AI110" s="3558">
        <f t="shared" si="229"/>
        <v>217081.45347945209</v>
      </c>
      <c r="AJ110" s="3558">
        <f t="shared" si="229"/>
        <v>217081.45</v>
      </c>
      <c r="AK110" s="3557">
        <f t="shared" si="159"/>
        <v>-3.4794520761352032E-3</v>
      </c>
      <c r="AL110" s="3557"/>
      <c r="AM110" s="3547" t="s">
        <v>3822</v>
      </c>
      <c r="AN110" s="3609">
        <v>235908.56</v>
      </c>
      <c r="AO110" s="3562">
        <f>90000+90000+55908.56</f>
        <v>235908.56</v>
      </c>
      <c r="AP110" s="3561">
        <f t="shared" si="199"/>
        <v>0</v>
      </c>
      <c r="AQ110" s="3559">
        <v>25363.23</v>
      </c>
      <c r="AR110" s="3562">
        <v>25363.23</v>
      </c>
      <c r="AS110" s="3561">
        <f t="shared" si="200"/>
        <v>0</v>
      </c>
      <c r="AT110" s="3563" t="s">
        <v>4308</v>
      </c>
      <c r="AU110" s="3547" t="s">
        <v>3824</v>
      </c>
      <c r="AV110" s="3609">
        <v>235908.56</v>
      </c>
      <c r="AW110" s="3562">
        <v>235908.56</v>
      </c>
      <c r="AX110" s="3561">
        <f t="shared" si="201"/>
        <v>0</v>
      </c>
      <c r="AY110" s="3559">
        <v>25363.23</v>
      </c>
      <c r="AZ110" s="3562">
        <v>25363.23</v>
      </c>
      <c r="BA110" s="3561">
        <f t="shared" si="202"/>
        <v>0</v>
      </c>
      <c r="BB110" s="3656" t="s">
        <v>4198</v>
      </c>
      <c r="BC110" s="3547" t="s">
        <v>3826</v>
      </c>
      <c r="BD110" s="3609">
        <v>235908.56</v>
      </c>
      <c r="BE110" s="3562">
        <f>90000+90000+55908.56</f>
        <v>235908.56</v>
      </c>
      <c r="BF110" s="3561">
        <f t="shared" si="203"/>
        <v>0</v>
      </c>
      <c r="BG110" s="3559">
        <v>25363.23</v>
      </c>
      <c r="BH110" s="3562">
        <v>25363.23</v>
      </c>
      <c r="BI110" s="3561">
        <f t="shared" si="204"/>
        <v>0</v>
      </c>
      <c r="BJ110" s="3563" t="s">
        <v>4012</v>
      </c>
      <c r="BK110" s="3547" t="s">
        <v>3873</v>
      </c>
      <c r="BL110" s="3609">
        <v>235908.56</v>
      </c>
      <c r="BM110" s="3603">
        <f>90000+90000+55908.56</f>
        <v>235908.56</v>
      </c>
      <c r="BN110" s="3602">
        <f t="shared" si="205"/>
        <v>0</v>
      </c>
      <c r="BO110" s="3604">
        <v>25363.23</v>
      </c>
      <c r="BP110" s="3603">
        <v>25363.23</v>
      </c>
      <c r="BQ110" s="3561">
        <f t="shared" si="206"/>
        <v>0</v>
      </c>
      <c r="BR110" s="3563" t="s">
        <v>3962</v>
      </c>
      <c r="BS110" s="3547" t="s">
        <v>3875</v>
      </c>
      <c r="BT110" s="3559">
        <v>235908.56</v>
      </c>
      <c r="BU110" s="3603">
        <v>235908.56</v>
      </c>
      <c r="BV110" s="3602">
        <f t="shared" si="207"/>
        <v>0</v>
      </c>
      <c r="BW110" s="3604">
        <v>25363.23</v>
      </c>
      <c r="BX110" s="3603">
        <v>25363.23</v>
      </c>
      <c r="BY110" s="3561">
        <f t="shared" si="208"/>
        <v>0</v>
      </c>
      <c r="BZ110" s="3563" t="s">
        <v>3876</v>
      </c>
      <c r="CA110" s="3547" t="s">
        <v>3877</v>
      </c>
      <c r="CB110" s="3609">
        <v>235908.56</v>
      </c>
      <c r="CC110" s="3562">
        <f>235908.56</f>
        <v>235908.56</v>
      </c>
      <c r="CD110" s="3561">
        <f t="shared" si="164"/>
        <v>0</v>
      </c>
      <c r="CE110" s="3559">
        <v>25363.23</v>
      </c>
      <c r="CF110" s="3562">
        <v>25363.23</v>
      </c>
      <c r="CG110" s="3561">
        <f t="shared" si="165"/>
        <v>0</v>
      </c>
      <c r="CH110" s="3563" t="s">
        <v>4309</v>
      </c>
      <c r="CI110" s="3547" t="s">
        <v>3948</v>
      </c>
      <c r="CJ110" s="3609">
        <v>235908.56</v>
      </c>
      <c r="CK110" s="3603">
        <v>235908.56</v>
      </c>
      <c r="CL110" s="3561">
        <f t="shared" si="133"/>
        <v>0</v>
      </c>
      <c r="CM110" s="3559">
        <v>25363.23</v>
      </c>
      <c r="CN110" s="3562">
        <v>25363.23</v>
      </c>
      <c r="CO110" s="3561">
        <f t="shared" si="166"/>
        <v>0</v>
      </c>
      <c r="CP110" s="3563" t="s">
        <v>4310</v>
      </c>
      <c r="CQ110" s="3597" t="s">
        <v>3950</v>
      </c>
      <c r="CR110" s="3609">
        <v>235908.56</v>
      </c>
      <c r="CS110" s="3603">
        <v>235908.56</v>
      </c>
      <c r="CT110" s="3561">
        <f t="shared" si="167"/>
        <v>0</v>
      </c>
      <c r="CU110" s="3559">
        <v>25363.23</v>
      </c>
      <c r="CV110" s="3603">
        <v>25363.23</v>
      </c>
      <c r="CW110" s="3561">
        <f t="shared" si="168"/>
        <v>0</v>
      </c>
      <c r="CX110" s="3563" t="s">
        <v>4311</v>
      </c>
      <c r="CY110" s="3597" t="s">
        <v>4312</v>
      </c>
      <c r="CZ110" s="3614">
        <f>235908.56*12/365*17</f>
        <v>131850.26367123285</v>
      </c>
      <c r="DA110" s="3562">
        <v>131850.26</v>
      </c>
      <c r="DB110" s="3561">
        <f t="shared" si="169"/>
        <v>-3.6712328437715769E-3</v>
      </c>
      <c r="DC110" s="3559">
        <f>25363.23*12/365*17</f>
        <v>14175.613479452055</v>
      </c>
      <c r="DD110" s="3562">
        <v>14175.61</v>
      </c>
      <c r="DE110" s="3561">
        <f t="shared" si="170"/>
        <v>-3.4794520543073304E-3</v>
      </c>
      <c r="DF110" s="3563" t="s">
        <v>4313</v>
      </c>
      <c r="DG110" s="3547" t="s">
        <v>4274</v>
      </c>
      <c r="DH110" s="3609">
        <f>127427.29*3</f>
        <v>382281.87</v>
      </c>
      <c r="DI110" s="3562"/>
      <c r="DJ110" s="3561">
        <f t="shared" si="171"/>
        <v>-382281.87</v>
      </c>
      <c r="DK110" s="3559">
        <f>25363.23*3</f>
        <v>76089.69</v>
      </c>
      <c r="DL110" s="3562"/>
      <c r="DM110" s="3561">
        <f t="shared" si="172"/>
        <v>-76089.69</v>
      </c>
      <c r="DN110" s="3563"/>
      <c r="DO110" s="3547"/>
      <c r="DP110" s="3609"/>
      <c r="DQ110" s="3562"/>
      <c r="DR110" s="3561">
        <f t="shared" si="173"/>
        <v>0</v>
      </c>
      <c r="DS110" s="3559"/>
      <c r="DT110" s="3562"/>
      <c r="DU110" s="3561">
        <f t="shared" si="209"/>
        <v>0</v>
      </c>
      <c r="DV110" s="3563"/>
      <c r="DW110" s="3547" t="s">
        <v>4276</v>
      </c>
      <c r="DX110" s="3609">
        <f>127427.29*3</f>
        <v>382281.87</v>
      </c>
      <c r="DY110" s="3562"/>
      <c r="DZ110" s="3561">
        <f t="shared" si="175"/>
        <v>-382281.87</v>
      </c>
      <c r="EA110" s="3559">
        <f>25363.23*3</f>
        <v>76089.69</v>
      </c>
      <c r="EB110" s="3562"/>
      <c r="EC110" s="3561">
        <f t="shared" si="176"/>
        <v>-76089.69</v>
      </c>
      <c r="ED110" s="3563"/>
      <c r="EE110" s="3564"/>
      <c r="EF110" s="3565">
        <f t="shared" si="153"/>
        <v>2144567.351746032</v>
      </c>
      <c r="EG110" s="3565">
        <f t="shared" si="230"/>
        <v>2018995.6698412702</v>
      </c>
      <c r="EH110" s="3565">
        <f t="shared" si="230"/>
        <v>2022073.3714285716</v>
      </c>
      <c r="EI110" s="3565">
        <f t="shared" si="230"/>
        <v>2022073.3714285716</v>
      </c>
      <c r="EJ110" s="3565">
        <f t="shared" si="154"/>
        <v>3077.7015873014461</v>
      </c>
      <c r="EK110" s="3565">
        <f t="shared" si="155"/>
        <v>0</v>
      </c>
      <c r="EL110" s="3610"/>
      <c r="EM110" s="3557">
        <f t="shared" si="156"/>
        <v>228721.36757075432</v>
      </c>
      <c r="EN110" s="3557">
        <f t="shared" si="231"/>
        <v>215348.14917452791</v>
      </c>
      <c r="EO110" s="3557">
        <f t="shared" si="231"/>
        <v>215348.17924528295</v>
      </c>
      <c r="EP110" s="3557">
        <f t="shared" si="231"/>
        <v>215348.17924528295</v>
      </c>
      <c r="EQ110" s="3557">
        <f t="shared" si="157"/>
        <v>3.0070755048654974E-2</v>
      </c>
      <c r="ER110" s="3557">
        <f t="shared" si="158"/>
        <v>0</v>
      </c>
      <c r="ES110" s="3557"/>
      <c r="ET110" s="3568">
        <v>224674.823015873</v>
      </c>
      <c r="EU110" s="3569">
        <f>235908.56/1.05</f>
        <v>224674.81904761904</v>
      </c>
      <c r="EV110" s="3562">
        <f>235908.56/1.05</f>
        <v>224674.81904761904</v>
      </c>
      <c r="EW110" s="3547">
        <f t="shared" si="210"/>
        <v>-3.9682539645582438E-3</v>
      </c>
      <c r="EX110" s="3568">
        <v>23927.5721305031</v>
      </c>
      <c r="EY110" s="3569">
        <f>25363.23/1.06</f>
        <v>23927.57547169811</v>
      </c>
      <c r="EZ110" s="3562">
        <f>25363.23/1.06</f>
        <v>23927.57547169811</v>
      </c>
      <c r="FA110" s="3547">
        <f t="shared" si="211"/>
        <v>3.3411950098525267E-3</v>
      </c>
      <c r="FB110" s="3568">
        <v>224674.823015873</v>
      </c>
      <c r="FC110" s="3569">
        <f>235908.56/1.05</f>
        <v>224674.81904761904</v>
      </c>
      <c r="FD110" s="3562">
        <f>235908.56/1.05</f>
        <v>224674.81904761904</v>
      </c>
      <c r="FE110" s="3547">
        <f t="shared" si="212"/>
        <v>-3.9682539645582438E-3</v>
      </c>
      <c r="FF110" s="3568">
        <v>23927.5721305031</v>
      </c>
      <c r="FG110" s="3569">
        <f>25363.23/1.06</f>
        <v>23927.57547169811</v>
      </c>
      <c r="FH110" s="3562">
        <f>25363.23/1.06</f>
        <v>23927.57547169811</v>
      </c>
      <c r="FI110" s="3547">
        <f t="shared" si="213"/>
        <v>3.3411950098525267E-3</v>
      </c>
      <c r="FJ110" s="3568">
        <v>224674.823015873</v>
      </c>
      <c r="FK110" s="3569">
        <f>235908.56/1.05</f>
        <v>224674.81904761904</v>
      </c>
      <c r="FL110" s="3562">
        <f>235908.56/1.05</f>
        <v>224674.81904761904</v>
      </c>
      <c r="FM110" s="3547">
        <f t="shared" si="214"/>
        <v>-3.9682539645582438E-3</v>
      </c>
      <c r="FN110" s="3568">
        <v>23927.5721305031</v>
      </c>
      <c r="FO110" s="3569">
        <f>25363.23/1.06</f>
        <v>23927.57547169811</v>
      </c>
      <c r="FP110" s="3562">
        <f>25363.23/1.06</f>
        <v>23927.57547169811</v>
      </c>
      <c r="FQ110" s="3547">
        <f t="shared" si="215"/>
        <v>3.3411950098525267E-3</v>
      </c>
      <c r="FR110" s="3568">
        <v>224674.823015873</v>
      </c>
      <c r="FS110" s="3569">
        <f>235908.56/1.05</f>
        <v>224674.81904761904</v>
      </c>
      <c r="FT110" s="3560">
        <f>235908.56/1.05</f>
        <v>224674.81904761904</v>
      </c>
      <c r="FU110" s="3547">
        <f t="shared" si="216"/>
        <v>-3.9682539645582438E-3</v>
      </c>
      <c r="FV110" s="3568">
        <v>23927.5721305031</v>
      </c>
      <c r="FW110" s="3569">
        <f>25363.23/1.06</f>
        <v>23927.57547169811</v>
      </c>
      <c r="FX110" s="3560">
        <f>25363.23/1.06</f>
        <v>23927.57547169811</v>
      </c>
      <c r="FY110" s="3547">
        <f t="shared" si="217"/>
        <v>3.3411950098525267E-3</v>
      </c>
      <c r="FZ110" s="3568">
        <v>224674.823015873</v>
      </c>
      <c r="GA110" s="3569">
        <f>235908.56/1.05</f>
        <v>224674.81904761904</v>
      </c>
      <c r="GB110" s="3560">
        <f>235908.56/1.05</f>
        <v>224674.81904761904</v>
      </c>
      <c r="GC110" s="3547">
        <f t="shared" si="218"/>
        <v>-3.9682539645582438E-3</v>
      </c>
      <c r="GD110" s="3568">
        <v>23927.5721305031</v>
      </c>
      <c r="GE110" s="3569">
        <f>25363.23/1.06</f>
        <v>23927.57547169811</v>
      </c>
      <c r="GF110" s="3560">
        <f>25363.23/1.06</f>
        <v>23927.57547169811</v>
      </c>
      <c r="GG110" s="3547">
        <f t="shared" si="219"/>
        <v>3.3411950098525267E-3</v>
      </c>
      <c r="GH110" s="3568">
        <v>224674.823015873</v>
      </c>
      <c r="GI110" s="3569">
        <f>235908.56/1.05</f>
        <v>224674.81904761904</v>
      </c>
      <c r="GJ110" s="3562">
        <f>235908.56/1.05</f>
        <v>224674.81904761904</v>
      </c>
      <c r="GK110" s="3547">
        <f t="shared" si="181"/>
        <v>-3.9682539645582438E-3</v>
      </c>
      <c r="GL110" s="3568">
        <v>23927.5721305031</v>
      </c>
      <c r="GM110" s="3569">
        <f>25363.23/1.06</f>
        <v>23927.57547169811</v>
      </c>
      <c r="GN110" s="3560">
        <f>25363.23/1.06</f>
        <v>23927.57547169811</v>
      </c>
      <c r="GO110" s="3547">
        <f t="shared" si="182"/>
        <v>3.3411950098525267E-3</v>
      </c>
      <c r="GP110" s="3568">
        <v>224674.823015873</v>
      </c>
      <c r="GQ110" s="3569">
        <f>235908.56/1.05</f>
        <v>224674.81904761904</v>
      </c>
      <c r="GR110" s="3562">
        <f>235908.56/1.05</f>
        <v>224674.81904761904</v>
      </c>
      <c r="GS110" s="3547">
        <f t="shared" si="183"/>
        <v>-3.9682539645582438E-3</v>
      </c>
      <c r="GT110" s="3568">
        <v>23927.5721305031</v>
      </c>
      <c r="GU110" s="3569">
        <f>25363.23/1.06</f>
        <v>23927.57547169811</v>
      </c>
      <c r="GV110" s="3562">
        <f>25363.23/1.06</f>
        <v>23927.57547169811</v>
      </c>
      <c r="GW110" s="3547">
        <f t="shared" si="184"/>
        <v>3.3411950098525267E-3</v>
      </c>
      <c r="GX110" s="3568">
        <v>224674.823015873</v>
      </c>
      <c r="GY110" s="3569">
        <f>235908.56/1.05</f>
        <v>224674.81904761904</v>
      </c>
      <c r="GZ110" s="3562">
        <f>235908.56/1.05</f>
        <v>224674.81904761904</v>
      </c>
      <c r="HA110" s="3547">
        <f t="shared" si="185"/>
        <v>-3.9682539645582438E-3</v>
      </c>
      <c r="HB110" s="3568">
        <v>23927.5721305031</v>
      </c>
      <c r="HC110" s="3569">
        <f>25363.23/1.06</f>
        <v>23927.57547169811</v>
      </c>
      <c r="HD110" s="3562">
        <f>25363.23/1.06</f>
        <v>23927.57547169811</v>
      </c>
      <c r="HE110" s="3547">
        <f t="shared" si="186"/>
        <v>3.3411950098525267E-3</v>
      </c>
      <c r="HF110" s="3568">
        <v>221597.08571428599</v>
      </c>
      <c r="HG110" s="3569">
        <f>235908.56/1.05</f>
        <v>224674.81904761904</v>
      </c>
      <c r="HH110" s="3562">
        <f>235908.56/1.05</f>
        <v>224674.81904761904</v>
      </c>
      <c r="HI110" s="3547">
        <f t="shared" si="224"/>
        <v>3077.7333333330462</v>
      </c>
      <c r="HJ110" s="3568">
        <v>23927.5721305031</v>
      </c>
      <c r="HK110" s="3569">
        <f>25363.23/1.06</f>
        <v>23927.57547169811</v>
      </c>
      <c r="HL110" s="3562">
        <f>25363.23/1.06</f>
        <v>23927.57547169811</v>
      </c>
      <c r="HM110" s="3547">
        <f t="shared" si="220"/>
        <v>3.3411950098525267E-3</v>
      </c>
      <c r="HN110" s="3568">
        <v>125571.68190476199</v>
      </c>
      <c r="HO110" s="3592">
        <f>235908.56/1.05*12/365*17+127427.29/1.05-127427.29/1.05*12/365*17</f>
        <v>179102.77868232224</v>
      </c>
      <c r="HP110" s="3562">
        <f>131850.26/1.05</f>
        <v>125571.6761904762</v>
      </c>
      <c r="HQ110" s="3547">
        <f t="shared" si="225"/>
        <v>-5.7142857986036688E-3</v>
      </c>
      <c r="HR110" s="3568">
        <v>13373.218396226401</v>
      </c>
      <c r="HS110" s="3592">
        <f>25363.23/1.06*12/365*17+25363.23/1.06-25363.23/1.06*12/365*17</f>
        <v>23927.57547169811</v>
      </c>
      <c r="HT110" s="3562">
        <f>14175.61/1.06</f>
        <v>13373.216981132075</v>
      </c>
      <c r="HU110" s="3547">
        <f t="shared" si="221"/>
        <v>-1.4150943261483917E-3</v>
      </c>
      <c r="HV110" s="3568"/>
      <c r="HW110" s="3569">
        <f>127427.29/1.05</f>
        <v>121359.3238095238</v>
      </c>
      <c r="HX110" s="3562"/>
      <c r="HY110" s="3547">
        <f t="shared" si="226"/>
        <v>0</v>
      </c>
      <c r="HZ110" s="3568"/>
      <c r="IA110" s="3569">
        <f>25363.23/1.06</f>
        <v>23927.57547169811</v>
      </c>
      <c r="IB110" s="3562"/>
      <c r="IC110" s="3547">
        <f t="shared" si="222"/>
        <v>0</v>
      </c>
      <c r="ID110" s="3568"/>
      <c r="IE110" s="3569">
        <f>127427.29/1.05</f>
        <v>121359.3238095238</v>
      </c>
      <c r="IF110" s="3562"/>
      <c r="IG110" s="3547">
        <f t="shared" si="227"/>
        <v>0</v>
      </c>
      <c r="IH110" s="3568"/>
      <c r="II110" s="3569">
        <f>25363.23/1.06</f>
        <v>23927.57547169811</v>
      </c>
      <c r="IJ110" s="3562"/>
      <c r="IK110" s="3547">
        <f t="shared" si="223"/>
        <v>0</v>
      </c>
      <c r="IL110" s="3547" t="s">
        <v>4748</v>
      </c>
      <c r="IM110" s="3569">
        <f>127427.29*3/1.05+127427.29/1.05*12/365*17</f>
        <v>431906.19624266139</v>
      </c>
      <c r="IN110" s="3569">
        <f>25363.23*3/1.06+25363.23/1.06*12/365*17</f>
        <v>85155.946678728345</v>
      </c>
      <c r="IO110" s="3547"/>
      <c r="IP110" s="3560">
        <f t="shared" si="195"/>
        <v>0</v>
      </c>
      <c r="IQ110" s="3568"/>
      <c r="IR110" s="3568"/>
      <c r="IS110" s="3568"/>
      <c r="IT110" s="3568"/>
      <c r="IU110" s="3568"/>
      <c r="IV110" s="3568"/>
      <c r="IW110" s="3568"/>
      <c r="IX110" s="3568"/>
      <c r="IY110" s="3568"/>
      <c r="IZ110" s="3560"/>
      <c r="JA110" s="3560"/>
      <c r="JB110" s="3560"/>
      <c r="JC110" s="3560">
        <f t="shared" si="134"/>
        <v>0</v>
      </c>
      <c r="JD110" s="3547"/>
      <c r="JE110" s="3568"/>
      <c r="JF110" s="3568"/>
      <c r="JG110" s="3568"/>
      <c r="JH110" s="3568"/>
      <c r="JI110" s="3568"/>
      <c r="JJ110" s="3568"/>
      <c r="JK110" s="3568"/>
      <c r="JL110" s="3568"/>
      <c r="JM110" s="3568"/>
      <c r="JN110" s="3560"/>
      <c r="JO110" s="3560"/>
      <c r="JP110" s="3547" t="s">
        <v>3837</v>
      </c>
      <c r="JQ110" s="3583">
        <f>235908.56/1.05</f>
        <v>224674.81904761904</v>
      </c>
      <c r="JR110" s="3583">
        <f>25363.23/1.06</f>
        <v>23927.57547169811</v>
      </c>
      <c r="JS110" s="3573">
        <f t="shared" si="145"/>
        <v>0</v>
      </c>
      <c r="JT110" s="3573">
        <f t="shared" si="152"/>
        <v>1.6007106751203537E-10</v>
      </c>
      <c r="JU110" s="3574">
        <f t="shared" si="146"/>
        <v>-2.6193447411060333E-10</v>
      </c>
      <c r="JV110" s="3574">
        <f t="shared" si="147"/>
        <v>6.184563972055912E-11</v>
      </c>
      <c r="JW110" s="3575"/>
      <c r="JX110" s="3576">
        <f t="shared" si="148"/>
        <v>125571.6761904762</v>
      </c>
      <c r="JY110" s="3576">
        <f t="shared" si="149"/>
        <v>13373.216981132075</v>
      </c>
      <c r="JZ110" s="3577"/>
      <c r="KA110" s="3573">
        <f t="shared" si="197"/>
        <v>3077.736674528056</v>
      </c>
      <c r="KB110" s="3573"/>
      <c r="KC110" s="3573"/>
      <c r="KD110" s="3573">
        <f t="shared" si="150"/>
        <v>3077.736674528056</v>
      </c>
      <c r="KE110" s="3578" t="s">
        <v>4069</v>
      </c>
      <c r="KF110" s="3579"/>
      <c r="KG110" s="3579"/>
      <c r="KH110" s="3579"/>
      <c r="KI110" s="3579">
        <f>3077.74/10000</f>
        <v>0.30777399999999999</v>
      </c>
      <c r="KJ110" s="3579"/>
      <c r="KK110" s="3579"/>
      <c r="KL110" s="3579"/>
      <c r="KM110" s="3579"/>
      <c r="KN110" s="3579"/>
      <c r="KO110" s="3579"/>
      <c r="KP110" s="3579"/>
      <c r="KQ110" s="3579">
        <f t="shared" si="151"/>
        <v>0.30777399999999999</v>
      </c>
      <c r="KR110" s="3579">
        <f t="shared" si="196"/>
        <v>-8.341943505407734E-7</v>
      </c>
      <c r="KS110" s="3577"/>
      <c r="KT110" s="3577"/>
      <c r="KU110" s="3577"/>
      <c r="KV110" s="3577"/>
      <c r="KW110" s="3577"/>
      <c r="KX110" s="3577"/>
      <c r="KY110" s="3577"/>
      <c r="KZ110" s="3577"/>
      <c r="LA110" s="3577"/>
      <c r="LB110" s="3577"/>
      <c r="LC110" s="3577"/>
      <c r="LD110" s="3577"/>
      <c r="LE110" s="3577"/>
      <c r="LF110" s="3577"/>
      <c r="LG110" s="3577"/>
      <c r="LH110" s="3577"/>
      <c r="LJ110" s="3575"/>
      <c r="LK110" s="3571"/>
      <c r="LL110" s="3576"/>
    </row>
    <row r="111" spans="1:325" s="3580" customFormat="1" ht="18" customHeight="1">
      <c r="A111" s="3545">
        <v>108</v>
      </c>
      <c r="B111" s="3546" t="s">
        <v>4749</v>
      </c>
      <c r="C111" s="3617">
        <v>1701</v>
      </c>
      <c r="D111" s="3618">
        <v>303</v>
      </c>
      <c r="E111" s="3548" t="s">
        <v>3799</v>
      </c>
      <c r="F111" s="3546" t="s">
        <v>3790</v>
      </c>
      <c r="G111" s="3546" t="s">
        <v>4750</v>
      </c>
      <c r="H111" s="3546" t="s">
        <v>4751</v>
      </c>
      <c r="I111" s="3594" t="s">
        <v>3794</v>
      </c>
      <c r="J111" s="3653" t="s">
        <v>4752</v>
      </c>
      <c r="K111" s="3545"/>
      <c r="L111" s="3555"/>
      <c r="M111" s="3547">
        <v>115295.28</v>
      </c>
      <c r="N111" s="3547">
        <v>115295.28</v>
      </c>
      <c r="O111" s="3551">
        <f t="shared" si="135"/>
        <v>0</v>
      </c>
      <c r="P111" s="3547">
        <v>22948.47</v>
      </c>
      <c r="Q111" s="3547">
        <v>22948.47</v>
      </c>
      <c r="R111" s="3547">
        <f t="shared" si="132"/>
        <v>0</v>
      </c>
      <c r="S111" s="3547">
        <f t="shared" si="232"/>
        <v>4.169999728739997</v>
      </c>
      <c r="T111" s="3690">
        <v>38431.760000000002</v>
      </c>
      <c r="U111" s="3553">
        <f t="shared" si="136"/>
        <v>461181.12</v>
      </c>
      <c r="V111" s="3547">
        <v>1293592.8500000001</v>
      </c>
      <c r="W111" s="3547">
        <f t="shared" si="233"/>
        <v>0.83000027126000275</v>
      </c>
      <c r="X111" s="3547">
        <v>7649.49</v>
      </c>
      <c r="Y111" s="3547">
        <f t="shared" si="198"/>
        <v>91793.88</v>
      </c>
      <c r="Z111" s="3554"/>
      <c r="AA111" s="3555"/>
      <c r="AB111" s="3680" t="s">
        <v>4753</v>
      </c>
      <c r="AC111" s="3556">
        <f t="shared" si="138"/>
        <v>499612.88</v>
      </c>
      <c r="AD111" s="3556">
        <f t="shared" si="228"/>
        <v>422749.36</v>
      </c>
      <c r="AE111" s="3556">
        <f t="shared" si="228"/>
        <v>422749.36</v>
      </c>
      <c r="AF111" s="3556">
        <f t="shared" si="140"/>
        <v>0</v>
      </c>
      <c r="AG111" s="3556"/>
      <c r="AH111" s="3557">
        <f t="shared" si="141"/>
        <v>114742.35</v>
      </c>
      <c r="AI111" s="3558">
        <f t="shared" si="229"/>
        <v>91793.88</v>
      </c>
      <c r="AJ111" s="3558">
        <f t="shared" si="229"/>
        <v>91793.88</v>
      </c>
      <c r="AK111" s="3557">
        <f t="shared" si="159"/>
        <v>0</v>
      </c>
      <c r="AL111" s="3557"/>
      <c r="AM111" s="3547" t="s">
        <v>4754</v>
      </c>
      <c r="AN111" s="3609">
        <v>76863.520000000004</v>
      </c>
      <c r="AO111" s="3562">
        <v>76863.520000000004</v>
      </c>
      <c r="AP111" s="3561">
        <f t="shared" si="199"/>
        <v>0</v>
      </c>
      <c r="AQ111" s="3559">
        <v>22948.47</v>
      </c>
      <c r="AR111" s="3562">
        <v>22948.47</v>
      </c>
      <c r="AS111" s="3561">
        <f t="shared" si="200"/>
        <v>0</v>
      </c>
      <c r="AT111" s="3563" t="s">
        <v>4755</v>
      </c>
      <c r="AU111" s="3547"/>
      <c r="AV111" s="3609"/>
      <c r="AW111" s="3562"/>
      <c r="AX111" s="3561">
        <f t="shared" si="201"/>
        <v>0</v>
      </c>
      <c r="AY111" s="3559"/>
      <c r="AZ111" s="3562"/>
      <c r="BA111" s="3561">
        <f t="shared" si="202"/>
        <v>0</v>
      </c>
      <c r="BB111" s="3563" t="s">
        <v>4755</v>
      </c>
      <c r="BC111" s="3547" t="s">
        <v>4756</v>
      </c>
      <c r="BD111" s="3609">
        <f>38431.76*3</f>
        <v>115295.28</v>
      </c>
      <c r="BE111" s="3562">
        <f>115295.28</f>
        <v>115295.28</v>
      </c>
      <c r="BF111" s="3561">
        <f t="shared" si="203"/>
        <v>0</v>
      </c>
      <c r="BG111" s="3559">
        <f>7649.49*3</f>
        <v>22948.47</v>
      </c>
      <c r="BH111" s="3562">
        <v>22948.47</v>
      </c>
      <c r="BI111" s="3561">
        <f t="shared" si="204"/>
        <v>0</v>
      </c>
      <c r="BJ111" s="3563" t="s">
        <v>4757</v>
      </c>
      <c r="BK111" s="3547"/>
      <c r="BL111" s="3609"/>
      <c r="BM111" s="3562"/>
      <c r="BN111" s="3561">
        <f t="shared" si="205"/>
        <v>0</v>
      </c>
      <c r="BO111" s="3559"/>
      <c r="BP111" s="3562"/>
      <c r="BQ111" s="3561">
        <f t="shared" si="206"/>
        <v>0</v>
      </c>
      <c r="BR111" s="3563" t="s">
        <v>4757</v>
      </c>
      <c r="BS111" s="3547"/>
      <c r="BT111" s="3559"/>
      <c r="BU111" s="3562"/>
      <c r="BV111" s="3561">
        <f t="shared" si="207"/>
        <v>0</v>
      </c>
      <c r="BW111" s="3559"/>
      <c r="BX111" s="3562"/>
      <c r="BY111" s="3561">
        <f t="shared" si="208"/>
        <v>0</v>
      </c>
      <c r="BZ111" s="3563" t="s">
        <v>4757</v>
      </c>
      <c r="CA111" s="3547" t="s">
        <v>4758</v>
      </c>
      <c r="CB111" s="3609">
        <f>38431.76*3</f>
        <v>115295.28</v>
      </c>
      <c r="CC111" s="3562">
        <v>115295.28</v>
      </c>
      <c r="CD111" s="3561">
        <f t="shared" si="164"/>
        <v>0</v>
      </c>
      <c r="CE111" s="3559">
        <f>7649.49*3</f>
        <v>22948.47</v>
      </c>
      <c r="CF111" s="3562">
        <v>22948.47</v>
      </c>
      <c r="CG111" s="3561">
        <f t="shared" si="165"/>
        <v>0</v>
      </c>
      <c r="CH111" s="3630" t="s">
        <v>4759</v>
      </c>
      <c r="CI111" s="3547"/>
      <c r="CJ111" s="3609"/>
      <c r="CK111" s="3562"/>
      <c r="CL111" s="3561">
        <f t="shared" si="133"/>
        <v>0</v>
      </c>
      <c r="CM111" s="3559"/>
      <c r="CN111" s="3562"/>
      <c r="CO111" s="3561">
        <f t="shared" si="166"/>
        <v>0</v>
      </c>
      <c r="CP111" s="3630" t="s">
        <v>4759</v>
      </c>
      <c r="CQ111" s="3547"/>
      <c r="CR111" s="3609"/>
      <c r="CS111" s="3562"/>
      <c r="CT111" s="3561">
        <f t="shared" si="167"/>
        <v>0</v>
      </c>
      <c r="CU111" s="3559"/>
      <c r="CV111" s="3603"/>
      <c r="CW111" s="3561">
        <f t="shared" si="168"/>
        <v>0</v>
      </c>
      <c r="CX111" s="3630" t="s">
        <v>4759</v>
      </c>
      <c r="CY111" s="3597" t="s">
        <v>4760</v>
      </c>
      <c r="CZ111" s="3621">
        <f>38431.76*3</f>
        <v>115295.28</v>
      </c>
      <c r="DA111" s="3603">
        <v>115295.28</v>
      </c>
      <c r="DB111" s="3602">
        <f t="shared" si="169"/>
        <v>0</v>
      </c>
      <c r="DC111" s="3604">
        <f>7649.49*3</f>
        <v>22948.47</v>
      </c>
      <c r="DD111" s="3603">
        <v>22948.47</v>
      </c>
      <c r="DE111" s="3561">
        <f t="shared" si="170"/>
        <v>0</v>
      </c>
      <c r="DF111" s="3630" t="s">
        <v>4761</v>
      </c>
      <c r="DG111" s="3547"/>
      <c r="DH111" s="3609"/>
      <c r="DI111" s="3562"/>
      <c r="DJ111" s="3561">
        <f t="shared" si="171"/>
        <v>0</v>
      </c>
      <c r="DK111" s="3559"/>
      <c r="DL111" s="3562"/>
      <c r="DM111" s="3561">
        <f t="shared" si="172"/>
        <v>0</v>
      </c>
      <c r="DN111" s="3563"/>
      <c r="DO111" s="3547"/>
      <c r="DP111" s="3609"/>
      <c r="DQ111" s="3562"/>
      <c r="DR111" s="3561">
        <f t="shared" si="173"/>
        <v>0</v>
      </c>
      <c r="DS111" s="3559"/>
      <c r="DT111" s="3562"/>
      <c r="DU111" s="3561">
        <f t="shared" si="209"/>
        <v>0</v>
      </c>
      <c r="DV111" s="3563"/>
      <c r="DW111" s="3547" t="s">
        <v>4762</v>
      </c>
      <c r="DX111" s="3601">
        <f>38431.76*2</f>
        <v>76863.520000000004</v>
      </c>
      <c r="DY111" s="3562"/>
      <c r="DZ111" s="3561">
        <f t="shared" si="175"/>
        <v>-76863.520000000004</v>
      </c>
      <c r="EA111" s="3559">
        <f>7649.49*3</f>
        <v>22948.47</v>
      </c>
      <c r="EB111" s="3562"/>
      <c r="EC111" s="3561">
        <f t="shared" si="176"/>
        <v>-22948.47</v>
      </c>
      <c r="ED111" s="3563"/>
      <c r="EE111" s="3564"/>
      <c r="EF111" s="3565">
        <f t="shared" si="153"/>
        <v>327857.55623774644</v>
      </c>
      <c r="EG111" s="3565">
        <f t="shared" si="230"/>
        <v>218571.7041584976</v>
      </c>
      <c r="EH111" s="3565">
        <f t="shared" si="230"/>
        <v>293314.80234833661</v>
      </c>
      <c r="EI111" s="3565">
        <f t="shared" si="230"/>
        <v>293314.80234833661</v>
      </c>
      <c r="EJ111" s="3565">
        <f t="shared" si="154"/>
        <v>74743.098189839016</v>
      </c>
      <c r="EK111" s="3566">
        <f t="shared" si="155"/>
        <v>0</v>
      </c>
      <c r="EL111" s="3610"/>
      <c r="EM111" s="3567">
        <f t="shared" si="156"/>
        <v>86188.516435514772</v>
      </c>
      <c r="EN111" s="3557">
        <f t="shared" si="231"/>
        <v>64641.387326636082</v>
      </c>
      <c r="EO111" s="3557">
        <f t="shared" si="231"/>
        <v>65047.356164383556</v>
      </c>
      <c r="EP111" s="3557">
        <f t="shared" si="231"/>
        <v>65047.356164383564</v>
      </c>
      <c r="EQ111" s="3557">
        <f t="shared" si="157"/>
        <v>405.9688377474813</v>
      </c>
      <c r="ER111" s="3557">
        <f t="shared" si="158"/>
        <v>0</v>
      </c>
      <c r="ES111" s="3557"/>
      <c r="ET111" s="3568"/>
      <c r="EU111" s="3592">
        <f>38431.76/1.05-38431.76*12/365*30/1.05</f>
        <v>501.39282452707266</v>
      </c>
      <c r="EV111" s="3562">
        <f>76863.52/2/1.05-76863.52/2/1.05*12/365*30</f>
        <v>501.39282452707266</v>
      </c>
      <c r="EW111" s="3547">
        <f t="shared" si="210"/>
        <v>501.39282452707266</v>
      </c>
      <c r="EX111" s="3568">
        <v>7182.3763696262304</v>
      </c>
      <c r="EY111" s="3592">
        <f>7649.49/1.06+7649.49/1.06-7649.49*12/365*30/1.06</f>
        <v>7315.3561643835601</v>
      </c>
      <c r="EZ111" s="3562">
        <f>22948.47/3/1.06+22948.47/3/1.06-22948.47/3/1.06*12/365*30</f>
        <v>7315.3561643835619</v>
      </c>
      <c r="FA111" s="3547">
        <f t="shared" si="211"/>
        <v>132.97979475733155</v>
      </c>
      <c r="FB111" s="3568"/>
      <c r="FC111" s="3569">
        <f>38431.76/1.05</f>
        <v>36601.676190476188</v>
      </c>
      <c r="FD111" s="3562">
        <f>76863.52/2/1.05</f>
        <v>36601.676190476188</v>
      </c>
      <c r="FE111" s="3547">
        <f t="shared" si="212"/>
        <v>36601.676190476188</v>
      </c>
      <c r="FF111" s="3568">
        <v>7182.3763696262304</v>
      </c>
      <c r="FG111" s="3568">
        <f>7649.49/1.06</f>
        <v>7216.4999999999991</v>
      </c>
      <c r="FH111" s="3562">
        <f>22948.47/3/1.06</f>
        <v>7216.5</v>
      </c>
      <c r="FI111" s="3547">
        <f t="shared" si="213"/>
        <v>34.123630373769629</v>
      </c>
      <c r="FJ111" s="3568"/>
      <c r="FK111" s="3569">
        <f>38431.76/1.05</f>
        <v>36601.676190476188</v>
      </c>
      <c r="FL111" s="3562">
        <f>76863.52/2/1.05*12/365*30+115295.28/3/1.05-76863.52/2/1.05*12/365*30</f>
        <v>36601.676190476195</v>
      </c>
      <c r="FM111" s="3547">
        <f t="shared" si="214"/>
        <v>36601.676190476195</v>
      </c>
      <c r="FN111" s="3568">
        <v>7182.3763696262304</v>
      </c>
      <c r="FO111" s="3568">
        <f>7649.49/1.06</f>
        <v>7216.4999999999991</v>
      </c>
      <c r="FP111" s="3562">
        <f>22948.47/3/1.06*12/365*30+22948.47/3/1.06-22948.47/3/1.06*12/365*30</f>
        <v>7216.5</v>
      </c>
      <c r="FQ111" s="3547">
        <f t="shared" si="215"/>
        <v>34.123630373769629</v>
      </c>
      <c r="FR111" s="3568">
        <v>36428.617359749602</v>
      </c>
      <c r="FS111" s="3569">
        <f>38431.76/1.05</f>
        <v>36601.676190476188</v>
      </c>
      <c r="FT111" s="3560">
        <f>115295.28/3/1.05</f>
        <v>36601.676190476188</v>
      </c>
      <c r="FU111" s="3547">
        <f t="shared" si="216"/>
        <v>173.05883072658617</v>
      </c>
      <c r="FV111" s="3568">
        <v>7182.3763696262304</v>
      </c>
      <c r="FW111" s="3568">
        <f>7649.49/1.06</f>
        <v>7216.4999999999991</v>
      </c>
      <c r="FX111" s="3560">
        <f>22948.47/3/1.06</f>
        <v>7216.5</v>
      </c>
      <c r="FY111" s="3547">
        <f t="shared" si="217"/>
        <v>34.123630373769629</v>
      </c>
      <c r="FZ111" s="3568">
        <v>36428.617359749602</v>
      </c>
      <c r="GA111" s="3569">
        <f>38431.76/1.05</f>
        <v>36601.676190476188</v>
      </c>
      <c r="GB111" s="3560">
        <f>115295.28/3/1.05</f>
        <v>36601.676190476188</v>
      </c>
      <c r="GC111" s="3547">
        <f t="shared" si="218"/>
        <v>173.05883072658617</v>
      </c>
      <c r="GD111" s="3568">
        <v>7182.3763696262304</v>
      </c>
      <c r="GE111" s="3568">
        <f>7649.49/1.06</f>
        <v>7216.4999999999991</v>
      </c>
      <c r="GF111" s="3560">
        <f>22948.47/3/1.06</f>
        <v>7216.5</v>
      </c>
      <c r="GG111" s="3547">
        <f t="shared" si="219"/>
        <v>34.123630373769629</v>
      </c>
      <c r="GH111" s="3568">
        <v>36428.617359749602</v>
      </c>
      <c r="GI111" s="3569">
        <f>38431.76/1.05</f>
        <v>36601.676190476188</v>
      </c>
      <c r="GJ111" s="3562">
        <f>76863.52/2/1.05*12/365*30+115295.28/3/1.05-115295.28/3/1.05*12/365*30</f>
        <v>36601.676190476195</v>
      </c>
      <c r="GK111" s="3547">
        <f t="shared" si="181"/>
        <v>173.05883072659344</v>
      </c>
      <c r="GL111" s="3568">
        <v>7182.3763696262304</v>
      </c>
      <c r="GM111" s="3568">
        <f>7649.49/1.06</f>
        <v>7216.4999999999991</v>
      </c>
      <c r="GN111" s="3562">
        <f>22948.47/3/1.06*12/365*30+22948.47/3/1.06-22948.47/3/1.06*12/365*30</f>
        <v>7216.5</v>
      </c>
      <c r="GO111" s="3547">
        <f t="shared" si="182"/>
        <v>34.123630373769629</v>
      </c>
      <c r="GP111" s="3568">
        <v>36428.617359749602</v>
      </c>
      <c r="GQ111" s="3569">
        <f>38431.76/1.05</f>
        <v>36601.676190476188</v>
      </c>
      <c r="GR111" s="3562">
        <f>115295.28/3/1.05</f>
        <v>36601.676190476188</v>
      </c>
      <c r="GS111" s="3547">
        <f t="shared" si="183"/>
        <v>173.05883072658617</v>
      </c>
      <c r="GT111" s="3568">
        <v>7182.3763696262304</v>
      </c>
      <c r="GU111" s="3568">
        <f>7649.49/1.06</f>
        <v>7216.4999999999991</v>
      </c>
      <c r="GV111" s="3562">
        <f>22948.47/3/1.06</f>
        <v>7216.5</v>
      </c>
      <c r="GW111" s="3547">
        <f t="shared" si="184"/>
        <v>34.123630373769629</v>
      </c>
      <c r="GX111" s="3568">
        <v>36428.617359749602</v>
      </c>
      <c r="GY111" s="3569">
        <f>38431.76/1.05</f>
        <v>36601.676190476188</v>
      </c>
      <c r="GZ111" s="3562">
        <f>115295.28/3/1.05</f>
        <v>36601.676190476188</v>
      </c>
      <c r="HA111" s="3547">
        <f t="shared" si="185"/>
        <v>173.05883072658617</v>
      </c>
      <c r="HB111" s="3568">
        <v>7182.3763696262304</v>
      </c>
      <c r="HC111" s="3568">
        <f>7649.49/1.06</f>
        <v>7216.4999999999991</v>
      </c>
      <c r="HD111" s="3562">
        <f>22948.47/3/1.06</f>
        <v>7216.5</v>
      </c>
      <c r="HE111" s="3547">
        <f t="shared" si="186"/>
        <v>34.123630373769629</v>
      </c>
      <c r="HF111" s="3568">
        <v>36428.617359749602</v>
      </c>
      <c r="HG111" s="3569">
        <f>38431.76/1.05</f>
        <v>36601.676190476188</v>
      </c>
      <c r="HH111" s="3562">
        <f>115295.28/3/1.05*12/365*30+115295.28/3/1.05-115295.28/3/1.05*12/365*30</f>
        <v>36601.676190476195</v>
      </c>
      <c r="HI111" s="3547">
        <f t="shared" si="224"/>
        <v>173.05883072659344</v>
      </c>
      <c r="HJ111" s="3568">
        <v>7182.3763696262304</v>
      </c>
      <c r="HK111" s="3568">
        <f>7649.49/1.06</f>
        <v>7216.4999999999991</v>
      </c>
      <c r="HL111" s="3562">
        <f>22948.47/3/1.06*12/365*30+22948.47/3/1.06-22948.47/3/1.06*12/365*30</f>
        <v>7216.5</v>
      </c>
      <c r="HM111" s="3547">
        <f t="shared" si="220"/>
        <v>34.123630373769629</v>
      </c>
      <c r="HN111" s="3568">
        <v>36428.617359749602</v>
      </c>
      <c r="HO111" s="3569">
        <f>38431.76/1.05</f>
        <v>36601.676190476188</v>
      </c>
      <c r="HP111" s="3562">
        <f>38431.76/1.05</f>
        <v>36601.676190476188</v>
      </c>
      <c r="HQ111" s="3547">
        <f t="shared" si="225"/>
        <v>173.05883072658617</v>
      </c>
      <c r="HR111" s="3568">
        <v>7182.3763696262304</v>
      </c>
      <c r="HS111" s="3568">
        <f>7649.49/1.06</f>
        <v>7216.4999999999991</v>
      </c>
      <c r="HT111" s="3562">
        <f>7649.49/1.06</f>
        <v>7216.4999999999991</v>
      </c>
      <c r="HU111" s="3547">
        <f t="shared" si="221"/>
        <v>34.123630373768719</v>
      </c>
      <c r="HV111" s="3568">
        <v>36428.617359749602</v>
      </c>
      <c r="HW111" s="3569">
        <f>38431.76/1.05</f>
        <v>36601.676190476188</v>
      </c>
      <c r="HX111" s="3562">
        <f>38431.76/1.05</f>
        <v>36601.676190476188</v>
      </c>
      <c r="HY111" s="3547">
        <f t="shared" si="226"/>
        <v>173.05883072658617</v>
      </c>
      <c r="HZ111" s="3568">
        <v>7182.3763696262304</v>
      </c>
      <c r="IA111" s="3568">
        <f>7649.49/1.06</f>
        <v>7216.4999999999991</v>
      </c>
      <c r="IB111" s="3562">
        <f>7649.49/1.06</f>
        <v>7216.4999999999991</v>
      </c>
      <c r="IC111" s="3547">
        <f t="shared" si="222"/>
        <v>34.123630373768719</v>
      </c>
      <c r="ID111" s="3568">
        <v>36428.617359749602</v>
      </c>
      <c r="IE111" s="3592">
        <f>38431.76/1.05*12/365*30</f>
        <v>36100.283365949115</v>
      </c>
      <c r="IF111" s="3562">
        <f>38431.76/1.05*12/365*30</f>
        <v>36100.283365949115</v>
      </c>
      <c r="IG111" s="3547">
        <f t="shared" si="227"/>
        <v>-328.3339938004865</v>
      </c>
      <c r="IH111" s="3568">
        <v>7182.3763696262304</v>
      </c>
      <c r="II111" s="3651">
        <f>7649.49/1.06*12/365*30+7649.49/1.06-7649.49/1.06*12/365*30</f>
        <v>7216.4999999999991</v>
      </c>
      <c r="IJ111" s="3562">
        <f>7649.49/1.06*12/365*30</f>
        <v>7117.6438356164372</v>
      </c>
      <c r="IK111" s="3547">
        <f t="shared" si="223"/>
        <v>-64.732534009793198</v>
      </c>
      <c r="IL111" s="3547" t="s">
        <v>4763</v>
      </c>
      <c r="IM111" s="3592">
        <f>38431.76/1.05-38431.76*12/365*30/1.05+38431.76/1.05+38431.76*12/365*30/1.05</f>
        <v>73203.352380952376</v>
      </c>
      <c r="IN111" s="3568">
        <f>7649.49/1.06*2+7649.49*12/365*30/1.06</f>
        <v>21550.643835616436</v>
      </c>
      <c r="IO111" s="3571"/>
      <c r="IP111" s="3560">
        <f t="shared" si="195"/>
        <v>0</v>
      </c>
      <c r="IQ111" s="3568"/>
      <c r="IR111" s="3568"/>
      <c r="IS111" s="3568"/>
      <c r="IT111" s="3568"/>
      <c r="IU111" s="3568"/>
      <c r="IV111" s="3568"/>
      <c r="IW111" s="3568"/>
      <c r="IX111" s="3568"/>
      <c r="IY111" s="3568"/>
      <c r="IZ111" s="3560"/>
      <c r="JA111" s="3560"/>
      <c r="JB111" s="3560"/>
      <c r="JC111" s="3560">
        <f t="shared" si="134"/>
        <v>0</v>
      </c>
      <c r="JD111" s="3571"/>
      <c r="JE111" s="3568"/>
      <c r="JF111" s="3568"/>
      <c r="JG111" s="3568"/>
      <c r="JH111" s="3568"/>
      <c r="JI111" s="3568"/>
      <c r="JJ111" s="3568"/>
      <c r="JK111" s="3568"/>
      <c r="JL111" s="3568"/>
      <c r="JM111" s="3568"/>
      <c r="JN111" s="3560"/>
      <c r="JO111" s="3560"/>
      <c r="JP111" s="3571"/>
      <c r="JQ111" s="3583"/>
      <c r="JR111" s="3583"/>
      <c r="JS111" s="3573">
        <f t="shared" si="145"/>
        <v>0</v>
      </c>
      <c r="JT111" s="3573">
        <f t="shared" si="152"/>
        <v>0</v>
      </c>
      <c r="JU111" s="3574">
        <f t="shared" si="146"/>
        <v>0</v>
      </c>
      <c r="JV111" s="3574">
        <f t="shared" si="147"/>
        <v>0</v>
      </c>
      <c r="JW111" s="3575"/>
      <c r="JX111" s="3576">
        <f t="shared" si="148"/>
        <v>109303.63574690149</v>
      </c>
      <c r="JY111" s="3576">
        <f t="shared" si="149"/>
        <v>21550.643835616436</v>
      </c>
      <c r="JZ111" s="3577"/>
      <c r="KA111" s="3573">
        <f t="shared" si="197"/>
        <v>207.18246110036307</v>
      </c>
      <c r="KB111" s="3573"/>
      <c r="KC111" s="3573"/>
      <c r="KD111" s="3573">
        <f t="shared" si="150"/>
        <v>207.18246110036307</v>
      </c>
      <c r="KE111" s="3578" t="s">
        <v>3986</v>
      </c>
      <c r="KF111" s="3579">
        <f>634.37/10000+36635.8/10000*2</f>
        <v>7.3905970000000014</v>
      </c>
      <c r="KG111" s="3579"/>
      <c r="KH111" s="3579"/>
      <c r="KI111" s="3579"/>
      <c r="KJ111" s="3579"/>
      <c r="KK111" s="3579"/>
      <c r="KL111" s="3579"/>
      <c r="KM111" s="3579"/>
      <c r="KN111" s="3579"/>
      <c r="KO111" s="3579"/>
      <c r="KP111" s="3579">
        <f>207.18/10000*6</f>
        <v>0.124308</v>
      </c>
      <c r="KQ111" s="3579">
        <f t="shared" si="151"/>
        <v>7.5149050000000015</v>
      </c>
      <c r="KR111" s="3579">
        <f t="shared" si="196"/>
        <v>1.7027586478590706E-6</v>
      </c>
      <c r="KS111" s="3577"/>
      <c r="KT111" s="3577"/>
      <c r="KU111" s="3577"/>
      <c r="KV111" s="3577"/>
      <c r="KW111" s="3577"/>
      <c r="KX111" s="3577"/>
      <c r="KY111" s="3577"/>
      <c r="KZ111" s="3577"/>
      <c r="LA111" s="3577"/>
      <c r="LB111" s="3577"/>
      <c r="LC111" s="3577"/>
      <c r="LD111" s="3577"/>
      <c r="LE111" s="3577"/>
      <c r="LF111" s="3577"/>
      <c r="LG111" s="3577"/>
      <c r="LH111" s="3577"/>
      <c r="LJ111" s="3575"/>
      <c r="LK111" s="3626"/>
      <c r="LL111" s="3627"/>
    </row>
    <row r="112" spans="1:325" s="3580" customFormat="1" ht="18" customHeight="1">
      <c r="A112" s="3545">
        <v>109</v>
      </c>
      <c r="B112" s="3546" t="s">
        <v>4749</v>
      </c>
      <c r="C112" s="3617">
        <v>1702</v>
      </c>
      <c r="D112" s="3618">
        <v>291</v>
      </c>
      <c r="E112" s="3548" t="s">
        <v>3799</v>
      </c>
      <c r="F112" s="3546" t="s">
        <v>3790</v>
      </c>
      <c r="G112" s="3546" t="s">
        <v>4764</v>
      </c>
      <c r="H112" s="3546" t="s">
        <v>4765</v>
      </c>
      <c r="I112" s="3594" t="s">
        <v>3794</v>
      </c>
      <c r="J112" s="3653" t="s">
        <v>4752</v>
      </c>
      <c r="K112" s="3545"/>
      <c r="L112" s="3555"/>
      <c r="M112" s="3547">
        <v>110729.13</v>
      </c>
      <c r="N112" s="3547">
        <v>110729.13</v>
      </c>
      <c r="O112" s="3551">
        <f t="shared" si="135"/>
        <v>0</v>
      </c>
      <c r="P112" s="3547">
        <v>22039.62</v>
      </c>
      <c r="Q112" s="3547">
        <v>22039.62</v>
      </c>
      <c r="R112" s="3547">
        <f t="shared" si="132"/>
        <v>0</v>
      </c>
      <c r="S112" s="3547">
        <f t="shared" si="232"/>
        <v>4.1699997175540178</v>
      </c>
      <c r="T112" s="3690">
        <v>36909.71</v>
      </c>
      <c r="U112" s="3553">
        <f t="shared" si="136"/>
        <v>442916.52</v>
      </c>
      <c r="V112" s="3547">
        <v>1242361.45</v>
      </c>
      <c r="W112" s="3547">
        <f t="shared" si="233"/>
        <v>0.83000028244598223</v>
      </c>
      <c r="X112" s="3547">
        <v>7346.54</v>
      </c>
      <c r="Y112" s="3547">
        <f t="shared" si="198"/>
        <v>88158.48</v>
      </c>
      <c r="Z112" s="3554"/>
      <c r="AA112" s="3555"/>
      <c r="AB112" s="3680" t="s">
        <v>4753</v>
      </c>
      <c r="AC112" s="3556">
        <f t="shared" si="138"/>
        <v>479826.23</v>
      </c>
      <c r="AD112" s="3556">
        <f t="shared" si="228"/>
        <v>406006.81</v>
      </c>
      <c r="AE112" s="3556">
        <f t="shared" si="228"/>
        <v>406006.81</v>
      </c>
      <c r="AF112" s="3556">
        <f t="shared" si="140"/>
        <v>0</v>
      </c>
      <c r="AG112" s="3556"/>
      <c r="AH112" s="3557">
        <f t="shared" si="141"/>
        <v>110198.09999999999</v>
      </c>
      <c r="AI112" s="3558">
        <f t="shared" si="229"/>
        <v>88158.48</v>
      </c>
      <c r="AJ112" s="3558">
        <f t="shared" si="229"/>
        <v>88158.48</v>
      </c>
      <c r="AK112" s="3557">
        <f t="shared" si="159"/>
        <v>0</v>
      </c>
      <c r="AL112" s="3557"/>
      <c r="AM112" s="3547" t="s">
        <v>4754</v>
      </c>
      <c r="AN112" s="3609">
        <v>73819.42</v>
      </c>
      <c r="AO112" s="3562">
        <v>73819.42</v>
      </c>
      <c r="AP112" s="3561">
        <f t="shared" si="199"/>
        <v>0</v>
      </c>
      <c r="AQ112" s="3559">
        <v>22039.62</v>
      </c>
      <c r="AR112" s="3562">
        <v>22039.62</v>
      </c>
      <c r="AS112" s="3561">
        <f t="shared" si="200"/>
        <v>0</v>
      </c>
      <c r="AT112" s="3563" t="s">
        <v>4755</v>
      </c>
      <c r="AU112" s="3547"/>
      <c r="AV112" s="3609"/>
      <c r="AW112" s="3562"/>
      <c r="AX112" s="3561">
        <f t="shared" si="201"/>
        <v>0</v>
      </c>
      <c r="AY112" s="3559"/>
      <c r="AZ112" s="3562"/>
      <c r="BA112" s="3561">
        <f t="shared" si="202"/>
        <v>0</v>
      </c>
      <c r="BB112" s="3563" t="s">
        <v>4755</v>
      </c>
      <c r="BC112" s="3547" t="s">
        <v>4756</v>
      </c>
      <c r="BD112" s="3609">
        <f>36909.71*3</f>
        <v>110729.13</v>
      </c>
      <c r="BE112" s="3562">
        <v>110729.13</v>
      </c>
      <c r="BF112" s="3561">
        <f t="shared" si="203"/>
        <v>0</v>
      </c>
      <c r="BG112" s="3559">
        <f>7346.54*3</f>
        <v>22039.62</v>
      </c>
      <c r="BH112" s="3562">
        <v>22039.62</v>
      </c>
      <c r="BI112" s="3561">
        <f t="shared" si="204"/>
        <v>0</v>
      </c>
      <c r="BJ112" s="3563" t="s">
        <v>4757</v>
      </c>
      <c r="BK112" s="3547"/>
      <c r="BL112" s="3609"/>
      <c r="BM112" s="3562"/>
      <c r="BN112" s="3561">
        <f t="shared" si="205"/>
        <v>0</v>
      </c>
      <c r="BO112" s="3559"/>
      <c r="BP112" s="3562"/>
      <c r="BQ112" s="3561">
        <f t="shared" si="206"/>
        <v>0</v>
      </c>
      <c r="BR112" s="3563" t="s">
        <v>4757</v>
      </c>
      <c r="BS112" s="3547"/>
      <c r="BT112" s="3559"/>
      <c r="BU112" s="3562"/>
      <c r="BV112" s="3561">
        <f t="shared" si="207"/>
        <v>0</v>
      </c>
      <c r="BW112" s="3559"/>
      <c r="BX112" s="3562"/>
      <c r="BY112" s="3561">
        <f t="shared" si="208"/>
        <v>0</v>
      </c>
      <c r="BZ112" s="3563" t="s">
        <v>4757</v>
      </c>
      <c r="CA112" s="3547" t="s">
        <v>4758</v>
      </c>
      <c r="CB112" s="3609">
        <f>36909.71*3</f>
        <v>110729.13</v>
      </c>
      <c r="CC112" s="3562">
        <v>110729.13</v>
      </c>
      <c r="CD112" s="3561">
        <f t="shared" si="164"/>
        <v>0</v>
      </c>
      <c r="CE112" s="3559">
        <f>7346.54*3</f>
        <v>22039.62</v>
      </c>
      <c r="CF112" s="3562">
        <v>22039.62</v>
      </c>
      <c r="CG112" s="3561">
        <f t="shared" si="165"/>
        <v>0</v>
      </c>
      <c r="CH112" s="3630" t="s">
        <v>4759</v>
      </c>
      <c r="CI112" s="3547"/>
      <c r="CJ112" s="3609"/>
      <c r="CK112" s="3562"/>
      <c r="CL112" s="3561">
        <f t="shared" si="133"/>
        <v>0</v>
      </c>
      <c r="CM112" s="3559"/>
      <c r="CN112" s="3562"/>
      <c r="CO112" s="3561">
        <f t="shared" si="166"/>
        <v>0</v>
      </c>
      <c r="CP112" s="3630" t="s">
        <v>4759</v>
      </c>
      <c r="CQ112" s="3547"/>
      <c r="CR112" s="3609"/>
      <c r="CS112" s="3562"/>
      <c r="CT112" s="3561">
        <f t="shared" si="167"/>
        <v>0</v>
      </c>
      <c r="CU112" s="3559"/>
      <c r="CV112" s="3603"/>
      <c r="CW112" s="3561">
        <f t="shared" si="168"/>
        <v>0</v>
      </c>
      <c r="CX112" s="3630" t="s">
        <v>4759</v>
      </c>
      <c r="CY112" s="3597" t="s">
        <v>4760</v>
      </c>
      <c r="CZ112" s="3621">
        <f>36909.71*3</f>
        <v>110729.13</v>
      </c>
      <c r="DA112" s="3603">
        <v>110729.13</v>
      </c>
      <c r="DB112" s="3602">
        <f t="shared" si="169"/>
        <v>0</v>
      </c>
      <c r="DC112" s="3604">
        <f>7346.54*3</f>
        <v>22039.62</v>
      </c>
      <c r="DD112" s="3603">
        <v>22039.62</v>
      </c>
      <c r="DE112" s="3561">
        <f t="shared" si="170"/>
        <v>0</v>
      </c>
      <c r="DF112" s="3630" t="s">
        <v>4761</v>
      </c>
      <c r="DG112" s="3547"/>
      <c r="DH112" s="3609"/>
      <c r="DI112" s="3562"/>
      <c r="DJ112" s="3561">
        <f t="shared" si="171"/>
        <v>0</v>
      </c>
      <c r="DK112" s="3559"/>
      <c r="DL112" s="3562"/>
      <c r="DM112" s="3561">
        <f t="shared" si="172"/>
        <v>0</v>
      </c>
      <c r="DN112" s="3563"/>
      <c r="DO112" s="3547"/>
      <c r="DP112" s="3609"/>
      <c r="DQ112" s="3562"/>
      <c r="DR112" s="3561">
        <f t="shared" si="173"/>
        <v>0</v>
      </c>
      <c r="DS112" s="3559"/>
      <c r="DT112" s="3562"/>
      <c r="DU112" s="3561">
        <f t="shared" si="209"/>
        <v>0</v>
      </c>
      <c r="DV112" s="3563"/>
      <c r="DW112" s="3547" t="s">
        <v>4762</v>
      </c>
      <c r="DX112" s="3601">
        <f>36909.71*2</f>
        <v>73819.42</v>
      </c>
      <c r="DY112" s="3562"/>
      <c r="DZ112" s="3561">
        <f t="shared" si="175"/>
        <v>-73819.42</v>
      </c>
      <c r="EA112" s="3559">
        <f>7346.54*3</f>
        <v>22039.62</v>
      </c>
      <c r="EB112" s="3562"/>
      <c r="EC112" s="3561">
        <f t="shared" si="176"/>
        <v>-22039.62</v>
      </c>
      <c r="ED112" s="3563"/>
      <c r="EE112" s="3564"/>
      <c r="EF112" s="3565">
        <f t="shared" si="153"/>
        <v>314873.09856496443</v>
      </c>
      <c r="EG112" s="3565">
        <f t="shared" si="230"/>
        <v>209915.39904330962</v>
      </c>
      <c r="EH112" s="3565">
        <f t="shared" si="230"/>
        <v>281698.37377690797</v>
      </c>
      <c r="EI112" s="3565">
        <f t="shared" si="230"/>
        <v>281698.37377690803</v>
      </c>
      <c r="EJ112" s="3565">
        <f t="shared" si="154"/>
        <v>71782.974733598414</v>
      </c>
      <c r="EK112" s="3566">
        <f t="shared" si="155"/>
        <v>0</v>
      </c>
      <c r="EL112" s="3610"/>
      <c r="EM112" s="3567">
        <f t="shared" si="156"/>
        <v>82775.109844009203</v>
      </c>
      <c r="EN112" s="3557">
        <f t="shared" si="231"/>
        <v>62081.332383006906</v>
      </c>
      <c r="EO112" s="3557">
        <f t="shared" si="231"/>
        <v>62471.224088911855</v>
      </c>
      <c r="EP112" s="3557">
        <f t="shared" si="231"/>
        <v>62471.224088911855</v>
      </c>
      <c r="EQ112" s="3557">
        <f t="shared" si="157"/>
        <v>389.89170590494905</v>
      </c>
      <c r="ER112" s="3557">
        <f t="shared" si="158"/>
        <v>0</v>
      </c>
      <c r="ES112" s="3557"/>
      <c r="ET112" s="3568"/>
      <c r="EU112" s="3592">
        <f>36909.71/1.05-36909.71*12/365*30/1.05</f>
        <v>481.53568166992773</v>
      </c>
      <c r="EV112" s="3562">
        <f>73819.42/2/1.05-73819.42/2/1.05*12/365*30</f>
        <v>481.53568166992773</v>
      </c>
      <c r="EW112" s="3547">
        <f t="shared" si="210"/>
        <v>481.53568166992773</v>
      </c>
      <c r="EX112" s="3568">
        <v>6897.9258203340996</v>
      </c>
      <c r="EY112" s="3592">
        <f>7346.54/1.06+7346.54/1.06-7346.54*12/365*30/1.06</f>
        <v>7025.6391832514864</v>
      </c>
      <c r="EZ112" s="3562">
        <f>22039.62/3/1.06+22039.62/3/1.06-22039.62/3/1.06*12/365*30</f>
        <v>7025.6391832514855</v>
      </c>
      <c r="FA112" s="3547">
        <f t="shared" si="211"/>
        <v>127.71336291738589</v>
      </c>
      <c r="FB112" s="3568"/>
      <c r="FC112" s="3569">
        <f>36909.71/1.05</f>
        <v>35152.10476190476</v>
      </c>
      <c r="FD112" s="3562">
        <f>73819.42/2/1.05</f>
        <v>35152.10476190476</v>
      </c>
      <c r="FE112" s="3547">
        <f t="shared" si="212"/>
        <v>35152.10476190476</v>
      </c>
      <c r="FF112" s="3568">
        <v>6897.9258203340996</v>
      </c>
      <c r="FG112" s="3568">
        <f>7346.54/1.06</f>
        <v>6930.6981132075471</v>
      </c>
      <c r="FH112" s="3562">
        <f>22039.62/3/1.06</f>
        <v>6930.6981132075471</v>
      </c>
      <c r="FI112" s="3547">
        <f t="shared" si="213"/>
        <v>32.772292873447441</v>
      </c>
      <c r="FJ112" s="3568"/>
      <c r="FK112" s="3569">
        <f>36909.71/1.05</f>
        <v>35152.10476190476</v>
      </c>
      <c r="FL112" s="3562">
        <f>73819.42/2/1.05*12/365*30+110729.13/3/1.05-73819.42/2/1.05*12/365*30</f>
        <v>35152.104761904768</v>
      </c>
      <c r="FM112" s="3547">
        <f t="shared" si="214"/>
        <v>35152.104761904768</v>
      </c>
      <c r="FN112" s="3568">
        <v>6897.9258203340996</v>
      </c>
      <c r="FO112" s="3568">
        <f>7346.54/1.06</f>
        <v>6930.6981132075471</v>
      </c>
      <c r="FP112" s="3562">
        <f>22039.62/3/1.06*12/365*30+22039.62/3/1.06-22039.62/3/1.06*12/365*30</f>
        <v>6930.6981132075471</v>
      </c>
      <c r="FQ112" s="3547">
        <f t="shared" si="215"/>
        <v>32.772292873447441</v>
      </c>
      <c r="FR112" s="3568">
        <v>34985.899840551603</v>
      </c>
      <c r="FS112" s="3569">
        <f>36909.71/1.05</f>
        <v>35152.10476190476</v>
      </c>
      <c r="FT112" s="3560">
        <f>110729.13/3/1.05</f>
        <v>35152.10476190476</v>
      </c>
      <c r="FU112" s="3547">
        <f t="shared" si="216"/>
        <v>166.20492135315726</v>
      </c>
      <c r="FV112" s="3568">
        <v>6897.9258203340996</v>
      </c>
      <c r="FW112" s="3568">
        <f>7346.54/1.06</f>
        <v>6930.6981132075471</v>
      </c>
      <c r="FX112" s="3560">
        <f>22039.62/3/1.06</f>
        <v>6930.6981132075471</v>
      </c>
      <c r="FY112" s="3547">
        <f t="shared" si="217"/>
        <v>32.772292873447441</v>
      </c>
      <c r="FZ112" s="3568">
        <v>34985.899840551603</v>
      </c>
      <c r="GA112" s="3569">
        <f>36909.71/1.05</f>
        <v>35152.10476190476</v>
      </c>
      <c r="GB112" s="3560">
        <f>110729.13/3/1.05</f>
        <v>35152.10476190476</v>
      </c>
      <c r="GC112" s="3547">
        <f t="shared" si="218"/>
        <v>166.20492135315726</v>
      </c>
      <c r="GD112" s="3568">
        <v>6897.9258203340996</v>
      </c>
      <c r="GE112" s="3568">
        <f>7346.54/1.06</f>
        <v>6930.6981132075471</v>
      </c>
      <c r="GF112" s="3560">
        <f>22039.62/3/1.06</f>
        <v>6930.6981132075471</v>
      </c>
      <c r="GG112" s="3547">
        <f t="shared" si="219"/>
        <v>32.772292873447441</v>
      </c>
      <c r="GH112" s="3568">
        <v>34985.899840551603</v>
      </c>
      <c r="GI112" s="3569">
        <f>36909.71/1.05</f>
        <v>35152.10476190476</v>
      </c>
      <c r="GJ112" s="3562">
        <f>73819.42/2/1.05*12/365*30+110729.13/3/1.05-110729.13/3/1.05*12/365*30</f>
        <v>35152.104761904768</v>
      </c>
      <c r="GK112" s="3547">
        <f t="shared" si="181"/>
        <v>166.20492135316454</v>
      </c>
      <c r="GL112" s="3568">
        <v>6897.9258203340996</v>
      </c>
      <c r="GM112" s="3568">
        <f>7346.54/1.06</f>
        <v>6930.6981132075471</v>
      </c>
      <c r="GN112" s="3562">
        <f>22039.62/3/1.06*12/365*30+22039.62/3/1.06-22039.62/3/1.06*12/365*30</f>
        <v>6930.6981132075471</v>
      </c>
      <c r="GO112" s="3547">
        <f t="shared" si="182"/>
        <v>32.772292873447441</v>
      </c>
      <c r="GP112" s="3568">
        <v>34985.899840551603</v>
      </c>
      <c r="GQ112" s="3569">
        <f>36909.71/1.05</f>
        <v>35152.10476190476</v>
      </c>
      <c r="GR112" s="3562">
        <f>110729.13/3/1.05</f>
        <v>35152.10476190476</v>
      </c>
      <c r="GS112" s="3547">
        <f t="shared" si="183"/>
        <v>166.20492135315726</v>
      </c>
      <c r="GT112" s="3568">
        <v>6897.9258203340996</v>
      </c>
      <c r="GU112" s="3568">
        <f>7346.54/1.06</f>
        <v>6930.6981132075471</v>
      </c>
      <c r="GV112" s="3562">
        <f>22039.62/3/1.06</f>
        <v>6930.6981132075471</v>
      </c>
      <c r="GW112" s="3547">
        <f t="shared" si="184"/>
        <v>32.772292873447441</v>
      </c>
      <c r="GX112" s="3568">
        <v>34985.899840551603</v>
      </c>
      <c r="GY112" s="3569">
        <f>36909.71/1.05</f>
        <v>35152.10476190476</v>
      </c>
      <c r="GZ112" s="3562">
        <f>110729.13/3/1.05</f>
        <v>35152.10476190476</v>
      </c>
      <c r="HA112" s="3547">
        <f t="shared" si="185"/>
        <v>166.20492135315726</v>
      </c>
      <c r="HB112" s="3568">
        <v>6897.9258203340996</v>
      </c>
      <c r="HC112" s="3568">
        <f>7346.54/1.06</f>
        <v>6930.6981132075471</v>
      </c>
      <c r="HD112" s="3562">
        <f>22039.62/3/1.06</f>
        <v>6930.6981132075471</v>
      </c>
      <c r="HE112" s="3547">
        <f t="shared" si="186"/>
        <v>32.772292873447441</v>
      </c>
      <c r="HF112" s="3568">
        <v>34985.899840551603</v>
      </c>
      <c r="HG112" s="3569">
        <f>36909.71/1.05</f>
        <v>35152.10476190476</v>
      </c>
      <c r="HH112" s="3562">
        <f>110729.13/3/1.05*12/365*30+110729.13/3/1.05-110729.13/3/1.05*12/365*30</f>
        <v>35152.104761904768</v>
      </c>
      <c r="HI112" s="3547">
        <f t="shared" si="224"/>
        <v>166.20492135316454</v>
      </c>
      <c r="HJ112" s="3568">
        <v>6897.9258203340996</v>
      </c>
      <c r="HK112" s="3568">
        <f>7346.54/1.06</f>
        <v>6930.6981132075471</v>
      </c>
      <c r="HL112" s="3562">
        <f>22039.62/3/1.06*12/365*30+22039.62/3/1.06-22039.62/3/1.06*12/365*30</f>
        <v>6930.6981132075471</v>
      </c>
      <c r="HM112" s="3547">
        <f t="shared" si="220"/>
        <v>32.772292873447441</v>
      </c>
      <c r="HN112" s="3568">
        <v>34985.899840551603</v>
      </c>
      <c r="HO112" s="3569">
        <f>36909.71/1.05</f>
        <v>35152.10476190476</v>
      </c>
      <c r="HP112" s="3562">
        <f>36909.71/1.05</f>
        <v>35152.10476190476</v>
      </c>
      <c r="HQ112" s="3547">
        <f t="shared" si="225"/>
        <v>166.20492135315726</v>
      </c>
      <c r="HR112" s="3568">
        <v>6897.9258203340996</v>
      </c>
      <c r="HS112" s="3568">
        <f>7346.54/1.06</f>
        <v>6930.6981132075471</v>
      </c>
      <c r="HT112" s="3562">
        <f>7346.54/1.06</f>
        <v>6930.6981132075471</v>
      </c>
      <c r="HU112" s="3547">
        <f t="shared" si="221"/>
        <v>32.772292873447441</v>
      </c>
      <c r="HV112" s="3568">
        <v>34985.899840551603</v>
      </c>
      <c r="HW112" s="3569">
        <f>36909.71/1.05</f>
        <v>35152.10476190476</v>
      </c>
      <c r="HX112" s="3562">
        <f>36909.71/1.05</f>
        <v>35152.10476190476</v>
      </c>
      <c r="HY112" s="3547">
        <f t="shared" si="226"/>
        <v>166.20492135315726</v>
      </c>
      <c r="HZ112" s="3568">
        <v>6897.9258203340996</v>
      </c>
      <c r="IA112" s="3568">
        <f>7346.54/1.06</f>
        <v>6930.6981132075471</v>
      </c>
      <c r="IB112" s="3562">
        <f>7346.54/1.06</f>
        <v>6930.6981132075471</v>
      </c>
      <c r="IC112" s="3547">
        <f t="shared" si="222"/>
        <v>32.772292873447441</v>
      </c>
      <c r="ID112" s="3568">
        <v>34985.899840551603</v>
      </c>
      <c r="IE112" s="3592">
        <f>36909.71/1.05*12/365*30</f>
        <v>34670.569080234833</v>
      </c>
      <c r="IF112" s="3562">
        <f>36909.71/1.05*12/365*30</f>
        <v>34670.569080234833</v>
      </c>
      <c r="IG112" s="3547">
        <f t="shared" si="227"/>
        <v>-315.33076031677047</v>
      </c>
      <c r="IH112" s="3568">
        <v>6897.9258203340996</v>
      </c>
      <c r="II112" s="3651">
        <f>7346.54/1.06*12/365*30+7346.54/1.06-7346.54/1.06*12/365*30</f>
        <v>6930.6981132075471</v>
      </c>
      <c r="IJ112" s="3562">
        <f>7346.54/1.06*12/365*30</f>
        <v>6835.7570431636086</v>
      </c>
      <c r="IK112" s="3547">
        <f t="shared" si="223"/>
        <v>-62.168777170491012</v>
      </c>
      <c r="IL112" s="3547" t="s">
        <v>4763</v>
      </c>
      <c r="IM112" s="3592">
        <f>36909.71/1.05-36909.71*12/365*30/1.05+36909.71/1.05+36909.71*12/365*30/1.05</f>
        <v>70304.209523809521</v>
      </c>
      <c r="IN112" s="3568">
        <f>7346.54/1.06*2+7346.54*12/365*30/1.06</f>
        <v>20697.153269578703</v>
      </c>
      <c r="IO112" s="3571"/>
      <c r="IP112" s="3560">
        <f t="shared" si="195"/>
        <v>0</v>
      </c>
      <c r="IQ112" s="3568"/>
      <c r="IR112" s="3568"/>
      <c r="IS112" s="3568"/>
      <c r="IT112" s="3568"/>
      <c r="IU112" s="3568"/>
      <c r="IV112" s="3568"/>
      <c r="IW112" s="3568"/>
      <c r="IX112" s="3568"/>
      <c r="IY112" s="3568"/>
      <c r="IZ112" s="3560"/>
      <c r="JA112" s="3560"/>
      <c r="JB112" s="3560"/>
      <c r="JC112" s="3560">
        <f t="shared" si="134"/>
        <v>0</v>
      </c>
      <c r="JD112" s="3571"/>
      <c r="JE112" s="3568"/>
      <c r="JF112" s="3568"/>
      <c r="JG112" s="3568"/>
      <c r="JH112" s="3568"/>
      <c r="JI112" s="3568"/>
      <c r="JJ112" s="3568"/>
      <c r="JK112" s="3568"/>
      <c r="JL112" s="3568"/>
      <c r="JM112" s="3568"/>
      <c r="JN112" s="3560"/>
      <c r="JO112" s="3560"/>
      <c r="JP112" s="3571"/>
      <c r="JQ112" s="3583"/>
      <c r="JR112" s="3583"/>
      <c r="JS112" s="3573">
        <f t="shared" si="145"/>
        <v>0</v>
      </c>
      <c r="JT112" s="3573">
        <f t="shared" si="152"/>
        <v>0</v>
      </c>
      <c r="JU112" s="3574">
        <f t="shared" si="146"/>
        <v>0</v>
      </c>
      <c r="JV112" s="3574">
        <f t="shared" si="147"/>
        <v>0</v>
      </c>
      <c r="JW112" s="3575"/>
      <c r="JX112" s="3576">
        <f t="shared" si="148"/>
        <v>104974.77860404435</v>
      </c>
      <c r="JY112" s="3576">
        <f t="shared" si="149"/>
        <v>20697.153269578703</v>
      </c>
      <c r="JZ112" s="3577"/>
      <c r="KA112" s="3573">
        <f t="shared" si="197"/>
        <v>198.97721422661198</v>
      </c>
      <c r="KB112" s="3573"/>
      <c r="KC112" s="3573"/>
      <c r="KD112" s="3573">
        <f t="shared" si="150"/>
        <v>198.97721422661198</v>
      </c>
      <c r="KE112" s="3578" t="s">
        <v>3986</v>
      </c>
      <c r="KF112" s="3579">
        <f>609.25/10000+35184.88/10000*2</f>
        <v>7.0979009999999993</v>
      </c>
      <c r="KG112" s="3579"/>
      <c r="KH112" s="3579"/>
      <c r="KI112" s="3579"/>
      <c r="KJ112" s="3579"/>
      <c r="KK112" s="3579"/>
      <c r="KL112" s="3579"/>
      <c r="KM112" s="3579"/>
      <c r="KN112" s="3579"/>
      <c r="KO112" s="3579"/>
      <c r="KP112" s="3579">
        <f>198.98/10000*6</f>
        <v>0.11938799999999999</v>
      </c>
      <c r="KQ112" s="3579">
        <f t="shared" si="151"/>
        <v>7.2172889999999992</v>
      </c>
      <c r="KR112" s="3579">
        <f t="shared" si="196"/>
        <v>-2.3560496638097561E-6</v>
      </c>
      <c r="KS112" s="3577"/>
      <c r="KT112" s="3577"/>
      <c r="KU112" s="3577"/>
      <c r="KV112" s="3577"/>
      <c r="KW112" s="3577"/>
      <c r="KX112" s="3577"/>
      <c r="KY112" s="3577"/>
      <c r="KZ112" s="3577"/>
      <c r="LA112" s="3577"/>
      <c r="LB112" s="3577"/>
      <c r="LC112" s="3577"/>
      <c r="LD112" s="3577"/>
      <c r="LE112" s="3577"/>
      <c r="LF112" s="3577"/>
      <c r="LG112" s="3577"/>
      <c r="LH112" s="3577"/>
      <c r="LJ112" s="3575"/>
      <c r="LK112" s="3626"/>
      <c r="LL112" s="3627"/>
    </row>
    <row r="113" spans="1:325" s="3580" customFormat="1" ht="18" customHeight="1">
      <c r="A113" s="3545">
        <v>110</v>
      </c>
      <c r="B113" s="3546" t="s">
        <v>4749</v>
      </c>
      <c r="C113" s="3617">
        <v>1703</v>
      </c>
      <c r="D113" s="3618">
        <v>263</v>
      </c>
      <c r="E113" s="3548" t="s">
        <v>3799</v>
      </c>
      <c r="F113" s="3546" t="s">
        <v>3790</v>
      </c>
      <c r="G113" s="3546" t="s">
        <v>4766</v>
      </c>
      <c r="H113" s="3546" t="s">
        <v>4767</v>
      </c>
      <c r="I113" s="3594" t="s">
        <v>3794</v>
      </c>
      <c r="J113" s="3653" t="s">
        <v>4752</v>
      </c>
      <c r="K113" s="3545"/>
      <c r="L113" s="3555"/>
      <c r="M113" s="3547">
        <v>100074.78</v>
      </c>
      <c r="N113" s="3547">
        <v>100074.78</v>
      </c>
      <c r="O113" s="3551">
        <f t="shared" si="135"/>
        <v>0</v>
      </c>
      <c r="P113" s="3547">
        <v>19918.95</v>
      </c>
      <c r="Q113" s="3547">
        <v>19918.95</v>
      </c>
      <c r="R113" s="3547">
        <f t="shared" si="132"/>
        <v>0</v>
      </c>
      <c r="S113" s="3547">
        <f t="shared" si="232"/>
        <v>4.1699996874837231</v>
      </c>
      <c r="T113" s="3690">
        <v>33358.26</v>
      </c>
      <c r="U113" s="3553">
        <f t="shared" si="136"/>
        <v>400299.12</v>
      </c>
      <c r="V113" s="3547">
        <v>1122821.5166666701</v>
      </c>
      <c r="W113" s="3547">
        <f t="shared" si="233"/>
        <v>0.82999947913953842</v>
      </c>
      <c r="X113" s="3547">
        <v>6639.65</v>
      </c>
      <c r="Y113" s="3547">
        <f t="shared" si="198"/>
        <v>79675.799999999988</v>
      </c>
      <c r="Z113" s="3554"/>
      <c r="AA113" s="3555"/>
      <c r="AB113" s="3680" t="s">
        <v>4753</v>
      </c>
      <c r="AC113" s="3556">
        <f t="shared" si="138"/>
        <v>433657.38</v>
      </c>
      <c r="AD113" s="3556">
        <f t="shared" si="228"/>
        <v>366940.86</v>
      </c>
      <c r="AE113" s="3556">
        <f t="shared" si="228"/>
        <v>366940.86</v>
      </c>
      <c r="AF113" s="3556">
        <f t="shared" si="140"/>
        <v>0</v>
      </c>
      <c r="AG113" s="3556"/>
      <c r="AH113" s="3557">
        <f t="shared" si="141"/>
        <v>99594.749999999985</v>
      </c>
      <c r="AI113" s="3558">
        <f t="shared" si="229"/>
        <v>79675.799999999988</v>
      </c>
      <c r="AJ113" s="3558">
        <f t="shared" si="229"/>
        <v>79675.8</v>
      </c>
      <c r="AK113" s="3557">
        <f t="shared" si="159"/>
        <v>0</v>
      </c>
      <c r="AL113" s="3557"/>
      <c r="AM113" s="3547" t="s">
        <v>4754</v>
      </c>
      <c r="AN113" s="3609">
        <v>66716.52</v>
      </c>
      <c r="AO113" s="3562">
        <v>66716.52</v>
      </c>
      <c r="AP113" s="3561">
        <f t="shared" si="199"/>
        <v>0</v>
      </c>
      <c r="AQ113" s="3559">
        <v>19918.95</v>
      </c>
      <c r="AR113" s="3562">
        <v>19918.95</v>
      </c>
      <c r="AS113" s="3561">
        <f t="shared" si="200"/>
        <v>0</v>
      </c>
      <c r="AT113" s="3563" t="s">
        <v>4755</v>
      </c>
      <c r="AU113" s="3547"/>
      <c r="AV113" s="3609"/>
      <c r="AW113" s="3562"/>
      <c r="AX113" s="3561">
        <f t="shared" si="201"/>
        <v>0</v>
      </c>
      <c r="AY113" s="3559"/>
      <c r="AZ113" s="3562"/>
      <c r="BA113" s="3561">
        <f t="shared" si="202"/>
        <v>0</v>
      </c>
      <c r="BB113" s="3563" t="s">
        <v>4755</v>
      </c>
      <c r="BC113" s="3547" t="s">
        <v>4756</v>
      </c>
      <c r="BD113" s="3609">
        <f>33358.26*3</f>
        <v>100074.78</v>
      </c>
      <c r="BE113" s="3562">
        <v>100074.78</v>
      </c>
      <c r="BF113" s="3561">
        <f t="shared" si="203"/>
        <v>0</v>
      </c>
      <c r="BG113" s="3559">
        <f>6639.65*3</f>
        <v>19918.949999999997</v>
      </c>
      <c r="BH113" s="3562">
        <v>19918.95</v>
      </c>
      <c r="BI113" s="3561">
        <f t="shared" si="204"/>
        <v>0</v>
      </c>
      <c r="BJ113" s="3563" t="s">
        <v>4757</v>
      </c>
      <c r="BK113" s="3547"/>
      <c r="BL113" s="3609"/>
      <c r="BM113" s="3562"/>
      <c r="BN113" s="3561">
        <f t="shared" si="205"/>
        <v>0</v>
      </c>
      <c r="BO113" s="3559"/>
      <c r="BP113" s="3562"/>
      <c r="BQ113" s="3561">
        <f t="shared" si="206"/>
        <v>0</v>
      </c>
      <c r="BR113" s="3563" t="s">
        <v>4757</v>
      </c>
      <c r="BS113" s="3547"/>
      <c r="BT113" s="3559"/>
      <c r="BU113" s="3562"/>
      <c r="BV113" s="3561">
        <f t="shared" si="207"/>
        <v>0</v>
      </c>
      <c r="BW113" s="3559"/>
      <c r="BX113" s="3562"/>
      <c r="BY113" s="3561">
        <f t="shared" si="208"/>
        <v>0</v>
      </c>
      <c r="BZ113" s="3563" t="s">
        <v>4757</v>
      </c>
      <c r="CA113" s="3547" t="s">
        <v>4758</v>
      </c>
      <c r="CB113" s="3609">
        <f>33358.26*3</f>
        <v>100074.78</v>
      </c>
      <c r="CC113" s="3562">
        <v>100074.78</v>
      </c>
      <c r="CD113" s="3561">
        <f t="shared" si="164"/>
        <v>0</v>
      </c>
      <c r="CE113" s="3559">
        <f>6639.65*3</f>
        <v>19918.949999999997</v>
      </c>
      <c r="CF113" s="3562">
        <v>19918.95</v>
      </c>
      <c r="CG113" s="3561">
        <f t="shared" si="165"/>
        <v>0</v>
      </c>
      <c r="CH113" s="3630" t="s">
        <v>4759</v>
      </c>
      <c r="CI113" s="3547"/>
      <c r="CJ113" s="3609"/>
      <c r="CK113" s="3562"/>
      <c r="CL113" s="3561">
        <f t="shared" si="133"/>
        <v>0</v>
      </c>
      <c r="CM113" s="3559"/>
      <c r="CN113" s="3562"/>
      <c r="CO113" s="3561">
        <f t="shared" si="166"/>
        <v>0</v>
      </c>
      <c r="CP113" s="3630" t="s">
        <v>4759</v>
      </c>
      <c r="CQ113" s="3547"/>
      <c r="CR113" s="3609"/>
      <c r="CS113" s="3562"/>
      <c r="CT113" s="3561">
        <f t="shared" si="167"/>
        <v>0</v>
      </c>
      <c r="CU113" s="3559"/>
      <c r="CV113" s="3603"/>
      <c r="CW113" s="3561">
        <f t="shared" si="168"/>
        <v>0</v>
      </c>
      <c r="CX113" s="3630" t="s">
        <v>4759</v>
      </c>
      <c r="CY113" s="3597" t="s">
        <v>4760</v>
      </c>
      <c r="CZ113" s="3621">
        <f>33358.26*3</f>
        <v>100074.78</v>
      </c>
      <c r="DA113" s="3603">
        <v>100074.78</v>
      </c>
      <c r="DB113" s="3602">
        <f t="shared" si="169"/>
        <v>0</v>
      </c>
      <c r="DC113" s="3604">
        <f>6639.65*3</f>
        <v>19918.949999999997</v>
      </c>
      <c r="DD113" s="3603">
        <v>19918.95</v>
      </c>
      <c r="DE113" s="3561">
        <f t="shared" si="170"/>
        <v>0</v>
      </c>
      <c r="DF113" s="3630" t="s">
        <v>4761</v>
      </c>
      <c r="DG113" s="3547"/>
      <c r="DH113" s="3609"/>
      <c r="DI113" s="3562"/>
      <c r="DJ113" s="3561">
        <f t="shared" si="171"/>
        <v>0</v>
      </c>
      <c r="DK113" s="3559"/>
      <c r="DL113" s="3562"/>
      <c r="DM113" s="3561">
        <f t="shared" si="172"/>
        <v>0</v>
      </c>
      <c r="DN113" s="3563"/>
      <c r="DO113" s="3547"/>
      <c r="DP113" s="3609"/>
      <c r="DQ113" s="3562"/>
      <c r="DR113" s="3561">
        <f t="shared" si="173"/>
        <v>0</v>
      </c>
      <c r="DS113" s="3559"/>
      <c r="DT113" s="3562"/>
      <c r="DU113" s="3561">
        <f t="shared" si="209"/>
        <v>0</v>
      </c>
      <c r="DV113" s="3563"/>
      <c r="DW113" s="3547" t="s">
        <v>4762</v>
      </c>
      <c r="DX113" s="3601">
        <f>33358.26*2</f>
        <v>66716.52</v>
      </c>
      <c r="DY113" s="3562"/>
      <c r="DZ113" s="3561">
        <f t="shared" si="175"/>
        <v>-66716.52</v>
      </c>
      <c r="EA113" s="3559">
        <f>6639.65*3</f>
        <v>19918.949999999997</v>
      </c>
      <c r="EB113" s="3562"/>
      <c r="EC113" s="3561">
        <f t="shared" si="176"/>
        <v>-19918.949999999997</v>
      </c>
      <c r="ED113" s="3563"/>
      <c r="EE113" s="3564"/>
      <c r="EF113" s="3565">
        <f t="shared" si="153"/>
        <v>284576.03066180699</v>
      </c>
      <c r="EG113" s="3565">
        <f t="shared" si="230"/>
        <v>189717.353774538</v>
      </c>
      <c r="EH113" s="3565">
        <f t="shared" si="230"/>
        <v>254593.37377690803</v>
      </c>
      <c r="EI113" s="3565">
        <f t="shared" si="230"/>
        <v>254593.37377690803</v>
      </c>
      <c r="EJ113" s="3565">
        <f t="shared" si="154"/>
        <v>64876.020002370031</v>
      </c>
      <c r="EK113" s="3566">
        <f t="shared" si="155"/>
        <v>0</v>
      </c>
      <c r="EL113" s="3610"/>
      <c r="EM113" s="3567">
        <f t="shared" si="156"/>
        <v>74810.494463829717</v>
      </c>
      <c r="EN113" s="3557">
        <f t="shared" si="231"/>
        <v>56107.870847872291</v>
      </c>
      <c r="EO113" s="3557">
        <f t="shared" si="231"/>
        <v>56460.192556216069</v>
      </c>
      <c r="EP113" s="3557">
        <f t="shared" si="231"/>
        <v>56460.192556216069</v>
      </c>
      <c r="EQ113" s="3557">
        <f t="shared" si="157"/>
        <v>352.32170834377757</v>
      </c>
      <c r="ER113" s="3557">
        <f t="shared" si="158"/>
        <v>0</v>
      </c>
      <c r="ES113" s="3557"/>
      <c r="ET113" s="3568"/>
      <c r="EU113" s="3592">
        <f>33358.26/1.05-33358.26*12/365*30/1.05</f>
        <v>435.20234833659924</v>
      </c>
      <c r="EV113" s="3562">
        <f>33358.26/1.05-33358.26*12/365*30/1.05</f>
        <v>435.20234833659924</v>
      </c>
      <c r="EW113" s="3547">
        <f t="shared" si="210"/>
        <v>435.20234833659924</v>
      </c>
      <c r="EX113" s="3568">
        <v>6234.20787198581</v>
      </c>
      <c r="EY113" s="3592">
        <f>6639.65/1.06+6639.65/1.06-6639.65*12/365*30/1.06</f>
        <v>6349.6265184802278</v>
      </c>
      <c r="EZ113" s="3562">
        <f>19918.95/3/1.06+19918.95/3/1.06-19918.95/3/1.06*12/365*30</f>
        <v>6349.6265184802269</v>
      </c>
      <c r="FA113" s="3547">
        <f t="shared" si="211"/>
        <v>115.41864649441686</v>
      </c>
      <c r="FB113" s="3568"/>
      <c r="FC113" s="3569">
        <f>33358.26/1.05</f>
        <v>31769.771428571428</v>
      </c>
      <c r="FD113" s="3562">
        <f>66716.52/2/1.05</f>
        <v>31769.771428571428</v>
      </c>
      <c r="FE113" s="3547">
        <f t="shared" si="212"/>
        <v>31769.771428571428</v>
      </c>
      <c r="FF113" s="3568">
        <v>6234.20787198581</v>
      </c>
      <c r="FG113" s="3568">
        <f>6639.65/1.06</f>
        <v>6263.8207547169804</v>
      </c>
      <c r="FH113" s="3562">
        <f>19918.95/3/1.06</f>
        <v>6263.8207547169814</v>
      </c>
      <c r="FI113" s="3547">
        <f t="shared" si="213"/>
        <v>29.612882731171339</v>
      </c>
      <c r="FJ113" s="3568"/>
      <c r="FK113" s="3569">
        <f>33358.26/1.05</f>
        <v>31769.771428571428</v>
      </c>
      <c r="FL113" s="3562">
        <f>66716.52/2/1.05*12/365*30+100074.78/3/1.05-66716.52/2/1.05*12/365*30</f>
        <v>31769.771428571428</v>
      </c>
      <c r="FM113" s="3547">
        <f t="shared" si="214"/>
        <v>31769.771428571428</v>
      </c>
      <c r="FN113" s="3568">
        <v>6234.20787198581</v>
      </c>
      <c r="FO113" s="3568">
        <f>6639.65/1.06</f>
        <v>6263.8207547169804</v>
      </c>
      <c r="FP113" s="3562">
        <f>19918.95/3/1.06*12/365*30+19918.95/3/1.06-19918.95/3/1.06*12/365*30</f>
        <v>6263.8207547169804</v>
      </c>
      <c r="FQ113" s="3547">
        <f t="shared" si="215"/>
        <v>29.61288273117043</v>
      </c>
      <c r="FR113" s="3568">
        <v>31619.558962423002</v>
      </c>
      <c r="FS113" s="3569">
        <f>33358.26/1.05</f>
        <v>31769.771428571428</v>
      </c>
      <c r="FT113" s="3560">
        <f>100074.78/3/1.05</f>
        <v>31769.771428571428</v>
      </c>
      <c r="FU113" s="3547">
        <f t="shared" si="216"/>
        <v>150.21246614842676</v>
      </c>
      <c r="FV113" s="3568">
        <v>6234.20787198581</v>
      </c>
      <c r="FW113" s="3568">
        <f>6639.65/1.06</f>
        <v>6263.8207547169804</v>
      </c>
      <c r="FX113" s="3560">
        <f>19918.95/3/1.06</f>
        <v>6263.8207547169814</v>
      </c>
      <c r="FY113" s="3547">
        <f t="shared" si="217"/>
        <v>29.612882731171339</v>
      </c>
      <c r="FZ113" s="3568">
        <v>31619.558962423002</v>
      </c>
      <c r="GA113" s="3569">
        <f>33358.26/1.05</f>
        <v>31769.771428571428</v>
      </c>
      <c r="GB113" s="3560">
        <f>100074.78/3/1.05</f>
        <v>31769.771428571428</v>
      </c>
      <c r="GC113" s="3547">
        <f t="shared" si="218"/>
        <v>150.21246614842676</v>
      </c>
      <c r="GD113" s="3568">
        <v>6234.20787198581</v>
      </c>
      <c r="GE113" s="3568">
        <f>6639.65/1.06</f>
        <v>6263.8207547169804</v>
      </c>
      <c r="GF113" s="3560">
        <f>19918.95/3/1.06</f>
        <v>6263.8207547169814</v>
      </c>
      <c r="GG113" s="3547">
        <f t="shared" si="219"/>
        <v>29.612882731171339</v>
      </c>
      <c r="GH113" s="3568">
        <v>31619.558962423002</v>
      </c>
      <c r="GI113" s="3569">
        <f>33358.26/1.05</f>
        <v>31769.771428571428</v>
      </c>
      <c r="GJ113" s="3562">
        <f>66716.52/2/1.05*12/365*30+100074.78/3/1.05-100074.78/3/1.05*12/365*30</f>
        <v>31769.771428571428</v>
      </c>
      <c r="GK113" s="3547">
        <f t="shared" si="181"/>
        <v>150.21246614842676</v>
      </c>
      <c r="GL113" s="3568">
        <v>6234.20787198581</v>
      </c>
      <c r="GM113" s="3568">
        <f>6639.65/1.06</f>
        <v>6263.8207547169804</v>
      </c>
      <c r="GN113" s="3562">
        <f>19918.95/3/1.06*12/365*30+19918.95/3/1.06-19918.95/3/1.06*12/365*30</f>
        <v>6263.8207547169804</v>
      </c>
      <c r="GO113" s="3547">
        <f t="shared" si="182"/>
        <v>29.61288273117043</v>
      </c>
      <c r="GP113" s="3568">
        <v>31619.558962423002</v>
      </c>
      <c r="GQ113" s="3569">
        <f>33358.26/1.05</f>
        <v>31769.771428571428</v>
      </c>
      <c r="GR113" s="3562">
        <f>100074.78/3/1.05</f>
        <v>31769.771428571428</v>
      </c>
      <c r="GS113" s="3547">
        <f t="shared" si="183"/>
        <v>150.21246614842676</v>
      </c>
      <c r="GT113" s="3568">
        <v>6234.20787198581</v>
      </c>
      <c r="GU113" s="3568">
        <f>6639.65/1.06</f>
        <v>6263.8207547169804</v>
      </c>
      <c r="GV113" s="3562">
        <f>19918.95/3/1.06</f>
        <v>6263.8207547169814</v>
      </c>
      <c r="GW113" s="3547">
        <f t="shared" si="184"/>
        <v>29.612882731171339</v>
      </c>
      <c r="GX113" s="3568">
        <v>31619.558962423002</v>
      </c>
      <c r="GY113" s="3569">
        <f>33358.26/1.05</f>
        <v>31769.771428571428</v>
      </c>
      <c r="GZ113" s="3562">
        <f>100074.78/3/1.05</f>
        <v>31769.771428571428</v>
      </c>
      <c r="HA113" s="3547">
        <f t="shared" si="185"/>
        <v>150.21246614842676</v>
      </c>
      <c r="HB113" s="3568">
        <v>6234.20787198581</v>
      </c>
      <c r="HC113" s="3568">
        <f>6639.65/1.06</f>
        <v>6263.8207547169804</v>
      </c>
      <c r="HD113" s="3562">
        <f>19918.95/3/1.06</f>
        <v>6263.8207547169814</v>
      </c>
      <c r="HE113" s="3547">
        <f t="shared" si="186"/>
        <v>29.612882731171339</v>
      </c>
      <c r="HF113" s="3568">
        <v>31619.558962423002</v>
      </c>
      <c r="HG113" s="3569">
        <f>33358.26/1.05</f>
        <v>31769.771428571428</v>
      </c>
      <c r="HH113" s="3562">
        <f>100074.78/3/1.05*12/365*30+100074.78/3/1.05-100074.78/3/1.05*12/365*30</f>
        <v>31769.771428571428</v>
      </c>
      <c r="HI113" s="3547">
        <f t="shared" si="224"/>
        <v>150.21246614842676</v>
      </c>
      <c r="HJ113" s="3568">
        <v>6234.20787198581</v>
      </c>
      <c r="HK113" s="3568">
        <f>6639.65/1.06</f>
        <v>6263.8207547169804</v>
      </c>
      <c r="HL113" s="3562">
        <f>19918.95/3/1.06*12/365*30+19918.95/3/1.06-19918.95/3/1.06*12/365*30</f>
        <v>6263.8207547169804</v>
      </c>
      <c r="HM113" s="3547">
        <f t="shared" si="220"/>
        <v>29.61288273117043</v>
      </c>
      <c r="HN113" s="3568">
        <v>31619.558962423002</v>
      </c>
      <c r="HO113" s="3569">
        <f>33358.26/1.05</f>
        <v>31769.771428571428</v>
      </c>
      <c r="HP113" s="3562">
        <f>33358.26/1.05</f>
        <v>31769.771428571428</v>
      </c>
      <c r="HQ113" s="3547">
        <f t="shared" si="225"/>
        <v>150.21246614842676</v>
      </c>
      <c r="HR113" s="3568">
        <v>6234.20787198581</v>
      </c>
      <c r="HS113" s="3568">
        <f>6639.65/1.06</f>
        <v>6263.8207547169804</v>
      </c>
      <c r="HT113" s="3562">
        <f>6639.65/1.06</f>
        <v>6263.8207547169804</v>
      </c>
      <c r="HU113" s="3547">
        <f t="shared" si="221"/>
        <v>29.61288273117043</v>
      </c>
      <c r="HV113" s="3568">
        <v>31619.558962423002</v>
      </c>
      <c r="HW113" s="3569">
        <f>33358.26/1.05</f>
        <v>31769.771428571428</v>
      </c>
      <c r="HX113" s="3562">
        <f>33358.26/1.05</f>
        <v>31769.771428571428</v>
      </c>
      <c r="HY113" s="3547">
        <f t="shared" si="226"/>
        <v>150.21246614842676</v>
      </c>
      <c r="HZ113" s="3568">
        <v>6234.20787198581</v>
      </c>
      <c r="IA113" s="3568">
        <f>6639.65/1.06</f>
        <v>6263.8207547169804</v>
      </c>
      <c r="IB113" s="3562">
        <f>6639.65/1.06</f>
        <v>6263.8207547169804</v>
      </c>
      <c r="IC113" s="3547">
        <f t="shared" si="222"/>
        <v>29.61288273117043</v>
      </c>
      <c r="ID113" s="3568">
        <v>31619.558962423002</v>
      </c>
      <c r="IE113" s="3592">
        <f>33358.26/1.05*12/365*30</f>
        <v>31334.569080234829</v>
      </c>
      <c r="IF113" s="3562">
        <f>33358.26/1.05*12/365*30</f>
        <v>31334.569080234829</v>
      </c>
      <c r="IG113" s="3547">
        <f t="shared" si="227"/>
        <v>-284.98988218817249</v>
      </c>
      <c r="IH113" s="3568">
        <v>6234.20787198581</v>
      </c>
      <c r="II113" s="3651">
        <f>6639.65/1.06*12/365*30+6639.65/1.06-6639.65/1.06*12/365*30</f>
        <v>6263.8207547169804</v>
      </c>
      <c r="IJ113" s="3562">
        <f>6639.65/1.06*12/365*30</f>
        <v>6178.014990953734</v>
      </c>
      <c r="IK113" s="3547">
        <f t="shared" si="223"/>
        <v>-56.192881032076002</v>
      </c>
      <c r="IL113" s="3547" t="s">
        <v>4763</v>
      </c>
      <c r="IM113" s="3592">
        <f>33358.26/1.05-33358.26*12/365*30/1.05+33358.26/1.05+33358.26*12/365*30/1.05</f>
        <v>63539.542857142857</v>
      </c>
      <c r="IN113" s="3568">
        <f>6639.65/1.06*2+6639.65*12/365*30/1.06</f>
        <v>18705.656500387693</v>
      </c>
      <c r="IO113" s="3571"/>
      <c r="IP113" s="3560">
        <f t="shared" si="195"/>
        <v>0</v>
      </c>
      <c r="IQ113" s="3568"/>
      <c r="IR113" s="3568"/>
      <c r="IS113" s="3568"/>
      <c r="IT113" s="3568"/>
      <c r="IU113" s="3568"/>
      <c r="IV113" s="3568"/>
      <c r="IW113" s="3568"/>
      <c r="IX113" s="3568"/>
      <c r="IY113" s="3568"/>
      <c r="IZ113" s="3560"/>
      <c r="JA113" s="3560"/>
      <c r="JB113" s="3560"/>
      <c r="JC113" s="3560">
        <f t="shared" si="134"/>
        <v>0</v>
      </c>
      <c r="JD113" s="3571"/>
      <c r="JE113" s="3568"/>
      <c r="JF113" s="3568"/>
      <c r="JG113" s="3568"/>
      <c r="JH113" s="3568"/>
      <c r="JI113" s="3568"/>
      <c r="JJ113" s="3568"/>
      <c r="JK113" s="3568"/>
      <c r="JL113" s="3568"/>
      <c r="JM113" s="3568"/>
      <c r="JN113" s="3560"/>
      <c r="JO113" s="3560"/>
      <c r="JP113" s="3571"/>
      <c r="JQ113" s="3583"/>
      <c r="JR113" s="3583"/>
      <c r="JS113" s="3573">
        <f t="shared" si="145"/>
        <v>0</v>
      </c>
      <c r="JT113" s="3573">
        <f t="shared" si="152"/>
        <v>0</v>
      </c>
      <c r="JU113" s="3574">
        <f t="shared" si="146"/>
        <v>0</v>
      </c>
      <c r="JV113" s="3574">
        <f t="shared" si="147"/>
        <v>0</v>
      </c>
      <c r="JW113" s="3575"/>
      <c r="JX113" s="3576">
        <f t="shared" si="148"/>
        <v>94874.111937377689</v>
      </c>
      <c r="JY113" s="3576">
        <f t="shared" si="149"/>
        <v>18705.656500387697</v>
      </c>
      <c r="JZ113" s="3577"/>
      <c r="KA113" s="3573">
        <f t="shared" si="197"/>
        <v>179.82534887959719</v>
      </c>
      <c r="KB113" s="3573"/>
      <c r="KC113" s="3573"/>
      <c r="KD113" s="3573">
        <f t="shared" si="150"/>
        <v>179.82534887959719</v>
      </c>
      <c r="KE113" s="3578" t="s">
        <v>3986</v>
      </c>
      <c r="KF113" s="3579">
        <f>550.62/10000+31799.38/10000*2</f>
        <v>6.4149380000000003</v>
      </c>
      <c r="KG113" s="3579"/>
      <c r="KH113" s="3579"/>
      <c r="KI113" s="3579"/>
      <c r="KJ113" s="3579"/>
      <c r="KK113" s="3579"/>
      <c r="KL113" s="3579"/>
      <c r="KM113" s="3579"/>
      <c r="KN113" s="3579"/>
      <c r="KO113" s="3579"/>
      <c r="KP113" s="3579">
        <f>179.83/10000*6</f>
        <v>0.10789800000000002</v>
      </c>
      <c r="KQ113" s="3579">
        <f t="shared" si="151"/>
        <v>6.5228359999999999</v>
      </c>
      <c r="KR113" s="3579">
        <f t="shared" si="196"/>
        <v>-1.8289286192185727E-6</v>
      </c>
      <c r="KS113" s="3577"/>
      <c r="KT113" s="3577"/>
      <c r="KU113" s="3577"/>
      <c r="KV113" s="3577"/>
      <c r="KW113" s="3577"/>
      <c r="KX113" s="3577"/>
      <c r="KY113" s="3577"/>
      <c r="KZ113" s="3577"/>
      <c r="LA113" s="3577"/>
      <c r="LB113" s="3577"/>
      <c r="LC113" s="3577"/>
      <c r="LD113" s="3577"/>
      <c r="LE113" s="3577"/>
      <c r="LF113" s="3577"/>
      <c r="LG113" s="3577"/>
      <c r="LH113" s="3577"/>
      <c r="LJ113" s="3575"/>
      <c r="LK113" s="3626"/>
      <c r="LL113" s="3627"/>
    </row>
    <row r="114" spans="1:325" s="3580" customFormat="1" ht="18" customHeight="1">
      <c r="A114" s="3545">
        <v>111</v>
      </c>
      <c r="B114" s="3546" t="s">
        <v>4749</v>
      </c>
      <c r="C114" s="3617" t="s">
        <v>4768</v>
      </c>
      <c r="D114" s="3618">
        <v>491.55</v>
      </c>
      <c r="E114" s="3548" t="s">
        <v>3799</v>
      </c>
      <c r="F114" s="3546" t="s">
        <v>3790</v>
      </c>
      <c r="G114" s="3546" t="s">
        <v>4769</v>
      </c>
      <c r="H114" s="3546" t="s">
        <v>4770</v>
      </c>
      <c r="I114" s="3594" t="s">
        <v>4771</v>
      </c>
      <c r="J114" s="3594" t="s">
        <v>4772</v>
      </c>
      <c r="K114" s="3545"/>
      <c r="L114" s="3555"/>
      <c r="M114" s="3547">
        <v>290754.69</v>
      </c>
      <c r="N114" s="3547">
        <f>97041.54+193713.15</f>
        <v>290754.69</v>
      </c>
      <c r="O114" s="3551">
        <f t="shared" si="135"/>
        <v>0</v>
      </c>
      <c r="P114" s="3547">
        <v>46379.37</v>
      </c>
      <c r="Q114" s="3547">
        <f>15579.21+30800.16</f>
        <v>46379.369999999995</v>
      </c>
      <c r="R114" s="3547">
        <f t="shared" si="132"/>
        <v>0</v>
      </c>
      <c r="S114" s="3547">
        <f t="shared" si="232"/>
        <v>5.170000292616451</v>
      </c>
      <c r="T114" s="3547">
        <v>77298.289999999994</v>
      </c>
      <c r="U114" s="3553">
        <f t="shared" si="136"/>
        <v>927579.48</v>
      </c>
      <c r="V114" s="3547">
        <f>T114*12*2</f>
        <v>1855158.96</v>
      </c>
      <c r="W114" s="3547">
        <f t="shared" si="233"/>
        <v>0.83000004180235021</v>
      </c>
      <c r="X114" s="3547">
        <v>12409.59</v>
      </c>
      <c r="Y114" s="3547">
        <f t="shared" si="198"/>
        <v>148915.08000000002</v>
      </c>
      <c r="Z114" s="3554"/>
      <c r="AA114" s="3555"/>
      <c r="AB114" s="3680" t="s">
        <v>4187</v>
      </c>
      <c r="AC114" s="3556">
        <f t="shared" si="138"/>
        <v>927579.4800000001</v>
      </c>
      <c r="AD114" s="3556">
        <f t="shared" si="228"/>
        <v>695684.61</v>
      </c>
      <c r="AE114" s="3556">
        <f t="shared" si="228"/>
        <v>695684.61</v>
      </c>
      <c r="AF114" s="3556">
        <f t="shared" si="140"/>
        <v>0</v>
      </c>
      <c r="AG114" s="3556"/>
      <c r="AH114" s="3557">
        <f t="shared" si="141"/>
        <v>148915.07999999999</v>
      </c>
      <c r="AI114" s="3558">
        <f t="shared" si="229"/>
        <v>111686.30999999998</v>
      </c>
      <c r="AJ114" s="3558">
        <f t="shared" si="229"/>
        <v>111686.30999999998</v>
      </c>
      <c r="AK114" s="3557">
        <f t="shared" si="159"/>
        <v>0</v>
      </c>
      <c r="AL114" s="3557"/>
      <c r="AM114" s="3547" t="s">
        <v>4773</v>
      </c>
      <c r="AN114" s="3609">
        <v>77298.289999999994</v>
      </c>
      <c r="AO114" s="3562">
        <v>77298.289999999994</v>
      </c>
      <c r="AP114" s="3561">
        <f t="shared" si="199"/>
        <v>0</v>
      </c>
      <c r="AQ114" s="3559">
        <v>12409.59</v>
      </c>
      <c r="AR114" s="3562">
        <v>12409.59</v>
      </c>
      <c r="AS114" s="3561">
        <f t="shared" si="200"/>
        <v>0</v>
      </c>
      <c r="AT114" s="3563" t="s">
        <v>4774</v>
      </c>
      <c r="AU114" s="3547" t="s">
        <v>4775</v>
      </c>
      <c r="AV114" s="3609">
        <v>77298.289999999994</v>
      </c>
      <c r="AW114" s="3562">
        <v>77298.289999999994</v>
      </c>
      <c r="AX114" s="3561">
        <f t="shared" si="201"/>
        <v>0</v>
      </c>
      <c r="AY114" s="3559">
        <v>12409.59</v>
      </c>
      <c r="AZ114" s="3562">
        <v>12409.59</v>
      </c>
      <c r="BA114" s="3561">
        <f t="shared" si="202"/>
        <v>0</v>
      </c>
      <c r="BB114" s="3563" t="s">
        <v>4776</v>
      </c>
      <c r="BC114" s="3547" t="s">
        <v>4777</v>
      </c>
      <c r="BD114" s="3609">
        <v>77298.289999999994</v>
      </c>
      <c r="BE114" s="3562">
        <v>77298.289999999994</v>
      </c>
      <c r="BF114" s="3561">
        <f t="shared" si="203"/>
        <v>0</v>
      </c>
      <c r="BG114" s="3559">
        <v>12409.59</v>
      </c>
      <c r="BH114" s="3562">
        <v>12409.59</v>
      </c>
      <c r="BI114" s="3561">
        <f t="shared" si="204"/>
        <v>0</v>
      </c>
      <c r="BJ114" s="3563" t="s">
        <v>4778</v>
      </c>
      <c r="BK114" s="3547" t="s">
        <v>4779</v>
      </c>
      <c r="BL114" s="3609">
        <v>77298.289999999994</v>
      </c>
      <c r="BM114" s="3562">
        <v>77298.289999999994</v>
      </c>
      <c r="BN114" s="3561">
        <f t="shared" si="205"/>
        <v>0</v>
      </c>
      <c r="BO114" s="3559">
        <v>12409.59</v>
      </c>
      <c r="BP114" s="3603">
        <v>12409.59</v>
      </c>
      <c r="BQ114" s="3602">
        <f t="shared" si="206"/>
        <v>0</v>
      </c>
      <c r="BR114" s="3630" t="s">
        <v>4780</v>
      </c>
      <c r="BS114" s="3547" t="s">
        <v>4781</v>
      </c>
      <c r="BT114" s="3559">
        <v>77298.289999999994</v>
      </c>
      <c r="BU114" s="3562">
        <v>77298.289999999994</v>
      </c>
      <c r="BV114" s="3561">
        <f t="shared" si="207"/>
        <v>0</v>
      </c>
      <c r="BW114" s="3559">
        <v>12409.59</v>
      </c>
      <c r="BX114" s="3562">
        <v>12409.59</v>
      </c>
      <c r="BY114" s="3561">
        <f t="shared" si="208"/>
        <v>0</v>
      </c>
      <c r="BZ114" s="3630" t="s">
        <v>4782</v>
      </c>
      <c r="CA114" s="3547" t="s">
        <v>4783</v>
      </c>
      <c r="CB114" s="3609">
        <v>77298.289999999994</v>
      </c>
      <c r="CC114" s="3603">
        <v>77298.289999999994</v>
      </c>
      <c r="CD114" s="3561">
        <f t="shared" si="164"/>
        <v>0</v>
      </c>
      <c r="CE114" s="3559">
        <v>12409.59</v>
      </c>
      <c r="CF114" s="3562">
        <f>12409.59</f>
        <v>12409.59</v>
      </c>
      <c r="CG114" s="3561">
        <f t="shared" si="165"/>
        <v>0</v>
      </c>
      <c r="CH114" s="3630" t="s">
        <v>4784</v>
      </c>
      <c r="CI114" s="3547" t="s">
        <v>4785</v>
      </c>
      <c r="CJ114" s="3609">
        <v>77298.289999999994</v>
      </c>
      <c r="CK114" s="3603">
        <v>77298.289999999994</v>
      </c>
      <c r="CL114" s="3602">
        <f t="shared" si="133"/>
        <v>0</v>
      </c>
      <c r="CM114" s="3604">
        <v>12409.59</v>
      </c>
      <c r="CN114" s="3603">
        <v>12409.59</v>
      </c>
      <c r="CO114" s="3561">
        <f t="shared" si="166"/>
        <v>0</v>
      </c>
      <c r="CP114" s="3630" t="s">
        <v>4786</v>
      </c>
      <c r="CQ114" s="3597" t="s">
        <v>4787</v>
      </c>
      <c r="CR114" s="3609">
        <v>77298.289999999994</v>
      </c>
      <c r="CS114" s="3562">
        <v>77298.289999999994</v>
      </c>
      <c r="CT114" s="3561">
        <f t="shared" si="167"/>
        <v>0</v>
      </c>
      <c r="CU114" s="3559">
        <v>12409.59</v>
      </c>
      <c r="CV114" s="3603">
        <v>12409.59</v>
      </c>
      <c r="CW114" s="3561">
        <f t="shared" si="168"/>
        <v>0</v>
      </c>
      <c r="CX114" s="3630" t="s">
        <v>4788</v>
      </c>
      <c r="CY114" s="3597" t="s">
        <v>4789</v>
      </c>
      <c r="CZ114" s="3621">
        <v>77298.289999999994</v>
      </c>
      <c r="DA114" s="3603">
        <v>77298.289999999994</v>
      </c>
      <c r="DB114" s="3602">
        <f t="shared" si="169"/>
        <v>0</v>
      </c>
      <c r="DC114" s="3604">
        <v>12409.59</v>
      </c>
      <c r="DD114" s="3603">
        <v>12409.59</v>
      </c>
      <c r="DE114" s="3561">
        <f t="shared" si="170"/>
        <v>0</v>
      </c>
      <c r="DF114" s="3630" t="s">
        <v>4790</v>
      </c>
      <c r="DG114" s="3547" t="s">
        <v>4791</v>
      </c>
      <c r="DH114" s="3609">
        <v>77298.289999999994</v>
      </c>
      <c r="DI114" s="3562"/>
      <c r="DJ114" s="3561">
        <f t="shared" si="171"/>
        <v>-77298.289999999994</v>
      </c>
      <c r="DK114" s="3559">
        <v>12409.59</v>
      </c>
      <c r="DL114" s="3562"/>
      <c r="DM114" s="3561">
        <f t="shared" si="172"/>
        <v>-12409.59</v>
      </c>
      <c r="DN114" s="3563"/>
      <c r="DO114" s="3547" t="s">
        <v>4792</v>
      </c>
      <c r="DP114" s="3609">
        <v>77298.289999999994</v>
      </c>
      <c r="DQ114" s="3562"/>
      <c r="DR114" s="3561">
        <f t="shared" si="173"/>
        <v>-77298.289999999994</v>
      </c>
      <c r="DS114" s="3559">
        <v>12409.59</v>
      </c>
      <c r="DT114" s="3562"/>
      <c r="DU114" s="3561">
        <f t="shared" si="209"/>
        <v>-12409.59</v>
      </c>
      <c r="DV114" s="3563"/>
      <c r="DW114" s="3547" t="s">
        <v>4793</v>
      </c>
      <c r="DX114" s="3609">
        <v>77298.289999999994</v>
      </c>
      <c r="DY114" s="3562"/>
      <c r="DZ114" s="3561">
        <f t="shared" si="175"/>
        <v>-77298.289999999994</v>
      </c>
      <c r="EA114" s="3559">
        <v>12409.59</v>
      </c>
      <c r="EB114" s="3562"/>
      <c r="EC114" s="3561">
        <f t="shared" si="176"/>
        <v>-12409.59</v>
      </c>
      <c r="ED114" s="3563"/>
      <c r="EE114" s="3564"/>
      <c r="EF114" s="3565">
        <f t="shared" si="153"/>
        <v>531875.84742133471</v>
      </c>
      <c r="EG114" s="3565">
        <f t="shared" si="230"/>
        <v>354583.89828088979</v>
      </c>
      <c r="EH114" s="3565">
        <f t="shared" si="230"/>
        <v>662556.77142857132</v>
      </c>
      <c r="EI114" s="3565">
        <f t="shared" si="230"/>
        <v>662556.77142857132</v>
      </c>
      <c r="EJ114" s="3565">
        <f t="shared" si="154"/>
        <v>307972.87314768153</v>
      </c>
      <c r="EK114" s="3565">
        <f t="shared" si="155"/>
        <v>0</v>
      </c>
      <c r="EL114" s="3610"/>
      <c r="EM114" s="3557">
        <f t="shared" si="156"/>
        <v>139821.66750454556</v>
      </c>
      <c r="EN114" s="3557">
        <f t="shared" si="231"/>
        <v>104866.25062840918</v>
      </c>
      <c r="EO114" s="3557">
        <f t="shared" si="231"/>
        <v>105364.44339622643</v>
      </c>
      <c r="EP114" s="3557">
        <f t="shared" si="231"/>
        <v>105364.44339622643</v>
      </c>
      <c r="EQ114" s="3557">
        <f t="shared" si="157"/>
        <v>498.19276781725057</v>
      </c>
      <c r="ER114" s="3557">
        <f t="shared" si="158"/>
        <v>0</v>
      </c>
      <c r="ES114" s="3557"/>
      <c r="ET114" s="3568"/>
      <c r="EU114" s="3569">
        <f>77298.29/1.05</f>
        <v>73617.419047619042</v>
      </c>
      <c r="EV114" s="3562">
        <f>77298.29/1.05*12/365*24+77298.29/1.05-77298.29/1.05*12/365*24</f>
        <v>73617.419047619042</v>
      </c>
      <c r="EW114" s="3547">
        <f t="shared" si="210"/>
        <v>73617.419047619042</v>
      </c>
      <c r="EX114" s="3568">
        <v>11651.8056253788</v>
      </c>
      <c r="EY114" s="3569">
        <f>12409.59/1.06</f>
        <v>11707.16037735849</v>
      </c>
      <c r="EZ114" s="3562">
        <f>12409.59/1.06*12/365*24+12409.59/1.06-12409.59/1.06*12/365*24</f>
        <v>11707.16037735849</v>
      </c>
      <c r="FA114" s="3547">
        <f t="shared" si="211"/>
        <v>55.354751979690263</v>
      </c>
      <c r="FB114" s="3568"/>
      <c r="FC114" s="3569">
        <f>77298.29/1.05</f>
        <v>73617.419047619042</v>
      </c>
      <c r="FD114" s="3562">
        <f>77298.29/1.05*12/365*24+77298.29/1.05-77298.29/1.05*12/365*24</f>
        <v>73617.419047619042</v>
      </c>
      <c r="FE114" s="3547">
        <f t="shared" si="212"/>
        <v>73617.419047619042</v>
      </c>
      <c r="FF114" s="3568">
        <v>11651.8056253788</v>
      </c>
      <c r="FG114" s="3569">
        <f>12409.59/1.06</f>
        <v>11707.16037735849</v>
      </c>
      <c r="FH114" s="3562">
        <f>12409.59/1.06*12/365*24+12409.59/1.06-12409.59/1.06*12/365*24</f>
        <v>11707.16037735849</v>
      </c>
      <c r="FI114" s="3547">
        <f t="shared" si="213"/>
        <v>55.354751979690263</v>
      </c>
      <c r="FJ114" s="3568"/>
      <c r="FK114" s="3569">
        <f>77298.29/1.05</f>
        <v>73617.419047619042</v>
      </c>
      <c r="FL114" s="3562">
        <f>77298.29/1.05*12/365*24+77298.29/1.05-77298.29/1.05*12/365*24</f>
        <v>73617.419047619042</v>
      </c>
      <c r="FM114" s="3547">
        <f t="shared" si="214"/>
        <v>73617.419047619042</v>
      </c>
      <c r="FN114" s="3568">
        <v>11651.8056253788</v>
      </c>
      <c r="FO114" s="3569">
        <f>12409.59/1.06</f>
        <v>11707.16037735849</v>
      </c>
      <c r="FP114" s="3562">
        <f>12409.59/1.06*12/365*24+12409.59/1.06-12409.59/1.06*12/365*24</f>
        <v>11707.16037735849</v>
      </c>
      <c r="FQ114" s="3547">
        <f t="shared" si="215"/>
        <v>55.354751979690263</v>
      </c>
      <c r="FR114" s="3568">
        <v>59097.316380148302</v>
      </c>
      <c r="FS114" s="3569">
        <f>77298.29/1.05</f>
        <v>73617.419047619042</v>
      </c>
      <c r="FT114" s="3560">
        <f>77298.29/1.05*12/365*24+77298.29/1.05-77298.29/1.05*12/365*24</f>
        <v>73617.419047619042</v>
      </c>
      <c r="FU114" s="3547">
        <f t="shared" si="216"/>
        <v>14520.102667470739</v>
      </c>
      <c r="FV114" s="3568">
        <v>11651.8056253788</v>
      </c>
      <c r="FW114" s="3569">
        <f>12409.59/1.06</f>
        <v>11707.16037735849</v>
      </c>
      <c r="FX114" s="3560">
        <f>12409.59/1.06*12/365*24+12409.59/1.06-12409.59/1.06*12/365*24</f>
        <v>11707.16037735849</v>
      </c>
      <c r="FY114" s="3547">
        <f t="shared" si="217"/>
        <v>55.354751979690263</v>
      </c>
      <c r="FZ114" s="3568">
        <v>59097.316380148302</v>
      </c>
      <c r="GA114" s="3569">
        <f>77298.29/1.05</f>
        <v>73617.419047619042</v>
      </c>
      <c r="GB114" s="3560">
        <f>77298.29/1.05*12/365*24+77298.29/1.05-77298.29/1.05*12/365*24</f>
        <v>73617.419047619042</v>
      </c>
      <c r="GC114" s="3547">
        <f t="shared" si="218"/>
        <v>14520.102667470739</v>
      </c>
      <c r="GD114" s="3568">
        <v>11651.8056253788</v>
      </c>
      <c r="GE114" s="3569">
        <f>12409.59/1.06</f>
        <v>11707.16037735849</v>
      </c>
      <c r="GF114" s="3560">
        <f>12409.59/1.06*12/365*24+12409.59/1.06-12409.59/1.06*12/365*24</f>
        <v>11707.16037735849</v>
      </c>
      <c r="GG114" s="3547">
        <f t="shared" si="219"/>
        <v>55.354751979690263</v>
      </c>
      <c r="GH114" s="3568">
        <v>59097.316380148302</v>
      </c>
      <c r="GI114" s="3569">
        <f>77298.29/1.05</f>
        <v>73617.419047619042</v>
      </c>
      <c r="GJ114" s="3562">
        <f>77298.29/1.05*12/365*24+77298.29/1.05-77298.29/1.05*12/365*24</f>
        <v>73617.419047619042</v>
      </c>
      <c r="GK114" s="3547">
        <f t="shared" si="181"/>
        <v>14520.102667470739</v>
      </c>
      <c r="GL114" s="3568">
        <v>11651.8056253788</v>
      </c>
      <c r="GM114" s="3569">
        <f>12409.59/1.06</f>
        <v>11707.16037735849</v>
      </c>
      <c r="GN114" s="3562">
        <f>12409.59/1.06*12/365*24+12409.59/1.06-12409.59/1.06*12/365*24</f>
        <v>11707.16037735849</v>
      </c>
      <c r="GO114" s="3547">
        <f t="shared" si="182"/>
        <v>55.354751979690263</v>
      </c>
      <c r="GP114" s="3568">
        <v>59097.316380148302</v>
      </c>
      <c r="GQ114" s="3569">
        <f>77298.29/1.05</f>
        <v>73617.419047619042</v>
      </c>
      <c r="GR114" s="3562">
        <f>77298.29/1.05*12/365*24+77298.29/1.05-77298.29/1.05*12/365*24</f>
        <v>73617.419047619042</v>
      </c>
      <c r="GS114" s="3547">
        <f t="shared" si="183"/>
        <v>14520.102667470739</v>
      </c>
      <c r="GT114" s="3568">
        <v>11651.8056253788</v>
      </c>
      <c r="GU114" s="3569">
        <f>12409.59/1.06</f>
        <v>11707.16037735849</v>
      </c>
      <c r="GV114" s="3562">
        <f>12409.59/1.06*12/365*24+12409.59/1.06-12409.59/1.06*12/365*24</f>
        <v>11707.16037735849</v>
      </c>
      <c r="GW114" s="3547">
        <f t="shared" si="184"/>
        <v>55.354751979690263</v>
      </c>
      <c r="GX114" s="3568">
        <v>59097.316380148302</v>
      </c>
      <c r="GY114" s="3569">
        <f>77298.29/1.05</f>
        <v>73617.419047619042</v>
      </c>
      <c r="GZ114" s="3562">
        <f>77298.29/1.05*12/365*24+77298.29/1.05-77298.29/1.05*12/365*24</f>
        <v>73617.419047619042</v>
      </c>
      <c r="HA114" s="3547">
        <f t="shared" si="185"/>
        <v>14520.102667470739</v>
      </c>
      <c r="HB114" s="3568">
        <v>11651.8056253788</v>
      </c>
      <c r="HC114" s="3569">
        <f>12409.59/1.06</f>
        <v>11707.16037735849</v>
      </c>
      <c r="HD114" s="3562">
        <f>12409.59/1.06*12/365*24+12409.59/1.06-12409.59/1.06*12/365*24</f>
        <v>11707.16037735849</v>
      </c>
      <c r="HE114" s="3547">
        <f t="shared" si="186"/>
        <v>55.354751979690263</v>
      </c>
      <c r="HF114" s="3568">
        <v>59097.316380148302</v>
      </c>
      <c r="HG114" s="3569">
        <f>77298.29/1.05</f>
        <v>73617.419047619042</v>
      </c>
      <c r="HH114" s="3562">
        <f>77298.29/1.05*12/365*24+77298.29/1.05-77298.29/1.05*12/365*24</f>
        <v>73617.419047619042</v>
      </c>
      <c r="HI114" s="3547">
        <f t="shared" si="224"/>
        <v>14520.102667470739</v>
      </c>
      <c r="HJ114" s="3568">
        <v>11651.8056253788</v>
      </c>
      <c r="HK114" s="3569">
        <f>12409.59/1.06</f>
        <v>11707.16037735849</v>
      </c>
      <c r="HL114" s="3562">
        <f>12409.59/1.06*12/365*24+12409.59/1.06-12409.59/1.06*12/365*24</f>
        <v>11707.16037735849</v>
      </c>
      <c r="HM114" s="3547">
        <f t="shared" si="220"/>
        <v>55.354751979690263</v>
      </c>
      <c r="HN114" s="3568">
        <v>59097.316380148302</v>
      </c>
      <c r="HO114" s="3569">
        <f>77298.29/1.05</f>
        <v>73617.419047619042</v>
      </c>
      <c r="HP114" s="3562">
        <f>77298.29/1.05*12/365*24</f>
        <v>58087.169001956943</v>
      </c>
      <c r="HQ114" s="3547">
        <f t="shared" si="225"/>
        <v>-1010.1473781913592</v>
      </c>
      <c r="HR114" s="3568">
        <v>11651.8056253788</v>
      </c>
      <c r="HS114" s="3569">
        <f>12409.59/1.06</f>
        <v>11707.16037735849</v>
      </c>
      <c r="HT114" s="3562">
        <f>12409.59/1.06*12/365*24</f>
        <v>9237.4306539157405</v>
      </c>
      <c r="HU114" s="3547">
        <f t="shared" si="221"/>
        <v>-2414.3749714630594</v>
      </c>
      <c r="HV114" s="3568">
        <v>59097.316380148302</v>
      </c>
      <c r="HW114" s="3569">
        <f>77298.29/1.05</f>
        <v>73617.419047619042</v>
      </c>
      <c r="HX114" s="3562"/>
      <c r="HY114" s="3547">
        <f t="shared" si="226"/>
        <v>-59097.316380148302</v>
      </c>
      <c r="HZ114" s="3568">
        <v>11651.8056253788</v>
      </c>
      <c r="IA114" s="3569">
        <f>12409.59/1.06</f>
        <v>11707.16037735849</v>
      </c>
      <c r="IB114" s="3562"/>
      <c r="IC114" s="3547">
        <f t="shared" si="222"/>
        <v>-11651.8056253788</v>
      </c>
      <c r="ID114" s="3568">
        <v>59097.316380148302</v>
      </c>
      <c r="IE114" s="3569">
        <f>77298.29/1.05</f>
        <v>73617.419047619042</v>
      </c>
      <c r="IF114" s="3562"/>
      <c r="IG114" s="3547">
        <f t="shared" si="227"/>
        <v>-59097.316380148302</v>
      </c>
      <c r="IH114" s="3568">
        <v>11651.8056253788</v>
      </c>
      <c r="II114" s="3569">
        <f>12409.59/1.06</f>
        <v>11707.16037735849</v>
      </c>
      <c r="IJ114" s="3562"/>
      <c r="IK114" s="3547">
        <f t="shared" si="223"/>
        <v>-11651.8056253788</v>
      </c>
      <c r="IL114" s="3547" t="s">
        <v>4794</v>
      </c>
      <c r="IM114" s="3569">
        <f>77298.29/1.05*12/365*24</f>
        <v>58087.169001956943</v>
      </c>
      <c r="IN114" s="3569">
        <f>12409.59/1.06*12/365*24</f>
        <v>9237.4306539157405</v>
      </c>
      <c r="IO114" s="3607"/>
      <c r="IP114" s="3560">
        <f t="shared" si="195"/>
        <v>0</v>
      </c>
      <c r="IQ114" s="3569"/>
      <c r="IR114" s="3568"/>
      <c r="IS114" s="3568"/>
      <c r="IT114" s="3568"/>
      <c r="IU114" s="3568"/>
      <c r="IV114" s="3568"/>
      <c r="IW114" s="3568"/>
      <c r="IX114" s="3568"/>
      <c r="IY114" s="3568"/>
      <c r="IZ114" s="3560"/>
      <c r="JA114" s="3560"/>
      <c r="JB114" s="3560"/>
      <c r="JC114" s="3560">
        <f t="shared" si="134"/>
        <v>0</v>
      </c>
      <c r="JD114" s="3607"/>
      <c r="JE114" s="3569"/>
      <c r="JF114" s="3568"/>
      <c r="JG114" s="3568"/>
      <c r="JH114" s="3568"/>
      <c r="JI114" s="3568"/>
      <c r="JJ114" s="3568"/>
      <c r="JK114" s="3568"/>
      <c r="JL114" s="3568"/>
      <c r="JM114" s="3568"/>
      <c r="JN114" s="3560"/>
      <c r="JO114" s="3560"/>
      <c r="JP114" s="3607" t="s">
        <v>4795</v>
      </c>
      <c r="JQ114" s="3583">
        <f>77298.29/1.05*12/365*24</f>
        <v>58087.169001956943</v>
      </c>
      <c r="JR114" s="3583">
        <f>12409.59/1.06*12/365*24</f>
        <v>9237.4306539157405</v>
      </c>
      <c r="JS114" s="3573">
        <f t="shared" si="145"/>
        <v>3.4197000786662102E-10</v>
      </c>
      <c r="JT114" s="3573">
        <f t="shared" si="152"/>
        <v>-2.9103830456733704E-11</v>
      </c>
      <c r="JU114" s="3574">
        <f t="shared" si="146"/>
        <v>1.0913936421275139E-10</v>
      </c>
      <c r="JV114" s="3574">
        <f t="shared" si="147"/>
        <v>-2.9103830456733704E-11</v>
      </c>
      <c r="JW114" s="3575"/>
      <c r="JX114" s="3576">
        <f t="shared" si="148"/>
        <v>58087.169001956943</v>
      </c>
      <c r="JY114" s="3576">
        <f t="shared" si="149"/>
        <v>9237.4306539157405</v>
      </c>
      <c r="JZ114" s="3577"/>
      <c r="KA114" s="3573">
        <f>HI114</f>
        <v>14520.102667470739</v>
      </c>
      <c r="KB114" s="3573">
        <f>HM114</f>
        <v>55.354751979690263</v>
      </c>
      <c r="KC114" s="3573"/>
      <c r="KD114" s="3573">
        <f t="shared" si="150"/>
        <v>14575.457419450429</v>
      </c>
      <c r="KE114" s="3587" t="s">
        <v>4619</v>
      </c>
      <c r="KF114" s="3579">
        <f>73672.77/10000*3</f>
        <v>22.101831000000001</v>
      </c>
      <c r="KG114" s="3579"/>
      <c r="KH114" s="3579"/>
      <c r="KI114" s="3579">
        <f>14520.1/10000*6</f>
        <v>8.712060000000001</v>
      </c>
      <c r="KJ114" s="3579"/>
      <c r="KK114" s="3579"/>
      <c r="KL114" s="3579"/>
      <c r="KM114" s="3579"/>
      <c r="KN114" s="3579"/>
      <c r="KO114" s="3579"/>
      <c r="KP114" s="3579">
        <f>55.35/10000*6</f>
        <v>3.3210000000000003E-2</v>
      </c>
      <c r="KQ114" s="3579">
        <f t="shared" si="151"/>
        <v>30.847101000000002</v>
      </c>
      <c r="KR114" s="3579">
        <f t="shared" si="196"/>
        <v>5.591549875560986E-6</v>
      </c>
      <c r="KS114" s="3577"/>
      <c r="KT114" s="3577"/>
      <c r="KU114" s="3577"/>
      <c r="KV114" s="3577"/>
      <c r="KW114" s="3577"/>
      <c r="KX114" s="3577"/>
      <c r="KY114" s="3577"/>
      <c r="KZ114" s="3577"/>
      <c r="LA114" s="3577"/>
      <c r="LB114" s="3577"/>
      <c r="LC114" s="3577"/>
      <c r="LD114" s="3577"/>
      <c r="LE114" s="3577"/>
      <c r="LF114" s="3577"/>
      <c r="LG114" s="3577"/>
      <c r="LH114" s="3577"/>
      <c r="LJ114" s="3575"/>
      <c r="LK114" s="3626"/>
      <c r="LL114" s="3627"/>
    </row>
    <row r="115" spans="1:325" s="3580" customFormat="1" ht="18" customHeight="1">
      <c r="A115" s="3545">
        <v>112</v>
      </c>
      <c r="B115" s="3546" t="s">
        <v>4749</v>
      </c>
      <c r="C115" s="3617" t="s">
        <v>4796</v>
      </c>
      <c r="D115" s="3618">
        <v>260</v>
      </c>
      <c r="E115" s="3548" t="s">
        <v>3799</v>
      </c>
      <c r="F115" s="3546" t="s">
        <v>3790</v>
      </c>
      <c r="G115" s="3546" t="s">
        <v>4797</v>
      </c>
      <c r="H115" s="3546" t="s">
        <v>4798</v>
      </c>
      <c r="I115" s="3594" t="s">
        <v>4771</v>
      </c>
      <c r="J115" s="3594" t="s">
        <v>4772</v>
      </c>
      <c r="K115" s="3545"/>
      <c r="L115" s="3555"/>
      <c r="M115" s="3547">
        <v>177957.78</v>
      </c>
      <c r="N115" s="3547">
        <f>59002.86+118954.92</f>
        <v>177957.78</v>
      </c>
      <c r="O115" s="3551">
        <f t="shared" si="135"/>
        <v>0</v>
      </c>
      <c r="P115" s="3547">
        <v>27734.31</v>
      </c>
      <c r="Q115" s="3547">
        <f>8637.09+19097.22</f>
        <v>27734.31</v>
      </c>
      <c r="R115" s="3547">
        <f t="shared" si="132"/>
        <v>0</v>
      </c>
      <c r="S115" s="3547">
        <f t="shared" si="232"/>
        <v>5.1699995785036883</v>
      </c>
      <c r="T115" s="3547">
        <v>40886.080000000002</v>
      </c>
      <c r="U115" s="3553">
        <f t="shared" si="136"/>
        <v>490632.96000000002</v>
      </c>
      <c r="V115" s="3547">
        <f>T115*12*2</f>
        <v>981265.92000000004</v>
      </c>
      <c r="W115" s="3547">
        <f t="shared" si="233"/>
        <v>0.83000042149631192</v>
      </c>
      <c r="X115" s="3547">
        <v>6563.92</v>
      </c>
      <c r="Y115" s="3547">
        <f t="shared" si="198"/>
        <v>78767.040000000008</v>
      </c>
      <c r="Z115" s="3554"/>
      <c r="AA115" s="3555"/>
      <c r="AB115" s="3680" t="s">
        <v>4187</v>
      </c>
      <c r="AC115" s="3556">
        <f t="shared" si="138"/>
        <v>490632.96000000014</v>
      </c>
      <c r="AD115" s="3556">
        <f t="shared" si="228"/>
        <v>367974.72000000009</v>
      </c>
      <c r="AE115" s="3556">
        <f t="shared" si="228"/>
        <v>367974.72000000009</v>
      </c>
      <c r="AF115" s="3556">
        <f t="shared" si="140"/>
        <v>0</v>
      </c>
      <c r="AG115" s="3556"/>
      <c r="AH115" s="3557">
        <f t="shared" si="141"/>
        <v>78767.039999999994</v>
      </c>
      <c r="AI115" s="3558">
        <f t="shared" si="229"/>
        <v>59075.279999999992</v>
      </c>
      <c r="AJ115" s="3558">
        <f t="shared" si="229"/>
        <v>59075.279999999992</v>
      </c>
      <c r="AK115" s="3557">
        <f t="shared" si="159"/>
        <v>0</v>
      </c>
      <c r="AL115" s="3557"/>
      <c r="AM115" s="3547" t="s">
        <v>4773</v>
      </c>
      <c r="AN115" s="3609">
        <v>40886.080000000002</v>
      </c>
      <c r="AO115" s="3562">
        <v>40886.080000000002</v>
      </c>
      <c r="AP115" s="3561">
        <f t="shared" si="199"/>
        <v>0</v>
      </c>
      <c r="AQ115" s="3559">
        <v>6563.92</v>
      </c>
      <c r="AR115" s="3562">
        <v>6563.92</v>
      </c>
      <c r="AS115" s="3561">
        <f t="shared" si="200"/>
        <v>0</v>
      </c>
      <c r="AT115" s="3563" t="s">
        <v>4774</v>
      </c>
      <c r="AU115" s="3547" t="s">
        <v>4775</v>
      </c>
      <c r="AV115" s="3609">
        <v>40886.080000000002</v>
      </c>
      <c r="AW115" s="3562">
        <v>40886.080000000002</v>
      </c>
      <c r="AX115" s="3561">
        <f t="shared" si="201"/>
        <v>0</v>
      </c>
      <c r="AY115" s="3559">
        <v>6563.92</v>
      </c>
      <c r="AZ115" s="3562">
        <v>6563.92</v>
      </c>
      <c r="BA115" s="3561">
        <f t="shared" si="202"/>
        <v>0</v>
      </c>
      <c r="BB115" s="3563" t="s">
        <v>4776</v>
      </c>
      <c r="BC115" s="3547" t="s">
        <v>4777</v>
      </c>
      <c r="BD115" s="3609">
        <v>40886.080000000002</v>
      </c>
      <c r="BE115" s="3562">
        <v>40886.080000000002</v>
      </c>
      <c r="BF115" s="3561">
        <f t="shared" si="203"/>
        <v>0</v>
      </c>
      <c r="BG115" s="3559">
        <v>6563.92</v>
      </c>
      <c r="BH115" s="3562">
        <v>6563.92</v>
      </c>
      <c r="BI115" s="3561">
        <f t="shared" si="204"/>
        <v>0</v>
      </c>
      <c r="BJ115" s="3563" t="s">
        <v>4778</v>
      </c>
      <c r="BK115" s="3547" t="s">
        <v>4779</v>
      </c>
      <c r="BL115" s="3609">
        <v>40886.080000000002</v>
      </c>
      <c r="BM115" s="3562">
        <v>40886.080000000002</v>
      </c>
      <c r="BN115" s="3561">
        <f t="shared" si="205"/>
        <v>0</v>
      </c>
      <c r="BO115" s="3559">
        <v>6563.92</v>
      </c>
      <c r="BP115" s="3603">
        <v>6563.92</v>
      </c>
      <c r="BQ115" s="3602">
        <f t="shared" si="206"/>
        <v>0</v>
      </c>
      <c r="BR115" s="3630" t="s">
        <v>4780</v>
      </c>
      <c r="BS115" s="3547" t="s">
        <v>4781</v>
      </c>
      <c r="BT115" s="3559">
        <v>40886.080000000002</v>
      </c>
      <c r="BU115" s="3562">
        <v>40886.080000000002</v>
      </c>
      <c r="BV115" s="3561">
        <f t="shared" si="207"/>
        <v>0</v>
      </c>
      <c r="BW115" s="3559">
        <v>6563.92</v>
      </c>
      <c r="BX115" s="3562">
        <v>6563.92</v>
      </c>
      <c r="BY115" s="3561">
        <f t="shared" si="208"/>
        <v>0</v>
      </c>
      <c r="BZ115" s="3630" t="s">
        <v>4782</v>
      </c>
      <c r="CA115" s="3547" t="s">
        <v>4783</v>
      </c>
      <c r="CB115" s="3609">
        <v>40886.080000000002</v>
      </c>
      <c r="CC115" s="3562">
        <v>40886.080000000002</v>
      </c>
      <c r="CD115" s="3561">
        <f t="shared" si="164"/>
        <v>0</v>
      </c>
      <c r="CE115" s="3559">
        <v>6563.92</v>
      </c>
      <c r="CF115" s="3562">
        <v>6563.92</v>
      </c>
      <c r="CG115" s="3561">
        <f t="shared" si="165"/>
        <v>0</v>
      </c>
      <c r="CH115" s="3630" t="s">
        <v>4784</v>
      </c>
      <c r="CI115" s="3547" t="s">
        <v>4785</v>
      </c>
      <c r="CJ115" s="3609">
        <v>40886.080000000002</v>
      </c>
      <c r="CK115" s="3603">
        <v>40886.080000000002</v>
      </c>
      <c r="CL115" s="3602">
        <f t="shared" si="133"/>
        <v>0</v>
      </c>
      <c r="CM115" s="3604">
        <v>6563.92</v>
      </c>
      <c r="CN115" s="3603">
        <v>6563.92</v>
      </c>
      <c r="CO115" s="3561">
        <f t="shared" si="166"/>
        <v>0</v>
      </c>
      <c r="CP115" s="3630" t="s">
        <v>4786</v>
      </c>
      <c r="CQ115" s="3597" t="s">
        <v>4787</v>
      </c>
      <c r="CR115" s="3609">
        <v>40886.080000000002</v>
      </c>
      <c r="CS115" s="3562">
        <v>40886.080000000002</v>
      </c>
      <c r="CT115" s="3561">
        <f t="shared" si="167"/>
        <v>0</v>
      </c>
      <c r="CU115" s="3559">
        <v>6563.92</v>
      </c>
      <c r="CV115" s="3603">
        <v>6563.92</v>
      </c>
      <c r="CW115" s="3561">
        <f t="shared" si="168"/>
        <v>0</v>
      </c>
      <c r="CX115" s="3630" t="s">
        <v>4788</v>
      </c>
      <c r="CY115" s="3597" t="s">
        <v>4789</v>
      </c>
      <c r="CZ115" s="3621">
        <v>40886.080000000002</v>
      </c>
      <c r="DA115" s="3603">
        <v>40886.080000000002</v>
      </c>
      <c r="DB115" s="3602">
        <f t="shared" si="169"/>
        <v>0</v>
      </c>
      <c r="DC115" s="3604">
        <v>6563.92</v>
      </c>
      <c r="DD115" s="3603">
        <v>6563.92</v>
      </c>
      <c r="DE115" s="3561">
        <f t="shared" si="170"/>
        <v>0</v>
      </c>
      <c r="DF115" s="3630" t="s">
        <v>4790</v>
      </c>
      <c r="DG115" s="3547" t="s">
        <v>4791</v>
      </c>
      <c r="DH115" s="3609">
        <v>40886.080000000002</v>
      </c>
      <c r="DI115" s="3562"/>
      <c r="DJ115" s="3561">
        <f t="shared" si="171"/>
        <v>-40886.080000000002</v>
      </c>
      <c r="DK115" s="3559">
        <v>6563.92</v>
      </c>
      <c r="DL115" s="3562"/>
      <c r="DM115" s="3561">
        <f t="shared" si="172"/>
        <v>-6563.92</v>
      </c>
      <c r="DN115" s="3563"/>
      <c r="DO115" s="3547" t="s">
        <v>4792</v>
      </c>
      <c r="DP115" s="3609">
        <v>40886.080000000002</v>
      </c>
      <c r="DQ115" s="3562"/>
      <c r="DR115" s="3561">
        <f t="shared" si="173"/>
        <v>-40886.080000000002</v>
      </c>
      <c r="DS115" s="3559">
        <v>6563.92</v>
      </c>
      <c r="DT115" s="3562"/>
      <c r="DU115" s="3561">
        <f t="shared" si="209"/>
        <v>-6563.92</v>
      </c>
      <c r="DV115" s="3563"/>
      <c r="DW115" s="3547" t="s">
        <v>4793</v>
      </c>
      <c r="DX115" s="3609">
        <v>40886.080000000002</v>
      </c>
      <c r="DY115" s="3562"/>
      <c r="DZ115" s="3561">
        <f t="shared" si="175"/>
        <v>-40886.080000000002</v>
      </c>
      <c r="EA115" s="3559">
        <v>6563.92</v>
      </c>
      <c r="EB115" s="3562"/>
      <c r="EC115" s="3561">
        <f t="shared" si="176"/>
        <v>-6563.92</v>
      </c>
      <c r="ED115" s="3563"/>
      <c r="EE115" s="3564"/>
      <c r="EF115" s="3565">
        <f t="shared" si="153"/>
        <v>281329.91624361143</v>
      </c>
      <c r="EG115" s="3565">
        <f t="shared" si="230"/>
        <v>187553.27749574097</v>
      </c>
      <c r="EH115" s="3565">
        <f t="shared" si="230"/>
        <v>350452.11428571434</v>
      </c>
      <c r="EI115" s="3565">
        <f t="shared" si="230"/>
        <v>350452.11428571423</v>
      </c>
      <c r="EJ115" s="3565">
        <f t="shared" si="154"/>
        <v>162898.83678997325</v>
      </c>
      <c r="EK115" s="3565">
        <f t="shared" si="155"/>
        <v>0</v>
      </c>
      <c r="EL115" s="3610"/>
      <c r="EM115" s="3557">
        <f t="shared" si="156"/>
        <v>73957.142815953237</v>
      </c>
      <c r="EN115" s="3557">
        <f t="shared" si="231"/>
        <v>55467.85711196492</v>
      </c>
      <c r="EO115" s="3557">
        <f t="shared" si="231"/>
        <v>55731.39622641509</v>
      </c>
      <c r="EP115" s="3557">
        <f t="shared" si="231"/>
        <v>55731.39622641509</v>
      </c>
      <c r="EQ115" s="3557">
        <f t="shared" si="157"/>
        <v>263.53911445017002</v>
      </c>
      <c r="ER115" s="3557">
        <f t="shared" si="158"/>
        <v>0</v>
      </c>
      <c r="ES115" s="3557"/>
      <c r="ET115" s="3568"/>
      <c r="EU115" s="3569">
        <f>40886.08/1.05</f>
        <v>38939.123809523808</v>
      </c>
      <c r="EV115" s="3562">
        <f>40886.08/1.05*12/365*24+40886.08/1.05-40886.08/1.05*12/365*24</f>
        <v>38939.1238095238</v>
      </c>
      <c r="EW115" s="3547">
        <f t="shared" si="210"/>
        <v>38939.1238095238</v>
      </c>
      <c r="EX115" s="3568">
        <v>6163.0952346627701</v>
      </c>
      <c r="EY115" s="3569">
        <f>6563.92/1.06</f>
        <v>6192.3773584905657</v>
      </c>
      <c r="EZ115" s="3562">
        <f>6563.92/1.06*12/365*24+6563.92/1.06-6563.92/1.06*12/365*24</f>
        <v>6192.3773584905657</v>
      </c>
      <c r="FA115" s="3547">
        <f t="shared" si="211"/>
        <v>29.282123827795658</v>
      </c>
      <c r="FB115" s="3568"/>
      <c r="FC115" s="3569">
        <f>40886.08/1.05</f>
        <v>38939.123809523808</v>
      </c>
      <c r="FD115" s="3562">
        <f>40886.08/1.05*12/365*24+40886.08/1.05-40886.08/1.05*12/365*24</f>
        <v>38939.1238095238</v>
      </c>
      <c r="FE115" s="3547">
        <f t="shared" si="212"/>
        <v>38939.1238095238</v>
      </c>
      <c r="FF115" s="3568">
        <v>6163.0952346627701</v>
      </c>
      <c r="FG115" s="3569">
        <f>6563.92/1.06</f>
        <v>6192.3773584905657</v>
      </c>
      <c r="FH115" s="3562">
        <f>6563.92/1.06*12/365*24+6563.92/1.06-6563.92/1.06*12/365*24</f>
        <v>6192.3773584905657</v>
      </c>
      <c r="FI115" s="3547">
        <f t="shared" si="213"/>
        <v>29.282123827795658</v>
      </c>
      <c r="FJ115" s="3568"/>
      <c r="FK115" s="3569">
        <f>40886.08/1.05</f>
        <v>38939.123809523808</v>
      </c>
      <c r="FL115" s="3562">
        <f>40886.08/1.05*12/365*24+40886.08/1.05-40886.08/1.05*12/365*24</f>
        <v>38939.1238095238</v>
      </c>
      <c r="FM115" s="3547">
        <f t="shared" si="214"/>
        <v>38939.1238095238</v>
      </c>
      <c r="FN115" s="3568">
        <v>6163.0952346627701</v>
      </c>
      <c r="FO115" s="3569">
        <f>6563.92/1.06</f>
        <v>6192.3773584905657</v>
      </c>
      <c r="FP115" s="3562">
        <f>6563.92/1.06*12/365*24+6563.92/1.06-6563.92/1.06*12/365*24</f>
        <v>6192.3773584905657</v>
      </c>
      <c r="FQ115" s="3547">
        <f t="shared" si="215"/>
        <v>29.282123827795658</v>
      </c>
      <c r="FR115" s="3568">
        <v>31258.8795826235</v>
      </c>
      <c r="FS115" s="3569">
        <f>40886.08/1.05</f>
        <v>38939.123809523808</v>
      </c>
      <c r="FT115" s="3560">
        <f>40886.08/1.05*12/365*24+40886.08/1.05-40886.08/1.05*12/365*24</f>
        <v>38939.1238095238</v>
      </c>
      <c r="FU115" s="3547">
        <f t="shared" si="216"/>
        <v>7680.2442269003004</v>
      </c>
      <c r="FV115" s="3568">
        <v>6163.0952346627701</v>
      </c>
      <c r="FW115" s="3569">
        <f>6563.92/1.06</f>
        <v>6192.3773584905657</v>
      </c>
      <c r="FX115" s="3560">
        <f>6563.92/1.06*12/365*24+6563.92/1.06-6563.92/1.06*12/365*24</f>
        <v>6192.3773584905657</v>
      </c>
      <c r="FY115" s="3547">
        <f t="shared" si="217"/>
        <v>29.282123827795658</v>
      </c>
      <c r="FZ115" s="3568">
        <v>31258.8795826235</v>
      </c>
      <c r="GA115" s="3569">
        <f>40886.08/1.05</f>
        <v>38939.123809523808</v>
      </c>
      <c r="GB115" s="3560">
        <f>40886.08/1.05*12/365*24+40886.08/1.05-40886.08/1.05*12/365*24</f>
        <v>38939.1238095238</v>
      </c>
      <c r="GC115" s="3547">
        <f t="shared" si="218"/>
        <v>7680.2442269003004</v>
      </c>
      <c r="GD115" s="3568">
        <v>6163.0952346627701</v>
      </c>
      <c r="GE115" s="3569">
        <f>6563.92/1.06</f>
        <v>6192.3773584905657</v>
      </c>
      <c r="GF115" s="3560">
        <f>6563.92/1.06*12/365*24+6563.92/1.06-6563.92/1.06*12/365*24</f>
        <v>6192.3773584905657</v>
      </c>
      <c r="GG115" s="3547">
        <f t="shared" si="219"/>
        <v>29.282123827795658</v>
      </c>
      <c r="GH115" s="3568">
        <v>31258.8795826235</v>
      </c>
      <c r="GI115" s="3569">
        <f>40886.08/1.05</f>
        <v>38939.123809523808</v>
      </c>
      <c r="GJ115" s="3562">
        <f>40886.08/1.05*12/365*24+40886.08/1.05-40886.08/1.05*12/365*24</f>
        <v>38939.1238095238</v>
      </c>
      <c r="GK115" s="3547">
        <f t="shared" si="181"/>
        <v>7680.2442269003004</v>
      </c>
      <c r="GL115" s="3568">
        <v>6163.0952346627701</v>
      </c>
      <c r="GM115" s="3569">
        <f>6563.92/1.06</f>
        <v>6192.3773584905657</v>
      </c>
      <c r="GN115" s="3562">
        <f>6563.92/1.06*12/365*24+6563.92/1.06-6563.92/1.06*12/365*24</f>
        <v>6192.3773584905657</v>
      </c>
      <c r="GO115" s="3547">
        <f t="shared" si="182"/>
        <v>29.282123827795658</v>
      </c>
      <c r="GP115" s="3568">
        <v>31258.8795826235</v>
      </c>
      <c r="GQ115" s="3569">
        <f>40886.08/1.05</f>
        <v>38939.123809523808</v>
      </c>
      <c r="GR115" s="3562">
        <f>40886.08/1.05*12/365*24+40886.08/1.05-40886.08/1.05*12/365*24</f>
        <v>38939.1238095238</v>
      </c>
      <c r="GS115" s="3547">
        <f t="shared" si="183"/>
        <v>7680.2442269003004</v>
      </c>
      <c r="GT115" s="3568">
        <v>6163.0952346627701</v>
      </c>
      <c r="GU115" s="3569">
        <f>6563.92/1.06</f>
        <v>6192.3773584905657</v>
      </c>
      <c r="GV115" s="3562">
        <f>6563.92/1.06*12/365*24+6563.92/1.06-6563.92/1.06*12/365*24</f>
        <v>6192.3773584905657</v>
      </c>
      <c r="GW115" s="3547">
        <f t="shared" si="184"/>
        <v>29.282123827795658</v>
      </c>
      <c r="GX115" s="3568">
        <v>31258.8795826235</v>
      </c>
      <c r="GY115" s="3569">
        <f>40886.08/1.05</f>
        <v>38939.123809523808</v>
      </c>
      <c r="GZ115" s="3562">
        <f>40886.08/1.05*12/365*24+40886.08/1.05-40886.08/1.05*12/365*24</f>
        <v>38939.1238095238</v>
      </c>
      <c r="HA115" s="3547">
        <f t="shared" si="185"/>
        <v>7680.2442269003004</v>
      </c>
      <c r="HB115" s="3568">
        <v>6163.0952346627701</v>
      </c>
      <c r="HC115" s="3569">
        <f>6563.92/1.06</f>
        <v>6192.3773584905657</v>
      </c>
      <c r="HD115" s="3562">
        <f>6563.92/1.06*12/365*24+6563.92/1.06-6563.92/1.06*12/365*24</f>
        <v>6192.3773584905657</v>
      </c>
      <c r="HE115" s="3547">
        <f t="shared" si="186"/>
        <v>29.282123827795658</v>
      </c>
      <c r="HF115" s="3568">
        <v>31258.8795826235</v>
      </c>
      <c r="HG115" s="3569">
        <f>40886.08/1.05</f>
        <v>38939.123809523808</v>
      </c>
      <c r="HH115" s="3562">
        <f>40886.08/1.05*12/365*24+40886.08/1.05-40886.08/1.05*12/365*24</f>
        <v>38939.1238095238</v>
      </c>
      <c r="HI115" s="3547">
        <f t="shared" si="224"/>
        <v>7680.2442269003004</v>
      </c>
      <c r="HJ115" s="3568">
        <v>6163.0952346627701</v>
      </c>
      <c r="HK115" s="3569">
        <f>6563.92/1.06</f>
        <v>6192.3773584905657</v>
      </c>
      <c r="HL115" s="3562">
        <f>6563.92/1.06*12/365*24+6563.92/1.06-6563.92/1.06*12/365*24</f>
        <v>6192.3773584905657</v>
      </c>
      <c r="HM115" s="3547">
        <f t="shared" si="220"/>
        <v>29.282123827795658</v>
      </c>
      <c r="HN115" s="3568">
        <v>31258.8795826235</v>
      </c>
      <c r="HO115" s="3569">
        <f>40886.08/1.05</f>
        <v>38939.123809523808</v>
      </c>
      <c r="HP115" s="3562">
        <f>40886.08/1.05*12/365*24</f>
        <v>30724.568923679057</v>
      </c>
      <c r="HQ115" s="3547">
        <f t="shared" si="225"/>
        <v>-534.31065894444328</v>
      </c>
      <c r="HR115" s="3568">
        <v>6163.0952346627701</v>
      </c>
      <c r="HS115" s="3569">
        <f>6563.92/1.06</f>
        <v>6192.3773584905657</v>
      </c>
      <c r="HT115" s="3562">
        <f>6563.92/1.06*12/365*24</f>
        <v>4886.0402171103642</v>
      </c>
      <c r="HU115" s="3547">
        <f t="shared" si="221"/>
        <v>-1277.0550175524058</v>
      </c>
      <c r="HV115" s="3568">
        <v>31258.8795826235</v>
      </c>
      <c r="HW115" s="3569">
        <f>40886.08/1.05</f>
        <v>38939.123809523808</v>
      </c>
      <c r="HX115" s="3562"/>
      <c r="HY115" s="3547">
        <f t="shared" si="226"/>
        <v>-31258.8795826235</v>
      </c>
      <c r="HZ115" s="3568">
        <v>6163.0952346627701</v>
      </c>
      <c r="IA115" s="3569">
        <f>6563.92/1.06</f>
        <v>6192.3773584905657</v>
      </c>
      <c r="IB115" s="3562"/>
      <c r="IC115" s="3547">
        <f t="shared" si="222"/>
        <v>-6163.0952346627701</v>
      </c>
      <c r="ID115" s="3568">
        <v>31258.8795826235</v>
      </c>
      <c r="IE115" s="3569">
        <f>40886.08/1.05</f>
        <v>38939.123809523808</v>
      </c>
      <c r="IF115" s="3562"/>
      <c r="IG115" s="3547">
        <f t="shared" si="227"/>
        <v>-31258.8795826235</v>
      </c>
      <c r="IH115" s="3568">
        <v>6163.0952346627701</v>
      </c>
      <c r="II115" s="3569">
        <f>6563.92/1.06</f>
        <v>6192.3773584905657</v>
      </c>
      <c r="IJ115" s="3562"/>
      <c r="IK115" s="3547">
        <f t="shared" si="223"/>
        <v>-6163.0952346627701</v>
      </c>
      <c r="IL115" s="3547" t="s">
        <v>4794</v>
      </c>
      <c r="IM115" s="3569">
        <f>40886.08/1.05*12/365*24</f>
        <v>30724.568923679057</v>
      </c>
      <c r="IN115" s="3569">
        <f>6563.92/1.06*12/365*24</f>
        <v>4886.0402171103642</v>
      </c>
      <c r="IO115" s="3607"/>
      <c r="IP115" s="3560">
        <f t="shared" si="195"/>
        <v>0</v>
      </c>
      <c r="IQ115" s="3569"/>
      <c r="IR115" s="3568"/>
      <c r="IS115" s="3568"/>
      <c r="IT115" s="3568"/>
      <c r="IU115" s="3568"/>
      <c r="IV115" s="3568"/>
      <c r="IW115" s="3568"/>
      <c r="IX115" s="3568"/>
      <c r="IY115" s="3568"/>
      <c r="IZ115" s="3560"/>
      <c r="JA115" s="3560"/>
      <c r="JB115" s="3560"/>
      <c r="JC115" s="3560">
        <f t="shared" si="134"/>
        <v>0</v>
      </c>
      <c r="JD115" s="3607"/>
      <c r="JE115" s="3569"/>
      <c r="JF115" s="3568"/>
      <c r="JG115" s="3568"/>
      <c r="JH115" s="3568"/>
      <c r="JI115" s="3568"/>
      <c r="JJ115" s="3568"/>
      <c r="JK115" s="3568"/>
      <c r="JL115" s="3568"/>
      <c r="JM115" s="3568"/>
      <c r="JN115" s="3560"/>
      <c r="JO115" s="3560"/>
      <c r="JP115" s="3607" t="s">
        <v>4795</v>
      </c>
      <c r="JQ115" s="3583">
        <f>40886.08/1.05*12/365*24</f>
        <v>30724.568923679057</v>
      </c>
      <c r="JR115" s="3583">
        <f>6563.92/1.06*12/365*24</f>
        <v>4886.0402171103642</v>
      </c>
      <c r="JS115" s="3573">
        <f t="shared" si="145"/>
        <v>0</v>
      </c>
      <c r="JT115" s="3573">
        <f t="shared" si="152"/>
        <v>-1.546140993013978E-11</v>
      </c>
      <c r="JU115" s="3574">
        <f t="shared" si="146"/>
        <v>1.2369127944111824E-10</v>
      </c>
      <c r="JV115" s="3574">
        <f t="shared" si="147"/>
        <v>-8.1854523159563541E-12</v>
      </c>
      <c r="JW115" s="3575"/>
      <c r="JX115" s="3576">
        <f t="shared" si="148"/>
        <v>30724.568923679057</v>
      </c>
      <c r="JY115" s="3576">
        <f t="shared" si="149"/>
        <v>4886.0402171103642</v>
      </c>
      <c r="JZ115" s="3577"/>
      <c r="KA115" s="3573">
        <f>HI115</f>
        <v>7680.2442269003004</v>
      </c>
      <c r="KB115" s="3573">
        <f>HM115</f>
        <v>29.282123827795658</v>
      </c>
      <c r="KC115" s="3573"/>
      <c r="KD115" s="3573">
        <f t="shared" si="150"/>
        <v>7709.5263507280961</v>
      </c>
      <c r="KE115" s="3587" t="s">
        <v>4619</v>
      </c>
      <c r="KF115" s="3579">
        <f>38968.41/10000*3</f>
        <v>11.690523000000001</v>
      </c>
      <c r="KG115" s="3579"/>
      <c r="KH115" s="3579"/>
      <c r="KI115" s="3579">
        <f>7680.24/10000*6</f>
        <v>4.6081439999999994</v>
      </c>
      <c r="KJ115" s="3579"/>
      <c r="KK115" s="3579"/>
      <c r="KL115" s="3579"/>
      <c r="KM115" s="3579"/>
      <c r="KN115" s="3579"/>
      <c r="KO115" s="3579"/>
      <c r="KP115" s="3579">
        <f>29.28/10000*6</f>
        <v>1.7568E-2</v>
      </c>
      <c r="KQ115" s="3579">
        <f t="shared" si="151"/>
        <v>16.316235000000002</v>
      </c>
      <c r="KR115" s="3579">
        <f t="shared" si="196"/>
        <v>2.5904423388567466E-6</v>
      </c>
      <c r="KS115" s="3577"/>
      <c r="KT115" s="3577"/>
      <c r="KU115" s="3577"/>
      <c r="KV115" s="3577"/>
      <c r="KW115" s="3577"/>
      <c r="KX115" s="3577"/>
      <c r="KY115" s="3577"/>
      <c r="KZ115" s="3577"/>
      <c r="LA115" s="3577"/>
      <c r="LB115" s="3577"/>
      <c r="LC115" s="3577"/>
      <c r="LD115" s="3577"/>
      <c r="LE115" s="3577"/>
      <c r="LF115" s="3577"/>
      <c r="LG115" s="3577"/>
      <c r="LH115" s="3577"/>
      <c r="LJ115" s="3575"/>
      <c r="LK115" s="3626"/>
      <c r="LL115" s="3627"/>
    </row>
    <row r="116" spans="1:325" s="3580" customFormat="1" ht="18" customHeight="1">
      <c r="A116" s="3545">
        <v>113</v>
      </c>
      <c r="B116" s="3546" t="s">
        <v>4749</v>
      </c>
      <c r="C116" s="3617" t="s">
        <v>4799</v>
      </c>
      <c r="D116" s="3618">
        <v>30.15</v>
      </c>
      <c r="E116" s="3548" t="s">
        <v>3799</v>
      </c>
      <c r="F116" s="3546" t="s">
        <v>3790</v>
      </c>
      <c r="G116" s="3546" t="s">
        <v>4800</v>
      </c>
      <c r="H116" s="3546" t="s">
        <v>4801</v>
      </c>
      <c r="I116" s="3594" t="s">
        <v>3794</v>
      </c>
      <c r="J116" s="3653" t="s">
        <v>4752</v>
      </c>
      <c r="K116" s="3545"/>
      <c r="L116" s="3555"/>
      <c r="M116" s="3547">
        <v>11472.45</v>
      </c>
      <c r="N116" s="3547">
        <v>11472.45</v>
      </c>
      <c r="O116" s="3551">
        <f t="shared" si="135"/>
        <v>0</v>
      </c>
      <c r="P116" s="3547">
        <v>2283.48</v>
      </c>
      <c r="Q116" s="3547">
        <v>2283.48</v>
      </c>
      <c r="R116" s="3547">
        <f t="shared" si="132"/>
        <v>0</v>
      </c>
      <c r="S116" s="3547">
        <f t="shared" si="232"/>
        <v>4.1699993184761128</v>
      </c>
      <c r="T116" s="3690">
        <v>3824.15</v>
      </c>
      <c r="U116" s="3553">
        <f t="shared" si="136"/>
        <v>45889.8</v>
      </c>
      <c r="V116" s="3547">
        <v>128718.8925</v>
      </c>
      <c r="W116" s="3547">
        <f t="shared" si="233"/>
        <v>0.82999795542833787</v>
      </c>
      <c r="X116" s="3547">
        <v>761.16</v>
      </c>
      <c r="Y116" s="3547">
        <f t="shared" si="198"/>
        <v>9133.92</v>
      </c>
      <c r="Z116" s="3554"/>
      <c r="AA116" s="3555"/>
      <c r="AB116" s="3680" t="s">
        <v>4753</v>
      </c>
      <c r="AC116" s="3556">
        <f t="shared" si="138"/>
        <v>49713.950000000004</v>
      </c>
      <c r="AD116" s="3556">
        <f t="shared" si="228"/>
        <v>42065.65</v>
      </c>
      <c r="AE116" s="3556">
        <f t="shared" si="228"/>
        <v>42065.65</v>
      </c>
      <c r="AF116" s="3556">
        <f t="shared" si="140"/>
        <v>0</v>
      </c>
      <c r="AG116" s="3556"/>
      <c r="AH116" s="3557">
        <f t="shared" si="141"/>
        <v>11417.4</v>
      </c>
      <c r="AI116" s="3558">
        <f t="shared" si="229"/>
        <v>9133.92</v>
      </c>
      <c r="AJ116" s="3558">
        <f t="shared" si="229"/>
        <v>9133.92</v>
      </c>
      <c r="AK116" s="3557">
        <f t="shared" si="159"/>
        <v>0</v>
      </c>
      <c r="AL116" s="3557"/>
      <c r="AM116" s="3547" t="s">
        <v>4754</v>
      </c>
      <c r="AN116" s="3609">
        <v>7648.3</v>
      </c>
      <c r="AO116" s="3562">
        <v>7648.3</v>
      </c>
      <c r="AP116" s="3561">
        <f t="shared" si="199"/>
        <v>0</v>
      </c>
      <c r="AQ116" s="3559">
        <v>2283.48</v>
      </c>
      <c r="AR116" s="3562">
        <v>2283.48</v>
      </c>
      <c r="AS116" s="3561">
        <f t="shared" si="200"/>
        <v>0</v>
      </c>
      <c r="AT116" s="3563" t="s">
        <v>4755</v>
      </c>
      <c r="AU116" s="3547"/>
      <c r="AV116" s="3609"/>
      <c r="AW116" s="3562"/>
      <c r="AX116" s="3561">
        <f t="shared" si="201"/>
        <v>0</v>
      </c>
      <c r="AY116" s="3559"/>
      <c r="AZ116" s="3562"/>
      <c r="BA116" s="3561">
        <f t="shared" si="202"/>
        <v>0</v>
      </c>
      <c r="BB116" s="3563" t="s">
        <v>4755</v>
      </c>
      <c r="BC116" s="3547" t="s">
        <v>4756</v>
      </c>
      <c r="BD116" s="3609">
        <f>3824.15*3</f>
        <v>11472.45</v>
      </c>
      <c r="BE116" s="3562">
        <v>11472.45</v>
      </c>
      <c r="BF116" s="3561">
        <f t="shared" si="203"/>
        <v>0</v>
      </c>
      <c r="BG116" s="3559">
        <f>761.16*3</f>
        <v>2283.48</v>
      </c>
      <c r="BH116" s="3562">
        <v>2283.48</v>
      </c>
      <c r="BI116" s="3561">
        <f t="shared" si="204"/>
        <v>0</v>
      </c>
      <c r="BJ116" s="3563" t="s">
        <v>4757</v>
      </c>
      <c r="BK116" s="3547"/>
      <c r="BL116" s="3609"/>
      <c r="BM116" s="3562"/>
      <c r="BN116" s="3561">
        <f t="shared" si="205"/>
        <v>0</v>
      </c>
      <c r="BO116" s="3559"/>
      <c r="BP116" s="3562"/>
      <c r="BQ116" s="3561">
        <f t="shared" si="206"/>
        <v>0</v>
      </c>
      <c r="BR116" s="3563" t="s">
        <v>4757</v>
      </c>
      <c r="BS116" s="3547"/>
      <c r="BT116" s="3559"/>
      <c r="BU116" s="3562"/>
      <c r="BV116" s="3561">
        <f t="shared" si="207"/>
        <v>0</v>
      </c>
      <c r="BW116" s="3559"/>
      <c r="BX116" s="3562"/>
      <c r="BY116" s="3561">
        <f t="shared" si="208"/>
        <v>0</v>
      </c>
      <c r="BZ116" s="3563" t="s">
        <v>4757</v>
      </c>
      <c r="CA116" s="3547" t="s">
        <v>4758</v>
      </c>
      <c r="CB116" s="3609">
        <f>3824.15*3</f>
        <v>11472.45</v>
      </c>
      <c r="CC116" s="3562">
        <v>11472.45</v>
      </c>
      <c r="CD116" s="3561">
        <f t="shared" si="164"/>
        <v>0</v>
      </c>
      <c r="CE116" s="3559">
        <f>761.16*3</f>
        <v>2283.48</v>
      </c>
      <c r="CF116" s="3562">
        <v>2283.48</v>
      </c>
      <c r="CG116" s="3561">
        <f t="shared" si="165"/>
        <v>0</v>
      </c>
      <c r="CH116" s="3630" t="s">
        <v>4759</v>
      </c>
      <c r="CI116" s="3547"/>
      <c r="CJ116" s="3609"/>
      <c r="CK116" s="3562"/>
      <c r="CL116" s="3561">
        <f t="shared" si="133"/>
        <v>0</v>
      </c>
      <c r="CM116" s="3559"/>
      <c r="CN116" s="3562"/>
      <c r="CO116" s="3561">
        <f t="shared" si="166"/>
        <v>0</v>
      </c>
      <c r="CP116" s="3630" t="s">
        <v>4759</v>
      </c>
      <c r="CQ116" s="3547"/>
      <c r="CR116" s="3609"/>
      <c r="CS116" s="3562"/>
      <c r="CT116" s="3561">
        <f t="shared" si="167"/>
        <v>0</v>
      </c>
      <c r="CU116" s="3559"/>
      <c r="CV116" s="3562"/>
      <c r="CW116" s="3561">
        <f t="shared" si="168"/>
        <v>0</v>
      </c>
      <c r="CX116" s="3630" t="s">
        <v>4759</v>
      </c>
      <c r="CY116" s="3597" t="s">
        <v>4760</v>
      </c>
      <c r="CZ116" s="3621">
        <f>3824.15*3</f>
        <v>11472.45</v>
      </c>
      <c r="DA116" s="3603">
        <v>11472.45</v>
      </c>
      <c r="DB116" s="3602">
        <f t="shared" si="169"/>
        <v>0</v>
      </c>
      <c r="DC116" s="3604">
        <f>761.16*3</f>
        <v>2283.48</v>
      </c>
      <c r="DD116" s="3603">
        <v>2283.48</v>
      </c>
      <c r="DE116" s="3561">
        <f t="shared" si="170"/>
        <v>0</v>
      </c>
      <c r="DF116" s="3630" t="s">
        <v>4761</v>
      </c>
      <c r="DG116" s="3547"/>
      <c r="DH116" s="3609"/>
      <c r="DI116" s="3562"/>
      <c r="DJ116" s="3561">
        <f t="shared" si="171"/>
        <v>0</v>
      </c>
      <c r="DK116" s="3559"/>
      <c r="DL116" s="3562"/>
      <c r="DM116" s="3561">
        <f t="shared" si="172"/>
        <v>0</v>
      </c>
      <c r="DN116" s="3563"/>
      <c r="DO116" s="3547"/>
      <c r="DP116" s="3609"/>
      <c r="DQ116" s="3562"/>
      <c r="DR116" s="3561">
        <f t="shared" si="173"/>
        <v>0</v>
      </c>
      <c r="DS116" s="3559"/>
      <c r="DT116" s="3562"/>
      <c r="DU116" s="3561">
        <f t="shared" si="209"/>
        <v>0</v>
      </c>
      <c r="DV116" s="3563"/>
      <c r="DW116" s="3547" t="s">
        <v>4762</v>
      </c>
      <c r="DX116" s="3601">
        <f>3824.15*2</f>
        <v>7648.3</v>
      </c>
      <c r="DY116" s="3562"/>
      <c r="DZ116" s="3561">
        <f t="shared" si="175"/>
        <v>-7648.3</v>
      </c>
      <c r="EA116" s="3559">
        <f>761.16*3</f>
        <v>2283.48</v>
      </c>
      <c r="EB116" s="3562"/>
      <c r="EC116" s="3561">
        <f t="shared" si="176"/>
        <v>-2283.48</v>
      </c>
      <c r="ED116" s="3563"/>
      <c r="EE116" s="3564"/>
      <c r="EF116" s="3565">
        <f t="shared" si="153"/>
        <v>32623.449902864904</v>
      </c>
      <c r="EG116" s="3565">
        <f t="shared" si="230"/>
        <v>21748.966601909939</v>
      </c>
      <c r="EH116" s="3565">
        <f t="shared" si="230"/>
        <v>29186.272015655573</v>
      </c>
      <c r="EI116" s="3565">
        <f t="shared" si="230"/>
        <v>29186.272015655573</v>
      </c>
      <c r="EJ116" s="3565">
        <f t="shared" si="154"/>
        <v>7437.3054137456347</v>
      </c>
      <c r="EK116" s="3566">
        <f t="shared" si="155"/>
        <v>0</v>
      </c>
      <c r="EL116" s="3610"/>
      <c r="EM116" s="3567">
        <f t="shared" si="156"/>
        <v>8576.1840611576499</v>
      </c>
      <c r="EN116" s="3557">
        <f t="shared" si="231"/>
        <v>6432.1380458682379</v>
      </c>
      <c r="EO116" s="3557">
        <f t="shared" si="231"/>
        <v>6472.5158955802517</v>
      </c>
      <c r="EP116" s="3557">
        <f t="shared" si="231"/>
        <v>6472.5158955802517</v>
      </c>
      <c r="EQ116" s="3557">
        <f t="shared" si="157"/>
        <v>40.377849712013813</v>
      </c>
      <c r="ER116" s="3557">
        <f t="shared" si="158"/>
        <v>0</v>
      </c>
      <c r="ES116" s="3557"/>
      <c r="ET116" s="3568"/>
      <c r="EU116" s="3592">
        <f>3824.15/1.05-3824.15*12/365*30/1.05</f>
        <v>49.891063274624685</v>
      </c>
      <c r="EV116" s="3562">
        <f>7648.3/2/1.05-7648.3/2/1.05*12/365*30</f>
        <v>49.891063274624685</v>
      </c>
      <c r="EW116" s="3547">
        <f t="shared" si="210"/>
        <v>49.891063274624685</v>
      </c>
      <c r="EX116" s="3568">
        <v>714.68200509647102</v>
      </c>
      <c r="EY116" s="3592">
        <f>761.16/1.06+761.16/1.06-761.16*12/365*30/1.06</f>
        <v>727.91212199534755</v>
      </c>
      <c r="EZ116" s="3562">
        <f>2283.48/3/1.06+2283.48/3/1.06-2283.48/3/1.06*12/365*30</f>
        <v>727.91212199534755</v>
      </c>
      <c r="FA116" s="3547">
        <f t="shared" si="211"/>
        <v>13.230116898876531</v>
      </c>
      <c r="FB116" s="3568"/>
      <c r="FC116" s="3569">
        <f>3824.15/1.05</f>
        <v>3642.0476190476188</v>
      </c>
      <c r="FD116" s="3562">
        <f>7648.3/2/1.05</f>
        <v>3642.0476190476188</v>
      </c>
      <c r="FE116" s="3547">
        <f t="shared" si="212"/>
        <v>3642.0476190476188</v>
      </c>
      <c r="FF116" s="3568">
        <v>714.68200509647102</v>
      </c>
      <c r="FG116" s="3568">
        <f>761.16/1.06</f>
        <v>718.07547169811312</v>
      </c>
      <c r="FH116" s="3562">
        <f>2283.48/3/1.06</f>
        <v>718.07547169811312</v>
      </c>
      <c r="FI116" s="3547">
        <f t="shared" si="213"/>
        <v>3.3934666016421033</v>
      </c>
      <c r="FJ116" s="3568"/>
      <c r="FK116" s="3569">
        <f>3824.15/1.05</f>
        <v>3642.0476190476188</v>
      </c>
      <c r="FL116" s="3562">
        <f>7648.3/2/1.05*12/365*30+11472.45/3/1.05-7648.3/2/1.05*12/365*30</f>
        <v>3642.0476190476188</v>
      </c>
      <c r="FM116" s="3547">
        <f t="shared" si="214"/>
        <v>3642.0476190476188</v>
      </c>
      <c r="FN116" s="3568">
        <v>714.68200509647102</v>
      </c>
      <c r="FO116" s="3568">
        <f>761.16/1.06</f>
        <v>718.07547169811312</v>
      </c>
      <c r="FP116" s="3562">
        <f>2283.48/3/1.06*12/365*30+2283.48/3/1.06-2283.48/3/1.06*12/365*30</f>
        <v>718.07547169811312</v>
      </c>
      <c r="FQ116" s="3547">
        <f t="shared" si="215"/>
        <v>3.3934666016421033</v>
      </c>
      <c r="FR116" s="3568">
        <v>3624.8277669849899</v>
      </c>
      <c r="FS116" s="3569">
        <f>3824.15/1.05</f>
        <v>3642.0476190476188</v>
      </c>
      <c r="FT116" s="3560">
        <f>11472.45/3/1.05</f>
        <v>3642.0476190476188</v>
      </c>
      <c r="FU116" s="3547">
        <f t="shared" si="216"/>
        <v>17.219852062628888</v>
      </c>
      <c r="FV116" s="3568">
        <v>714.68200509647102</v>
      </c>
      <c r="FW116" s="3568">
        <f>761.16/1.06</f>
        <v>718.07547169811312</v>
      </c>
      <c r="FX116" s="3560">
        <f>2283.48/3/1.06</f>
        <v>718.07547169811312</v>
      </c>
      <c r="FY116" s="3547">
        <f t="shared" si="217"/>
        <v>3.3934666016421033</v>
      </c>
      <c r="FZ116" s="3568">
        <v>3624.8277669849899</v>
      </c>
      <c r="GA116" s="3569">
        <f>3824.15/1.05</f>
        <v>3642.0476190476188</v>
      </c>
      <c r="GB116" s="3560">
        <f>11472.45/3/1.05</f>
        <v>3642.0476190476188</v>
      </c>
      <c r="GC116" s="3547">
        <f t="shared" si="218"/>
        <v>17.219852062628888</v>
      </c>
      <c r="GD116" s="3568">
        <v>714.68200509647102</v>
      </c>
      <c r="GE116" s="3568">
        <f>761.16/1.06</f>
        <v>718.07547169811312</v>
      </c>
      <c r="GF116" s="3560">
        <f>2283.48/3/1.06</f>
        <v>718.07547169811312</v>
      </c>
      <c r="GG116" s="3547">
        <f t="shared" si="219"/>
        <v>3.3934666016421033</v>
      </c>
      <c r="GH116" s="3568">
        <v>3624.8277669849899</v>
      </c>
      <c r="GI116" s="3569">
        <f>3824.15/1.05</f>
        <v>3642.0476190476188</v>
      </c>
      <c r="GJ116" s="3562">
        <f>7648.3/2/1.05*12/365*30+11472.45/3/1.05-11472.45/3/1.05*12/365*30</f>
        <v>3642.0476190476188</v>
      </c>
      <c r="GK116" s="3547">
        <f t="shared" si="181"/>
        <v>17.219852062628888</v>
      </c>
      <c r="GL116" s="3568">
        <v>714.68200509647102</v>
      </c>
      <c r="GM116" s="3568">
        <f>761.16/1.06</f>
        <v>718.07547169811312</v>
      </c>
      <c r="GN116" s="3562">
        <f>2283.48/3/1.06*12/365*30+2283.48/3/1.06-2283.48/3/1.06*12/365*30</f>
        <v>718.07547169811312</v>
      </c>
      <c r="GO116" s="3547">
        <f t="shared" si="182"/>
        <v>3.3934666016421033</v>
      </c>
      <c r="GP116" s="3568">
        <v>3624.8277669849899</v>
      </c>
      <c r="GQ116" s="3569">
        <f>3824.15/1.05</f>
        <v>3642.0476190476188</v>
      </c>
      <c r="GR116" s="3562">
        <f>11472.45/3/1.05</f>
        <v>3642.0476190476188</v>
      </c>
      <c r="GS116" s="3547">
        <f t="shared" si="183"/>
        <v>17.219852062628888</v>
      </c>
      <c r="GT116" s="3568">
        <v>714.68200509647102</v>
      </c>
      <c r="GU116" s="3568">
        <f>761.16/1.06</f>
        <v>718.07547169811312</v>
      </c>
      <c r="GV116" s="3562">
        <f>2283.48/3/1.06</f>
        <v>718.07547169811312</v>
      </c>
      <c r="GW116" s="3547">
        <f t="shared" si="184"/>
        <v>3.3934666016421033</v>
      </c>
      <c r="GX116" s="3568">
        <v>3624.8277669849899</v>
      </c>
      <c r="GY116" s="3569">
        <f>3824.15/1.05</f>
        <v>3642.0476190476188</v>
      </c>
      <c r="GZ116" s="3562">
        <f>11472.45/3/1.05</f>
        <v>3642.0476190476188</v>
      </c>
      <c r="HA116" s="3547">
        <f t="shared" si="185"/>
        <v>17.219852062628888</v>
      </c>
      <c r="HB116" s="3568">
        <v>714.68200509647102</v>
      </c>
      <c r="HC116" s="3568">
        <f>761.16/1.06</f>
        <v>718.07547169811312</v>
      </c>
      <c r="HD116" s="3562">
        <f>2283.48/3/1.06</f>
        <v>718.07547169811312</v>
      </c>
      <c r="HE116" s="3547">
        <f t="shared" si="186"/>
        <v>3.3934666016421033</v>
      </c>
      <c r="HF116" s="3568">
        <v>3624.8277669849899</v>
      </c>
      <c r="HG116" s="3569">
        <f>3824.15/1.05</f>
        <v>3642.0476190476188</v>
      </c>
      <c r="HH116" s="3562">
        <f>11472.45/3/1.05*12/365*30+11472.45/3/1.05-11472.45/3/1.05*12/365*30</f>
        <v>3642.0476190476188</v>
      </c>
      <c r="HI116" s="3547">
        <f t="shared" si="224"/>
        <v>17.219852062628888</v>
      </c>
      <c r="HJ116" s="3568">
        <v>714.68200509647102</v>
      </c>
      <c r="HK116" s="3568">
        <f>761.16/1.06</f>
        <v>718.07547169811312</v>
      </c>
      <c r="HL116" s="3562">
        <f>2283.48/3/1.06*12/365*30+2283.48/3/1.06-2283.48/3/1.06*12/365*30</f>
        <v>718.07547169811312</v>
      </c>
      <c r="HM116" s="3547">
        <f t="shared" si="220"/>
        <v>3.3934666016421033</v>
      </c>
      <c r="HN116" s="3568">
        <v>3624.8277669849899</v>
      </c>
      <c r="HO116" s="3569">
        <f>3824.15/1.05</f>
        <v>3642.0476190476188</v>
      </c>
      <c r="HP116" s="3562">
        <f>3824.15/1.05</f>
        <v>3642.0476190476188</v>
      </c>
      <c r="HQ116" s="3547">
        <f t="shared" si="225"/>
        <v>17.219852062628888</v>
      </c>
      <c r="HR116" s="3568">
        <v>714.68200509647102</v>
      </c>
      <c r="HS116" s="3568">
        <f>761.16/1.06</f>
        <v>718.07547169811312</v>
      </c>
      <c r="HT116" s="3562">
        <f>761.16/1.06</f>
        <v>718.07547169811312</v>
      </c>
      <c r="HU116" s="3547">
        <f t="shared" si="221"/>
        <v>3.3934666016421033</v>
      </c>
      <c r="HV116" s="3568">
        <v>3624.8277669849899</v>
      </c>
      <c r="HW116" s="3569">
        <f>3824.15/1.05</f>
        <v>3642.0476190476188</v>
      </c>
      <c r="HX116" s="3562">
        <f>3824.15/1.05</f>
        <v>3642.0476190476188</v>
      </c>
      <c r="HY116" s="3547">
        <f t="shared" si="226"/>
        <v>17.219852062628888</v>
      </c>
      <c r="HZ116" s="3568">
        <v>714.68200509647102</v>
      </c>
      <c r="IA116" s="3568">
        <f>761.16/1.06</f>
        <v>718.07547169811312</v>
      </c>
      <c r="IB116" s="3562">
        <f>761.16/1.06</f>
        <v>718.07547169811312</v>
      </c>
      <c r="IC116" s="3547">
        <f t="shared" si="222"/>
        <v>3.3934666016421033</v>
      </c>
      <c r="ID116" s="3568">
        <v>3624.8277669849899</v>
      </c>
      <c r="IE116" s="3592">
        <f>3824.15/1.05*12/365*30</f>
        <v>3592.1565557729941</v>
      </c>
      <c r="IF116" s="3562">
        <f>3824.15/1.05*12/365*30</f>
        <v>3592.1565557729941</v>
      </c>
      <c r="IG116" s="3547">
        <f t="shared" si="227"/>
        <v>-32.671211211995796</v>
      </c>
      <c r="IH116" s="3568">
        <v>714.68200509647102</v>
      </c>
      <c r="II116" s="3651">
        <f>761.16/1.06*12/365*30+761.16/1.06-761.16/1.06*12/365*30</f>
        <v>718.07547169811312</v>
      </c>
      <c r="IJ116" s="3562">
        <f>761.16/1.06*12/365*30</f>
        <v>708.23882140087869</v>
      </c>
      <c r="IK116" s="3547">
        <f t="shared" si="223"/>
        <v>-6.4431836955923245</v>
      </c>
      <c r="IL116" s="3547" t="s">
        <v>4763</v>
      </c>
      <c r="IM116" s="3592">
        <f>3824.15/1.05-3824.15*12/365*30/1.05+3824.15/1.05+3824.15*12/365*30/1.05</f>
        <v>7284.0952380952376</v>
      </c>
      <c r="IN116" s="3568">
        <f>761.16/1.06*2+761.16*12/365*30/1.06</f>
        <v>2144.3897647971048</v>
      </c>
      <c r="IO116" s="3607"/>
      <c r="IP116" s="3560">
        <f t="shared" si="195"/>
        <v>0</v>
      </c>
      <c r="IQ116" s="3569"/>
      <c r="IR116" s="3568"/>
      <c r="IS116" s="3568"/>
      <c r="IT116" s="3568"/>
      <c r="IU116" s="3568"/>
      <c r="IV116" s="3568"/>
      <c r="IW116" s="3568"/>
      <c r="IX116" s="3568"/>
      <c r="IY116" s="3568"/>
      <c r="IZ116" s="3560"/>
      <c r="JA116" s="3560"/>
      <c r="JB116" s="3560"/>
      <c r="JC116" s="3560">
        <f t="shared" si="134"/>
        <v>0</v>
      </c>
      <c r="JD116" s="3607"/>
      <c r="JE116" s="3569"/>
      <c r="JF116" s="3568"/>
      <c r="JG116" s="3568"/>
      <c r="JH116" s="3568"/>
      <c r="JI116" s="3568"/>
      <c r="JJ116" s="3568"/>
      <c r="JK116" s="3568"/>
      <c r="JL116" s="3568"/>
      <c r="JM116" s="3568"/>
      <c r="JN116" s="3560"/>
      <c r="JO116" s="3560"/>
      <c r="JP116" s="3607"/>
      <c r="JQ116" s="3583"/>
      <c r="JR116" s="3583"/>
      <c r="JS116" s="3573">
        <f t="shared" si="145"/>
        <v>1.3642420526593924E-11</v>
      </c>
      <c r="JT116" s="3573">
        <f t="shared" si="152"/>
        <v>0</v>
      </c>
      <c r="JU116" s="3574">
        <f t="shared" si="146"/>
        <v>0</v>
      </c>
      <c r="JV116" s="3574">
        <f t="shared" si="147"/>
        <v>0</v>
      </c>
      <c r="JW116" s="3575"/>
      <c r="JX116" s="3576">
        <f t="shared" si="148"/>
        <v>10876.251793868232</v>
      </c>
      <c r="JY116" s="3576">
        <f t="shared" si="149"/>
        <v>2144.3897647971048</v>
      </c>
      <c r="JZ116" s="3577"/>
      <c r="KA116" s="3573">
        <f t="shared" ref="KA116:KA132" si="234">HI116+HM116</f>
        <v>20.613318664270992</v>
      </c>
      <c r="KB116" s="3573"/>
      <c r="KC116" s="3573"/>
      <c r="KD116" s="3573">
        <f t="shared" si="150"/>
        <v>20.613318664270992</v>
      </c>
      <c r="KE116" s="3578" t="s">
        <v>3986</v>
      </c>
      <c r="KF116" s="3579">
        <f>63.12/10000+3645.44/10000*2</f>
        <v>0.73539999999999994</v>
      </c>
      <c r="KG116" s="3579"/>
      <c r="KH116" s="3579"/>
      <c r="KI116" s="3579"/>
      <c r="KJ116" s="3579"/>
      <c r="KK116" s="3579"/>
      <c r="KL116" s="3579"/>
      <c r="KM116" s="3579"/>
      <c r="KN116" s="3579"/>
      <c r="KO116" s="3579"/>
      <c r="KP116" s="3579">
        <f>20.61/10000*6</f>
        <v>1.2365999999999999E-2</v>
      </c>
      <c r="KQ116" s="3579">
        <f t="shared" si="151"/>
        <v>0.74776599999999993</v>
      </c>
      <c r="KR116" s="3579">
        <f t="shared" si="196"/>
        <v>2.3263457649136399E-6</v>
      </c>
      <c r="KS116" s="3577"/>
      <c r="KT116" s="3577"/>
      <c r="KU116" s="3577"/>
      <c r="KV116" s="3577"/>
      <c r="KW116" s="3577"/>
      <c r="KX116" s="3577"/>
      <c r="KY116" s="3577"/>
      <c r="KZ116" s="3577"/>
      <c r="LA116" s="3577"/>
      <c r="LB116" s="3577"/>
      <c r="LC116" s="3577"/>
      <c r="LD116" s="3577"/>
      <c r="LE116" s="3577"/>
      <c r="LF116" s="3577"/>
      <c r="LG116" s="3577"/>
      <c r="LH116" s="3577"/>
      <c r="LJ116" s="3575"/>
      <c r="LK116" s="3626"/>
      <c r="LL116" s="3627"/>
    </row>
    <row r="117" spans="1:325" s="3580" customFormat="1" ht="18" customHeight="1">
      <c r="A117" s="3545">
        <v>114</v>
      </c>
      <c r="B117" s="3546" t="s">
        <v>4749</v>
      </c>
      <c r="C117" s="3617" t="s">
        <v>4802</v>
      </c>
      <c r="D117" s="3618">
        <v>30</v>
      </c>
      <c r="E117" s="3548" t="s">
        <v>3799</v>
      </c>
      <c r="F117" s="3546" t="s">
        <v>3790</v>
      </c>
      <c r="G117" s="3546" t="s">
        <v>4803</v>
      </c>
      <c r="H117" s="3546" t="s">
        <v>4804</v>
      </c>
      <c r="I117" s="3594" t="s">
        <v>3794</v>
      </c>
      <c r="J117" s="3653" t="s">
        <v>4752</v>
      </c>
      <c r="K117" s="3545"/>
      <c r="L117" s="3555"/>
      <c r="M117" s="3547">
        <v>11415.39</v>
      </c>
      <c r="N117" s="3547">
        <v>11415.39</v>
      </c>
      <c r="O117" s="3551">
        <f t="shared" si="135"/>
        <v>0</v>
      </c>
      <c r="P117" s="3547">
        <v>2272.14</v>
      </c>
      <c r="Q117" s="3547">
        <v>2272.14</v>
      </c>
      <c r="R117" s="3547">
        <f t="shared" si="132"/>
        <v>0</v>
      </c>
      <c r="S117" s="3547">
        <f t="shared" si="232"/>
        <v>4.1700054794520547</v>
      </c>
      <c r="T117" s="3690">
        <v>3805.13</v>
      </c>
      <c r="U117" s="3553">
        <f t="shared" si="136"/>
        <v>45661.56</v>
      </c>
      <c r="V117" s="3547">
        <v>128078.5</v>
      </c>
      <c r="W117" s="3547">
        <f t="shared" si="233"/>
        <v>0.83000547945205472</v>
      </c>
      <c r="X117" s="3547">
        <v>757.38</v>
      </c>
      <c r="Y117" s="3547">
        <f t="shared" si="198"/>
        <v>9088.56</v>
      </c>
      <c r="Z117" s="3554"/>
      <c r="AA117" s="3555"/>
      <c r="AB117" s="3680" t="s">
        <v>4753</v>
      </c>
      <c r="AC117" s="3556">
        <f t="shared" si="138"/>
        <v>49466.69</v>
      </c>
      <c r="AD117" s="3556">
        <f t="shared" si="228"/>
        <v>41856.43</v>
      </c>
      <c r="AE117" s="3556">
        <f t="shared" si="228"/>
        <v>41856.43</v>
      </c>
      <c r="AF117" s="3556">
        <f t="shared" si="140"/>
        <v>0</v>
      </c>
      <c r="AG117" s="3556"/>
      <c r="AH117" s="3557">
        <f t="shared" si="141"/>
        <v>11360.699999999999</v>
      </c>
      <c r="AI117" s="3558">
        <f t="shared" si="229"/>
        <v>9088.56</v>
      </c>
      <c r="AJ117" s="3558">
        <f t="shared" si="229"/>
        <v>9088.56</v>
      </c>
      <c r="AK117" s="3557">
        <f t="shared" si="159"/>
        <v>0</v>
      </c>
      <c r="AL117" s="3557"/>
      <c r="AM117" s="3547" t="s">
        <v>4754</v>
      </c>
      <c r="AN117" s="3609">
        <v>7610.26</v>
      </c>
      <c r="AO117" s="3562">
        <v>7610.26</v>
      </c>
      <c r="AP117" s="3561">
        <f t="shared" si="199"/>
        <v>0</v>
      </c>
      <c r="AQ117" s="3559">
        <v>2272.14</v>
      </c>
      <c r="AR117" s="3562">
        <v>2272.14</v>
      </c>
      <c r="AS117" s="3561">
        <f t="shared" si="200"/>
        <v>0</v>
      </c>
      <c r="AT117" s="3563" t="s">
        <v>4755</v>
      </c>
      <c r="AU117" s="3547"/>
      <c r="AV117" s="3609"/>
      <c r="AW117" s="3562"/>
      <c r="AX117" s="3561">
        <f t="shared" si="201"/>
        <v>0</v>
      </c>
      <c r="AY117" s="3559"/>
      <c r="AZ117" s="3562"/>
      <c r="BA117" s="3561">
        <f t="shared" si="202"/>
        <v>0</v>
      </c>
      <c r="BB117" s="3563" t="s">
        <v>4755</v>
      </c>
      <c r="BC117" s="3547" t="s">
        <v>4756</v>
      </c>
      <c r="BD117" s="3609">
        <f>3805.13*3</f>
        <v>11415.39</v>
      </c>
      <c r="BE117" s="3562">
        <v>11415.39</v>
      </c>
      <c r="BF117" s="3561">
        <f t="shared" si="203"/>
        <v>0</v>
      </c>
      <c r="BG117" s="3559">
        <f>757.38*3</f>
        <v>2272.14</v>
      </c>
      <c r="BH117" s="3562">
        <v>2272.14</v>
      </c>
      <c r="BI117" s="3561">
        <f t="shared" si="204"/>
        <v>0</v>
      </c>
      <c r="BJ117" s="3563" t="s">
        <v>4757</v>
      </c>
      <c r="BK117" s="3547"/>
      <c r="BL117" s="3609"/>
      <c r="BM117" s="3562"/>
      <c r="BN117" s="3561">
        <f t="shared" si="205"/>
        <v>0</v>
      </c>
      <c r="BO117" s="3559"/>
      <c r="BP117" s="3562"/>
      <c r="BQ117" s="3561">
        <f t="shared" si="206"/>
        <v>0</v>
      </c>
      <c r="BR117" s="3563" t="s">
        <v>4757</v>
      </c>
      <c r="BS117" s="3547"/>
      <c r="BT117" s="3559"/>
      <c r="BU117" s="3562"/>
      <c r="BV117" s="3561">
        <f t="shared" si="207"/>
        <v>0</v>
      </c>
      <c r="BW117" s="3559"/>
      <c r="BX117" s="3562"/>
      <c r="BY117" s="3561">
        <f t="shared" si="208"/>
        <v>0</v>
      </c>
      <c r="BZ117" s="3563" t="s">
        <v>4757</v>
      </c>
      <c r="CA117" s="3547" t="s">
        <v>4758</v>
      </c>
      <c r="CB117" s="3609">
        <f>3805.13*3</f>
        <v>11415.39</v>
      </c>
      <c r="CC117" s="3562">
        <f>11415.39</f>
        <v>11415.39</v>
      </c>
      <c r="CD117" s="3561">
        <f t="shared" si="164"/>
        <v>0</v>
      </c>
      <c r="CE117" s="3559">
        <f>757.38*3</f>
        <v>2272.14</v>
      </c>
      <c r="CF117" s="3562">
        <v>2272.14</v>
      </c>
      <c r="CG117" s="3561">
        <f t="shared" si="165"/>
        <v>0</v>
      </c>
      <c r="CH117" s="3630" t="s">
        <v>4759</v>
      </c>
      <c r="CI117" s="3547"/>
      <c r="CJ117" s="3609"/>
      <c r="CK117" s="3562"/>
      <c r="CL117" s="3561">
        <f t="shared" si="133"/>
        <v>0</v>
      </c>
      <c r="CM117" s="3559"/>
      <c r="CN117" s="3562"/>
      <c r="CO117" s="3561">
        <f t="shared" si="166"/>
        <v>0</v>
      </c>
      <c r="CP117" s="3630" t="s">
        <v>4759</v>
      </c>
      <c r="CQ117" s="3547"/>
      <c r="CR117" s="3609"/>
      <c r="CS117" s="3562"/>
      <c r="CT117" s="3561">
        <f t="shared" si="167"/>
        <v>0</v>
      </c>
      <c r="CU117" s="3559"/>
      <c r="CV117" s="3562"/>
      <c r="CW117" s="3561">
        <f t="shared" si="168"/>
        <v>0</v>
      </c>
      <c r="CX117" s="3630" t="s">
        <v>4759</v>
      </c>
      <c r="CY117" s="3597" t="s">
        <v>4760</v>
      </c>
      <c r="CZ117" s="3621">
        <f>3805.13*3</f>
        <v>11415.39</v>
      </c>
      <c r="DA117" s="3603">
        <v>11415.39</v>
      </c>
      <c r="DB117" s="3602">
        <f t="shared" si="169"/>
        <v>0</v>
      </c>
      <c r="DC117" s="3604">
        <f>757.38*3</f>
        <v>2272.14</v>
      </c>
      <c r="DD117" s="3603">
        <v>2272.14</v>
      </c>
      <c r="DE117" s="3561">
        <f t="shared" si="170"/>
        <v>0</v>
      </c>
      <c r="DF117" s="3630" t="s">
        <v>4761</v>
      </c>
      <c r="DG117" s="3547"/>
      <c r="DH117" s="3609"/>
      <c r="DI117" s="3562"/>
      <c r="DJ117" s="3561">
        <f t="shared" si="171"/>
        <v>0</v>
      </c>
      <c r="DK117" s="3559"/>
      <c r="DL117" s="3562"/>
      <c r="DM117" s="3561">
        <f t="shared" si="172"/>
        <v>0</v>
      </c>
      <c r="DN117" s="3563"/>
      <c r="DO117" s="3547"/>
      <c r="DP117" s="3609"/>
      <c r="DQ117" s="3562"/>
      <c r="DR117" s="3561">
        <f t="shared" si="173"/>
        <v>0</v>
      </c>
      <c r="DS117" s="3559"/>
      <c r="DT117" s="3562"/>
      <c r="DU117" s="3561">
        <f t="shared" si="209"/>
        <v>0</v>
      </c>
      <c r="DV117" s="3563"/>
      <c r="DW117" s="3547" t="s">
        <v>4762</v>
      </c>
      <c r="DX117" s="3601">
        <f>3805.13*2</f>
        <v>7610.26</v>
      </c>
      <c r="DY117" s="3562"/>
      <c r="DZ117" s="3561">
        <f t="shared" si="175"/>
        <v>-7610.26</v>
      </c>
      <c r="EA117" s="3559">
        <f>757.38*3</f>
        <v>2272.14</v>
      </c>
      <c r="EB117" s="3562"/>
      <c r="EC117" s="3561">
        <f t="shared" si="176"/>
        <v>-2272.14</v>
      </c>
      <c r="ED117" s="3563"/>
      <c r="EE117" s="3564"/>
      <c r="EF117" s="3565">
        <f t="shared" si="153"/>
        <v>32461.144181955096</v>
      </c>
      <c r="EG117" s="3565">
        <f t="shared" si="230"/>
        <v>21640.762787970063</v>
      </c>
      <c r="EH117" s="3565">
        <f t="shared" si="230"/>
        <v>29041.109589041102</v>
      </c>
      <c r="EI117" s="3565">
        <f t="shared" si="230"/>
        <v>29041.109589041098</v>
      </c>
      <c r="EJ117" s="3565">
        <f t="shared" si="154"/>
        <v>7400.3468010710349</v>
      </c>
      <c r="EK117" s="3566">
        <f t="shared" si="155"/>
        <v>0</v>
      </c>
      <c r="EL117" s="3610"/>
      <c r="EM117" s="3567">
        <f t="shared" si="156"/>
        <v>8533.5164787638387</v>
      </c>
      <c r="EN117" s="3557">
        <f t="shared" si="231"/>
        <v>6400.1373590728799</v>
      </c>
      <c r="EO117" s="3557">
        <f t="shared" si="231"/>
        <v>6440.3727061256122</v>
      </c>
      <c r="EP117" s="3557">
        <f t="shared" si="231"/>
        <v>6440.3727061256141</v>
      </c>
      <c r="EQ117" s="3557">
        <f t="shared" si="157"/>
        <v>40.235347052734141</v>
      </c>
      <c r="ER117" s="3557">
        <f t="shared" si="158"/>
        <v>0</v>
      </c>
      <c r="ES117" s="3557"/>
      <c r="ET117" s="3568"/>
      <c r="EU117" s="3592">
        <f>3805.13/1.05-3805.13*12/365*30/1.05</f>
        <v>49.642922374429872</v>
      </c>
      <c r="EV117" s="3562">
        <f>7610.26/2/1.05-7610.26/2/1.05*12/365*30</f>
        <v>49.642922374429418</v>
      </c>
      <c r="EW117" s="3547">
        <f t="shared" si="210"/>
        <v>49.642922374429418</v>
      </c>
      <c r="EX117" s="3568">
        <v>711.12637323032004</v>
      </c>
      <c r="EY117" s="3592">
        <f>757.38/1.06+757.38/1.06-757.38*12/365*30/1.06</f>
        <v>724.2972344275006</v>
      </c>
      <c r="EZ117" s="3562">
        <f>2272.14/3/1.06+2272.14/3/1.06-2272.14/3/1.06*12/365*30</f>
        <v>724.2972344275006</v>
      </c>
      <c r="FA117" s="3547">
        <f t="shared" si="211"/>
        <v>13.170861197180557</v>
      </c>
      <c r="FB117" s="3568"/>
      <c r="FC117" s="3569">
        <f>3805.13/1.05</f>
        <v>3623.9333333333334</v>
      </c>
      <c r="FD117" s="3562">
        <f>7610.26/2/1.05</f>
        <v>3623.9333333333334</v>
      </c>
      <c r="FE117" s="3547">
        <f t="shared" si="212"/>
        <v>3623.9333333333334</v>
      </c>
      <c r="FF117" s="3568">
        <v>711.12637323032004</v>
      </c>
      <c r="FG117" s="3568">
        <f>757.38/1.06</f>
        <v>714.5094339622641</v>
      </c>
      <c r="FH117" s="3562">
        <f>2272.14/3/1.06</f>
        <v>714.5094339622641</v>
      </c>
      <c r="FI117" s="3547">
        <f t="shared" si="213"/>
        <v>3.383060731944056</v>
      </c>
      <c r="FJ117" s="3568"/>
      <c r="FK117" s="3569">
        <f>3805.13/1.05</f>
        <v>3623.9333333333334</v>
      </c>
      <c r="FL117" s="3562">
        <f>7610.26/2/1.05*12/365*30+11415.39/3/1.05-7610.26/2/1.05*12/365*30</f>
        <v>3623.9333333333329</v>
      </c>
      <c r="FM117" s="3547">
        <f t="shared" si="214"/>
        <v>3623.9333333333329</v>
      </c>
      <c r="FN117" s="3568">
        <v>711.12637323032004</v>
      </c>
      <c r="FO117" s="3568">
        <f>757.38/1.06</f>
        <v>714.5094339622641</v>
      </c>
      <c r="FP117" s="3562">
        <f>2272.14/3/1.06*12/365*30+2272.14/3/1.06-2272.14/3/1.06*12/365*30</f>
        <v>714.50943396226421</v>
      </c>
      <c r="FQ117" s="3547">
        <f t="shared" si="215"/>
        <v>3.3830607319441697</v>
      </c>
      <c r="FR117" s="3568">
        <v>3606.7937979950102</v>
      </c>
      <c r="FS117" s="3569">
        <f>3805.13/1.05</f>
        <v>3623.9333333333334</v>
      </c>
      <c r="FT117" s="3560">
        <f>11415.39/3/1.05</f>
        <v>3623.9333333333329</v>
      </c>
      <c r="FU117" s="3547">
        <f t="shared" si="216"/>
        <v>17.13953533832273</v>
      </c>
      <c r="FV117" s="3568">
        <v>711.12637323032004</v>
      </c>
      <c r="FW117" s="3568">
        <f>757.38/1.06</f>
        <v>714.5094339622641</v>
      </c>
      <c r="FX117" s="3560">
        <f>2272.14/3/1.06</f>
        <v>714.5094339622641</v>
      </c>
      <c r="FY117" s="3547">
        <f t="shared" si="217"/>
        <v>3.383060731944056</v>
      </c>
      <c r="FZ117" s="3568">
        <v>3606.7937979950102</v>
      </c>
      <c r="GA117" s="3569">
        <f>3805.13/1.05</f>
        <v>3623.9333333333334</v>
      </c>
      <c r="GB117" s="3560">
        <f>11415.39/3/1.05</f>
        <v>3623.9333333333329</v>
      </c>
      <c r="GC117" s="3547">
        <f t="shared" si="218"/>
        <v>17.13953533832273</v>
      </c>
      <c r="GD117" s="3568">
        <v>711.12637323032004</v>
      </c>
      <c r="GE117" s="3568">
        <f>757.38/1.06</f>
        <v>714.5094339622641</v>
      </c>
      <c r="GF117" s="3560">
        <f>2272.14/3/1.06</f>
        <v>714.5094339622641</v>
      </c>
      <c r="GG117" s="3547">
        <f t="shared" si="219"/>
        <v>3.383060731944056</v>
      </c>
      <c r="GH117" s="3568">
        <v>3606.7937979950102</v>
      </c>
      <c r="GI117" s="3569">
        <f>3805.13/1.05</f>
        <v>3623.9333333333334</v>
      </c>
      <c r="GJ117" s="3562">
        <f>7610.26/2/1.05*12/365*30+11415.39/3/1.05-11415.39/3/1.05*12/365*30</f>
        <v>3623.9333333333329</v>
      </c>
      <c r="GK117" s="3547">
        <f t="shared" si="181"/>
        <v>17.13953533832273</v>
      </c>
      <c r="GL117" s="3568">
        <v>711.12637323032004</v>
      </c>
      <c r="GM117" s="3568">
        <f>757.38/1.06</f>
        <v>714.5094339622641</v>
      </c>
      <c r="GN117" s="3562">
        <f>2272.14/3/1.06*12/365*30+2272.14/3/1.06-2272.14/3/1.06*12/365*30</f>
        <v>714.50943396226421</v>
      </c>
      <c r="GO117" s="3547">
        <f t="shared" si="182"/>
        <v>3.3830607319441697</v>
      </c>
      <c r="GP117" s="3568">
        <v>3606.7937979950102</v>
      </c>
      <c r="GQ117" s="3569">
        <f>3805.13/1.05</f>
        <v>3623.9333333333334</v>
      </c>
      <c r="GR117" s="3562">
        <f>11415.39/3/1.05</f>
        <v>3623.9333333333329</v>
      </c>
      <c r="GS117" s="3547">
        <f t="shared" si="183"/>
        <v>17.13953533832273</v>
      </c>
      <c r="GT117" s="3568">
        <v>711.12637323032004</v>
      </c>
      <c r="GU117" s="3568">
        <f>757.38/1.06</f>
        <v>714.5094339622641</v>
      </c>
      <c r="GV117" s="3562">
        <f>2272.14/3/1.06</f>
        <v>714.5094339622641</v>
      </c>
      <c r="GW117" s="3547">
        <f t="shared" si="184"/>
        <v>3.383060731944056</v>
      </c>
      <c r="GX117" s="3568">
        <v>3606.7937979950102</v>
      </c>
      <c r="GY117" s="3569">
        <f>3805.13/1.05</f>
        <v>3623.9333333333334</v>
      </c>
      <c r="GZ117" s="3562">
        <f>11415.39/3/1.05</f>
        <v>3623.9333333333329</v>
      </c>
      <c r="HA117" s="3547">
        <f t="shared" si="185"/>
        <v>17.13953533832273</v>
      </c>
      <c r="HB117" s="3568">
        <v>711.12637323032004</v>
      </c>
      <c r="HC117" s="3568">
        <f>757.38/1.06</f>
        <v>714.5094339622641</v>
      </c>
      <c r="HD117" s="3562">
        <f>2272.14/3/1.06</f>
        <v>714.5094339622641</v>
      </c>
      <c r="HE117" s="3547">
        <f t="shared" si="186"/>
        <v>3.383060731944056</v>
      </c>
      <c r="HF117" s="3568">
        <v>3606.7937979950102</v>
      </c>
      <c r="HG117" s="3569">
        <f>3805.13/1.05</f>
        <v>3623.9333333333334</v>
      </c>
      <c r="HH117" s="3562">
        <f>11415.39/3/1.05*12/365*30+11415.39/3/1.05-11415.39/3/1.05*12/365*30</f>
        <v>3623.9333333333329</v>
      </c>
      <c r="HI117" s="3547">
        <f t="shared" si="224"/>
        <v>17.13953533832273</v>
      </c>
      <c r="HJ117" s="3568">
        <v>711.12637323032004</v>
      </c>
      <c r="HK117" s="3568">
        <f>757.38/1.06</f>
        <v>714.5094339622641</v>
      </c>
      <c r="HL117" s="3562">
        <f>2272.14/3/1.06*12/365*30+2272.14/3/1.06-2272.14/3/1.06*12/365*30</f>
        <v>714.50943396226421</v>
      </c>
      <c r="HM117" s="3547">
        <f t="shared" si="220"/>
        <v>3.3830607319441697</v>
      </c>
      <c r="HN117" s="3568">
        <v>3606.7937979950102</v>
      </c>
      <c r="HO117" s="3569">
        <f>3805.13/1.05</f>
        <v>3623.9333333333334</v>
      </c>
      <c r="HP117" s="3562">
        <f>3805.13/1.05</f>
        <v>3623.9333333333334</v>
      </c>
      <c r="HQ117" s="3547">
        <f t="shared" si="225"/>
        <v>17.139535338323185</v>
      </c>
      <c r="HR117" s="3568">
        <v>711.12637323032004</v>
      </c>
      <c r="HS117" s="3568">
        <f>757.38/1.06</f>
        <v>714.5094339622641</v>
      </c>
      <c r="HT117" s="3562">
        <f>757.38/1.06</f>
        <v>714.5094339622641</v>
      </c>
      <c r="HU117" s="3547">
        <f t="shared" si="221"/>
        <v>3.383060731944056</v>
      </c>
      <c r="HV117" s="3568">
        <v>3606.7937979950102</v>
      </c>
      <c r="HW117" s="3569">
        <f>3805.13/1.05</f>
        <v>3623.9333333333334</v>
      </c>
      <c r="HX117" s="3562">
        <f>3805.13/1.05</f>
        <v>3623.9333333333334</v>
      </c>
      <c r="HY117" s="3547">
        <f t="shared" si="226"/>
        <v>17.139535338323185</v>
      </c>
      <c r="HZ117" s="3568">
        <v>711.12637323032004</v>
      </c>
      <c r="IA117" s="3568">
        <f>757.38/1.06</f>
        <v>714.5094339622641</v>
      </c>
      <c r="IB117" s="3562">
        <f>757.38/1.06</f>
        <v>714.5094339622641</v>
      </c>
      <c r="IC117" s="3547">
        <f t="shared" si="222"/>
        <v>3.383060731944056</v>
      </c>
      <c r="ID117" s="3568">
        <v>3606.7937979950102</v>
      </c>
      <c r="IE117" s="3592">
        <f>3805.13/1.05*12/365*30</f>
        <v>3574.290410958904</v>
      </c>
      <c r="IF117" s="3562">
        <f>3805.13/1.05*12/365*30</f>
        <v>3574.290410958904</v>
      </c>
      <c r="IG117" s="3547">
        <f t="shared" si="227"/>
        <v>-32.503387036106233</v>
      </c>
      <c r="IH117" s="3568">
        <v>711.12637323032004</v>
      </c>
      <c r="II117" s="3651">
        <f>757.38/1.06*12/365*30+757.38/1.06-757.38/1.06*12/365*30</f>
        <v>714.50943396226421</v>
      </c>
      <c r="IJ117" s="3562">
        <f>757.38/1.06*12/365*30</f>
        <v>704.7216334970276</v>
      </c>
      <c r="IK117" s="3547">
        <f t="shared" si="223"/>
        <v>-6.4047397332924447</v>
      </c>
      <c r="IL117" s="3547" t="s">
        <v>4763</v>
      </c>
      <c r="IM117" s="3592">
        <f>3805.13/1.05-3805.13*12/365*30/1.05+3805.13/1.05+3805.13*12/365*30/1.05</f>
        <v>7247.8666666666668</v>
      </c>
      <c r="IN117" s="3568">
        <f>757.38/1.06*2+757.38*12/365*30/1.06</f>
        <v>2133.7405014215556</v>
      </c>
      <c r="IO117" s="3607"/>
      <c r="IP117" s="3560">
        <f t="shared" si="195"/>
        <v>0</v>
      </c>
      <c r="IQ117" s="3569"/>
      <c r="IR117" s="3568"/>
      <c r="IS117" s="3568"/>
      <c r="IT117" s="3568"/>
      <c r="IU117" s="3568"/>
      <c r="IV117" s="3568"/>
      <c r="IW117" s="3568"/>
      <c r="IX117" s="3568"/>
      <c r="IY117" s="3568"/>
      <c r="IZ117" s="3560"/>
      <c r="JA117" s="3560"/>
      <c r="JB117" s="3560"/>
      <c r="JC117" s="3560">
        <f t="shared" si="134"/>
        <v>0</v>
      </c>
      <c r="JD117" s="3607"/>
      <c r="JE117" s="3569"/>
      <c r="JF117" s="3568"/>
      <c r="JG117" s="3568"/>
      <c r="JH117" s="3568"/>
      <c r="JI117" s="3568"/>
      <c r="JJ117" s="3568"/>
      <c r="JK117" s="3568"/>
      <c r="JL117" s="3568"/>
      <c r="JM117" s="3568"/>
      <c r="JN117" s="3560"/>
      <c r="JO117" s="3560"/>
      <c r="JP117" s="3607"/>
      <c r="JQ117" s="3583"/>
      <c r="JR117" s="3583"/>
      <c r="JS117" s="3573">
        <f t="shared" si="145"/>
        <v>-1.2732925824820995E-11</v>
      </c>
      <c r="JT117" s="3573">
        <f t="shared" si="152"/>
        <v>0</v>
      </c>
      <c r="JU117" s="3574">
        <f t="shared" si="146"/>
        <v>0</v>
      </c>
      <c r="JV117" s="3574">
        <f t="shared" si="147"/>
        <v>0</v>
      </c>
      <c r="JW117" s="3575"/>
      <c r="JX117" s="3576">
        <f t="shared" si="148"/>
        <v>10822.15707762557</v>
      </c>
      <c r="JY117" s="3576">
        <f t="shared" si="149"/>
        <v>2133.7405014215556</v>
      </c>
      <c r="JZ117" s="3577"/>
      <c r="KA117" s="3573">
        <f t="shared" si="234"/>
        <v>20.5225960702669</v>
      </c>
      <c r="KB117" s="3573"/>
      <c r="KC117" s="3573"/>
      <c r="KD117" s="3573">
        <f t="shared" si="150"/>
        <v>20.5225960702669</v>
      </c>
      <c r="KE117" s="3578" t="s">
        <v>3986</v>
      </c>
      <c r="KF117" s="3579">
        <f>62.81/10000+3627.32/10000*2</f>
        <v>0.73174499999999998</v>
      </c>
      <c r="KG117" s="3579"/>
      <c r="KH117" s="3579"/>
      <c r="KI117" s="3579"/>
      <c r="KJ117" s="3579"/>
      <c r="KK117" s="3579"/>
      <c r="KL117" s="3579"/>
      <c r="KM117" s="3579"/>
      <c r="KN117" s="3579"/>
      <c r="KO117" s="3579"/>
      <c r="KP117" s="3579">
        <f>20.52/10000*6</f>
        <v>1.2312E-2</v>
      </c>
      <c r="KQ117" s="3579">
        <f t="shared" si="151"/>
        <v>0.74405699999999997</v>
      </c>
      <c r="KR117" s="3579">
        <f t="shared" si="196"/>
        <v>1.2148123769151198E-6</v>
      </c>
      <c r="KS117" s="3577"/>
      <c r="KT117" s="3577"/>
      <c r="KU117" s="3577"/>
      <c r="KV117" s="3577"/>
      <c r="KW117" s="3577"/>
      <c r="KX117" s="3577"/>
      <c r="KY117" s="3577"/>
      <c r="KZ117" s="3577"/>
      <c r="LA117" s="3577"/>
      <c r="LB117" s="3577"/>
      <c r="LC117" s="3577"/>
      <c r="LD117" s="3577"/>
      <c r="LE117" s="3577"/>
      <c r="LF117" s="3577"/>
      <c r="LG117" s="3577"/>
      <c r="LH117" s="3577"/>
      <c r="LJ117" s="3575"/>
      <c r="LK117" s="3626"/>
      <c r="LL117" s="3627"/>
    </row>
    <row r="118" spans="1:325" s="3580" customFormat="1" ht="18" customHeight="1">
      <c r="A118" s="3545">
        <v>115</v>
      </c>
      <c r="B118" s="3546" t="s">
        <v>4805</v>
      </c>
      <c r="C118" s="3667" t="s">
        <v>4806</v>
      </c>
      <c r="D118" s="3562">
        <v>330.81</v>
      </c>
      <c r="E118" s="3596" t="s">
        <v>3845</v>
      </c>
      <c r="F118" s="3546" t="s">
        <v>3790</v>
      </c>
      <c r="G118" s="3595" t="s">
        <v>4336</v>
      </c>
      <c r="H118" s="3546" t="s">
        <v>4807</v>
      </c>
      <c r="I118" s="3594" t="s">
        <v>4808</v>
      </c>
      <c r="J118" s="3594" t="s">
        <v>4809</v>
      </c>
      <c r="K118" s="3545" t="s">
        <v>3885</v>
      </c>
      <c r="L118" s="3555"/>
      <c r="M118" s="3551"/>
      <c r="N118" s="3551"/>
      <c r="O118" s="3551">
        <f t="shared" si="135"/>
        <v>0</v>
      </c>
      <c r="P118" s="3551"/>
      <c r="Q118" s="3551"/>
      <c r="R118" s="3547">
        <f t="shared" ref="R118:R132" si="235">Q118-P118</f>
        <v>0</v>
      </c>
      <c r="S118" s="3547">
        <f t="shared" si="232"/>
        <v>0</v>
      </c>
      <c r="T118" s="3553"/>
      <c r="U118" s="3553">
        <f t="shared" si="136"/>
        <v>0</v>
      </c>
      <c r="V118" s="3547"/>
      <c r="W118" s="3547">
        <f t="shared" si="233"/>
        <v>0</v>
      </c>
      <c r="X118" s="3547"/>
      <c r="Y118" s="3547">
        <f t="shared" si="198"/>
        <v>0</v>
      </c>
      <c r="Z118" s="3554"/>
      <c r="AA118" s="3555"/>
      <c r="AB118" s="3593"/>
      <c r="AC118" s="3556">
        <f t="shared" si="138"/>
        <v>0</v>
      </c>
      <c r="AD118" s="3556">
        <f t="shared" si="228"/>
        <v>0</v>
      </c>
      <c r="AE118" s="3556">
        <f t="shared" si="228"/>
        <v>0</v>
      </c>
      <c r="AF118" s="3556">
        <f t="shared" si="140"/>
        <v>0</v>
      </c>
      <c r="AG118" s="3556"/>
      <c r="AH118" s="3557">
        <f t="shared" si="141"/>
        <v>0</v>
      </c>
      <c r="AI118" s="3558">
        <f t="shared" si="229"/>
        <v>0</v>
      </c>
      <c r="AJ118" s="3558">
        <f t="shared" si="229"/>
        <v>0</v>
      </c>
      <c r="AK118" s="3557">
        <f t="shared" si="159"/>
        <v>0</v>
      </c>
      <c r="AL118" s="3557"/>
      <c r="AM118" s="3547"/>
      <c r="AN118" s="3609"/>
      <c r="AO118" s="3562"/>
      <c r="AP118" s="3561">
        <f t="shared" si="199"/>
        <v>0</v>
      </c>
      <c r="AQ118" s="3559"/>
      <c r="AR118" s="3562"/>
      <c r="AS118" s="3561">
        <f t="shared" si="200"/>
        <v>0</v>
      </c>
      <c r="AT118" s="3563" t="s">
        <v>4810</v>
      </c>
      <c r="AU118" s="3547"/>
      <c r="AV118" s="3609"/>
      <c r="AW118" s="3562"/>
      <c r="AX118" s="3561">
        <f t="shared" si="201"/>
        <v>0</v>
      </c>
      <c r="AY118" s="3559"/>
      <c r="AZ118" s="3562"/>
      <c r="BA118" s="3561">
        <f t="shared" si="202"/>
        <v>0</v>
      </c>
      <c r="BB118" s="3563" t="s">
        <v>4810</v>
      </c>
      <c r="BC118" s="3547"/>
      <c r="BD118" s="3609"/>
      <c r="BE118" s="3562"/>
      <c r="BF118" s="3561">
        <f t="shared" si="203"/>
        <v>0</v>
      </c>
      <c r="BG118" s="3559"/>
      <c r="BH118" s="3562"/>
      <c r="BI118" s="3561">
        <f t="shared" si="204"/>
        <v>0</v>
      </c>
      <c r="BJ118" s="3563" t="s">
        <v>4810</v>
      </c>
      <c r="BK118" s="3547"/>
      <c r="BL118" s="3609"/>
      <c r="BM118" s="3562"/>
      <c r="BN118" s="3561">
        <f t="shared" si="205"/>
        <v>0</v>
      </c>
      <c r="BO118" s="3559"/>
      <c r="BP118" s="3562"/>
      <c r="BQ118" s="3561">
        <f t="shared" si="206"/>
        <v>0</v>
      </c>
      <c r="BR118" s="3563" t="s">
        <v>4810</v>
      </c>
      <c r="BS118" s="3547"/>
      <c r="BT118" s="3559"/>
      <c r="BU118" s="3562"/>
      <c r="BV118" s="3561">
        <f t="shared" si="207"/>
        <v>0</v>
      </c>
      <c r="BW118" s="3559"/>
      <c r="BX118" s="3562"/>
      <c r="BY118" s="3561">
        <f t="shared" si="208"/>
        <v>0</v>
      </c>
      <c r="BZ118" s="3563" t="s">
        <v>4810</v>
      </c>
      <c r="CA118" s="3547"/>
      <c r="CB118" s="3609"/>
      <c r="CC118" s="3562"/>
      <c r="CD118" s="3561">
        <f t="shared" si="164"/>
        <v>0</v>
      </c>
      <c r="CE118" s="3559"/>
      <c r="CF118" s="3562"/>
      <c r="CG118" s="3561">
        <f t="shared" si="165"/>
        <v>0</v>
      </c>
      <c r="CH118" s="3563" t="s">
        <v>4810</v>
      </c>
      <c r="CI118" s="3547"/>
      <c r="CJ118" s="3609"/>
      <c r="CK118" s="3562"/>
      <c r="CL118" s="3561">
        <f t="shared" si="133"/>
        <v>0</v>
      </c>
      <c r="CM118" s="3559"/>
      <c r="CN118" s="3562"/>
      <c r="CO118" s="3561">
        <f t="shared" si="166"/>
        <v>0</v>
      </c>
      <c r="CP118" s="3563" t="s">
        <v>4810</v>
      </c>
      <c r="CQ118" s="3547"/>
      <c r="CR118" s="3609"/>
      <c r="CS118" s="3562"/>
      <c r="CT118" s="3561">
        <f t="shared" si="167"/>
        <v>0</v>
      </c>
      <c r="CU118" s="3559"/>
      <c r="CV118" s="3562"/>
      <c r="CW118" s="3561">
        <f t="shared" si="168"/>
        <v>0</v>
      </c>
      <c r="CX118" s="3563" t="s">
        <v>4810</v>
      </c>
      <c r="CY118" s="3547"/>
      <c r="CZ118" s="3609"/>
      <c r="DA118" s="3562"/>
      <c r="DB118" s="3561">
        <f t="shared" si="169"/>
        <v>0</v>
      </c>
      <c r="DC118" s="3559"/>
      <c r="DD118" s="3562"/>
      <c r="DE118" s="3561">
        <f t="shared" si="170"/>
        <v>0</v>
      </c>
      <c r="DF118" s="3563" t="s">
        <v>4810</v>
      </c>
      <c r="DG118" s="3547"/>
      <c r="DH118" s="3609"/>
      <c r="DI118" s="3562"/>
      <c r="DJ118" s="3561">
        <f t="shared" si="171"/>
        <v>0</v>
      </c>
      <c r="DK118" s="3559"/>
      <c r="DL118" s="3562"/>
      <c r="DM118" s="3561">
        <f t="shared" si="172"/>
        <v>0</v>
      </c>
      <c r="DN118" s="3563"/>
      <c r="DO118" s="3547"/>
      <c r="DP118" s="3609"/>
      <c r="DQ118" s="3562"/>
      <c r="DR118" s="3561">
        <f t="shared" si="173"/>
        <v>0</v>
      </c>
      <c r="DS118" s="3559"/>
      <c r="DT118" s="3562"/>
      <c r="DU118" s="3561">
        <f t="shared" si="209"/>
        <v>0</v>
      </c>
      <c r="DV118" s="3563"/>
      <c r="DW118" s="3547"/>
      <c r="DX118" s="3609"/>
      <c r="DY118" s="3562"/>
      <c r="DZ118" s="3561">
        <f t="shared" si="175"/>
        <v>0</v>
      </c>
      <c r="EA118" s="3559"/>
      <c r="EB118" s="3562"/>
      <c r="EC118" s="3561">
        <f t="shared" si="176"/>
        <v>0</v>
      </c>
      <c r="ED118" s="3563"/>
      <c r="EF118" s="3565">
        <f t="shared" si="153"/>
        <v>0</v>
      </c>
      <c r="EG118" s="3565">
        <f t="shared" si="230"/>
        <v>0</v>
      </c>
      <c r="EH118" s="3565">
        <f t="shared" si="230"/>
        <v>0</v>
      </c>
      <c r="EI118" s="3565">
        <f t="shared" si="230"/>
        <v>0</v>
      </c>
      <c r="EJ118" s="3565">
        <f t="shared" si="154"/>
        <v>0</v>
      </c>
      <c r="EK118" s="3566">
        <f t="shared" si="155"/>
        <v>0</v>
      </c>
      <c r="EL118" s="3556"/>
      <c r="EM118" s="3567">
        <f t="shared" si="156"/>
        <v>0</v>
      </c>
      <c r="EN118" s="3557">
        <f t="shared" si="231"/>
        <v>0</v>
      </c>
      <c r="EO118" s="3557">
        <f t="shared" si="231"/>
        <v>0</v>
      </c>
      <c r="EP118" s="3557">
        <f t="shared" si="231"/>
        <v>0</v>
      </c>
      <c r="EQ118" s="3557">
        <f t="shared" si="157"/>
        <v>0</v>
      </c>
      <c r="ER118" s="3557">
        <f t="shared" si="158"/>
        <v>0</v>
      </c>
      <c r="ES118" s="3557"/>
      <c r="ET118" s="3568"/>
      <c r="EU118" s="3569"/>
      <c r="EV118" s="3562"/>
      <c r="EW118" s="3547">
        <f t="shared" si="210"/>
        <v>0</v>
      </c>
      <c r="EX118" s="3568"/>
      <c r="EY118" s="3569"/>
      <c r="EZ118" s="3562"/>
      <c r="FA118" s="3547">
        <f t="shared" si="211"/>
        <v>0</v>
      </c>
      <c r="FB118" s="3568"/>
      <c r="FC118" s="3569"/>
      <c r="FD118" s="3562"/>
      <c r="FE118" s="3547">
        <f t="shared" si="212"/>
        <v>0</v>
      </c>
      <c r="FF118" s="3568"/>
      <c r="FG118" s="3569"/>
      <c r="FH118" s="3562"/>
      <c r="FI118" s="3547">
        <f t="shared" si="213"/>
        <v>0</v>
      </c>
      <c r="FJ118" s="3568"/>
      <c r="FK118" s="3569"/>
      <c r="FL118" s="3562"/>
      <c r="FM118" s="3547">
        <f t="shared" si="214"/>
        <v>0</v>
      </c>
      <c r="FN118" s="3568"/>
      <c r="FO118" s="3569"/>
      <c r="FP118" s="3562"/>
      <c r="FQ118" s="3547">
        <f t="shared" si="215"/>
        <v>0</v>
      </c>
      <c r="FR118" s="3568"/>
      <c r="FS118" s="3569"/>
      <c r="FT118" s="3560"/>
      <c r="FU118" s="3547">
        <f t="shared" si="216"/>
        <v>0</v>
      </c>
      <c r="FV118" s="3568"/>
      <c r="FW118" s="3569"/>
      <c r="FX118" s="3560"/>
      <c r="FY118" s="3547">
        <f t="shared" si="217"/>
        <v>0</v>
      </c>
      <c r="FZ118" s="3568"/>
      <c r="GA118" s="3569"/>
      <c r="GB118" s="3562"/>
      <c r="GC118" s="3547">
        <f t="shared" si="218"/>
        <v>0</v>
      </c>
      <c r="GD118" s="3568"/>
      <c r="GE118" s="3569"/>
      <c r="GF118" s="3562"/>
      <c r="GG118" s="3547">
        <f t="shared" si="219"/>
        <v>0</v>
      </c>
      <c r="GH118" s="3568"/>
      <c r="GI118" s="3569"/>
      <c r="GJ118" s="3562"/>
      <c r="GK118" s="3547">
        <f t="shared" si="181"/>
        <v>0</v>
      </c>
      <c r="GL118" s="3568"/>
      <c r="GM118" s="3569"/>
      <c r="GN118" s="3562"/>
      <c r="GO118" s="3547">
        <f t="shared" si="182"/>
        <v>0</v>
      </c>
      <c r="GP118" s="3568"/>
      <c r="GQ118" s="3569"/>
      <c r="GR118" s="3562"/>
      <c r="GS118" s="3547">
        <f t="shared" si="183"/>
        <v>0</v>
      </c>
      <c r="GT118" s="3568"/>
      <c r="GU118" s="3569"/>
      <c r="GV118" s="3562"/>
      <c r="GW118" s="3547">
        <f t="shared" si="184"/>
        <v>0</v>
      </c>
      <c r="GX118" s="3568"/>
      <c r="GY118" s="3569"/>
      <c r="GZ118" s="3562"/>
      <c r="HA118" s="3547">
        <f t="shared" si="185"/>
        <v>0</v>
      </c>
      <c r="HB118" s="3568"/>
      <c r="HC118" s="3569"/>
      <c r="HD118" s="3562"/>
      <c r="HE118" s="3547">
        <f t="shared" si="186"/>
        <v>0</v>
      </c>
      <c r="HF118" s="3568"/>
      <c r="HG118" s="3569"/>
      <c r="HH118" s="3562"/>
      <c r="HI118" s="3547">
        <f t="shared" si="224"/>
        <v>0</v>
      </c>
      <c r="HJ118" s="3568"/>
      <c r="HK118" s="3569"/>
      <c r="HL118" s="3562"/>
      <c r="HM118" s="3547">
        <f t="shared" si="220"/>
        <v>0</v>
      </c>
      <c r="HN118" s="3568"/>
      <c r="HO118" s="3569"/>
      <c r="HP118" s="3562"/>
      <c r="HQ118" s="3547">
        <f t="shared" si="225"/>
        <v>0</v>
      </c>
      <c r="HR118" s="3568"/>
      <c r="HS118" s="3569"/>
      <c r="HT118" s="3562"/>
      <c r="HU118" s="3547">
        <f t="shared" si="221"/>
        <v>0</v>
      </c>
      <c r="HV118" s="3568"/>
      <c r="HW118" s="3569"/>
      <c r="HX118" s="3562"/>
      <c r="HY118" s="3547">
        <f t="shared" si="226"/>
        <v>0</v>
      </c>
      <c r="HZ118" s="3568"/>
      <c r="IA118" s="3569"/>
      <c r="IB118" s="3562"/>
      <c r="IC118" s="3547">
        <f t="shared" si="222"/>
        <v>0</v>
      </c>
      <c r="ID118" s="3568"/>
      <c r="IE118" s="3569"/>
      <c r="IF118" s="3562"/>
      <c r="IG118" s="3547">
        <f t="shared" si="227"/>
        <v>0</v>
      </c>
      <c r="IH118" s="3568"/>
      <c r="II118" s="3569"/>
      <c r="IJ118" s="3562"/>
      <c r="IK118" s="3547">
        <f t="shared" si="223"/>
        <v>0</v>
      </c>
      <c r="IL118" s="3570"/>
      <c r="IM118" s="3569"/>
      <c r="IN118" s="3569"/>
      <c r="IO118" s="3569"/>
      <c r="IP118" s="3560">
        <f t="shared" si="195"/>
        <v>0</v>
      </c>
      <c r="IQ118" s="3568"/>
      <c r="IR118" s="3568"/>
      <c r="IS118" s="3568"/>
      <c r="IT118" s="3568"/>
      <c r="IU118" s="3568"/>
      <c r="IV118" s="3568"/>
      <c r="IW118" s="3568"/>
      <c r="IX118" s="3568"/>
      <c r="IY118" s="3568"/>
      <c r="IZ118" s="3562"/>
      <c r="JA118" s="3562"/>
      <c r="JB118" s="3562"/>
      <c r="JC118" s="3560">
        <f t="shared" si="134"/>
        <v>0</v>
      </c>
      <c r="JD118" s="3569"/>
      <c r="JE118" s="3568"/>
      <c r="JF118" s="3568"/>
      <c r="JG118" s="3568"/>
      <c r="JH118" s="3568"/>
      <c r="JI118" s="3568"/>
      <c r="JJ118" s="3568"/>
      <c r="JK118" s="3568"/>
      <c r="JL118" s="3568"/>
      <c r="JM118" s="3568"/>
      <c r="JN118" s="3562"/>
      <c r="JO118" s="3562"/>
      <c r="JP118" s="3570"/>
      <c r="JQ118" s="3583"/>
      <c r="JR118" s="3583"/>
      <c r="JS118" s="3573">
        <f t="shared" si="145"/>
        <v>0</v>
      </c>
      <c r="JT118" s="3573">
        <f t="shared" si="152"/>
        <v>0</v>
      </c>
      <c r="JU118" s="3574">
        <f t="shared" si="146"/>
        <v>0</v>
      </c>
      <c r="JV118" s="3574">
        <f t="shared" si="147"/>
        <v>0</v>
      </c>
      <c r="JW118" s="3575"/>
      <c r="JX118" s="3576">
        <f t="shared" si="148"/>
        <v>0</v>
      </c>
      <c r="JY118" s="3576">
        <f t="shared" si="149"/>
        <v>0</v>
      </c>
      <c r="JZ118" s="3577"/>
      <c r="KA118" s="3573">
        <f t="shared" si="234"/>
        <v>0</v>
      </c>
      <c r="KB118" s="3573"/>
      <c r="KC118" s="3573"/>
      <c r="KD118" s="3573">
        <f t="shared" si="150"/>
        <v>0</v>
      </c>
      <c r="KE118" s="3571"/>
      <c r="KF118" s="3579"/>
      <c r="KG118" s="3579"/>
      <c r="KH118" s="3579"/>
      <c r="KI118" s="3579"/>
      <c r="KJ118" s="3579"/>
      <c r="KK118" s="3579"/>
      <c r="KL118" s="3579"/>
      <c r="KM118" s="3579"/>
      <c r="KN118" s="3579"/>
      <c r="KO118" s="3579"/>
      <c r="KP118" s="3579"/>
      <c r="KQ118" s="3579">
        <f t="shared" si="151"/>
        <v>0</v>
      </c>
      <c r="KR118" s="3579">
        <f t="shared" si="196"/>
        <v>0</v>
      </c>
      <c r="KS118" s="3577"/>
      <c r="KT118" s="3577"/>
      <c r="KU118" s="3577"/>
      <c r="KV118" s="3577"/>
      <c r="KW118" s="3577"/>
      <c r="KX118" s="3577"/>
      <c r="KY118" s="3577"/>
      <c r="KZ118" s="3577"/>
      <c r="LA118" s="3577"/>
      <c r="LB118" s="3577"/>
      <c r="LC118" s="3577"/>
      <c r="LD118" s="3577"/>
      <c r="LE118" s="3577"/>
      <c r="LF118" s="3577"/>
      <c r="LG118" s="3577"/>
      <c r="LH118" s="3577"/>
      <c r="LJ118" s="3575"/>
      <c r="LK118" s="3571"/>
      <c r="LL118" s="3576"/>
    </row>
    <row r="119" spans="1:325" s="3580" customFormat="1" ht="18" customHeight="1">
      <c r="A119" s="3545">
        <v>116</v>
      </c>
      <c r="B119" s="3546" t="s">
        <v>4805</v>
      </c>
      <c r="C119" s="3667" t="s">
        <v>4811</v>
      </c>
      <c r="D119" s="3562">
        <v>300</v>
      </c>
      <c r="E119" s="3596" t="s">
        <v>3845</v>
      </c>
      <c r="F119" s="3546" t="s">
        <v>3790</v>
      </c>
      <c r="G119" s="3595" t="s">
        <v>4336</v>
      </c>
      <c r="H119" s="3546" t="s">
        <v>4812</v>
      </c>
      <c r="I119" s="3594" t="s">
        <v>4808</v>
      </c>
      <c r="J119" s="3594" t="s">
        <v>4809</v>
      </c>
      <c r="K119" s="3545" t="s">
        <v>3885</v>
      </c>
      <c r="L119" s="3555"/>
      <c r="M119" s="3551"/>
      <c r="N119" s="3551"/>
      <c r="O119" s="3551">
        <f t="shared" si="135"/>
        <v>0</v>
      </c>
      <c r="P119" s="3551"/>
      <c r="Q119" s="3551"/>
      <c r="R119" s="3547">
        <f t="shared" si="235"/>
        <v>0</v>
      </c>
      <c r="S119" s="3547">
        <f t="shared" si="232"/>
        <v>0</v>
      </c>
      <c r="T119" s="3553"/>
      <c r="U119" s="3553">
        <f t="shared" si="136"/>
        <v>0</v>
      </c>
      <c r="V119" s="3547"/>
      <c r="W119" s="3547">
        <f t="shared" si="233"/>
        <v>0</v>
      </c>
      <c r="X119" s="3693"/>
      <c r="Y119" s="3547">
        <f t="shared" si="198"/>
        <v>0</v>
      </c>
      <c r="Z119" s="3554"/>
      <c r="AA119" s="3555"/>
      <c r="AB119" s="3593"/>
      <c r="AC119" s="3556">
        <f t="shared" si="138"/>
        <v>0</v>
      </c>
      <c r="AD119" s="3556">
        <f t="shared" si="228"/>
        <v>0</v>
      </c>
      <c r="AE119" s="3556">
        <f t="shared" si="228"/>
        <v>0</v>
      </c>
      <c r="AF119" s="3556">
        <f t="shared" si="140"/>
        <v>0</v>
      </c>
      <c r="AG119" s="3556"/>
      <c r="AH119" s="3557">
        <f t="shared" si="141"/>
        <v>0</v>
      </c>
      <c r="AI119" s="3558">
        <f t="shared" si="229"/>
        <v>0</v>
      </c>
      <c r="AJ119" s="3558">
        <f t="shared" si="229"/>
        <v>0</v>
      </c>
      <c r="AK119" s="3557">
        <f t="shared" si="159"/>
        <v>0</v>
      </c>
      <c r="AL119" s="3557"/>
      <c r="AM119" s="3547"/>
      <c r="AN119" s="3609"/>
      <c r="AO119" s="3562"/>
      <c r="AP119" s="3561">
        <f t="shared" si="199"/>
        <v>0</v>
      </c>
      <c r="AQ119" s="3559"/>
      <c r="AR119" s="3562"/>
      <c r="AS119" s="3561">
        <f t="shared" si="200"/>
        <v>0</v>
      </c>
      <c r="AT119" s="3563" t="s">
        <v>4810</v>
      </c>
      <c r="AU119" s="3547"/>
      <c r="AV119" s="3609"/>
      <c r="AW119" s="3562"/>
      <c r="AX119" s="3561">
        <f t="shared" si="201"/>
        <v>0</v>
      </c>
      <c r="AY119" s="3559"/>
      <c r="AZ119" s="3562"/>
      <c r="BA119" s="3561">
        <f t="shared" si="202"/>
        <v>0</v>
      </c>
      <c r="BB119" s="3563" t="s">
        <v>4810</v>
      </c>
      <c r="BC119" s="3547"/>
      <c r="BD119" s="3609"/>
      <c r="BE119" s="3562"/>
      <c r="BF119" s="3561">
        <f t="shared" si="203"/>
        <v>0</v>
      </c>
      <c r="BG119" s="3559"/>
      <c r="BH119" s="3562"/>
      <c r="BI119" s="3561">
        <f t="shared" si="204"/>
        <v>0</v>
      </c>
      <c r="BJ119" s="3563" t="s">
        <v>4810</v>
      </c>
      <c r="BK119" s="3547"/>
      <c r="BL119" s="3609"/>
      <c r="BM119" s="3562"/>
      <c r="BN119" s="3561">
        <f t="shared" si="205"/>
        <v>0</v>
      </c>
      <c r="BO119" s="3559"/>
      <c r="BP119" s="3562"/>
      <c r="BQ119" s="3561">
        <f t="shared" si="206"/>
        <v>0</v>
      </c>
      <c r="BR119" s="3563" t="s">
        <v>4810</v>
      </c>
      <c r="BS119" s="3547"/>
      <c r="BT119" s="3559"/>
      <c r="BU119" s="3562"/>
      <c r="BV119" s="3561">
        <f t="shared" si="207"/>
        <v>0</v>
      </c>
      <c r="BW119" s="3559"/>
      <c r="BX119" s="3562"/>
      <c r="BY119" s="3561">
        <f t="shared" si="208"/>
        <v>0</v>
      </c>
      <c r="BZ119" s="3563" t="s">
        <v>4810</v>
      </c>
      <c r="CA119" s="3547"/>
      <c r="CB119" s="3609"/>
      <c r="CC119" s="3562"/>
      <c r="CD119" s="3561">
        <f t="shared" si="164"/>
        <v>0</v>
      </c>
      <c r="CE119" s="3559"/>
      <c r="CF119" s="3562"/>
      <c r="CG119" s="3561">
        <f t="shared" si="165"/>
        <v>0</v>
      </c>
      <c r="CH119" s="3563" t="s">
        <v>4810</v>
      </c>
      <c r="CI119" s="3547"/>
      <c r="CJ119" s="3609"/>
      <c r="CK119" s="3562"/>
      <c r="CL119" s="3561">
        <f t="shared" si="133"/>
        <v>0</v>
      </c>
      <c r="CM119" s="3559"/>
      <c r="CN119" s="3562"/>
      <c r="CO119" s="3561">
        <f t="shared" si="166"/>
        <v>0</v>
      </c>
      <c r="CP119" s="3563" t="s">
        <v>4810</v>
      </c>
      <c r="CQ119" s="3547"/>
      <c r="CR119" s="3609"/>
      <c r="CS119" s="3562"/>
      <c r="CT119" s="3561">
        <f t="shared" si="167"/>
        <v>0</v>
      </c>
      <c r="CU119" s="3559"/>
      <c r="CV119" s="3562"/>
      <c r="CW119" s="3561">
        <f t="shared" si="168"/>
        <v>0</v>
      </c>
      <c r="CX119" s="3563" t="s">
        <v>4810</v>
      </c>
      <c r="CY119" s="3547"/>
      <c r="CZ119" s="3609"/>
      <c r="DA119" s="3562"/>
      <c r="DB119" s="3561">
        <f t="shared" si="169"/>
        <v>0</v>
      </c>
      <c r="DC119" s="3559"/>
      <c r="DD119" s="3562"/>
      <c r="DE119" s="3561">
        <f t="shared" si="170"/>
        <v>0</v>
      </c>
      <c r="DF119" s="3563" t="s">
        <v>4810</v>
      </c>
      <c r="DG119" s="3547"/>
      <c r="DH119" s="3609"/>
      <c r="DI119" s="3562"/>
      <c r="DJ119" s="3561">
        <f t="shared" si="171"/>
        <v>0</v>
      </c>
      <c r="DK119" s="3559"/>
      <c r="DL119" s="3562"/>
      <c r="DM119" s="3561">
        <f t="shared" si="172"/>
        <v>0</v>
      </c>
      <c r="DN119" s="3563"/>
      <c r="DO119" s="3547"/>
      <c r="DP119" s="3609"/>
      <c r="DQ119" s="3562"/>
      <c r="DR119" s="3561">
        <f t="shared" si="173"/>
        <v>0</v>
      </c>
      <c r="DS119" s="3559"/>
      <c r="DT119" s="3562"/>
      <c r="DU119" s="3561">
        <f t="shared" si="209"/>
        <v>0</v>
      </c>
      <c r="DV119" s="3563"/>
      <c r="DW119" s="3547"/>
      <c r="DX119" s="3609"/>
      <c r="DY119" s="3562"/>
      <c r="DZ119" s="3561">
        <f t="shared" si="175"/>
        <v>0</v>
      </c>
      <c r="EA119" s="3559"/>
      <c r="EB119" s="3562"/>
      <c r="EC119" s="3561">
        <f t="shared" si="176"/>
        <v>0</v>
      </c>
      <c r="ED119" s="3563"/>
      <c r="EF119" s="3565">
        <f t="shared" si="153"/>
        <v>0</v>
      </c>
      <c r="EG119" s="3565">
        <f t="shared" si="230"/>
        <v>0</v>
      </c>
      <c r="EH119" s="3565">
        <f t="shared" si="230"/>
        <v>0</v>
      </c>
      <c r="EI119" s="3565">
        <f t="shared" si="230"/>
        <v>0</v>
      </c>
      <c r="EJ119" s="3565">
        <f t="shared" si="154"/>
        <v>0</v>
      </c>
      <c r="EK119" s="3566">
        <f t="shared" si="155"/>
        <v>0</v>
      </c>
      <c r="EL119" s="3556"/>
      <c r="EM119" s="3567">
        <f t="shared" si="156"/>
        <v>0</v>
      </c>
      <c r="EN119" s="3557">
        <f t="shared" si="231"/>
        <v>0</v>
      </c>
      <c r="EO119" s="3557">
        <f t="shared" si="231"/>
        <v>0</v>
      </c>
      <c r="EP119" s="3557">
        <f t="shared" si="231"/>
        <v>0</v>
      </c>
      <c r="EQ119" s="3557">
        <f t="shared" si="157"/>
        <v>0</v>
      </c>
      <c r="ER119" s="3557">
        <f t="shared" si="158"/>
        <v>0</v>
      </c>
      <c r="ES119" s="3557"/>
      <c r="ET119" s="3568"/>
      <c r="EU119" s="3569"/>
      <c r="EV119" s="3562"/>
      <c r="EW119" s="3547">
        <f t="shared" si="210"/>
        <v>0</v>
      </c>
      <c r="EX119" s="3568"/>
      <c r="EY119" s="3569"/>
      <c r="EZ119" s="3562"/>
      <c r="FA119" s="3547">
        <f t="shared" si="211"/>
        <v>0</v>
      </c>
      <c r="FB119" s="3568"/>
      <c r="FC119" s="3569"/>
      <c r="FD119" s="3562"/>
      <c r="FE119" s="3547">
        <f t="shared" si="212"/>
        <v>0</v>
      </c>
      <c r="FF119" s="3568"/>
      <c r="FG119" s="3569"/>
      <c r="FH119" s="3562"/>
      <c r="FI119" s="3547">
        <f t="shared" si="213"/>
        <v>0</v>
      </c>
      <c r="FJ119" s="3568"/>
      <c r="FK119" s="3569"/>
      <c r="FL119" s="3562"/>
      <c r="FM119" s="3547">
        <f t="shared" si="214"/>
        <v>0</v>
      </c>
      <c r="FN119" s="3568"/>
      <c r="FO119" s="3569"/>
      <c r="FP119" s="3562"/>
      <c r="FQ119" s="3547">
        <f t="shared" si="215"/>
        <v>0</v>
      </c>
      <c r="FR119" s="3568"/>
      <c r="FS119" s="3569"/>
      <c r="FT119" s="3560"/>
      <c r="FU119" s="3547">
        <f t="shared" si="216"/>
        <v>0</v>
      </c>
      <c r="FV119" s="3568"/>
      <c r="FW119" s="3569"/>
      <c r="FX119" s="3560"/>
      <c r="FY119" s="3547">
        <f t="shared" si="217"/>
        <v>0</v>
      </c>
      <c r="FZ119" s="3568"/>
      <c r="GA119" s="3569"/>
      <c r="GB119" s="3562"/>
      <c r="GC119" s="3547">
        <f t="shared" si="218"/>
        <v>0</v>
      </c>
      <c r="GD119" s="3568"/>
      <c r="GE119" s="3569"/>
      <c r="GF119" s="3562"/>
      <c r="GG119" s="3547">
        <f t="shared" si="219"/>
        <v>0</v>
      </c>
      <c r="GH119" s="3568"/>
      <c r="GI119" s="3569"/>
      <c r="GJ119" s="3562"/>
      <c r="GK119" s="3547">
        <f t="shared" si="181"/>
        <v>0</v>
      </c>
      <c r="GL119" s="3568"/>
      <c r="GM119" s="3569"/>
      <c r="GN119" s="3562"/>
      <c r="GO119" s="3547">
        <f t="shared" si="182"/>
        <v>0</v>
      </c>
      <c r="GP119" s="3568"/>
      <c r="GQ119" s="3569"/>
      <c r="GR119" s="3562"/>
      <c r="GS119" s="3547">
        <f t="shared" si="183"/>
        <v>0</v>
      </c>
      <c r="GT119" s="3568"/>
      <c r="GU119" s="3569"/>
      <c r="GV119" s="3562"/>
      <c r="GW119" s="3547">
        <f t="shared" si="184"/>
        <v>0</v>
      </c>
      <c r="GX119" s="3568"/>
      <c r="GY119" s="3569"/>
      <c r="GZ119" s="3562"/>
      <c r="HA119" s="3547">
        <f t="shared" si="185"/>
        <v>0</v>
      </c>
      <c r="HB119" s="3568"/>
      <c r="HC119" s="3569"/>
      <c r="HD119" s="3562"/>
      <c r="HE119" s="3547">
        <f t="shared" si="186"/>
        <v>0</v>
      </c>
      <c r="HF119" s="3568"/>
      <c r="HG119" s="3569"/>
      <c r="HH119" s="3562"/>
      <c r="HI119" s="3547">
        <f t="shared" si="224"/>
        <v>0</v>
      </c>
      <c r="HJ119" s="3568"/>
      <c r="HK119" s="3569"/>
      <c r="HL119" s="3562"/>
      <c r="HM119" s="3547">
        <f t="shared" si="220"/>
        <v>0</v>
      </c>
      <c r="HN119" s="3568"/>
      <c r="HO119" s="3569"/>
      <c r="HP119" s="3562"/>
      <c r="HQ119" s="3547">
        <f t="shared" si="225"/>
        <v>0</v>
      </c>
      <c r="HR119" s="3568"/>
      <c r="HS119" s="3569"/>
      <c r="HT119" s="3562"/>
      <c r="HU119" s="3547">
        <f t="shared" si="221"/>
        <v>0</v>
      </c>
      <c r="HV119" s="3568"/>
      <c r="HW119" s="3569"/>
      <c r="HX119" s="3562"/>
      <c r="HY119" s="3547">
        <f t="shared" si="226"/>
        <v>0</v>
      </c>
      <c r="HZ119" s="3568"/>
      <c r="IA119" s="3569"/>
      <c r="IB119" s="3562"/>
      <c r="IC119" s="3547">
        <f t="shared" si="222"/>
        <v>0</v>
      </c>
      <c r="ID119" s="3568"/>
      <c r="IE119" s="3569"/>
      <c r="IF119" s="3562"/>
      <c r="IG119" s="3547">
        <f t="shared" si="227"/>
        <v>0</v>
      </c>
      <c r="IH119" s="3568"/>
      <c r="II119" s="3569"/>
      <c r="IJ119" s="3562"/>
      <c r="IK119" s="3547">
        <f t="shared" si="223"/>
        <v>0</v>
      </c>
      <c r="IL119" s="3570"/>
      <c r="IM119" s="3569"/>
      <c r="IN119" s="3569"/>
      <c r="IO119" s="3569"/>
      <c r="IP119" s="3560">
        <f t="shared" si="195"/>
        <v>0</v>
      </c>
      <c r="IQ119" s="3568"/>
      <c r="IR119" s="3568"/>
      <c r="IS119" s="3568"/>
      <c r="IT119" s="3568"/>
      <c r="IU119" s="3568"/>
      <c r="IV119" s="3568"/>
      <c r="IW119" s="3568"/>
      <c r="IX119" s="3568"/>
      <c r="IY119" s="3568"/>
      <c r="IZ119" s="3562"/>
      <c r="JA119" s="3562"/>
      <c r="JB119" s="3562"/>
      <c r="JC119" s="3560">
        <f t="shared" si="134"/>
        <v>0</v>
      </c>
      <c r="JD119" s="3569"/>
      <c r="JE119" s="3568"/>
      <c r="JF119" s="3568"/>
      <c r="JG119" s="3568"/>
      <c r="JH119" s="3568"/>
      <c r="JI119" s="3568"/>
      <c r="JJ119" s="3568"/>
      <c r="JK119" s="3568"/>
      <c r="JL119" s="3568"/>
      <c r="JM119" s="3568"/>
      <c r="JN119" s="3562"/>
      <c r="JO119" s="3562"/>
      <c r="JP119" s="3570"/>
      <c r="JQ119" s="3583"/>
      <c r="JR119" s="3583"/>
      <c r="JS119" s="3573">
        <f t="shared" si="145"/>
        <v>0</v>
      </c>
      <c r="JT119" s="3573">
        <f t="shared" si="152"/>
        <v>0</v>
      </c>
      <c r="JU119" s="3574">
        <f t="shared" si="146"/>
        <v>0</v>
      </c>
      <c r="JV119" s="3574">
        <f t="shared" si="147"/>
        <v>0</v>
      </c>
      <c r="JW119" s="3575"/>
      <c r="JX119" s="3576">
        <f t="shared" si="148"/>
        <v>0</v>
      </c>
      <c r="JY119" s="3576">
        <f t="shared" si="149"/>
        <v>0</v>
      </c>
      <c r="JZ119" s="3577"/>
      <c r="KA119" s="3573">
        <f t="shared" si="234"/>
        <v>0</v>
      </c>
      <c r="KB119" s="3573"/>
      <c r="KC119" s="3573"/>
      <c r="KD119" s="3573">
        <f t="shared" si="150"/>
        <v>0</v>
      </c>
      <c r="KE119" s="3571"/>
      <c r="KF119" s="3579"/>
      <c r="KG119" s="3579"/>
      <c r="KH119" s="3579"/>
      <c r="KI119" s="3579"/>
      <c r="KJ119" s="3579"/>
      <c r="KK119" s="3579"/>
      <c r="KL119" s="3579"/>
      <c r="KM119" s="3579"/>
      <c r="KN119" s="3579"/>
      <c r="KO119" s="3579"/>
      <c r="KP119" s="3579"/>
      <c r="KQ119" s="3579">
        <f t="shared" si="151"/>
        <v>0</v>
      </c>
      <c r="KR119" s="3579">
        <f t="shared" si="196"/>
        <v>0</v>
      </c>
      <c r="KS119" s="3577"/>
      <c r="KT119" s="3577"/>
      <c r="KU119" s="3577"/>
      <c r="KV119" s="3577"/>
      <c r="KW119" s="3577"/>
      <c r="KX119" s="3577"/>
      <c r="KY119" s="3577"/>
      <c r="KZ119" s="3577"/>
      <c r="LA119" s="3577"/>
      <c r="LB119" s="3577"/>
      <c r="LC119" s="3577"/>
      <c r="LD119" s="3577"/>
      <c r="LE119" s="3577"/>
      <c r="LF119" s="3577"/>
      <c r="LG119" s="3577"/>
      <c r="LH119" s="3577"/>
      <c r="LJ119" s="3575"/>
      <c r="LK119" s="3571"/>
      <c r="LL119" s="3576"/>
    </row>
    <row r="120" spans="1:325" s="3580" customFormat="1" ht="18" customHeight="1">
      <c r="A120" s="3545">
        <v>117</v>
      </c>
      <c r="B120" s="3546" t="s">
        <v>4805</v>
      </c>
      <c r="C120" s="3667" t="s">
        <v>4813</v>
      </c>
      <c r="D120" s="3562">
        <v>360</v>
      </c>
      <c r="E120" s="3596" t="s">
        <v>3845</v>
      </c>
      <c r="F120" s="3546" t="s">
        <v>3790</v>
      </c>
      <c r="G120" s="3595" t="s">
        <v>4336</v>
      </c>
      <c r="H120" s="3546" t="s">
        <v>4814</v>
      </c>
      <c r="I120" s="3594" t="s">
        <v>4808</v>
      </c>
      <c r="J120" s="3594" t="s">
        <v>4809</v>
      </c>
      <c r="K120" s="3545" t="s">
        <v>3885</v>
      </c>
      <c r="L120" s="3555"/>
      <c r="M120" s="3551"/>
      <c r="N120" s="3551"/>
      <c r="O120" s="3551">
        <f t="shared" si="135"/>
        <v>0</v>
      </c>
      <c r="P120" s="3551"/>
      <c r="Q120" s="3551"/>
      <c r="R120" s="3547">
        <f t="shared" si="235"/>
        <v>0</v>
      </c>
      <c r="S120" s="3547">
        <f t="shared" si="232"/>
        <v>0</v>
      </c>
      <c r="T120" s="3553"/>
      <c r="U120" s="3553">
        <f t="shared" si="136"/>
        <v>0</v>
      </c>
      <c r="V120" s="3547"/>
      <c r="W120" s="3547">
        <f t="shared" si="233"/>
        <v>0</v>
      </c>
      <c r="X120" s="3693"/>
      <c r="Y120" s="3547">
        <f t="shared" si="198"/>
        <v>0</v>
      </c>
      <c r="Z120" s="3554"/>
      <c r="AA120" s="3555"/>
      <c r="AB120" s="3593"/>
      <c r="AC120" s="3556">
        <f t="shared" si="138"/>
        <v>0</v>
      </c>
      <c r="AD120" s="3556">
        <f t="shared" si="228"/>
        <v>0</v>
      </c>
      <c r="AE120" s="3556">
        <f t="shared" si="228"/>
        <v>0</v>
      </c>
      <c r="AF120" s="3556">
        <f t="shared" si="140"/>
        <v>0</v>
      </c>
      <c r="AG120" s="3556"/>
      <c r="AH120" s="3557">
        <f t="shared" si="141"/>
        <v>0</v>
      </c>
      <c r="AI120" s="3558">
        <f t="shared" si="229"/>
        <v>0</v>
      </c>
      <c r="AJ120" s="3558">
        <f t="shared" si="229"/>
        <v>0</v>
      </c>
      <c r="AK120" s="3557">
        <f t="shared" si="159"/>
        <v>0</v>
      </c>
      <c r="AL120" s="3557"/>
      <c r="AM120" s="3547"/>
      <c r="AN120" s="3609"/>
      <c r="AO120" s="3562"/>
      <c r="AP120" s="3561">
        <f t="shared" si="199"/>
        <v>0</v>
      </c>
      <c r="AQ120" s="3559"/>
      <c r="AR120" s="3562"/>
      <c r="AS120" s="3561">
        <f t="shared" si="200"/>
        <v>0</v>
      </c>
      <c r="AT120" s="3563" t="s">
        <v>4810</v>
      </c>
      <c r="AU120" s="3547"/>
      <c r="AV120" s="3609"/>
      <c r="AW120" s="3562"/>
      <c r="AX120" s="3561">
        <f t="shared" si="201"/>
        <v>0</v>
      </c>
      <c r="AY120" s="3559"/>
      <c r="AZ120" s="3562"/>
      <c r="BA120" s="3561">
        <f t="shared" si="202"/>
        <v>0</v>
      </c>
      <c r="BB120" s="3563" t="s">
        <v>4810</v>
      </c>
      <c r="BC120" s="3547"/>
      <c r="BD120" s="3609"/>
      <c r="BE120" s="3562"/>
      <c r="BF120" s="3561">
        <f t="shared" si="203"/>
        <v>0</v>
      </c>
      <c r="BG120" s="3559"/>
      <c r="BH120" s="3562"/>
      <c r="BI120" s="3561">
        <f t="shared" si="204"/>
        <v>0</v>
      </c>
      <c r="BJ120" s="3563" t="s">
        <v>4810</v>
      </c>
      <c r="BK120" s="3547"/>
      <c r="BL120" s="3609"/>
      <c r="BM120" s="3562"/>
      <c r="BN120" s="3561">
        <f t="shared" si="205"/>
        <v>0</v>
      </c>
      <c r="BO120" s="3559"/>
      <c r="BP120" s="3562"/>
      <c r="BQ120" s="3561">
        <f t="shared" si="206"/>
        <v>0</v>
      </c>
      <c r="BR120" s="3563" t="s">
        <v>4810</v>
      </c>
      <c r="BS120" s="3547"/>
      <c r="BT120" s="3559"/>
      <c r="BU120" s="3562"/>
      <c r="BV120" s="3561">
        <f t="shared" si="207"/>
        <v>0</v>
      </c>
      <c r="BW120" s="3559"/>
      <c r="BX120" s="3562"/>
      <c r="BY120" s="3561">
        <f t="shared" si="208"/>
        <v>0</v>
      </c>
      <c r="BZ120" s="3563" t="s">
        <v>4810</v>
      </c>
      <c r="CA120" s="3547"/>
      <c r="CB120" s="3609"/>
      <c r="CC120" s="3562"/>
      <c r="CD120" s="3561">
        <f t="shared" si="164"/>
        <v>0</v>
      </c>
      <c r="CE120" s="3559"/>
      <c r="CF120" s="3562"/>
      <c r="CG120" s="3561">
        <f t="shared" si="165"/>
        <v>0</v>
      </c>
      <c r="CH120" s="3563" t="s">
        <v>4810</v>
      </c>
      <c r="CI120" s="3547"/>
      <c r="CJ120" s="3609"/>
      <c r="CK120" s="3562"/>
      <c r="CL120" s="3561">
        <f t="shared" si="133"/>
        <v>0</v>
      </c>
      <c r="CM120" s="3559"/>
      <c r="CN120" s="3562"/>
      <c r="CO120" s="3561">
        <f t="shared" si="166"/>
        <v>0</v>
      </c>
      <c r="CP120" s="3563" t="s">
        <v>4810</v>
      </c>
      <c r="CQ120" s="3547"/>
      <c r="CR120" s="3609"/>
      <c r="CS120" s="3562"/>
      <c r="CT120" s="3561">
        <f t="shared" si="167"/>
        <v>0</v>
      </c>
      <c r="CU120" s="3559"/>
      <c r="CV120" s="3562"/>
      <c r="CW120" s="3561">
        <f t="shared" si="168"/>
        <v>0</v>
      </c>
      <c r="CX120" s="3563" t="s">
        <v>4810</v>
      </c>
      <c r="CY120" s="3547"/>
      <c r="CZ120" s="3609"/>
      <c r="DA120" s="3562"/>
      <c r="DB120" s="3561">
        <f t="shared" si="169"/>
        <v>0</v>
      </c>
      <c r="DC120" s="3559"/>
      <c r="DD120" s="3562"/>
      <c r="DE120" s="3561">
        <f t="shared" si="170"/>
        <v>0</v>
      </c>
      <c r="DF120" s="3563" t="s">
        <v>4810</v>
      </c>
      <c r="DG120" s="3547"/>
      <c r="DH120" s="3609"/>
      <c r="DI120" s="3562"/>
      <c r="DJ120" s="3561">
        <f t="shared" si="171"/>
        <v>0</v>
      </c>
      <c r="DK120" s="3559"/>
      <c r="DL120" s="3562"/>
      <c r="DM120" s="3561">
        <f t="shared" si="172"/>
        <v>0</v>
      </c>
      <c r="DN120" s="3563"/>
      <c r="DO120" s="3547"/>
      <c r="DP120" s="3609"/>
      <c r="DQ120" s="3562"/>
      <c r="DR120" s="3561">
        <f t="shared" si="173"/>
        <v>0</v>
      </c>
      <c r="DS120" s="3559"/>
      <c r="DT120" s="3562"/>
      <c r="DU120" s="3561">
        <f t="shared" si="209"/>
        <v>0</v>
      </c>
      <c r="DV120" s="3563"/>
      <c r="DW120" s="3547"/>
      <c r="DX120" s="3609"/>
      <c r="DY120" s="3562"/>
      <c r="DZ120" s="3561">
        <f t="shared" si="175"/>
        <v>0</v>
      </c>
      <c r="EA120" s="3559"/>
      <c r="EB120" s="3562"/>
      <c r="EC120" s="3561">
        <f t="shared" si="176"/>
        <v>0</v>
      </c>
      <c r="ED120" s="3563"/>
      <c r="EF120" s="3565">
        <f t="shared" si="153"/>
        <v>0</v>
      </c>
      <c r="EG120" s="3565">
        <f t="shared" si="230"/>
        <v>0</v>
      </c>
      <c r="EH120" s="3565">
        <f t="shared" si="230"/>
        <v>0</v>
      </c>
      <c r="EI120" s="3565">
        <f t="shared" si="230"/>
        <v>0</v>
      </c>
      <c r="EJ120" s="3565">
        <f t="shared" si="154"/>
        <v>0</v>
      </c>
      <c r="EK120" s="3566">
        <f t="shared" si="155"/>
        <v>0</v>
      </c>
      <c r="EL120" s="3556"/>
      <c r="EM120" s="3567">
        <f t="shared" si="156"/>
        <v>0</v>
      </c>
      <c r="EN120" s="3557">
        <f t="shared" si="231"/>
        <v>0</v>
      </c>
      <c r="EO120" s="3557">
        <f t="shared" si="231"/>
        <v>0</v>
      </c>
      <c r="EP120" s="3557">
        <f t="shared" si="231"/>
        <v>0</v>
      </c>
      <c r="EQ120" s="3557">
        <f t="shared" si="157"/>
        <v>0</v>
      </c>
      <c r="ER120" s="3557">
        <f t="shared" si="158"/>
        <v>0</v>
      </c>
      <c r="ES120" s="3557"/>
      <c r="ET120" s="3568"/>
      <c r="EU120" s="3569"/>
      <c r="EV120" s="3562"/>
      <c r="EW120" s="3547">
        <f t="shared" si="210"/>
        <v>0</v>
      </c>
      <c r="EX120" s="3568"/>
      <c r="EY120" s="3569"/>
      <c r="EZ120" s="3562"/>
      <c r="FA120" s="3547">
        <f t="shared" si="211"/>
        <v>0</v>
      </c>
      <c r="FB120" s="3568"/>
      <c r="FC120" s="3569"/>
      <c r="FD120" s="3562"/>
      <c r="FE120" s="3547">
        <f t="shared" si="212"/>
        <v>0</v>
      </c>
      <c r="FF120" s="3568"/>
      <c r="FG120" s="3569"/>
      <c r="FH120" s="3562"/>
      <c r="FI120" s="3547">
        <f t="shared" si="213"/>
        <v>0</v>
      </c>
      <c r="FJ120" s="3568"/>
      <c r="FK120" s="3569"/>
      <c r="FL120" s="3562"/>
      <c r="FM120" s="3547">
        <f t="shared" si="214"/>
        <v>0</v>
      </c>
      <c r="FN120" s="3568"/>
      <c r="FO120" s="3569"/>
      <c r="FP120" s="3562"/>
      <c r="FQ120" s="3547">
        <f t="shared" si="215"/>
        <v>0</v>
      </c>
      <c r="FR120" s="3568"/>
      <c r="FS120" s="3569"/>
      <c r="FT120" s="3560"/>
      <c r="FU120" s="3547">
        <f t="shared" si="216"/>
        <v>0</v>
      </c>
      <c r="FV120" s="3568"/>
      <c r="FW120" s="3569"/>
      <c r="FX120" s="3560"/>
      <c r="FY120" s="3547">
        <f t="shared" si="217"/>
        <v>0</v>
      </c>
      <c r="FZ120" s="3568"/>
      <c r="GA120" s="3569"/>
      <c r="GB120" s="3562"/>
      <c r="GC120" s="3547">
        <f t="shared" si="218"/>
        <v>0</v>
      </c>
      <c r="GD120" s="3568"/>
      <c r="GE120" s="3569"/>
      <c r="GF120" s="3562"/>
      <c r="GG120" s="3547">
        <f t="shared" si="219"/>
        <v>0</v>
      </c>
      <c r="GH120" s="3568"/>
      <c r="GI120" s="3569"/>
      <c r="GJ120" s="3562"/>
      <c r="GK120" s="3547">
        <f t="shared" si="181"/>
        <v>0</v>
      </c>
      <c r="GL120" s="3568"/>
      <c r="GM120" s="3569"/>
      <c r="GN120" s="3562"/>
      <c r="GO120" s="3547">
        <f t="shared" si="182"/>
        <v>0</v>
      </c>
      <c r="GP120" s="3568"/>
      <c r="GQ120" s="3569"/>
      <c r="GR120" s="3562"/>
      <c r="GS120" s="3547">
        <f t="shared" si="183"/>
        <v>0</v>
      </c>
      <c r="GT120" s="3568"/>
      <c r="GU120" s="3569"/>
      <c r="GV120" s="3562"/>
      <c r="GW120" s="3547">
        <f t="shared" si="184"/>
        <v>0</v>
      </c>
      <c r="GX120" s="3568"/>
      <c r="GY120" s="3569"/>
      <c r="GZ120" s="3562"/>
      <c r="HA120" s="3547">
        <f t="shared" si="185"/>
        <v>0</v>
      </c>
      <c r="HB120" s="3568"/>
      <c r="HC120" s="3569"/>
      <c r="HD120" s="3562"/>
      <c r="HE120" s="3547">
        <f t="shared" si="186"/>
        <v>0</v>
      </c>
      <c r="HF120" s="3568"/>
      <c r="HG120" s="3569"/>
      <c r="HH120" s="3562"/>
      <c r="HI120" s="3547">
        <f t="shared" si="224"/>
        <v>0</v>
      </c>
      <c r="HJ120" s="3568"/>
      <c r="HK120" s="3569"/>
      <c r="HL120" s="3562"/>
      <c r="HM120" s="3547">
        <f t="shared" si="220"/>
        <v>0</v>
      </c>
      <c r="HN120" s="3568"/>
      <c r="HO120" s="3569"/>
      <c r="HP120" s="3562"/>
      <c r="HQ120" s="3547">
        <f t="shared" si="225"/>
        <v>0</v>
      </c>
      <c r="HR120" s="3568"/>
      <c r="HS120" s="3569"/>
      <c r="HT120" s="3562"/>
      <c r="HU120" s="3547">
        <f t="shared" si="221"/>
        <v>0</v>
      </c>
      <c r="HV120" s="3568"/>
      <c r="HW120" s="3569"/>
      <c r="HX120" s="3562"/>
      <c r="HY120" s="3547">
        <f t="shared" si="226"/>
        <v>0</v>
      </c>
      <c r="HZ120" s="3568"/>
      <c r="IA120" s="3569"/>
      <c r="IB120" s="3562"/>
      <c r="IC120" s="3547">
        <f t="shared" si="222"/>
        <v>0</v>
      </c>
      <c r="ID120" s="3568"/>
      <c r="IE120" s="3569"/>
      <c r="IF120" s="3562"/>
      <c r="IG120" s="3547">
        <f t="shared" si="227"/>
        <v>0</v>
      </c>
      <c r="IH120" s="3568"/>
      <c r="II120" s="3569"/>
      <c r="IJ120" s="3562"/>
      <c r="IK120" s="3547">
        <f t="shared" si="223"/>
        <v>0</v>
      </c>
      <c r="IL120" s="3570"/>
      <c r="IM120" s="3569"/>
      <c r="IN120" s="3569"/>
      <c r="IO120" s="3569"/>
      <c r="IP120" s="3560">
        <f t="shared" si="195"/>
        <v>0</v>
      </c>
      <c r="IQ120" s="3568"/>
      <c r="IR120" s="3568"/>
      <c r="IS120" s="3568"/>
      <c r="IT120" s="3568"/>
      <c r="IU120" s="3568"/>
      <c r="IV120" s="3568"/>
      <c r="IW120" s="3568"/>
      <c r="IX120" s="3568"/>
      <c r="IY120" s="3568"/>
      <c r="IZ120" s="3562"/>
      <c r="JA120" s="3562"/>
      <c r="JB120" s="3562"/>
      <c r="JC120" s="3560">
        <f t="shared" si="134"/>
        <v>0</v>
      </c>
      <c r="JD120" s="3569"/>
      <c r="JE120" s="3568"/>
      <c r="JF120" s="3568"/>
      <c r="JG120" s="3568"/>
      <c r="JH120" s="3568"/>
      <c r="JI120" s="3568"/>
      <c r="JJ120" s="3568"/>
      <c r="JK120" s="3568"/>
      <c r="JL120" s="3568"/>
      <c r="JM120" s="3568"/>
      <c r="JN120" s="3562"/>
      <c r="JO120" s="3562"/>
      <c r="JP120" s="3570"/>
      <c r="JQ120" s="3583"/>
      <c r="JR120" s="3583"/>
      <c r="JS120" s="3573">
        <f t="shared" si="145"/>
        <v>0</v>
      </c>
      <c r="JT120" s="3573">
        <f t="shared" si="152"/>
        <v>0</v>
      </c>
      <c r="JU120" s="3574">
        <f t="shared" si="146"/>
        <v>0</v>
      </c>
      <c r="JV120" s="3574">
        <f t="shared" si="147"/>
        <v>0</v>
      </c>
      <c r="JW120" s="3575"/>
      <c r="JX120" s="3576">
        <f t="shared" si="148"/>
        <v>0</v>
      </c>
      <c r="JY120" s="3576">
        <f t="shared" si="149"/>
        <v>0</v>
      </c>
      <c r="JZ120" s="3577"/>
      <c r="KA120" s="3573">
        <f t="shared" si="234"/>
        <v>0</v>
      </c>
      <c r="KB120" s="3573"/>
      <c r="KC120" s="3573"/>
      <c r="KD120" s="3573">
        <f t="shared" si="150"/>
        <v>0</v>
      </c>
      <c r="KE120" s="3571"/>
      <c r="KF120" s="3579"/>
      <c r="KG120" s="3579"/>
      <c r="KH120" s="3579"/>
      <c r="KI120" s="3579"/>
      <c r="KJ120" s="3579"/>
      <c r="KK120" s="3579"/>
      <c r="KL120" s="3579"/>
      <c r="KM120" s="3579"/>
      <c r="KN120" s="3579"/>
      <c r="KO120" s="3579"/>
      <c r="KP120" s="3579"/>
      <c r="KQ120" s="3579">
        <f t="shared" si="151"/>
        <v>0</v>
      </c>
      <c r="KR120" s="3579">
        <f t="shared" si="196"/>
        <v>0</v>
      </c>
      <c r="KS120" s="3577"/>
      <c r="KT120" s="3577"/>
      <c r="KU120" s="3577"/>
      <c r="KV120" s="3577"/>
      <c r="KW120" s="3577"/>
      <c r="KX120" s="3577"/>
      <c r="KY120" s="3577"/>
      <c r="KZ120" s="3577"/>
      <c r="LA120" s="3577"/>
      <c r="LB120" s="3577"/>
      <c r="LC120" s="3577"/>
      <c r="LD120" s="3577"/>
      <c r="LE120" s="3577"/>
      <c r="LF120" s="3577"/>
      <c r="LG120" s="3577"/>
      <c r="LH120" s="3577"/>
      <c r="LJ120" s="3575"/>
      <c r="LK120" s="3571"/>
      <c r="LL120" s="3576"/>
    </row>
    <row r="121" spans="1:325" s="3580" customFormat="1" ht="18" customHeight="1">
      <c r="A121" s="3545">
        <v>118</v>
      </c>
      <c r="B121" s="3546" t="s">
        <v>4805</v>
      </c>
      <c r="C121" s="3667" t="s">
        <v>4815</v>
      </c>
      <c r="D121" s="3562">
        <v>350</v>
      </c>
      <c r="E121" s="3596" t="s">
        <v>3845</v>
      </c>
      <c r="F121" s="3546" t="s">
        <v>3790</v>
      </c>
      <c r="G121" s="3595" t="s">
        <v>4336</v>
      </c>
      <c r="H121" s="3546" t="s">
        <v>4816</v>
      </c>
      <c r="I121" s="3594" t="s">
        <v>4808</v>
      </c>
      <c r="J121" s="3594" t="s">
        <v>4809</v>
      </c>
      <c r="K121" s="3545" t="s">
        <v>3885</v>
      </c>
      <c r="L121" s="3555"/>
      <c r="M121" s="3551"/>
      <c r="N121" s="3551"/>
      <c r="O121" s="3551">
        <f t="shared" si="135"/>
        <v>0</v>
      </c>
      <c r="P121" s="3551"/>
      <c r="Q121" s="3551"/>
      <c r="R121" s="3547">
        <f t="shared" si="235"/>
        <v>0</v>
      </c>
      <c r="S121" s="3547">
        <f t="shared" si="232"/>
        <v>0</v>
      </c>
      <c r="T121" s="3553"/>
      <c r="U121" s="3553">
        <f t="shared" si="136"/>
        <v>0</v>
      </c>
      <c r="V121" s="3547"/>
      <c r="W121" s="3547">
        <f t="shared" si="233"/>
        <v>0</v>
      </c>
      <c r="X121" s="3693"/>
      <c r="Y121" s="3547">
        <f t="shared" si="198"/>
        <v>0</v>
      </c>
      <c r="Z121" s="3554"/>
      <c r="AA121" s="3555"/>
      <c r="AB121" s="3593"/>
      <c r="AC121" s="3556">
        <f t="shared" si="138"/>
        <v>0</v>
      </c>
      <c r="AD121" s="3556">
        <f t="shared" si="228"/>
        <v>0</v>
      </c>
      <c r="AE121" s="3556">
        <f t="shared" si="228"/>
        <v>0</v>
      </c>
      <c r="AF121" s="3556">
        <f t="shared" si="140"/>
        <v>0</v>
      </c>
      <c r="AG121" s="3556"/>
      <c r="AH121" s="3557">
        <f t="shared" si="141"/>
        <v>0</v>
      </c>
      <c r="AI121" s="3558">
        <f t="shared" si="229"/>
        <v>0</v>
      </c>
      <c r="AJ121" s="3558">
        <f t="shared" si="229"/>
        <v>0</v>
      </c>
      <c r="AK121" s="3557">
        <f t="shared" si="159"/>
        <v>0</v>
      </c>
      <c r="AL121" s="3557"/>
      <c r="AM121" s="3547"/>
      <c r="AN121" s="3609"/>
      <c r="AO121" s="3562"/>
      <c r="AP121" s="3561">
        <f t="shared" si="199"/>
        <v>0</v>
      </c>
      <c r="AQ121" s="3559"/>
      <c r="AR121" s="3562"/>
      <c r="AS121" s="3561">
        <f t="shared" si="200"/>
        <v>0</v>
      </c>
      <c r="AT121" s="3563" t="s">
        <v>4810</v>
      </c>
      <c r="AU121" s="3547"/>
      <c r="AV121" s="3609"/>
      <c r="AW121" s="3562"/>
      <c r="AX121" s="3561">
        <f t="shared" si="201"/>
        <v>0</v>
      </c>
      <c r="AY121" s="3559"/>
      <c r="AZ121" s="3562"/>
      <c r="BA121" s="3561">
        <f t="shared" si="202"/>
        <v>0</v>
      </c>
      <c r="BB121" s="3563" t="s">
        <v>4810</v>
      </c>
      <c r="BC121" s="3547"/>
      <c r="BD121" s="3609"/>
      <c r="BE121" s="3562"/>
      <c r="BF121" s="3561">
        <f t="shared" si="203"/>
        <v>0</v>
      </c>
      <c r="BG121" s="3559"/>
      <c r="BH121" s="3562"/>
      <c r="BI121" s="3561">
        <f t="shared" si="204"/>
        <v>0</v>
      </c>
      <c r="BJ121" s="3563" t="s">
        <v>4810</v>
      </c>
      <c r="BK121" s="3547"/>
      <c r="BL121" s="3609"/>
      <c r="BM121" s="3562"/>
      <c r="BN121" s="3561">
        <f t="shared" si="205"/>
        <v>0</v>
      </c>
      <c r="BO121" s="3559"/>
      <c r="BP121" s="3562"/>
      <c r="BQ121" s="3561">
        <f t="shared" si="206"/>
        <v>0</v>
      </c>
      <c r="BR121" s="3563" t="s">
        <v>4810</v>
      </c>
      <c r="BS121" s="3547"/>
      <c r="BT121" s="3559"/>
      <c r="BU121" s="3562"/>
      <c r="BV121" s="3561">
        <f t="shared" si="207"/>
        <v>0</v>
      </c>
      <c r="BW121" s="3559"/>
      <c r="BX121" s="3562"/>
      <c r="BY121" s="3561">
        <f t="shared" si="208"/>
        <v>0</v>
      </c>
      <c r="BZ121" s="3563" t="s">
        <v>4810</v>
      </c>
      <c r="CA121" s="3547"/>
      <c r="CB121" s="3609"/>
      <c r="CC121" s="3562"/>
      <c r="CD121" s="3561">
        <f t="shared" si="164"/>
        <v>0</v>
      </c>
      <c r="CE121" s="3559"/>
      <c r="CF121" s="3562"/>
      <c r="CG121" s="3561">
        <f t="shared" si="165"/>
        <v>0</v>
      </c>
      <c r="CH121" s="3563" t="s">
        <v>4810</v>
      </c>
      <c r="CI121" s="3547"/>
      <c r="CJ121" s="3609"/>
      <c r="CK121" s="3562"/>
      <c r="CL121" s="3561">
        <f t="shared" si="133"/>
        <v>0</v>
      </c>
      <c r="CM121" s="3559"/>
      <c r="CN121" s="3562"/>
      <c r="CO121" s="3561">
        <f t="shared" si="166"/>
        <v>0</v>
      </c>
      <c r="CP121" s="3563" t="s">
        <v>4810</v>
      </c>
      <c r="CQ121" s="3547"/>
      <c r="CR121" s="3609"/>
      <c r="CS121" s="3603"/>
      <c r="CT121" s="3561">
        <f t="shared" si="167"/>
        <v>0</v>
      </c>
      <c r="CU121" s="3559"/>
      <c r="CV121" s="3562"/>
      <c r="CW121" s="3561">
        <f t="shared" si="168"/>
        <v>0</v>
      </c>
      <c r="CX121" s="3563" t="s">
        <v>4810</v>
      </c>
      <c r="CY121" s="3547"/>
      <c r="CZ121" s="3609"/>
      <c r="DA121" s="3562"/>
      <c r="DB121" s="3561">
        <f t="shared" si="169"/>
        <v>0</v>
      </c>
      <c r="DC121" s="3559"/>
      <c r="DD121" s="3562"/>
      <c r="DE121" s="3561">
        <f t="shared" si="170"/>
        <v>0</v>
      </c>
      <c r="DF121" s="3563" t="s">
        <v>4810</v>
      </c>
      <c r="DG121" s="3547"/>
      <c r="DH121" s="3609"/>
      <c r="DI121" s="3562"/>
      <c r="DJ121" s="3561">
        <f t="shared" si="171"/>
        <v>0</v>
      </c>
      <c r="DK121" s="3559"/>
      <c r="DL121" s="3562"/>
      <c r="DM121" s="3561">
        <f t="shared" si="172"/>
        <v>0</v>
      </c>
      <c r="DN121" s="3563"/>
      <c r="DO121" s="3547"/>
      <c r="DP121" s="3609"/>
      <c r="DQ121" s="3562"/>
      <c r="DR121" s="3561">
        <f t="shared" si="173"/>
        <v>0</v>
      </c>
      <c r="DS121" s="3559"/>
      <c r="DT121" s="3562"/>
      <c r="DU121" s="3561">
        <f t="shared" si="209"/>
        <v>0</v>
      </c>
      <c r="DV121" s="3563"/>
      <c r="DW121" s="3547"/>
      <c r="DX121" s="3609"/>
      <c r="DY121" s="3562"/>
      <c r="DZ121" s="3561">
        <f t="shared" si="175"/>
        <v>0</v>
      </c>
      <c r="EA121" s="3559"/>
      <c r="EB121" s="3562"/>
      <c r="EC121" s="3561">
        <f t="shared" si="176"/>
        <v>0</v>
      </c>
      <c r="ED121" s="3563"/>
      <c r="EF121" s="3565">
        <f t="shared" si="153"/>
        <v>0</v>
      </c>
      <c r="EG121" s="3565">
        <f t="shared" si="230"/>
        <v>0</v>
      </c>
      <c r="EH121" s="3565">
        <f t="shared" si="230"/>
        <v>0</v>
      </c>
      <c r="EI121" s="3565">
        <f t="shared" si="230"/>
        <v>0</v>
      </c>
      <c r="EJ121" s="3565">
        <f t="shared" si="154"/>
        <v>0</v>
      </c>
      <c r="EK121" s="3566">
        <f t="shared" si="155"/>
        <v>0</v>
      </c>
      <c r="EL121" s="3556"/>
      <c r="EM121" s="3567">
        <f t="shared" si="156"/>
        <v>0</v>
      </c>
      <c r="EN121" s="3557">
        <f t="shared" si="231"/>
        <v>0</v>
      </c>
      <c r="EO121" s="3557">
        <f t="shared" si="231"/>
        <v>0</v>
      </c>
      <c r="EP121" s="3557">
        <f t="shared" si="231"/>
        <v>0</v>
      </c>
      <c r="EQ121" s="3557">
        <f t="shared" si="157"/>
        <v>0</v>
      </c>
      <c r="ER121" s="3557">
        <f t="shared" si="158"/>
        <v>0</v>
      </c>
      <c r="ES121" s="3557"/>
      <c r="ET121" s="3568"/>
      <c r="EU121" s="3569"/>
      <c r="EV121" s="3562"/>
      <c r="EW121" s="3547">
        <f t="shared" si="210"/>
        <v>0</v>
      </c>
      <c r="EX121" s="3568"/>
      <c r="EY121" s="3569"/>
      <c r="EZ121" s="3562"/>
      <c r="FA121" s="3547">
        <f t="shared" si="211"/>
        <v>0</v>
      </c>
      <c r="FB121" s="3568"/>
      <c r="FC121" s="3569"/>
      <c r="FD121" s="3562"/>
      <c r="FE121" s="3547">
        <f t="shared" si="212"/>
        <v>0</v>
      </c>
      <c r="FF121" s="3568"/>
      <c r="FG121" s="3569"/>
      <c r="FH121" s="3562"/>
      <c r="FI121" s="3547">
        <f t="shared" si="213"/>
        <v>0</v>
      </c>
      <c r="FJ121" s="3568"/>
      <c r="FK121" s="3569"/>
      <c r="FL121" s="3562"/>
      <c r="FM121" s="3547">
        <f t="shared" si="214"/>
        <v>0</v>
      </c>
      <c r="FN121" s="3568"/>
      <c r="FO121" s="3569"/>
      <c r="FP121" s="3562"/>
      <c r="FQ121" s="3547">
        <f t="shared" si="215"/>
        <v>0</v>
      </c>
      <c r="FR121" s="3568"/>
      <c r="FS121" s="3569"/>
      <c r="FT121" s="3560"/>
      <c r="FU121" s="3547">
        <f t="shared" si="216"/>
        <v>0</v>
      </c>
      <c r="FV121" s="3568"/>
      <c r="FW121" s="3569"/>
      <c r="FX121" s="3560"/>
      <c r="FY121" s="3547">
        <f t="shared" si="217"/>
        <v>0</v>
      </c>
      <c r="FZ121" s="3568"/>
      <c r="GA121" s="3569"/>
      <c r="GB121" s="3562"/>
      <c r="GC121" s="3547">
        <f t="shared" si="218"/>
        <v>0</v>
      </c>
      <c r="GD121" s="3568"/>
      <c r="GE121" s="3569"/>
      <c r="GF121" s="3562"/>
      <c r="GG121" s="3547">
        <f t="shared" si="219"/>
        <v>0</v>
      </c>
      <c r="GH121" s="3568"/>
      <c r="GI121" s="3569"/>
      <c r="GJ121" s="3562"/>
      <c r="GK121" s="3547">
        <f t="shared" si="181"/>
        <v>0</v>
      </c>
      <c r="GL121" s="3568"/>
      <c r="GM121" s="3569"/>
      <c r="GN121" s="3562"/>
      <c r="GO121" s="3547">
        <f t="shared" si="182"/>
        <v>0</v>
      </c>
      <c r="GP121" s="3568"/>
      <c r="GQ121" s="3569"/>
      <c r="GR121" s="3562"/>
      <c r="GS121" s="3547">
        <f t="shared" si="183"/>
        <v>0</v>
      </c>
      <c r="GT121" s="3568"/>
      <c r="GU121" s="3569"/>
      <c r="GV121" s="3562"/>
      <c r="GW121" s="3547">
        <f t="shared" si="184"/>
        <v>0</v>
      </c>
      <c r="GX121" s="3568"/>
      <c r="GY121" s="3569"/>
      <c r="GZ121" s="3562"/>
      <c r="HA121" s="3547">
        <f t="shared" si="185"/>
        <v>0</v>
      </c>
      <c r="HB121" s="3568"/>
      <c r="HC121" s="3569"/>
      <c r="HD121" s="3562"/>
      <c r="HE121" s="3547">
        <f t="shared" si="186"/>
        <v>0</v>
      </c>
      <c r="HF121" s="3568"/>
      <c r="HG121" s="3569"/>
      <c r="HH121" s="3562"/>
      <c r="HI121" s="3547">
        <f t="shared" si="224"/>
        <v>0</v>
      </c>
      <c r="HJ121" s="3568"/>
      <c r="HK121" s="3569"/>
      <c r="HL121" s="3562"/>
      <c r="HM121" s="3547">
        <f t="shared" si="220"/>
        <v>0</v>
      </c>
      <c r="HN121" s="3568"/>
      <c r="HO121" s="3569"/>
      <c r="HP121" s="3562"/>
      <c r="HQ121" s="3547">
        <f t="shared" si="225"/>
        <v>0</v>
      </c>
      <c r="HR121" s="3568"/>
      <c r="HS121" s="3569"/>
      <c r="HT121" s="3562"/>
      <c r="HU121" s="3547">
        <f t="shared" si="221"/>
        <v>0</v>
      </c>
      <c r="HV121" s="3568"/>
      <c r="HW121" s="3569"/>
      <c r="HX121" s="3562"/>
      <c r="HY121" s="3547">
        <f t="shared" si="226"/>
        <v>0</v>
      </c>
      <c r="HZ121" s="3568"/>
      <c r="IA121" s="3569"/>
      <c r="IB121" s="3562"/>
      <c r="IC121" s="3547">
        <f t="shared" si="222"/>
        <v>0</v>
      </c>
      <c r="ID121" s="3568"/>
      <c r="IE121" s="3569"/>
      <c r="IF121" s="3562"/>
      <c r="IG121" s="3547">
        <f t="shared" si="227"/>
        <v>0</v>
      </c>
      <c r="IH121" s="3568"/>
      <c r="II121" s="3569"/>
      <c r="IJ121" s="3562"/>
      <c r="IK121" s="3547">
        <f t="shared" si="223"/>
        <v>0</v>
      </c>
      <c r="IL121" s="3570"/>
      <c r="IM121" s="3569"/>
      <c r="IN121" s="3569"/>
      <c r="IO121" s="3569"/>
      <c r="IP121" s="3560">
        <f t="shared" si="195"/>
        <v>0</v>
      </c>
      <c r="IQ121" s="3568"/>
      <c r="IR121" s="3568"/>
      <c r="IS121" s="3568"/>
      <c r="IT121" s="3568"/>
      <c r="IU121" s="3568"/>
      <c r="IV121" s="3568"/>
      <c r="IW121" s="3568"/>
      <c r="IX121" s="3568"/>
      <c r="IY121" s="3568"/>
      <c r="IZ121" s="3562"/>
      <c r="JA121" s="3562"/>
      <c r="JB121" s="3562"/>
      <c r="JC121" s="3560">
        <f t="shared" si="134"/>
        <v>0</v>
      </c>
      <c r="JD121" s="3569"/>
      <c r="JE121" s="3568"/>
      <c r="JF121" s="3568"/>
      <c r="JG121" s="3568"/>
      <c r="JH121" s="3568"/>
      <c r="JI121" s="3568"/>
      <c r="JJ121" s="3568"/>
      <c r="JK121" s="3568"/>
      <c r="JL121" s="3568"/>
      <c r="JM121" s="3568"/>
      <c r="JN121" s="3562"/>
      <c r="JO121" s="3562"/>
      <c r="JP121" s="3570"/>
      <c r="JQ121" s="3583"/>
      <c r="JR121" s="3583"/>
      <c r="JS121" s="3573">
        <f t="shared" si="145"/>
        <v>0</v>
      </c>
      <c r="JT121" s="3573">
        <f t="shared" si="152"/>
        <v>0</v>
      </c>
      <c r="JU121" s="3574">
        <f t="shared" si="146"/>
        <v>0</v>
      </c>
      <c r="JV121" s="3574">
        <f t="shared" si="147"/>
        <v>0</v>
      </c>
      <c r="JW121" s="3575"/>
      <c r="JX121" s="3576">
        <f t="shared" si="148"/>
        <v>0</v>
      </c>
      <c r="JY121" s="3576">
        <f t="shared" si="149"/>
        <v>0</v>
      </c>
      <c r="JZ121" s="3577"/>
      <c r="KA121" s="3573">
        <f t="shared" si="234"/>
        <v>0</v>
      </c>
      <c r="KB121" s="3573"/>
      <c r="KC121" s="3573"/>
      <c r="KD121" s="3573">
        <f t="shared" si="150"/>
        <v>0</v>
      </c>
      <c r="KE121" s="3571"/>
      <c r="KF121" s="3579"/>
      <c r="KG121" s="3579"/>
      <c r="KH121" s="3579"/>
      <c r="KI121" s="3579"/>
      <c r="KJ121" s="3579"/>
      <c r="KK121" s="3579"/>
      <c r="KL121" s="3579"/>
      <c r="KM121" s="3579"/>
      <c r="KN121" s="3579"/>
      <c r="KO121" s="3579"/>
      <c r="KP121" s="3579"/>
      <c r="KQ121" s="3579">
        <f t="shared" si="151"/>
        <v>0</v>
      </c>
      <c r="KR121" s="3579">
        <f t="shared" si="196"/>
        <v>0</v>
      </c>
      <c r="KS121" s="3577"/>
      <c r="KT121" s="3577"/>
      <c r="KU121" s="3577"/>
      <c r="KV121" s="3577"/>
      <c r="KW121" s="3577"/>
      <c r="KX121" s="3577"/>
      <c r="KY121" s="3577"/>
      <c r="KZ121" s="3577"/>
      <c r="LA121" s="3577"/>
      <c r="LB121" s="3577"/>
      <c r="LC121" s="3577"/>
      <c r="LD121" s="3577"/>
      <c r="LE121" s="3577"/>
      <c r="LF121" s="3577"/>
      <c r="LG121" s="3577"/>
      <c r="LH121" s="3577"/>
      <c r="LJ121" s="3575"/>
      <c r="LK121" s="3571"/>
      <c r="LL121" s="3576"/>
    </row>
    <row r="122" spans="1:325" s="3580" customFormat="1" ht="18" customHeight="1">
      <c r="A122" s="3545">
        <v>119</v>
      </c>
      <c r="B122" s="3546" t="s">
        <v>4805</v>
      </c>
      <c r="C122" s="3667">
        <v>1808</v>
      </c>
      <c r="D122" s="3562">
        <v>320</v>
      </c>
      <c r="E122" s="3596" t="s">
        <v>3845</v>
      </c>
      <c r="F122" s="3546" t="s">
        <v>3790</v>
      </c>
      <c r="G122" s="3595" t="s">
        <v>4336</v>
      </c>
      <c r="H122" s="3546" t="s">
        <v>4817</v>
      </c>
      <c r="I122" s="3594" t="s">
        <v>4808</v>
      </c>
      <c r="J122" s="3594" t="s">
        <v>4809</v>
      </c>
      <c r="K122" s="3545" t="s">
        <v>3885</v>
      </c>
      <c r="L122" s="3555"/>
      <c r="M122" s="3551"/>
      <c r="N122" s="3551"/>
      <c r="O122" s="3551">
        <f t="shared" si="135"/>
        <v>0</v>
      </c>
      <c r="P122" s="3551"/>
      <c r="Q122" s="3551"/>
      <c r="R122" s="3547">
        <f t="shared" si="235"/>
        <v>0</v>
      </c>
      <c r="S122" s="3547">
        <f t="shared" si="232"/>
        <v>0</v>
      </c>
      <c r="T122" s="3553"/>
      <c r="U122" s="3553">
        <f t="shared" si="136"/>
        <v>0</v>
      </c>
      <c r="V122" s="3547"/>
      <c r="W122" s="3547">
        <f t="shared" si="233"/>
        <v>0</v>
      </c>
      <c r="X122" s="3693"/>
      <c r="Y122" s="3547">
        <f t="shared" si="198"/>
        <v>0</v>
      </c>
      <c r="Z122" s="3554"/>
      <c r="AA122" s="3555"/>
      <c r="AB122" s="3593"/>
      <c r="AC122" s="3556">
        <f t="shared" si="138"/>
        <v>0</v>
      </c>
      <c r="AD122" s="3556">
        <f t="shared" si="228"/>
        <v>0</v>
      </c>
      <c r="AE122" s="3556">
        <f t="shared" si="228"/>
        <v>0</v>
      </c>
      <c r="AF122" s="3556">
        <f t="shared" si="140"/>
        <v>0</v>
      </c>
      <c r="AG122" s="3556"/>
      <c r="AH122" s="3557">
        <f t="shared" si="141"/>
        <v>0</v>
      </c>
      <c r="AI122" s="3558">
        <f t="shared" si="229"/>
        <v>0</v>
      </c>
      <c r="AJ122" s="3558">
        <f t="shared" si="229"/>
        <v>0</v>
      </c>
      <c r="AK122" s="3557">
        <f t="shared" si="159"/>
        <v>0</v>
      </c>
      <c r="AL122" s="3557"/>
      <c r="AM122" s="3547"/>
      <c r="AN122" s="3609"/>
      <c r="AO122" s="3562"/>
      <c r="AP122" s="3561">
        <f t="shared" si="199"/>
        <v>0</v>
      </c>
      <c r="AQ122" s="3559"/>
      <c r="AR122" s="3562"/>
      <c r="AS122" s="3561">
        <f t="shared" si="200"/>
        <v>0</v>
      </c>
      <c r="AT122" s="3563" t="s">
        <v>4810</v>
      </c>
      <c r="AU122" s="3547"/>
      <c r="AV122" s="3609"/>
      <c r="AW122" s="3562"/>
      <c r="AX122" s="3561">
        <f t="shared" si="201"/>
        <v>0</v>
      </c>
      <c r="AY122" s="3559"/>
      <c r="AZ122" s="3562"/>
      <c r="BA122" s="3561">
        <f t="shared" si="202"/>
        <v>0</v>
      </c>
      <c r="BB122" s="3563" t="s">
        <v>4810</v>
      </c>
      <c r="BC122" s="3547"/>
      <c r="BD122" s="3609"/>
      <c r="BE122" s="3562"/>
      <c r="BF122" s="3561">
        <f t="shared" si="203"/>
        <v>0</v>
      </c>
      <c r="BG122" s="3559"/>
      <c r="BH122" s="3562"/>
      <c r="BI122" s="3561">
        <f t="shared" si="204"/>
        <v>0</v>
      </c>
      <c r="BJ122" s="3563" t="s">
        <v>4810</v>
      </c>
      <c r="BK122" s="3547"/>
      <c r="BL122" s="3609"/>
      <c r="BM122" s="3562"/>
      <c r="BN122" s="3561">
        <f t="shared" si="205"/>
        <v>0</v>
      </c>
      <c r="BO122" s="3559"/>
      <c r="BP122" s="3562"/>
      <c r="BQ122" s="3561">
        <f t="shared" si="206"/>
        <v>0</v>
      </c>
      <c r="BR122" s="3563" t="s">
        <v>4810</v>
      </c>
      <c r="BS122" s="3547"/>
      <c r="BT122" s="3559"/>
      <c r="BU122" s="3562"/>
      <c r="BV122" s="3561">
        <f t="shared" si="207"/>
        <v>0</v>
      </c>
      <c r="BW122" s="3559"/>
      <c r="BX122" s="3562"/>
      <c r="BY122" s="3561">
        <f t="shared" si="208"/>
        <v>0</v>
      </c>
      <c r="BZ122" s="3563" t="s">
        <v>4810</v>
      </c>
      <c r="CA122" s="3547"/>
      <c r="CB122" s="3609"/>
      <c r="CC122" s="3562"/>
      <c r="CD122" s="3561">
        <f t="shared" si="164"/>
        <v>0</v>
      </c>
      <c r="CE122" s="3559"/>
      <c r="CF122" s="3562"/>
      <c r="CG122" s="3561">
        <f t="shared" si="165"/>
        <v>0</v>
      </c>
      <c r="CH122" s="3563" t="s">
        <v>4810</v>
      </c>
      <c r="CI122" s="3547"/>
      <c r="CJ122" s="3609"/>
      <c r="CK122" s="3562"/>
      <c r="CL122" s="3561">
        <f t="shared" si="133"/>
        <v>0</v>
      </c>
      <c r="CM122" s="3559"/>
      <c r="CN122" s="3562"/>
      <c r="CO122" s="3561">
        <f t="shared" si="166"/>
        <v>0</v>
      </c>
      <c r="CP122" s="3563" t="s">
        <v>4810</v>
      </c>
      <c r="CQ122" s="3547"/>
      <c r="CR122" s="3609"/>
      <c r="CS122" s="3603"/>
      <c r="CT122" s="3561">
        <f t="shared" si="167"/>
        <v>0</v>
      </c>
      <c r="CU122" s="3559"/>
      <c r="CV122" s="3562"/>
      <c r="CW122" s="3561">
        <f t="shared" si="168"/>
        <v>0</v>
      </c>
      <c r="CX122" s="3563" t="s">
        <v>4810</v>
      </c>
      <c r="CY122" s="3547"/>
      <c r="CZ122" s="3609"/>
      <c r="DA122" s="3562"/>
      <c r="DB122" s="3561">
        <f t="shared" si="169"/>
        <v>0</v>
      </c>
      <c r="DC122" s="3559"/>
      <c r="DD122" s="3562"/>
      <c r="DE122" s="3561">
        <f t="shared" si="170"/>
        <v>0</v>
      </c>
      <c r="DF122" s="3563" t="s">
        <v>4810</v>
      </c>
      <c r="DG122" s="3547"/>
      <c r="DH122" s="3609"/>
      <c r="DI122" s="3562"/>
      <c r="DJ122" s="3561">
        <f t="shared" si="171"/>
        <v>0</v>
      </c>
      <c r="DK122" s="3559"/>
      <c r="DL122" s="3562"/>
      <c r="DM122" s="3561">
        <f t="shared" si="172"/>
        <v>0</v>
      </c>
      <c r="DN122" s="3563"/>
      <c r="DO122" s="3547"/>
      <c r="DP122" s="3609"/>
      <c r="DQ122" s="3562"/>
      <c r="DR122" s="3561">
        <f t="shared" si="173"/>
        <v>0</v>
      </c>
      <c r="DS122" s="3559"/>
      <c r="DT122" s="3562"/>
      <c r="DU122" s="3561">
        <f t="shared" si="209"/>
        <v>0</v>
      </c>
      <c r="DV122" s="3563"/>
      <c r="DW122" s="3547"/>
      <c r="DX122" s="3609"/>
      <c r="DY122" s="3562"/>
      <c r="DZ122" s="3561">
        <f t="shared" si="175"/>
        <v>0</v>
      </c>
      <c r="EA122" s="3559"/>
      <c r="EB122" s="3562"/>
      <c r="EC122" s="3561">
        <f t="shared" si="176"/>
        <v>0</v>
      </c>
      <c r="ED122" s="3563"/>
      <c r="EF122" s="3565">
        <f t="shared" si="153"/>
        <v>0</v>
      </c>
      <c r="EG122" s="3565">
        <f t="shared" si="230"/>
        <v>0</v>
      </c>
      <c r="EH122" s="3565">
        <f t="shared" si="230"/>
        <v>0</v>
      </c>
      <c r="EI122" s="3565">
        <f t="shared" si="230"/>
        <v>0</v>
      </c>
      <c r="EJ122" s="3565">
        <f t="shared" si="154"/>
        <v>0</v>
      </c>
      <c r="EK122" s="3566">
        <f t="shared" si="155"/>
        <v>0</v>
      </c>
      <c r="EL122" s="3610"/>
      <c r="EM122" s="3567">
        <f t="shared" si="156"/>
        <v>0</v>
      </c>
      <c r="EN122" s="3557">
        <f t="shared" si="231"/>
        <v>0</v>
      </c>
      <c r="EO122" s="3557">
        <f t="shared" si="231"/>
        <v>0</v>
      </c>
      <c r="EP122" s="3557">
        <f t="shared" si="231"/>
        <v>0</v>
      </c>
      <c r="EQ122" s="3557">
        <f t="shared" si="157"/>
        <v>0</v>
      </c>
      <c r="ER122" s="3557">
        <f t="shared" si="158"/>
        <v>0</v>
      </c>
      <c r="ES122" s="3557"/>
      <c r="ET122" s="3568"/>
      <c r="EU122" s="3569"/>
      <c r="EV122" s="3562"/>
      <c r="EW122" s="3547">
        <f t="shared" si="210"/>
        <v>0</v>
      </c>
      <c r="EX122" s="3568"/>
      <c r="EY122" s="3569"/>
      <c r="EZ122" s="3562"/>
      <c r="FA122" s="3547">
        <f t="shared" si="211"/>
        <v>0</v>
      </c>
      <c r="FB122" s="3568"/>
      <c r="FC122" s="3569"/>
      <c r="FD122" s="3562"/>
      <c r="FE122" s="3547">
        <f t="shared" si="212"/>
        <v>0</v>
      </c>
      <c r="FF122" s="3568"/>
      <c r="FG122" s="3569"/>
      <c r="FH122" s="3562"/>
      <c r="FI122" s="3547">
        <f t="shared" si="213"/>
        <v>0</v>
      </c>
      <c r="FJ122" s="3568"/>
      <c r="FK122" s="3569"/>
      <c r="FL122" s="3562"/>
      <c r="FM122" s="3547">
        <f t="shared" si="214"/>
        <v>0</v>
      </c>
      <c r="FN122" s="3568"/>
      <c r="FO122" s="3569"/>
      <c r="FP122" s="3562"/>
      <c r="FQ122" s="3547">
        <f t="shared" si="215"/>
        <v>0</v>
      </c>
      <c r="FR122" s="3568"/>
      <c r="FS122" s="3569"/>
      <c r="FT122" s="3560"/>
      <c r="FU122" s="3547">
        <f t="shared" si="216"/>
        <v>0</v>
      </c>
      <c r="FV122" s="3568"/>
      <c r="FW122" s="3569"/>
      <c r="FX122" s="3560"/>
      <c r="FY122" s="3547">
        <f t="shared" si="217"/>
        <v>0</v>
      </c>
      <c r="FZ122" s="3568"/>
      <c r="GA122" s="3569"/>
      <c r="GB122" s="3562"/>
      <c r="GC122" s="3547">
        <f t="shared" si="218"/>
        <v>0</v>
      </c>
      <c r="GD122" s="3568"/>
      <c r="GE122" s="3569"/>
      <c r="GF122" s="3562"/>
      <c r="GG122" s="3547">
        <f t="shared" si="219"/>
        <v>0</v>
      </c>
      <c r="GH122" s="3568"/>
      <c r="GI122" s="3569"/>
      <c r="GJ122" s="3562"/>
      <c r="GK122" s="3547">
        <f t="shared" si="181"/>
        <v>0</v>
      </c>
      <c r="GL122" s="3568"/>
      <c r="GM122" s="3569"/>
      <c r="GN122" s="3562"/>
      <c r="GO122" s="3547">
        <f t="shared" si="182"/>
        <v>0</v>
      </c>
      <c r="GP122" s="3568"/>
      <c r="GQ122" s="3569"/>
      <c r="GR122" s="3562"/>
      <c r="GS122" s="3547">
        <f t="shared" si="183"/>
        <v>0</v>
      </c>
      <c r="GT122" s="3568"/>
      <c r="GU122" s="3569"/>
      <c r="GV122" s="3562"/>
      <c r="GW122" s="3547">
        <f t="shared" si="184"/>
        <v>0</v>
      </c>
      <c r="GX122" s="3568"/>
      <c r="GY122" s="3569"/>
      <c r="GZ122" s="3562"/>
      <c r="HA122" s="3547">
        <f t="shared" si="185"/>
        <v>0</v>
      </c>
      <c r="HB122" s="3568"/>
      <c r="HC122" s="3569"/>
      <c r="HD122" s="3562"/>
      <c r="HE122" s="3547">
        <f t="shared" si="186"/>
        <v>0</v>
      </c>
      <c r="HF122" s="3568"/>
      <c r="HG122" s="3569"/>
      <c r="HH122" s="3562"/>
      <c r="HI122" s="3547">
        <f t="shared" si="224"/>
        <v>0</v>
      </c>
      <c r="HJ122" s="3568"/>
      <c r="HK122" s="3569"/>
      <c r="HL122" s="3562"/>
      <c r="HM122" s="3547">
        <f t="shared" si="220"/>
        <v>0</v>
      </c>
      <c r="HN122" s="3568"/>
      <c r="HO122" s="3569"/>
      <c r="HP122" s="3562"/>
      <c r="HQ122" s="3547">
        <f t="shared" si="225"/>
        <v>0</v>
      </c>
      <c r="HR122" s="3568"/>
      <c r="HS122" s="3569"/>
      <c r="HT122" s="3562"/>
      <c r="HU122" s="3547">
        <f t="shared" si="221"/>
        <v>0</v>
      </c>
      <c r="HV122" s="3568"/>
      <c r="HW122" s="3569"/>
      <c r="HX122" s="3562"/>
      <c r="HY122" s="3547">
        <f t="shared" si="226"/>
        <v>0</v>
      </c>
      <c r="HZ122" s="3568"/>
      <c r="IA122" s="3569"/>
      <c r="IB122" s="3562"/>
      <c r="IC122" s="3547">
        <f t="shared" si="222"/>
        <v>0</v>
      </c>
      <c r="ID122" s="3568"/>
      <c r="IE122" s="3569"/>
      <c r="IF122" s="3562"/>
      <c r="IG122" s="3547">
        <f t="shared" si="227"/>
        <v>0</v>
      </c>
      <c r="IH122" s="3568"/>
      <c r="II122" s="3569"/>
      <c r="IJ122" s="3562"/>
      <c r="IK122" s="3547">
        <f t="shared" si="223"/>
        <v>0</v>
      </c>
      <c r="IL122" s="3570"/>
      <c r="IM122" s="3569"/>
      <c r="IN122" s="3569"/>
      <c r="IO122" s="3569"/>
      <c r="IP122" s="3560">
        <f t="shared" si="195"/>
        <v>0</v>
      </c>
      <c r="IQ122" s="3568"/>
      <c r="IR122" s="3568"/>
      <c r="IS122" s="3568"/>
      <c r="IT122" s="3568"/>
      <c r="IU122" s="3568"/>
      <c r="IV122" s="3568"/>
      <c r="IW122" s="3568"/>
      <c r="IX122" s="3568"/>
      <c r="IY122" s="3568"/>
      <c r="IZ122" s="3562"/>
      <c r="JA122" s="3562"/>
      <c r="JB122" s="3562"/>
      <c r="JC122" s="3560">
        <f t="shared" si="134"/>
        <v>0</v>
      </c>
      <c r="JD122" s="3569"/>
      <c r="JE122" s="3568"/>
      <c r="JF122" s="3568"/>
      <c r="JG122" s="3568"/>
      <c r="JH122" s="3568"/>
      <c r="JI122" s="3568"/>
      <c r="JJ122" s="3568"/>
      <c r="JK122" s="3568"/>
      <c r="JL122" s="3568"/>
      <c r="JM122" s="3568"/>
      <c r="JN122" s="3562"/>
      <c r="JO122" s="3562"/>
      <c r="JP122" s="3570"/>
      <c r="JQ122" s="3583"/>
      <c r="JR122" s="3583"/>
      <c r="JS122" s="3573">
        <f t="shared" si="145"/>
        <v>0</v>
      </c>
      <c r="JT122" s="3573">
        <f t="shared" si="152"/>
        <v>0</v>
      </c>
      <c r="JU122" s="3574">
        <f t="shared" si="146"/>
        <v>0</v>
      </c>
      <c r="JV122" s="3574">
        <f t="shared" si="147"/>
        <v>0</v>
      </c>
      <c r="JW122" s="3575"/>
      <c r="JX122" s="3576">
        <f t="shared" si="148"/>
        <v>0</v>
      </c>
      <c r="JY122" s="3576">
        <f t="shared" si="149"/>
        <v>0</v>
      </c>
      <c r="JZ122" s="3577"/>
      <c r="KA122" s="3573">
        <f t="shared" si="234"/>
        <v>0</v>
      </c>
      <c r="KB122" s="3573"/>
      <c r="KC122" s="3573"/>
      <c r="KD122" s="3573">
        <f t="shared" si="150"/>
        <v>0</v>
      </c>
      <c r="KE122" s="3571"/>
      <c r="KF122" s="3579"/>
      <c r="KG122" s="3579"/>
      <c r="KH122" s="3579"/>
      <c r="KI122" s="3579"/>
      <c r="KJ122" s="3579"/>
      <c r="KK122" s="3579"/>
      <c r="KL122" s="3579"/>
      <c r="KM122" s="3579"/>
      <c r="KN122" s="3579"/>
      <c r="KO122" s="3579"/>
      <c r="KP122" s="3579"/>
      <c r="KQ122" s="3579">
        <f t="shared" si="151"/>
        <v>0</v>
      </c>
      <c r="KR122" s="3579">
        <f t="shared" si="196"/>
        <v>0</v>
      </c>
      <c r="KS122" s="3577"/>
      <c r="KT122" s="3577"/>
      <c r="KU122" s="3577"/>
      <c r="KV122" s="3577"/>
      <c r="KW122" s="3577"/>
      <c r="KX122" s="3577"/>
      <c r="KY122" s="3577"/>
      <c r="KZ122" s="3577"/>
      <c r="LA122" s="3577"/>
      <c r="LB122" s="3577"/>
      <c r="LC122" s="3577"/>
      <c r="LD122" s="3577"/>
      <c r="LE122" s="3577"/>
      <c r="LF122" s="3577"/>
      <c r="LG122" s="3577"/>
      <c r="LH122" s="3577"/>
      <c r="LJ122" s="3575"/>
      <c r="LK122" s="3571"/>
      <c r="LL122" s="3576"/>
    </row>
    <row r="123" spans="1:325" s="3580" customFormat="1" ht="18" customHeight="1">
      <c r="A123" s="3545">
        <v>120</v>
      </c>
      <c r="B123" s="3546" t="s">
        <v>4818</v>
      </c>
      <c r="C123" s="3694" t="s">
        <v>4819</v>
      </c>
      <c r="D123" s="3695">
        <v>153</v>
      </c>
      <c r="E123" s="3548" t="s">
        <v>3799</v>
      </c>
      <c r="F123" s="3546" t="s">
        <v>3790</v>
      </c>
      <c r="G123" s="3546" t="s">
        <v>4820</v>
      </c>
      <c r="H123" s="3546" t="s">
        <v>4821</v>
      </c>
      <c r="I123" s="3594" t="s">
        <v>4822</v>
      </c>
      <c r="J123" s="3594" t="s">
        <v>4823</v>
      </c>
      <c r="K123" s="3545" t="s">
        <v>4824</v>
      </c>
      <c r="L123" s="3555"/>
      <c r="M123" s="3551">
        <v>223380</v>
      </c>
      <c r="N123" s="3551">
        <f>223380</f>
        <v>223380</v>
      </c>
      <c r="O123" s="3551">
        <f t="shared" si="135"/>
        <v>0</v>
      </c>
      <c r="P123" s="3547"/>
      <c r="Q123" s="3547"/>
      <c r="R123" s="3547">
        <f t="shared" si="235"/>
        <v>0</v>
      </c>
      <c r="S123" s="3547">
        <f t="shared" si="232"/>
        <v>15.97000053720118</v>
      </c>
      <c r="T123" s="3552">
        <v>74320.39</v>
      </c>
      <c r="U123" s="3553">
        <f t="shared" si="136"/>
        <v>891844.67999999993</v>
      </c>
      <c r="V123" s="3547">
        <f>70597.39*12*3+T123*12*2</f>
        <v>4325195.4000000004</v>
      </c>
      <c r="W123" s="3547">
        <f t="shared" si="233"/>
        <v>1.019869997313994</v>
      </c>
      <c r="X123" s="3693">
        <v>4746.22</v>
      </c>
      <c r="Y123" s="3547">
        <f t="shared" si="198"/>
        <v>56954.64</v>
      </c>
      <c r="Z123" s="3554"/>
      <c r="AA123" s="3555"/>
      <c r="AB123" s="3680" t="s">
        <v>4187</v>
      </c>
      <c r="AC123" s="3556">
        <f t="shared" si="138"/>
        <v>891844.68</v>
      </c>
      <c r="AD123" s="3556">
        <f t="shared" si="228"/>
        <v>668883.51</v>
      </c>
      <c r="AE123" s="3556">
        <f t="shared" si="228"/>
        <v>668883.51</v>
      </c>
      <c r="AF123" s="3556">
        <f t="shared" si="140"/>
        <v>0</v>
      </c>
      <c r="AG123" s="3556"/>
      <c r="AH123" s="3557">
        <f t="shared" si="141"/>
        <v>56954.640000000007</v>
      </c>
      <c r="AI123" s="3558">
        <f t="shared" si="229"/>
        <v>42715.98</v>
      </c>
      <c r="AJ123" s="3558">
        <f t="shared" si="229"/>
        <v>42715.98</v>
      </c>
      <c r="AK123" s="3557">
        <f t="shared" si="159"/>
        <v>0</v>
      </c>
      <c r="AL123" s="3557"/>
      <c r="AM123" s="3547" t="s">
        <v>3822</v>
      </c>
      <c r="AN123" s="3609">
        <v>74320.39</v>
      </c>
      <c r="AO123" s="3562">
        <v>74320.39</v>
      </c>
      <c r="AP123" s="3561">
        <f t="shared" si="199"/>
        <v>0</v>
      </c>
      <c r="AQ123" s="3559">
        <v>4746.22</v>
      </c>
      <c r="AR123" s="3562">
        <v>4746.22</v>
      </c>
      <c r="AS123" s="3561">
        <f t="shared" si="200"/>
        <v>0</v>
      </c>
      <c r="AT123" s="3563" t="s">
        <v>4825</v>
      </c>
      <c r="AU123" s="3547" t="s">
        <v>3824</v>
      </c>
      <c r="AV123" s="3609">
        <v>74320.39</v>
      </c>
      <c r="AW123" s="3562">
        <v>74320.39</v>
      </c>
      <c r="AX123" s="3561">
        <f t="shared" si="201"/>
        <v>0</v>
      </c>
      <c r="AY123" s="3559">
        <v>4746.22</v>
      </c>
      <c r="AZ123" s="3562">
        <v>4746.22</v>
      </c>
      <c r="BA123" s="3561">
        <f t="shared" si="202"/>
        <v>0</v>
      </c>
      <c r="BB123" s="3563" t="s">
        <v>3944</v>
      </c>
      <c r="BC123" s="3547" t="s">
        <v>3826</v>
      </c>
      <c r="BD123" s="3609">
        <v>74320.39</v>
      </c>
      <c r="BE123" s="3562">
        <v>74320.39</v>
      </c>
      <c r="BF123" s="3561">
        <f t="shared" si="203"/>
        <v>0</v>
      </c>
      <c r="BG123" s="3559">
        <v>4746.22</v>
      </c>
      <c r="BH123" s="3562">
        <v>4746.22</v>
      </c>
      <c r="BI123" s="3561">
        <f t="shared" si="204"/>
        <v>0</v>
      </c>
      <c r="BJ123" s="3563" t="s">
        <v>3872</v>
      </c>
      <c r="BK123" s="3547" t="s">
        <v>3873</v>
      </c>
      <c r="BL123" s="3609">
        <v>74320.39</v>
      </c>
      <c r="BM123" s="3603">
        <v>74320.39</v>
      </c>
      <c r="BN123" s="3561">
        <f t="shared" si="205"/>
        <v>0</v>
      </c>
      <c r="BO123" s="3559">
        <v>4746.22</v>
      </c>
      <c r="BP123" s="3562">
        <v>4746.22</v>
      </c>
      <c r="BQ123" s="3561">
        <f t="shared" si="206"/>
        <v>0</v>
      </c>
      <c r="BR123" s="3563" t="s">
        <v>4826</v>
      </c>
      <c r="BS123" s="3547" t="s">
        <v>3875</v>
      </c>
      <c r="BT123" s="3559">
        <v>74320.39</v>
      </c>
      <c r="BU123" s="3562">
        <v>74320.39</v>
      </c>
      <c r="BV123" s="3561">
        <f t="shared" si="207"/>
        <v>0</v>
      </c>
      <c r="BW123" s="3559">
        <v>4746.22</v>
      </c>
      <c r="BX123" s="3562">
        <v>4746.22</v>
      </c>
      <c r="BY123" s="3561">
        <f t="shared" si="208"/>
        <v>0</v>
      </c>
      <c r="BZ123" s="3630" t="s">
        <v>4827</v>
      </c>
      <c r="CA123" s="3547" t="s">
        <v>3877</v>
      </c>
      <c r="CB123" s="3609">
        <v>74320.39</v>
      </c>
      <c r="CC123" s="3562">
        <v>74320.39</v>
      </c>
      <c r="CD123" s="3561">
        <f t="shared" si="164"/>
        <v>0</v>
      </c>
      <c r="CE123" s="3559">
        <v>4746.22</v>
      </c>
      <c r="CF123" s="3562">
        <v>4746.22</v>
      </c>
      <c r="CG123" s="3561">
        <f t="shared" si="165"/>
        <v>0</v>
      </c>
      <c r="CH123" s="3630" t="s">
        <v>3878</v>
      </c>
      <c r="CI123" s="3547" t="s">
        <v>3948</v>
      </c>
      <c r="CJ123" s="3609">
        <v>74320.39</v>
      </c>
      <c r="CK123" s="3603">
        <v>74320.39</v>
      </c>
      <c r="CL123" s="3561">
        <f t="shared" si="133"/>
        <v>0</v>
      </c>
      <c r="CM123" s="3559">
        <v>4746.22</v>
      </c>
      <c r="CN123" s="3562">
        <v>4746.22</v>
      </c>
      <c r="CO123" s="3561">
        <f t="shared" si="166"/>
        <v>0</v>
      </c>
      <c r="CP123" s="3630" t="s">
        <v>3949</v>
      </c>
      <c r="CQ123" s="3547" t="s">
        <v>3950</v>
      </c>
      <c r="CR123" s="3609">
        <v>74320.39</v>
      </c>
      <c r="CS123" s="3603">
        <v>74320.39</v>
      </c>
      <c r="CT123" s="3561">
        <f t="shared" si="167"/>
        <v>0</v>
      </c>
      <c r="CU123" s="3559">
        <v>4746.22</v>
      </c>
      <c r="CV123" s="3562">
        <v>4746.22</v>
      </c>
      <c r="CW123" s="3561">
        <f t="shared" si="168"/>
        <v>0</v>
      </c>
      <c r="CX123" s="3630" t="s">
        <v>4828</v>
      </c>
      <c r="CY123" s="3547" t="s">
        <v>3966</v>
      </c>
      <c r="CZ123" s="3609">
        <v>74320.39</v>
      </c>
      <c r="DA123" s="3562">
        <v>74320.39</v>
      </c>
      <c r="DB123" s="3561">
        <f t="shared" si="169"/>
        <v>0</v>
      </c>
      <c r="DC123" s="3559">
        <v>4746.22</v>
      </c>
      <c r="DD123" s="3562">
        <v>4746.22</v>
      </c>
      <c r="DE123" s="3561">
        <f t="shared" si="170"/>
        <v>0</v>
      </c>
      <c r="DF123" s="3630" t="s">
        <v>4829</v>
      </c>
      <c r="DG123" s="3547" t="s">
        <v>3968</v>
      </c>
      <c r="DH123" s="3609">
        <v>74320.39</v>
      </c>
      <c r="DI123" s="3562"/>
      <c r="DJ123" s="3561">
        <f t="shared" si="171"/>
        <v>-74320.39</v>
      </c>
      <c r="DK123" s="3559">
        <v>4746.22</v>
      </c>
      <c r="DL123" s="3562"/>
      <c r="DM123" s="3561">
        <f t="shared" si="172"/>
        <v>-4746.22</v>
      </c>
      <c r="DN123" s="3563"/>
      <c r="DO123" s="3547" t="s">
        <v>3969</v>
      </c>
      <c r="DP123" s="3609">
        <v>74320.39</v>
      </c>
      <c r="DQ123" s="3562"/>
      <c r="DR123" s="3561">
        <f t="shared" si="173"/>
        <v>-74320.39</v>
      </c>
      <c r="DS123" s="3559">
        <v>4746.22</v>
      </c>
      <c r="DT123" s="3562"/>
      <c r="DU123" s="3561">
        <f t="shared" si="209"/>
        <v>-4746.22</v>
      </c>
      <c r="DV123" s="3563"/>
      <c r="DW123" s="3547" t="s">
        <v>3970</v>
      </c>
      <c r="DX123" s="3609">
        <v>74320.39</v>
      </c>
      <c r="DY123" s="3562"/>
      <c r="DZ123" s="3561">
        <f t="shared" si="175"/>
        <v>-74320.39</v>
      </c>
      <c r="EA123" s="3559">
        <v>4746.22</v>
      </c>
      <c r="EB123" s="3562"/>
      <c r="EC123" s="3561">
        <f t="shared" si="176"/>
        <v>-4746.22</v>
      </c>
      <c r="ED123" s="3563"/>
      <c r="EE123" s="3564"/>
      <c r="EF123" s="3565">
        <f t="shared" si="153"/>
        <v>578128.7142857142</v>
      </c>
      <c r="EG123" s="3565">
        <f t="shared" si="230"/>
        <v>456200.4642857142</v>
      </c>
      <c r="EH123" s="3565">
        <f t="shared" si="230"/>
        <v>637031.91428571439</v>
      </c>
      <c r="EI123" s="3565">
        <f t="shared" si="230"/>
        <v>637031.91428571439</v>
      </c>
      <c r="EJ123" s="3565">
        <f t="shared" si="154"/>
        <v>180831.45000000019</v>
      </c>
      <c r="EK123" s="3565">
        <f t="shared" si="155"/>
        <v>0</v>
      </c>
      <c r="EL123" s="3610"/>
      <c r="EM123" s="3557">
        <f t="shared" si="156"/>
        <v>53730.754716981137</v>
      </c>
      <c r="EN123" s="3557">
        <f t="shared" si="231"/>
        <v>40298.066037735851</v>
      </c>
      <c r="EO123" s="3557">
        <f t="shared" si="231"/>
        <v>40298.09433962265</v>
      </c>
      <c r="EP123" s="3557">
        <f t="shared" si="231"/>
        <v>40298.09433962265</v>
      </c>
      <c r="EQ123" s="3557">
        <f t="shared" si="157"/>
        <v>2.8301886799454223E-2</v>
      </c>
      <c r="ER123" s="3557">
        <f t="shared" si="158"/>
        <v>0</v>
      </c>
      <c r="ES123" s="3557"/>
      <c r="ET123" s="3568">
        <v>70781.321428571406</v>
      </c>
      <c r="EU123" s="3569">
        <f>74320.39/1.05</f>
        <v>70781.323809523805</v>
      </c>
      <c r="EV123" s="3562">
        <f>74320.39/1.05</f>
        <v>70781.323809523805</v>
      </c>
      <c r="EW123" s="3547">
        <f t="shared" si="210"/>
        <v>2.3809523991076276E-3</v>
      </c>
      <c r="EX123" s="3568">
        <v>4477.5628930817602</v>
      </c>
      <c r="EY123" s="3569">
        <f>4746.22/1.06</f>
        <v>4477.566037735849</v>
      </c>
      <c r="EZ123" s="3562">
        <f>4746.22/1.06</f>
        <v>4477.566037735849</v>
      </c>
      <c r="FA123" s="3547">
        <f t="shared" si="211"/>
        <v>3.144654088828247E-3</v>
      </c>
      <c r="FB123" s="3568">
        <v>70781.321428571406</v>
      </c>
      <c r="FC123" s="3569">
        <f>74320.39/1.05</f>
        <v>70781.323809523805</v>
      </c>
      <c r="FD123" s="3562">
        <f>74320.39/1.05</f>
        <v>70781.323809523805</v>
      </c>
      <c r="FE123" s="3547">
        <f t="shared" si="212"/>
        <v>2.3809523991076276E-3</v>
      </c>
      <c r="FF123" s="3568">
        <v>4477.5628930817602</v>
      </c>
      <c r="FG123" s="3569">
        <f>4746.22/1.06</f>
        <v>4477.566037735849</v>
      </c>
      <c r="FH123" s="3562">
        <f>4746.22/1.06</f>
        <v>4477.566037735849</v>
      </c>
      <c r="FI123" s="3547">
        <f t="shared" si="213"/>
        <v>3.144654088828247E-3</v>
      </c>
      <c r="FJ123" s="3568">
        <v>70781.321428571406</v>
      </c>
      <c r="FK123" s="3569">
        <f>74320.39/1.05</f>
        <v>70781.323809523805</v>
      </c>
      <c r="FL123" s="3562">
        <f>74320.39/1.05</f>
        <v>70781.323809523805</v>
      </c>
      <c r="FM123" s="3547">
        <f t="shared" si="214"/>
        <v>2.3809523991076276E-3</v>
      </c>
      <c r="FN123" s="3568">
        <v>4477.5628930817602</v>
      </c>
      <c r="FO123" s="3569">
        <f>4746.22/1.06</f>
        <v>4477.566037735849</v>
      </c>
      <c r="FP123" s="3562">
        <f>4746.22/1.06</f>
        <v>4477.566037735849</v>
      </c>
      <c r="FQ123" s="3547">
        <f t="shared" si="215"/>
        <v>3.144654088828247E-3</v>
      </c>
      <c r="FR123" s="3568">
        <v>40642.75</v>
      </c>
      <c r="FS123" s="3569">
        <f>74320.39/1.05</f>
        <v>70781.323809523805</v>
      </c>
      <c r="FT123" s="3560">
        <f>74320.39/1.05</f>
        <v>70781.323809523805</v>
      </c>
      <c r="FU123" s="3547">
        <f t="shared" si="216"/>
        <v>30138.573809523805</v>
      </c>
      <c r="FV123" s="3568">
        <v>4477.5628930817602</v>
      </c>
      <c r="FW123" s="3569">
        <f>4746.22/1.06</f>
        <v>4477.566037735849</v>
      </c>
      <c r="FX123" s="3560">
        <f>4746.22/1.06</f>
        <v>4477.566037735849</v>
      </c>
      <c r="FY123" s="3547">
        <f t="shared" si="217"/>
        <v>3.144654088828247E-3</v>
      </c>
      <c r="FZ123" s="3568">
        <v>40642.75</v>
      </c>
      <c r="GA123" s="3569">
        <f>74320.39/1.05</f>
        <v>70781.323809523805</v>
      </c>
      <c r="GB123" s="3560">
        <f>74320.39/1.05</f>
        <v>70781.323809523805</v>
      </c>
      <c r="GC123" s="3547">
        <f t="shared" si="218"/>
        <v>30138.573809523805</v>
      </c>
      <c r="GD123" s="3568">
        <v>4477.5628930817602</v>
      </c>
      <c r="GE123" s="3569">
        <f>4746.22/1.06</f>
        <v>4477.566037735849</v>
      </c>
      <c r="GF123" s="3560">
        <f>4746.22/1.06</f>
        <v>4477.566037735849</v>
      </c>
      <c r="GG123" s="3547">
        <f t="shared" si="219"/>
        <v>3.144654088828247E-3</v>
      </c>
      <c r="GH123" s="3568">
        <v>40642.75</v>
      </c>
      <c r="GI123" s="3569">
        <f>74320.39/1.05</f>
        <v>70781.323809523805</v>
      </c>
      <c r="GJ123" s="3562">
        <f>74320.39/1.05</f>
        <v>70781.323809523805</v>
      </c>
      <c r="GK123" s="3547">
        <f t="shared" si="181"/>
        <v>30138.573809523805</v>
      </c>
      <c r="GL123" s="3568">
        <v>4477.5628930817602</v>
      </c>
      <c r="GM123" s="3569">
        <f>4746.22/1.06</f>
        <v>4477.566037735849</v>
      </c>
      <c r="GN123" s="3562">
        <f>4746.22/1.06</f>
        <v>4477.566037735849</v>
      </c>
      <c r="GO123" s="3547">
        <f t="shared" si="182"/>
        <v>3.144654088828247E-3</v>
      </c>
      <c r="GP123" s="3568">
        <v>40642.75</v>
      </c>
      <c r="GQ123" s="3569">
        <f>74320.39/1.05</f>
        <v>70781.323809523805</v>
      </c>
      <c r="GR123" s="3562">
        <f>74320.39/1.05</f>
        <v>70781.323809523805</v>
      </c>
      <c r="GS123" s="3547">
        <f t="shared" si="183"/>
        <v>30138.573809523805</v>
      </c>
      <c r="GT123" s="3568">
        <v>4477.5628930817602</v>
      </c>
      <c r="GU123" s="3569">
        <f>4746.22/1.06</f>
        <v>4477.566037735849</v>
      </c>
      <c r="GV123" s="3562">
        <f>4746.22/1.06</f>
        <v>4477.566037735849</v>
      </c>
      <c r="GW123" s="3547">
        <f t="shared" si="184"/>
        <v>3.144654088828247E-3</v>
      </c>
      <c r="GX123" s="3568">
        <v>40642.75</v>
      </c>
      <c r="GY123" s="3569">
        <f>74320.39/1.05</f>
        <v>70781.323809523805</v>
      </c>
      <c r="GZ123" s="3562">
        <f>74320.39/1.05</f>
        <v>70781.323809523805</v>
      </c>
      <c r="HA123" s="3547">
        <f t="shared" si="185"/>
        <v>30138.573809523805</v>
      </c>
      <c r="HB123" s="3568">
        <v>4477.5628930817602</v>
      </c>
      <c r="HC123" s="3569">
        <f>4746.22/1.06</f>
        <v>4477.566037735849</v>
      </c>
      <c r="HD123" s="3562">
        <f>4746.22/1.06</f>
        <v>4477.566037735849</v>
      </c>
      <c r="HE123" s="3547">
        <f t="shared" si="186"/>
        <v>3.144654088828247E-3</v>
      </c>
      <c r="HF123" s="3568">
        <v>40642.75</v>
      </c>
      <c r="HG123" s="3569">
        <f>74320.39/1.05</f>
        <v>70781.323809523805</v>
      </c>
      <c r="HH123" s="3562">
        <f>74320.39/1.05</f>
        <v>70781.323809523805</v>
      </c>
      <c r="HI123" s="3547">
        <f t="shared" si="224"/>
        <v>30138.573809523805</v>
      </c>
      <c r="HJ123" s="3568">
        <v>4477.5628930817602</v>
      </c>
      <c r="HK123" s="3569">
        <f>4746.22/1.06</f>
        <v>4477.566037735849</v>
      </c>
      <c r="HL123" s="3562">
        <f>4746.22/1.06</f>
        <v>4477.566037735849</v>
      </c>
      <c r="HM123" s="3547">
        <f t="shared" si="220"/>
        <v>3.144654088828247E-3</v>
      </c>
      <c r="HN123" s="3568">
        <v>40642.75</v>
      </c>
      <c r="HO123" s="3569">
        <f>74320.39/1.05</f>
        <v>70781.323809523805</v>
      </c>
      <c r="HP123" s="3562">
        <f>74320.39/1.05</f>
        <v>70781.323809523805</v>
      </c>
      <c r="HQ123" s="3547">
        <f t="shared" si="225"/>
        <v>30138.573809523805</v>
      </c>
      <c r="HR123" s="3568">
        <v>4477.5628930817602</v>
      </c>
      <c r="HS123" s="3569">
        <f>4746.22/1.06</f>
        <v>4477.566037735849</v>
      </c>
      <c r="HT123" s="3562">
        <f>4746.22/1.06</f>
        <v>4477.566037735849</v>
      </c>
      <c r="HU123" s="3547">
        <f t="shared" si="221"/>
        <v>3.144654088828247E-3</v>
      </c>
      <c r="HV123" s="3568">
        <v>40642.75</v>
      </c>
      <c r="HW123" s="3569">
        <f>74320.39/1.05</f>
        <v>70781.323809523805</v>
      </c>
      <c r="HX123" s="3562"/>
      <c r="HY123" s="3547">
        <f t="shared" si="226"/>
        <v>-40642.75</v>
      </c>
      <c r="HZ123" s="3568">
        <v>4477.5628930817602</v>
      </c>
      <c r="IA123" s="3569">
        <f>4746.22/1.06</f>
        <v>4477.566037735849</v>
      </c>
      <c r="IB123" s="3562"/>
      <c r="IC123" s="3547">
        <f t="shared" si="222"/>
        <v>-4477.5628930817602</v>
      </c>
      <c r="ID123" s="3568">
        <v>40642.75</v>
      </c>
      <c r="IE123" s="3569">
        <f>74320.39/1.05</f>
        <v>70781.323809523805</v>
      </c>
      <c r="IF123" s="3562"/>
      <c r="IG123" s="3547">
        <f t="shared" si="227"/>
        <v>-40642.75</v>
      </c>
      <c r="IH123" s="3568">
        <v>4477.5628930817602</v>
      </c>
      <c r="II123" s="3569">
        <f>4746.22/1.06</f>
        <v>4477.566037735849</v>
      </c>
      <c r="IJ123" s="3562"/>
      <c r="IK123" s="3547">
        <f t="shared" si="223"/>
        <v>-4477.5628930817602</v>
      </c>
      <c r="IL123" s="3547" t="s">
        <v>3970</v>
      </c>
      <c r="IM123" s="3569">
        <f>74320.39/1.05</f>
        <v>70781.323809523805</v>
      </c>
      <c r="IN123" s="3569">
        <f>4746.22/1.06</f>
        <v>4477.566037735849</v>
      </c>
      <c r="IO123" s="3547"/>
      <c r="IP123" s="3560">
        <f t="shared" si="195"/>
        <v>0</v>
      </c>
      <c r="IQ123" s="3568"/>
      <c r="IR123" s="3568"/>
      <c r="IS123" s="3568"/>
      <c r="IT123" s="3568"/>
      <c r="IU123" s="3568"/>
      <c r="IV123" s="3568"/>
      <c r="IW123" s="3568"/>
      <c r="IX123" s="3568"/>
      <c r="IY123" s="3568"/>
      <c r="IZ123" s="3560"/>
      <c r="JA123" s="3560"/>
      <c r="JB123" s="3560"/>
      <c r="JC123" s="3560">
        <f t="shared" si="134"/>
        <v>0</v>
      </c>
      <c r="JD123" s="3547"/>
      <c r="JE123" s="3568"/>
      <c r="JF123" s="3568"/>
      <c r="JG123" s="3568"/>
      <c r="JH123" s="3568"/>
      <c r="JI123" s="3568"/>
      <c r="JJ123" s="3568"/>
      <c r="JK123" s="3568"/>
      <c r="JL123" s="3568"/>
      <c r="JM123" s="3568"/>
      <c r="JN123" s="3560"/>
      <c r="JO123" s="3560"/>
      <c r="JP123" s="3547" t="s">
        <v>3837</v>
      </c>
      <c r="JQ123" s="3583">
        <f>74320.39/1.05</f>
        <v>70781.323809523805</v>
      </c>
      <c r="JR123" s="3583">
        <f>4746.22/1.06</f>
        <v>4477.566037735849</v>
      </c>
      <c r="JS123" s="3573">
        <f t="shared" si="145"/>
        <v>0</v>
      </c>
      <c r="JT123" s="3573">
        <f t="shared" si="152"/>
        <v>0</v>
      </c>
      <c r="JU123" s="3574">
        <f t="shared" si="146"/>
        <v>0</v>
      </c>
      <c r="JV123" s="3574">
        <f t="shared" si="147"/>
        <v>0</v>
      </c>
      <c r="JW123" s="3575"/>
      <c r="JX123" s="3576">
        <f t="shared" si="148"/>
        <v>70781.323809523805</v>
      </c>
      <c r="JY123" s="3576">
        <f t="shared" si="149"/>
        <v>4477.566037735849</v>
      </c>
      <c r="JZ123" s="3577"/>
      <c r="KA123" s="3573">
        <f t="shared" si="234"/>
        <v>30138.576954177894</v>
      </c>
      <c r="KB123" s="3573"/>
      <c r="KC123" s="3573"/>
      <c r="KD123" s="3573">
        <f t="shared" si="150"/>
        <v>30138.576954177894</v>
      </c>
      <c r="KE123" s="3578" t="s">
        <v>3986</v>
      </c>
      <c r="KF123" s="3579"/>
      <c r="KG123" s="3579"/>
      <c r="KH123" s="3579"/>
      <c r="KI123" s="3579"/>
      <c r="KJ123" s="3579"/>
      <c r="KK123" s="3579"/>
      <c r="KL123" s="3579"/>
      <c r="KM123" s="3579"/>
      <c r="KN123" s="3579"/>
      <c r="KO123" s="3579"/>
      <c r="KP123" s="3579">
        <f>30138.58/10000*6</f>
        <v>18.083148000000001</v>
      </c>
      <c r="KQ123" s="3579">
        <f t="shared" si="151"/>
        <v>18.083148000000001</v>
      </c>
      <c r="KR123" s="3579">
        <f t="shared" si="196"/>
        <v>-1.6981130102067254E-7</v>
      </c>
      <c r="KS123" s="3577"/>
      <c r="KT123" s="3577"/>
      <c r="KU123" s="3577"/>
      <c r="KV123" s="3577"/>
      <c r="KW123" s="3577"/>
      <c r="KX123" s="3577"/>
      <c r="KY123" s="3577"/>
      <c r="KZ123" s="3577"/>
      <c r="LA123" s="3577"/>
      <c r="LB123" s="3577"/>
      <c r="LC123" s="3577"/>
      <c r="LD123" s="3577"/>
      <c r="LE123" s="3577"/>
      <c r="LF123" s="3577"/>
      <c r="LG123" s="3577"/>
      <c r="LH123" s="3577"/>
      <c r="LJ123" s="3575"/>
      <c r="LK123" s="3571"/>
      <c r="LL123" s="3576"/>
    </row>
    <row r="124" spans="1:325" s="3580" customFormat="1" ht="18" customHeight="1">
      <c r="A124" s="3545">
        <v>121</v>
      </c>
      <c r="B124" s="3546" t="s">
        <v>4818</v>
      </c>
      <c r="C124" s="3694" t="s">
        <v>4830</v>
      </c>
      <c r="D124" s="3695">
        <f>35+25</f>
        <v>60</v>
      </c>
      <c r="E124" s="3548" t="s">
        <v>3799</v>
      </c>
      <c r="F124" s="3546" t="s">
        <v>3790</v>
      </c>
      <c r="G124" s="3546" t="s">
        <v>4831</v>
      </c>
      <c r="H124" s="3546" t="s">
        <v>4832</v>
      </c>
      <c r="I124" s="3594" t="s">
        <v>4833</v>
      </c>
      <c r="J124" s="3594" t="s">
        <v>4834</v>
      </c>
      <c r="K124" s="3545" t="s">
        <v>4835</v>
      </c>
      <c r="L124" s="3594"/>
      <c r="M124" s="3551">
        <v>44730.75</v>
      </c>
      <c r="N124" s="3551">
        <v>44730.75</v>
      </c>
      <c r="O124" s="3551">
        <f t="shared" si="135"/>
        <v>0</v>
      </c>
      <c r="P124" s="3547">
        <v>4544.25</v>
      </c>
      <c r="Q124" s="3547">
        <v>4544.25</v>
      </c>
      <c r="R124" s="3547">
        <f t="shared" si="235"/>
        <v>0</v>
      </c>
      <c r="S124" s="3547">
        <f t="shared" si="232"/>
        <v>8.17</v>
      </c>
      <c r="T124" s="3658">
        <v>14910.25</v>
      </c>
      <c r="U124" s="3553">
        <f t="shared" si="136"/>
        <v>178923</v>
      </c>
      <c r="V124" s="3547">
        <f>14910.25*12</f>
        <v>178923</v>
      </c>
      <c r="W124" s="3547">
        <f t="shared" si="233"/>
        <v>0.83</v>
      </c>
      <c r="X124" s="3553">
        <v>1514.75</v>
      </c>
      <c r="Y124" s="3547">
        <f t="shared" si="198"/>
        <v>18177</v>
      </c>
      <c r="Z124" s="3554"/>
      <c r="AA124" s="3555"/>
      <c r="AB124" s="3680" t="s">
        <v>3899</v>
      </c>
      <c r="AC124" s="3556">
        <f t="shared" si="138"/>
        <v>185699.8</v>
      </c>
      <c r="AD124" s="3556">
        <f t="shared" si="228"/>
        <v>140969.04999999999</v>
      </c>
      <c r="AE124" s="3556">
        <f t="shared" si="228"/>
        <v>140969.04999999999</v>
      </c>
      <c r="AF124" s="3556">
        <f t="shared" si="140"/>
        <v>0</v>
      </c>
      <c r="AG124" s="3556"/>
      <c r="AH124" s="3557">
        <f t="shared" si="141"/>
        <v>18625.2</v>
      </c>
      <c r="AI124" s="3558">
        <f t="shared" si="229"/>
        <v>14080.95</v>
      </c>
      <c r="AJ124" s="3558">
        <f t="shared" si="229"/>
        <v>14080.95</v>
      </c>
      <c r="AK124" s="3557">
        <f t="shared" si="159"/>
        <v>0</v>
      </c>
      <c r="AL124" s="3557"/>
      <c r="AM124" s="3547" t="s">
        <v>3822</v>
      </c>
      <c r="AN124" s="3609">
        <v>16735.25</v>
      </c>
      <c r="AO124" s="3562">
        <v>16735.25</v>
      </c>
      <c r="AP124" s="3561">
        <f t="shared" si="199"/>
        <v>0</v>
      </c>
      <c r="AQ124" s="3559">
        <v>1514.75</v>
      </c>
      <c r="AR124" s="3562">
        <v>1514.75</v>
      </c>
      <c r="AS124" s="3561">
        <f t="shared" si="200"/>
        <v>0</v>
      </c>
      <c r="AT124" s="3563" t="s">
        <v>4825</v>
      </c>
      <c r="AU124" s="3584" t="s">
        <v>4836</v>
      </c>
      <c r="AV124" s="3614">
        <f>16735.25*12/365*9</f>
        <v>4951.8</v>
      </c>
      <c r="AW124" s="3562">
        <v>4951.8</v>
      </c>
      <c r="AX124" s="3561">
        <f t="shared" si="201"/>
        <v>0</v>
      </c>
      <c r="AY124" s="3559">
        <f>1514.75*12/365*9</f>
        <v>448.2</v>
      </c>
      <c r="AZ124" s="3562">
        <f>448.2</f>
        <v>448.2</v>
      </c>
      <c r="BA124" s="3561">
        <f t="shared" si="202"/>
        <v>0</v>
      </c>
      <c r="BB124" s="3563" t="s">
        <v>4837</v>
      </c>
      <c r="BC124" s="3547" t="s">
        <v>4838</v>
      </c>
      <c r="BD124" s="3609">
        <f>14910.25*2</f>
        <v>29820.5</v>
      </c>
      <c r="BE124" s="3562">
        <f>14910.25+14910.25</f>
        <v>29820.5</v>
      </c>
      <c r="BF124" s="3561">
        <f t="shared" si="203"/>
        <v>0</v>
      </c>
      <c r="BG124" s="3559">
        <f>1514.75*2</f>
        <v>3029.5</v>
      </c>
      <c r="BH124" s="3562">
        <v>3029.5</v>
      </c>
      <c r="BI124" s="3561">
        <f t="shared" si="204"/>
        <v>0</v>
      </c>
      <c r="BJ124" s="3563" t="s">
        <v>4839</v>
      </c>
      <c r="BK124" s="3547" t="s">
        <v>4840</v>
      </c>
      <c r="BL124" s="3609">
        <v>14910.25</v>
      </c>
      <c r="BM124" s="3603">
        <v>14910.25</v>
      </c>
      <c r="BN124" s="3561">
        <f t="shared" si="205"/>
        <v>0</v>
      </c>
      <c r="BO124" s="3559">
        <v>1514.75</v>
      </c>
      <c r="BP124" s="3562">
        <v>1514.75</v>
      </c>
      <c r="BQ124" s="3561">
        <f t="shared" si="206"/>
        <v>0</v>
      </c>
      <c r="BR124" s="3563" t="s">
        <v>4841</v>
      </c>
      <c r="BS124" s="3547" t="s">
        <v>4842</v>
      </c>
      <c r="BT124" s="3559">
        <v>14910.25</v>
      </c>
      <c r="BU124" s="3562">
        <f>14910.25</f>
        <v>14910.25</v>
      </c>
      <c r="BV124" s="3561">
        <f t="shared" si="207"/>
        <v>0</v>
      </c>
      <c r="BW124" s="3559">
        <v>1514.75</v>
      </c>
      <c r="BX124" s="3562">
        <v>1514.75</v>
      </c>
      <c r="BY124" s="3561">
        <f t="shared" si="208"/>
        <v>0</v>
      </c>
      <c r="BZ124" s="3563" t="s">
        <v>4843</v>
      </c>
      <c r="CA124" s="3547" t="s">
        <v>4844</v>
      </c>
      <c r="CB124" s="3621">
        <v>14910.25</v>
      </c>
      <c r="CC124" s="3603">
        <v>14910.25</v>
      </c>
      <c r="CD124" s="3602">
        <f t="shared" si="164"/>
        <v>0</v>
      </c>
      <c r="CE124" s="3604">
        <v>1514.75</v>
      </c>
      <c r="CF124" s="3562">
        <v>1514.75</v>
      </c>
      <c r="CG124" s="3561">
        <f t="shared" si="165"/>
        <v>0</v>
      </c>
      <c r="CH124" s="3563" t="s">
        <v>4845</v>
      </c>
      <c r="CI124" s="3547" t="s">
        <v>4846</v>
      </c>
      <c r="CJ124" s="3609">
        <v>14910.25</v>
      </c>
      <c r="CK124" s="3603">
        <v>14910.25</v>
      </c>
      <c r="CL124" s="3602">
        <f t="shared" si="133"/>
        <v>0</v>
      </c>
      <c r="CM124" s="3604">
        <v>1514.75</v>
      </c>
      <c r="CN124" s="3603">
        <v>1514.75</v>
      </c>
      <c r="CO124" s="3561">
        <f t="shared" si="166"/>
        <v>0</v>
      </c>
      <c r="CP124" s="3563" t="s">
        <v>4847</v>
      </c>
      <c r="CQ124" s="3547" t="s">
        <v>4848</v>
      </c>
      <c r="CR124" s="3609">
        <v>14910.25</v>
      </c>
      <c r="CS124" s="3603">
        <v>14910.25</v>
      </c>
      <c r="CT124" s="3561">
        <f t="shared" si="167"/>
        <v>0</v>
      </c>
      <c r="CU124" s="3559">
        <v>1514.75</v>
      </c>
      <c r="CV124" s="3562">
        <v>1514.75</v>
      </c>
      <c r="CW124" s="3561">
        <f t="shared" si="168"/>
        <v>0</v>
      </c>
      <c r="CX124" s="3563" t="s">
        <v>4849</v>
      </c>
      <c r="CY124" s="3547" t="s">
        <v>4850</v>
      </c>
      <c r="CZ124" s="3609">
        <v>14910.25</v>
      </c>
      <c r="DA124" s="3562">
        <v>14910.25</v>
      </c>
      <c r="DB124" s="3561">
        <f t="shared" si="169"/>
        <v>0</v>
      </c>
      <c r="DC124" s="3559">
        <v>1514.75</v>
      </c>
      <c r="DD124" s="3562">
        <v>1514.75</v>
      </c>
      <c r="DE124" s="3561">
        <f t="shared" si="170"/>
        <v>0</v>
      </c>
      <c r="DF124" s="3563" t="s">
        <v>4851</v>
      </c>
      <c r="DG124" s="3547" t="s">
        <v>4852</v>
      </c>
      <c r="DH124" s="3609">
        <v>14910.25</v>
      </c>
      <c r="DI124" s="3562"/>
      <c r="DJ124" s="3561">
        <f t="shared" si="171"/>
        <v>-14910.25</v>
      </c>
      <c r="DK124" s="3559">
        <v>1514.75</v>
      </c>
      <c r="DL124" s="3562"/>
      <c r="DM124" s="3561">
        <f t="shared" si="172"/>
        <v>-1514.75</v>
      </c>
      <c r="DN124" s="3563"/>
      <c r="DO124" s="3547" t="s">
        <v>4853</v>
      </c>
      <c r="DP124" s="3609">
        <v>14910.25</v>
      </c>
      <c r="DQ124" s="3562"/>
      <c r="DR124" s="3561">
        <f t="shared" si="173"/>
        <v>-14910.25</v>
      </c>
      <c r="DS124" s="3559">
        <v>1514.75</v>
      </c>
      <c r="DT124" s="3562"/>
      <c r="DU124" s="3561">
        <f t="shared" si="209"/>
        <v>-1514.75</v>
      </c>
      <c r="DV124" s="3563"/>
      <c r="DW124" s="3547" t="s">
        <v>4854</v>
      </c>
      <c r="DX124" s="3609">
        <v>14910.25</v>
      </c>
      <c r="DY124" s="3562"/>
      <c r="DZ124" s="3561">
        <f t="shared" si="175"/>
        <v>-14910.25</v>
      </c>
      <c r="EA124" s="3559">
        <v>1514.75</v>
      </c>
      <c r="EB124" s="3562"/>
      <c r="EC124" s="3561">
        <f t="shared" si="176"/>
        <v>-1514.75</v>
      </c>
      <c r="ED124" s="3563"/>
      <c r="EE124" s="3564"/>
      <c r="EF124" s="3565">
        <f t="shared" si="153"/>
        <v>90508.380952380889</v>
      </c>
      <c r="EG124" s="3565">
        <f t="shared" si="230"/>
        <v>63550.523809523744</v>
      </c>
      <c r="EH124" s="3565">
        <f t="shared" si="230"/>
        <v>131792.61904761902</v>
      </c>
      <c r="EI124" s="3565">
        <f t="shared" si="230"/>
        <v>131792.61904761902</v>
      </c>
      <c r="EJ124" s="3565">
        <f t="shared" si="154"/>
        <v>68242.09523809528</v>
      </c>
      <c r="EK124" s="3565">
        <f t="shared" si="155"/>
        <v>0</v>
      </c>
      <c r="EL124" s="3610"/>
      <c r="EM124" s="3557">
        <f t="shared" si="156"/>
        <v>11854.905660377322</v>
      </c>
      <c r="EN124" s="3557">
        <f t="shared" si="231"/>
        <v>7567.8773584905448</v>
      </c>
      <c r="EO124" s="3557">
        <f t="shared" si="231"/>
        <v>12861.084905660378</v>
      </c>
      <c r="EP124" s="3557">
        <f t="shared" si="231"/>
        <v>12861.084905660378</v>
      </c>
      <c r="EQ124" s="3557">
        <f t="shared" si="157"/>
        <v>5293.2075471698336</v>
      </c>
      <c r="ER124" s="3557">
        <f t="shared" si="158"/>
        <v>0</v>
      </c>
      <c r="ES124" s="3645"/>
      <c r="ET124" s="3568">
        <v>15938.333333333299</v>
      </c>
      <c r="EU124" s="3569">
        <f>16735.25/1.05</f>
        <v>15938.333333333332</v>
      </c>
      <c r="EV124" s="3562">
        <f>16735.25/1.05</f>
        <v>15938.333333333332</v>
      </c>
      <c r="EW124" s="3547">
        <f t="shared" si="210"/>
        <v>3.2741809263825417E-11</v>
      </c>
      <c r="EX124" s="3568">
        <v>1429.0094339622599</v>
      </c>
      <c r="EY124" s="3569">
        <f>1514.75/1.06</f>
        <v>1429.009433962264</v>
      </c>
      <c r="EZ124" s="3562">
        <f>1514.75/1.06</f>
        <v>1429.009433962264</v>
      </c>
      <c r="FA124" s="3547">
        <f t="shared" si="211"/>
        <v>4.0927261579781771E-12</v>
      </c>
      <c r="FB124" s="3568">
        <v>15938.333333333299</v>
      </c>
      <c r="FC124" s="3569">
        <f>16735.25/1.05</f>
        <v>15938.333333333332</v>
      </c>
      <c r="FD124" s="3562">
        <f>16735.25/1.05</f>
        <v>15938.333333333332</v>
      </c>
      <c r="FE124" s="3547">
        <f t="shared" si="212"/>
        <v>3.2741809263825417E-11</v>
      </c>
      <c r="FF124" s="3568">
        <v>1429.0094339622599</v>
      </c>
      <c r="FG124" s="3569">
        <f>1514.75/1.06</f>
        <v>1429.009433962264</v>
      </c>
      <c r="FH124" s="3562">
        <f>1514.75/1.06</f>
        <v>1429.009433962264</v>
      </c>
      <c r="FI124" s="3547">
        <f t="shared" si="213"/>
        <v>4.0927261579781771E-12</v>
      </c>
      <c r="FJ124" s="3568">
        <v>4716</v>
      </c>
      <c r="FK124" s="3592">
        <f>16735.25/1.05*12/365*9+14910.25/1.05-14910.25/1.05*12/365*9</f>
        <v>14714.523809523809</v>
      </c>
      <c r="FL124" s="3661">
        <f>4951.8/1.05+14910.25/1.05-14910.25/1.05*12/365*9</f>
        <v>14714.523809523809</v>
      </c>
      <c r="FM124" s="3547">
        <f t="shared" si="214"/>
        <v>9998.5238095238092</v>
      </c>
      <c r="FN124" s="3568">
        <v>422.830188679245</v>
      </c>
      <c r="FO124" s="3592">
        <f>1514.75/1.06*12/365*9+1514.75/1.06-1514.75/1.06*12/365*9</f>
        <v>1429.0094339622642</v>
      </c>
      <c r="FP124" s="3605">
        <f>448.2/1.06+1514.75/1.06-1514.75/1.06*12/365*9</f>
        <v>1429.0094339622642</v>
      </c>
      <c r="FQ124" s="3547">
        <f t="shared" si="215"/>
        <v>1006.1792452830192</v>
      </c>
      <c r="FR124" s="3568"/>
      <c r="FS124" s="3569">
        <f>14910.25/1.05</f>
        <v>14200.238095238095</v>
      </c>
      <c r="FT124" s="3562">
        <f>14910.25/1.05</f>
        <v>14200.238095238095</v>
      </c>
      <c r="FU124" s="3547">
        <f t="shared" si="216"/>
        <v>14200.238095238095</v>
      </c>
      <c r="FV124" s="3568"/>
      <c r="FW124" s="3569">
        <f>1514.75/1.06</f>
        <v>1429.009433962264</v>
      </c>
      <c r="FX124" s="3562">
        <f>1514.75/1.06</f>
        <v>1429.009433962264</v>
      </c>
      <c r="FY124" s="3547">
        <f t="shared" si="217"/>
        <v>1429.009433962264</v>
      </c>
      <c r="FZ124" s="3568"/>
      <c r="GA124" s="3569">
        <f>14910.25/1.05</f>
        <v>14200.238095238095</v>
      </c>
      <c r="GB124" s="3560">
        <f>14910.25/1.05*12/365*9+14910.25/1.05-14910.25/1.05*12/365*9</f>
        <v>14200.238095238095</v>
      </c>
      <c r="GC124" s="3547">
        <f t="shared" si="218"/>
        <v>14200.238095238095</v>
      </c>
      <c r="GD124" s="3568"/>
      <c r="GE124" s="3569">
        <f>1514.75/1.06</f>
        <v>1429.009433962264</v>
      </c>
      <c r="GF124" s="3560">
        <f>1514.75/1.06*12/365*9+1514.75/1.06-1514.75/1.06*12/365*9</f>
        <v>1429.0094339622642</v>
      </c>
      <c r="GG124" s="3547">
        <f t="shared" si="219"/>
        <v>1429.0094339622642</v>
      </c>
      <c r="GH124" s="3568"/>
      <c r="GI124" s="3569">
        <f>14910.25/1.05</f>
        <v>14200.238095238095</v>
      </c>
      <c r="GJ124" s="3562">
        <f>14910.25/1.05*12/365*9+14910.25/1.05-14910.25/1.05*12/365*9</f>
        <v>14200.238095238095</v>
      </c>
      <c r="GK124" s="3547">
        <f t="shared" si="181"/>
        <v>14200.238095238095</v>
      </c>
      <c r="GL124" s="3568"/>
      <c r="GM124" s="3569">
        <f>1514.75/1.06</f>
        <v>1429.009433962264</v>
      </c>
      <c r="GN124" s="3562">
        <f>1514.75/1.06*12/365*9+1514.75/1.06-1514.75/1.06*12/365*9</f>
        <v>1429.0094339622642</v>
      </c>
      <c r="GO124" s="3547">
        <f t="shared" si="182"/>
        <v>1429.0094339622642</v>
      </c>
      <c r="GP124" s="3568">
        <v>8985.9523809523798</v>
      </c>
      <c r="GQ124" s="3569">
        <f>14910.25/1.05</f>
        <v>14200.238095238095</v>
      </c>
      <c r="GR124" s="3562">
        <f>14910.25/1.05*12/365*9+14910.25/1.05-14910.25/1.05*12/365*9</f>
        <v>14200.238095238095</v>
      </c>
      <c r="GS124" s="3547">
        <f t="shared" si="183"/>
        <v>5214.2857142857156</v>
      </c>
      <c r="GT124" s="3568">
        <v>1429.0094339622599</v>
      </c>
      <c r="GU124" s="3569">
        <f>1514.75/1.06</f>
        <v>1429.009433962264</v>
      </c>
      <c r="GV124" s="3562">
        <f>1514.75/1.06*12/365*9+1514.75/1.06-1514.75/1.06*12/365*9</f>
        <v>1429.0094339622642</v>
      </c>
      <c r="GW124" s="3547">
        <f t="shared" si="184"/>
        <v>4.3200998334214091E-12</v>
      </c>
      <c r="GX124" s="3568">
        <v>8985.9523809523798</v>
      </c>
      <c r="GY124" s="3569">
        <f>14910.25/1.05</f>
        <v>14200.238095238095</v>
      </c>
      <c r="GZ124" s="3562">
        <f>14910.25/1.05*12/365*9+14910.25/1.05-14910.25/1.05*12/365*9</f>
        <v>14200.238095238095</v>
      </c>
      <c r="HA124" s="3547">
        <f t="shared" si="185"/>
        <v>5214.2857142857156</v>
      </c>
      <c r="HB124" s="3568">
        <v>1429.0094339622599</v>
      </c>
      <c r="HC124" s="3569">
        <f>1514.75/1.06</f>
        <v>1429.009433962264</v>
      </c>
      <c r="HD124" s="3562">
        <f>1514.75/1.06*12/365*9+1514.75/1.06-1514.75/1.06*12/365*9</f>
        <v>1429.0094339622642</v>
      </c>
      <c r="HE124" s="3547">
        <f t="shared" si="186"/>
        <v>4.3200998334214091E-12</v>
      </c>
      <c r="HF124" s="3568">
        <v>8985.9523809523798</v>
      </c>
      <c r="HG124" s="3569">
        <f>14910.25/1.05</f>
        <v>14200.238095238095</v>
      </c>
      <c r="HH124" s="3562">
        <f>14910.25/1.05*12/365*9+14910.25/1.05-14910.25/1.05*12/365*9</f>
        <v>14200.238095238095</v>
      </c>
      <c r="HI124" s="3547">
        <f t="shared" si="224"/>
        <v>5214.2857142857156</v>
      </c>
      <c r="HJ124" s="3568">
        <v>1429.0094339622599</v>
      </c>
      <c r="HK124" s="3569">
        <f>1514.75/1.06</f>
        <v>1429.009433962264</v>
      </c>
      <c r="HL124" s="3562">
        <f>1514.75/1.06*12/365*9+1514.75/1.06-1514.75/1.06*12/365*9</f>
        <v>1429.0094339622642</v>
      </c>
      <c r="HM124" s="3547">
        <f t="shared" si="220"/>
        <v>4.3200998334214091E-12</v>
      </c>
      <c r="HN124" s="3568">
        <v>8985.9523809523798</v>
      </c>
      <c r="HO124" s="3569">
        <f>14910.25/1.05</f>
        <v>14200.238095238095</v>
      </c>
      <c r="HP124" s="3562">
        <f>14910.25/1.05*12/365*9+14910.25/1.05-14910.25/1.05*12/365*9</f>
        <v>14200.238095238095</v>
      </c>
      <c r="HQ124" s="3547">
        <f t="shared" si="225"/>
        <v>5214.2857142857156</v>
      </c>
      <c r="HR124" s="3568">
        <v>1429.0094339622599</v>
      </c>
      <c r="HS124" s="3569">
        <f>1514.75/1.06</f>
        <v>1429.009433962264</v>
      </c>
      <c r="HT124" s="3562">
        <f>1514.75/1.06*12/365*9+1514.75/1.06-1514.75/1.06*12/365*9</f>
        <v>1429.0094339622642</v>
      </c>
      <c r="HU124" s="3547">
        <f t="shared" si="221"/>
        <v>4.3200998334214091E-12</v>
      </c>
      <c r="HV124" s="3568">
        <v>8985.9523809523798</v>
      </c>
      <c r="HW124" s="3569">
        <f>14910.25/1.05</f>
        <v>14200.238095238095</v>
      </c>
      <c r="HX124" s="3562">
        <f>14910.25/1.05*12/365*9</f>
        <v>4201.7142857142862</v>
      </c>
      <c r="HY124" s="3547">
        <f t="shared" si="226"/>
        <v>-4784.2380952380936</v>
      </c>
      <c r="HZ124" s="3568">
        <v>1429.0094339622599</v>
      </c>
      <c r="IA124" s="3569">
        <f>1514.75/1.06</f>
        <v>1429.009433962264</v>
      </c>
      <c r="IB124" s="3562">
        <f>1514.75/1.06*12/365*9</f>
        <v>422.83018867924523</v>
      </c>
      <c r="IC124" s="3547">
        <f t="shared" si="222"/>
        <v>-1006.1792452830147</v>
      </c>
      <c r="ID124" s="3568">
        <v>8985.9523809523798</v>
      </c>
      <c r="IE124" s="3569">
        <f>14910.25/1.05</f>
        <v>14200.238095238095</v>
      </c>
      <c r="IF124" s="3562"/>
      <c r="IG124" s="3547">
        <f t="shared" si="227"/>
        <v>-8985.9523809523798</v>
      </c>
      <c r="IH124" s="3568">
        <v>1429.0094339622599</v>
      </c>
      <c r="II124" s="3569">
        <f>1514.75/1.06</f>
        <v>1429.009433962264</v>
      </c>
      <c r="IJ124" s="3562"/>
      <c r="IK124" s="3547">
        <f t="shared" si="223"/>
        <v>-1429.0094339622599</v>
      </c>
      <c r="IL124" s="3547" t="s">
        <v>4391</v>
      </c>
      <c r="IM124" s="3569">
        <f>14910.25/1.05+14910.25/1.05*12/365*9</f>
        <v>18401.952380952382</v>
      </c>
      <c r="IN124" s="3569">
        <f>1514.75/1.06+1514.75/1.06*12/365*9</f>
        <v>1851.8396226415093</v>
      </c>
      <c r="IO124" s="3547"/>
      <c r="IP124" s="3560">
        <f t="shared" si="195"/>
        <v>0</v>
      </c>
      <c r="IQ124" s="3568"/>
      <c r="IR124" s="3568"/>
      <c r="IS124" s="3568"/>
      <c r="IT124" s="3568"/>
      <c r="IU124" s="3568"/>
      <c r="IV124" s="3568"/>
      <c r="IW124" s="3568"/>
      <c r="IX124" s="3568"/>
      <c r="IY124" s="3568"/>
      <c r="IZ124" s="3560"/>
      <c r="JA124" s="3560"/>
      <c r="JB124" s="3560"/>
      <c r="JC124" s="3560">
        <f t="shared" si="134"/>
        <v>0</v>
      </c>
      <c r="JD124" s="3547"/>
      <c r="JE124" s="3568"/>
      <c r="JF124" s="3568"/>
      <c r="JG124" s="3568"/>
      <c r="JH124" s="3568"/>
      <c r="JI124" s="3568"/>
      <c r="JJ124" s="3568"/>
      <c r="JK124" s="3568"/>
      <c r="JL124" s="3568"/>
      <c r="JM124" s="3568"/>
      <c r="JN124" s="3560"/>
      <c r="JO124" s="3560"/>
      <c r="JP124" s="3547" t="s">
        <v>3837</v>
      </c>
      <c r="JQ124" s="3583">
        <f>16735.25/1.05</f>
        <v>15938.333333333332</v>
      </c>
      <c r="JR124" s="3583">
        <f>1514.75/1.06</f>
        <v>1429.009433962264</v>
      </c>
      <c r="JS124" s="3573">
        <f t="shared" si="145"/>
        <v>0</v>
      </c>
      <c r="JT124" s="3573">
        <f t="shared" si="152"/>
        <v>-3.1832314562052488E-12</v>
      </c>
      <c r="JU124" s="3574">
        <f t="shared" si="146"/>
        <v>0</v>
      </c>
      <c r="JV124" s="3574">
        <f t="shared" si="147"/>
        <v>0</v>
      </c>
      <c r="JW124" s="3575"/>
      <c r="JX124" s="3576">
        <f t="shared" si="148"/>
        <v>18401.952380952382</v>
      </c>
      <c r="JY124" s="3576">
        <f t="shared" si="149"/>
        <v>1851.8396226415093</v>
      </c>
      <c r="JZ124" s="3577"/>
      <c r="KA124" s="3573">
        <f t="shared" si="234"/>
        <v>5214.2857142857201</v>
      </c>
      <c r="KB124" s="3573"/>
      <c r="KC124" s="3573"/>
      <c r="KD124" s="3573">
        <f t="shared" si="150"/>
        <v>5214.2857142857201</v>
      </c>
      <c r="KE124" s="3578" t="s">
        <v>4069</v>
      </c>
      <c r="KF124" s="3579"/>
      <c r="KG124" s="3579"/>
      <c r="KH124" s="3579">
        <f>11004.7/10000+15629.25/10000*3</f>
        <v>5.7892449999999993</v>
      </c>
      <c r="KI124" s="3579">
        <f>5214.29/10000*3</f>
        <v>1.5642870000000002</v>
      </c>
      <c r="KJ124" s="3579"/>
      <c r="KK124" s="3579"/>
      <c r="KL124" s="3579"/>
      <c r="KM124" s="3579"/>
      <c r="KN124" s="3579"/>
      <c r="KO124" s="3579"/>
      <c r="KP124" s="3579"/>
      <c r="KQ124" s="3579">
        <f t="shared" si="151"/>
        <v>7.3535319999999995</v>
      </c>
      <c r="KR124" s="3579">
        <f t="shared" si="196"/>
        <v>-1.7214734882031735E-6</v>
      </c>
      <c r="KS124" s="3577"/>
      <c r="KT124" s="3577"/>
      <c r="KU124" s="3577"/>
      <c r="KV124" s="3577"/>
      <c r="KW124" s="3577"/>
      <c r="KX124" s="3577"/>
      <c r="KY124" s="3577"/>
      <c r="KZ124" s="3577"/>
      <c r="LA124" s="3577"/>
      <c r="LB124" s="3577"/>
      <c r="LC124" s="3577"/>
      <c r="LD124" s="3577"/>
      <c r="LE124" s="3577"/>
      <c r="LF124" s="3577"/>
      <c r="LG124" s="3577"/>
      <c r="LH124" s="3577"/>
      <c r="LJ124" s="3575"/>
      <c r="LK124" s="3571"/>
      <c r="LL124" s="3576"/>
    </row>
    <row r="125" spans="1:325" s="3580" customFormat="1" ht="18" customHeight="1">
      <c r="A125" s="3545">
        <v>122</v>
      </c>
      <c r="B125" s="3546" t="s">
        <v>4818</v>
      </c>
      <c r="C125" s="3694" t="s">
        <v>4855</v>
      </c>
      <c r="D125" s="3695">
        <v>54</v>
      </c>
      <c r="E125" s="3548" t="s">
        <v>3789</v>
      </c>
      <c r="F125" s="3546" t="s">
        <v>3790</v>
      </c>
      <c r="G125" s="3546" t="s">
        <v>4856</v>
      </c>
      <c r="H125" s="3546" t="s">
        <v>4857</v>
      </c>
      <c r="I125" s="3594" t="s">
        <v>3958</v>
      </c>
      <c r="J125" s="3594" t="s">
        <v>4858</v>
      </c>
      <c r="K125" s="3545" t="s">
        <v>3991</v>
      </c>
      <c r="L125" s="3555"/>
      <c r="M125" s="3551"/>
      <c r="N125" s="3551"/>
      <c r="O125" s="3551">
        <f t="shared" si="135"/>
        <v>0</v>
      </c>
      <c r="P125" s="3547"/>
      <c r="Q125" s="3547"/>
      <c r="R125" s="3547">
        <f t="shared" si="235"/>
        <v>0</v>
      </c>
      <c r="S125" s="3547">
        <f t="shared" si="232"/>
        <v>0</v>
      </c>
      <c r="T125" s="3552"/>
      <c r="U125" s="3553">
        <f t="shared" si="136"/>
        <v>0</v>
      </c>
      <c r="V125" s="3547"/>
      <c r="W125" s="3547">
        <f t="shared" si="233"/>
        <v>0</v>
      </c>
      <c r="X125" s="3552"/>
      <c r="Y125" s="3547">
        <f t="shared" si="198"/>
        <v>0</v>
      </c>
      <c r="Z125" s="3554"/>
      <c r="AA125" s="3555"/>
      <c r="AB125" s="3593"/>
      <c r="AC125" s="3556">
        <f t="shared" si="138"/>
        <v>0</v>
      </c>
      <c r="AD125" s="3556">
        <f t="shared" si="228"/>
        <v>0</v>
      </c>
      <c r="AE125" s="3556">
        <f t="shared" si="228"/>
        <v>0</v>
      </c>
      <c r="AF125" s="3556">
        <f t="shared" si="140"/>
        <v>0</v>
      </c>
      <c r="AG125" s="3556"/>
      <c r="AH125" s="3557">
        <f t="shared" si="141"/>
        <v>0</v>
      </c>
      <c r="AI125" s="3558">
        <f t="shared" si="229"/>
        <v>0</v>
      </c>
      <c r="AJ125" s="3558">
        <f t="shared" si="229"/>
        <v>0</v>
      </c>
      <c r="AK125" s="3557">
        <f t="shared" si="159"/>
        <v>0</v>
      </c>
      <c r="AL125" s="3557"/>
      <c r="AM125" s="3547"/>
      <c r="AN125" s="3609"/>
      <c r="AO125" s="3562"/>
      <c r="AP125" s="3561">
        <f t="shared" si="199"/>
        <v>0</v>
      </c>
      <c r="AQ125" s="3559"/>
      <c r="AR125" s="3562"/>
      <c r="AS125" s="3561">
        <f t="shared" si="200"/>
        <v>0</v>
      </c>
      <c r="AT125" s="3563" t="s">
        <v>4859</v>
      </c>
      <c r="AU125" s="3547"/>
      <c r="AV125" s="3609"/>
      <c r="AW125" s="3562"/>
      <c r="AX125" s="3561">
        <f t="shared" si="201"/>
        <v>0</v>
      </c>
      <c r="AY125" s="3559"/>
      <c r="AZ125" s="3562"/>
      <c r="BA125" s="3561">
        <f t="shared" si="202"/>
        <v>0</v>
      </c>
      <c r="BB125" s="3563" t="s">
        <v>4859</v>
      </c>
      <c r="BC125" s="3547"/>
      <c r="BD125" s="3609"/>
      <c r="BE125" s="3562"/>
      <c r="BF125" s="3561">
        <f t="shared" si="203"/>
        <v>0</v>
      </c>
      <c r="BG125" s="3559"/>
      <c r="BH125" s="3562"/>
      <c r="BI125" s="3561">
        <f t="shared" si="204"/>
        <v>0</v>
      </c>
      <c r="BJ125" s="3563" t="s">
        <v>4859</v>
      </c>
      <c r="BK125" s="3547"/>
      <c r="BL125" s="3609"/>
      <c r="BM125" s="3562"/>
      <c r="BN125" s="3561">
        <f t="shared" si="205"/>
        <v>0</v>
      </c>
      <c r="BO125" s="3559"/>
      <c r="BP125" s="3562"/>
      <c r="BQ125" s="3561">
        <f t="shared" si="206"/>
        <v>0</v>
      </c>
      <c r="BR125" s="3563" t="s">
        <v>4859</v>
      </c>
      <c r="BS125" s="3547"/>
      <c r="BT125" s="3559"/>
      <c r="BU125" s="3562"/>
      <c r="BV125" s="3561">
        <f t="shared" si="207"/>
        <v>0</v>
      </c>
      <c r="BW125" s="3559"/>
      <c r="BX125" s="3562"/>
      <c r="BY125" s="3561">
        <f t="shared" si="208"/>
        <v>0</v>
      </c>
      <c r="BZ125" s="3563" t="s">
        <v>4859</v>
      </c>
      <c r="CA125" s="3547"/>
      <c r="CB125" s="3621"/>
      <c r="CC125" s="3603"/>
      <c r="CD125" s="3602">
        <f t="shared" si="164"/>
        <v>0</v>
      </c>
      <c r="CE125" s="3604"/>
      <c r="CF125" s="3562"/>
      <c r="CG125" s="3561">
        <f t="shared" si="165"/>
        <v>0</v>
      </c>
      <c r="CH125" s="3563" t="s">
        <v>4859</v>
      </c>
      <c r="CI125" s="3547"/>
      <c r="CJ125" s="3609"/>
      <c r="CK125" s="3562"/>
      <c r="CL125" s="3561">
        <f t="shared" si="133"/>
        <v>0</v>
      </c>
      <c r="CM125" s="3559"/>
      <c r="CN125" s="3562"/>
      <c r="CO125" s="3561">
        <f t="shared" si="166"/>
        <v>0</v>
      </c>
      <c r="CP125" s="3563" t="s">
        <v>4859</v>
      </c>
      <c r="CQ125" s="3547"/>
      <c r="CR125" s="3609"/>
      <c r="CS125" s="3603"/>
      <c r="CT125" s="3561">
        <f t="shared" si="167"/>
        <v>0</v>
      </c>
      <c r="CU125" s="3559"/>
      <c r="CV125" s="3562"/>
      <c r="CW125" s="3561">
        <f t="shared" si="168"/>
        <v>0</v>
      </c>
      <c r="CX125" s="3563" t="s">
        <v>4859</v>
      </c>
      <c r="CY125" s="3547"/>
      <c r="CZ125" s="3609"/>
      <c r="DA125" s="3562"/>
      <c r="DB125" s="3561">
        <f t="shared" si="169"/>
        <v>0</v>
      </c>
      <c r="DC125" s="3559"/>
      <c r="DD125" s="3562"/>
      <c r="DE125" s="3561">
        <f t="shared" si="170"/>
        <v>0</v>
      </c>
      <c r="DF125" s="3563" t="s">
        <v>4859</v>
      </c>
      <c r="DG125" s="3547"/>
      <c r="DH125" s="3609"/>
      <c r="DI125" s="3562"/>
      <c r="DJ125" s="3561">
        <f t="shared" si="171"/>
        <v>0</v>
      </c>
      <c r="DK125" s="3559"/>
      <c r="DL125" s="3562"/>
      <c r="DM125" s="3561">
        <f t="shared" si="172"/>
        <v>0</v>
      </c>
      <c r="DN125" s="3563"/>
      <c r="DO125" s="3547"/>
      <c r="DP125" s="3609"/>
      <c r="DQ125" s="3562"/>
      <c r="DR125" s="3561">
        <f t="shared" si="173"/>
        <v>0</v>
      </c>
      <c r="DS125" s="3559"/>
      <c r="DT125" s="3562"/>
      <c r="DU125" s="3561">
        <f t="shared" si="209"/>
        <v>0</v>
      </c>
      <c r="DV125" s="3563"/>
      <c r="DW125" s="3547"/>
      <c r="DX125" s="3609"/>
      <c r="DY125" s="3562"/>
      <c r="DZ125" s="3561">
        <f t="shared" si="175"/>
        <v>0</v>
      </c>
      <c r="EA125" s="3559"/>
      <c r="EB125" s="3562"/>
      <c r="EC125" s="3561">
        <f t="shared" si="176"/>
        <v>0</v>
      </c>
      <c r="ED125" s="3563"/>
      <c r="EE125" s="3564"/>
      <c r="EF125" s="3565">
        <f t="shared" si="153"/>
        <v>72786.214285714261</v>
      </c>
      <c r="EG125" s="3565">
        <f t="shared" si="230"/>
        <v>48524.142857142841</v>
      </c>
      <c r="EH125" s="3565">
        <f t="shared" si="230"/>
        <v>0</v>
      </c>
      <c r="EI125" s="3565">
        <f t="shared" si="230"/>
        <v>0</v>
      </c>
      <c r="EJ125" s="3565">
        <f t="shared" si="154"/>
        <v>-48524.142857142841</v>
      </c>
      <c r="EK125" s="3566">
        <f t="shared" si="155"/>
        <v>0</v>
      </c>
      <c r="EL125" s="3610"/>
      <c r="EM125" s="3567">
        <f t="shared" si="156"/>
        <v>11574.976415094359</v>
      </c>
      <c r="EN125" s="3557">
        <f t="shared" si="231"/>
        <v>7716.6509433962401</v>
      </c>
      <c r="EO125" s="3557">
        <f t="shared" si="231"/>
        <v>0</v>
      </c>
      <c r="EP125" s="3557">
        <f t="shared" si="231"/>
        <v>0</v>
      </c>
      <c r="EQ125" s="3557">
        <f t="shared" si="157"/>
        <v>-7716.6509433962401</v>
      </c>
      <c r="ER125" s="3557">
        <f t="shared" si="158"/>
        <v>0</v>
      </c>
      <c r="ES125" s="3557"/>
      <c r="ET125" s="3568"/>
      <c r="EU125" s="3569"/>
      <c r="EV125" s="3562"/>
      <c r="EW125" s="3547">
        <f t="shared" si="210"/>
        <v>0</v>
      </c>
      <c r="EX125" s="3568"/>
      <c r="EY125" s="3569"/>
      <c r="EZ125" s="3562"/>
      <c r="FA125" s="3547">
        <f t="shared" si="211"/>
        <v>0</v>
      </c>
      <c r="FB125" s="3568"/>
      <c r="FC125" s="3569"/>
      <c r="FD125" s="3562"/>
      <c r="FE125" s="3547">
        <f t="shared" si="212"/>
        <v>0</v>
      </c>
      <c r="FF125" s="3568"/>
      <c r="FG125" s="3569"/>
      <c r="FH125" s="3562"/>
      <c r="FI125" s="3547">
        <f t="shared" si="213"/>
        <v>0</v>
      </c>
      <c r="FJ125" s="3568"/>
      <c r="FK125" s="3569"/>
      <c r="FL125" s="3562"/>
      <c r="FM125" s="3547">
        <f t="shared" si="214"/>
        <v>0</v>
      </c>
      <c r="FN125" s="3568"/>
      <c r="FO125" s="3569"/>
      <c r="FP125" s="3562"/>
      <c r="FQ125" s="3547">
        <f t="shared" si="215"/>
        <v>0</v>
      </c>
      <c r="FR125" s="3568">
        <v>8087.3571428571404</v>
      </c>
      <c r="FS125" s="3569"/>
      <c r="FT125" s="3562"/>
      <c r="FU125" s="3547">
        <f t="shared" si="216"/>
        <v>-8087.3571428571404</v>
      </c>
      <c r="FV125" s="3568">
        <v>1286.10849056604</v>
      </c>
      <c r="FW125" s="3569"/>
      <c r="FX125" s="3562"/>
      <c r="FY125" s="3547">
        <f t="shared" si="217"/>
        <v>-1286.10849056604</v>
      </c>
      <c r="FZ125" s="3568">
        <v>8087.3571428571404</v>
      </c>
      <c r="GA125" s="3569"/>
      <c r="GB125" s="3562"/>
      <c r="GC125" s="3547">
        <f t="shared" si="218"/>
        <v>-8087.3571428571404</v>
      </c>
      <c r="GD125" s="3568">
        <v>1286.10849056604</v>
      </c>
      <c r="GE125" s="3569"/>
      <c r="GF125" s="3562"/>
      <c r="GG125" s="3547">
        <f t="shared" si="219"/>
        <v>-1286.10849056604</v>
      </c>
      <c r="GH125" s="3568">
        <v>8087.3571428571404</v>
      </c>
      <c r="GI125" s="3569"/>
      <c r="GJ125" s="3562"/>
      <c r="GK125" s="3547">
        <f t="shared" si="181"/>
        <v>-8087.3571428571404</v>
      </c>
      <c r="GL125" s="3568">
        <v>1286.10849056604</v>
      </c>
      <c r="GM125" s="3569"/>
      <c r="GN125" s="3562"/>
      <c r="GO125" s="3547">
        <f t="shared" si="182"/>
        <v>-1286.10849056604</v>
      </c>
      <c r="GP125" s="3568">
        <v>8087.3571428571404</v>
      </c>
      <c r="GQ125" s="3569"/>
      <c r="GR125" s="3562"/>
      <c r="GS125" s="3547">
        <f t="shared" si="183"/>
        <v>-8087.3571428571404</v>
      </c>
      <c r="GT125" s="3568">
        <v>1286.10849056604</v>
      </c>
      <c r="GU125" s="3569"/>
      <c r="GV125" s="3562"/>
      <c r="GW125" s="3547">
        <f t="shared" si="184"/>
        <v>-1286.10849056604</v>
      </c>
      <c r="GX125" s="3568">
        <v>8087.3571428571404</v>
      </c>
      <c r="GY125" s="3569"/>
      <c r="GZ125" s="3562"/>
      <c r="HA125" s="3547">
        <f t="shared" si="185"/>
        <v>-8087.3571428571404</v>
      </c>
      <c r="HB125" s="3568">
        <v>1286.10849056604</v>
      </c>
      <c r="HC125" s="3569"/>
      <c r="HD125" s="3562"/>
      <c r="HE125" s="3547">
        <f t="shared" si="186"/>
        <v>-1286.10849056604</v>
      </c>
      <c r="HF125" s="3568">
        <v>8087.3571428571404</v>
      </c>
      <c r="HG125" s="3569"/>
      <c r="HH125" s="3562"/>
      <c r="HI125" s="3547">
        <f t="shared" si="224"/>
        <v>-8087.3571428571404</v>
      </c>
      <c r="HJ125" s="3568">
        <v>1286.10849056604</v>
      </c>
      <c r="HK125" s="3569"/>
      <c r="HL125" s="3562"/>
      <c r="HM125" s="3547">
        <f t="shared" si="220"/>
        <v>-1286.10849056604</v>
      </c>
      <c r="HN125" s="3568">
        <v>8087.3571428571404</v>
      </c>
      <c r="HO125" s="3569"/>
      <c r="HP125" s="3562"/>
      <c r="HQ125" s="3547">
        <f t="shared" si="225"/>
        <v>-8087.3571428571404</v>
      </c>
      <c r="HR125" s="3568">
        <v>1286.10849056604</v>
      </c>
      <c r="HS125" s="3569"/>
      <c r="HT125" s="3562"/>
      <c r="HU125" s="3547">
        <f t="shared" si="221"/>
        <v>-1286.10849056604</v>
      </c>
      <c r="HV125" s="3568">
        <v>8087.3571428571404</v>
      </c>
      <c r="HW125" s="3569"/>
      <c r="HX125" s="3562"/>
      <c r="HY125" s="3547">
        <f t="shared" si="226"/>
        <v>-8087.3571428571404</v>
      </c>
      <c r="HZ125" s="3568">
        <v>1286.10849056604</v>
      </c>
      <c r="IA125" s="3569"/>
      <c r="IB125" s="3562"/>
      <c r="IC125" s="3547">
        <f t="shared" si="222"/>
        <v>-1286.10849056604</v>
      </c>
      <c r="ID125" s="3568">
        <v>8087.3571428571404</v>
      </c>
      <c r="IE125" s="3569"/>
      <c r="IF125" s="3562"/>
      <c r="IG125" s="3547">
        <f t="shared" si="227"/>
        <v>-8087.3571428571404</v>
      </c>
      <c r="IH125" s="3568">
        <v>1286.10849056604</v>
      </c>
      <c r="II125" s="3569"/>
      <c r="IJ125" s="3562"/>
      <c r="IK125" s="3547">
        <f t="shared" si="223"/>
        <v>-1286.10849056604</v>
      </c>
      <c r="IL125" s="3570"/>
      <c r="IM125" s="3569"/>
      <c r="IN125" s="3569"/>
      <c r="IO125" s="3570"/>
      <c r="IP125" s="3560">
        <f t="shared" si="195"/>
        <v>0</v>
      </c>
      <c r="IQ125" s="3568"/>
      <c r="IR125" s="3568"/>
      <c r="IS125" s="3568"/>
      <c r="IT125" s="3568"/>
      <c r="IU125" s="3568"/>
      <c r="IV125" s="3568"/>
      <c r="IW125" s="3568"/>
      <c r="IX125" s="3568"/>
      <c r="IY125" s="3568"/>
      <c r="IZ125" s="3562"/>
      <c r="JA125" s="3562"/>
      <c r="JB125" s="3562"/>
      <c r="JC125" s="3560">
        <f t="shared" si="134"/>
        <v>0</v>
      </c>
      <c r="JD125" s="3570"/>
      <c r="JE125" s="3568"/>
      <c r="JF125" s="3568"/>
      <c r="JG125" s="3568"/>
      <c r="JH125" s="3568"/>
      <c r="JI125" s="3568"/>
      <c r="JJ125" s="3568"/>
      <c r="JK125" s="3568"/>
      <c r="JL125" s="3568"/>
      <c r="JM125" s="3568"/>
      <c r="JN125" s="3562"/>
      <c r="JO125" s="3562"/>
      <c r="JP125" s="3570"/>
      <c r="JQ125" s="3583"/>
      <c r="JR125" s="3583"/>
      <c r="JS125" s="3573">
        <f t="shared" si="145"/>
        <v>0</v>
      </c>
      <c r="JT125" s="3573">
        <f t="shared" si="152"/>
        <v>0</v>
      </c>
      <c r="JU125" s="3574">
        <f t="shared" si="146"/>
        <v>0</v>
      </c>
      <c r="JV125" s="3574">
        <f t="shared" si="147"/>
        <v>0</v>
      </c>
      <c r="JW125" s="3575"/>
      <c r="JX125" s="3576">
        <f t="shared" si="148"/>
        <v>0</v>
      </c>
      <c r="JY125" s="3576">
        <f t="shared" si="149"/>
        <v>0</v>
      </c>
      <c r="JZ125" s="3577"/>
      <c r="KA125" s="3573">
        <f t="shared" si="234"/>
        <v>-9373.4656334231804</v>
      </c>
      <c r="KB125" s="3573"/>
      <c r="KC125" s="3573"/>
      <c r="KD125" s="3573">
        <f t="shared" si="150"/>
        <v>-9373.4656334231804</v>
      </c>
      <c r="KE125" s="3578" t="s">
        <v>3765</v>
      </c>
      <c r="KF125" s="3579"/>
      <c r="KG125" s="3579"/>
      <c r="KH125" s="3579"/>
      <c r="KI125" s="3579"/>
      <c r="KJ125" s="3579"/>
      <c r="KK125" s="3579"/>
      <c r="KL125" s="3579">
        <f>-9373.47/10000*6</f>
        <v>-5.6240819999999996</v>
      </c>
      <c r="KM125" s="3579"/>
      <c r="KN125" s="3579"/>
      <c r="KO125" s="3579"/>
      <c r="KP125" s="3579"/>
      <c r="KQ125" s="3579">
        <f t="shared" si="151"/>
        <v>-5.6240819999999996</v>
      </c>
      <c r="KR125" s="3579">
        <f t="shared" si="196"/>
        <v>2.6199460911868755E-6</v>
      </c>
      <c r="KS125" s="3577"/>
      <c r="KT125" s="3577"/>
      <c r="KU125" s="3577"/>
      <c r="KV125" s="3577"/>
      <c r="KW125" s="3577"/>
      <c r="KX125" s="3577"/>
      <c r="KY125" s="3577"/>
      <c r="KZ125" s="3577"/>
      <c r="LA125" s="3577"/>
      <c r="LB125" s="3577"/>
      <c r="LC125" s="3577"/>
      <c r="LD125" s="3577"/>
      <c r="LE125" s="3577"/>
      <c r="LF125" s="3577"/>
      <c r="LG125" s="3577"/>
      <c r="LH125" s="3577"/>
      <c r="LJ125" s="3575"/>
      <c r="LK125" s="3626">
        <v>12</v>
      </c>
      <c r="LL125" s="3627">
        <v>18510.98</v>
      </c>
      <c r="LM125" s="3580" t="s">
        <v>3972</v>
      </c>
    </row>
    <row r="126" spans="1:325" s="3580" customFormat="1" ht="18" customHeight="1">
      <c r="A126" s="3545">
        <v>123</v>
      </c>
      <c r="B126" s="3546" t="s">
        <v>4818</v>
      </c>
      <c r="C126" s="3546" t="s">
        <v>4860</v>
      </c>
      <c r="D126" s="3547">
        <v>53</v>
      </c>
      <c r="E126" s="3548" t="s">
        <v>3789</v>
      </c>
      <c r="F126" s="3546" t="s">
        <v>3790</v>
      </c>
      <c r="G126" s="3546"/>
      <c r="H126" s="3546"/>
      <c r="I126" s="3634"/>
      <c r="J126" s="3634"/>
      <c r="K126" s="3545" t="s">
        <v>4861</v>
      </c>
      <c r="L126" s="3555"/>
      <c r="M126" s="3551"/>
      <c r="N126" s="3551"/>
      <c r="O126" s="3551">
        <f t="shared" si="135"/>
        <v>0</v>
      </c>
      <c r="P126" s="3547"/>
      <c r="Q126" s="3547"/>
      <c r="R126" s="3547">
        <f t="shared" si="235"/>
        <v>0</v>
      </c>
      <c r="S126" s="3547">
        <f t="shared" si="232"/>
        <v>0</v>
      </c>
      <c r="T126" s="3658"/>
      <c r="U126" s="3553">
        <f t="shared" si="136"/>
        <v>0</v>
      </c>
      <c r="V126" s="3547"/>
      <c r="W126" s="3547">
        <f t="shared" si="233"/>
        <v>0</v>
      </c>
      <c r="X126" s="3693"/>
      <c r="Y126" s="3547">
        <f t="shared" si="198"/>
        <v>0</v>
      </c>
      <c r="Z126" s="3554"/>
      <c r="AA126" s="3555"/>
      <c r="AB126" s="3593"/>
      <c r="AC126" s="3556">
        <f t="shared" si="138"/>
        <v>0</v>
      </c>
      <c r="AD126" s="3556">
        <f t="shared" si="228"/>
        <v>0</v>
      </c>
      <c r="AE126" s="3556">
        <f t="shared" si="228"/>
        <v>0</v>
      </c>
      <c r="AF126" s="3556">
        <f t="shared" si="140"/>
        <v>0</v>
      </c>
      <c r="AG126" s="3556"/>
      <c r="AH126" s="3557">
        <f t="shared" si="141"/>
        <v>0</v>
      </c>
      <c r="AI126" s="3558">
        <f t="shared" si="229"/>
        <v>0</v>
      </c>
      <c r="AJ126" s="3558">
        <f t="shared" si="229"/>
        <v>0</v>
      </c>
      <c r="AK126" s="3557">
        <f t="shared" si="159"/>
        <v>0</v>
      </c>
      <c r="AL126" s="3557"/>
      <c r="AM126" s="3547"/>
      <c r="AN126" s="3609"/>
      <c r="AO126" s="3562"/>
      <c r="AP126" s="3561">
        <f t="shared" si="199"/>
        <v>0</v>
      </c>
      <c r="AQ126" s="3559"/>
      <c r="AR126" s="3562"/>
      <c r="AS126" s="3561">
        <f t="shared" si="200"/>
        <v>0</v>
      </c>
      <c r="AT126" s="3686" t="s">
        <v>4862</v>
      </c>
      <c r="AU126" s="3547"/>
      <c r="AV126" s="3609"/>
      <c r="AW126" s="3562"/>
      <c r="AX126" s="3561">
        <f t="shared" si="201"/>
        <v>0</v>
      </c>
      <c r="AY126" s="3559"/>
      <c r="AZ126" s="3562"/>
      <c r="BA126" s="3561">
        <f t="shared" si="202"/>
        <v>0</v>
      </c>
      <c r="BB126" s="3686" t="s">
        <v>4862</v>
      </c>
      <c r="BC126" s="3547"/>
      <c r="BD126" s="3609"/>
      <c r="BE126" s="3562"/>
      <c r="BF126" s="3561">
        <f t="shared" si="203"/>
        <v>0</v>
      </c>
      <c r="BG126" s="3559"/>
      <c r="BH126" s="3562"/>
      <c r="BI126" s="3561">
        <f t="shared" si="204"/>
        <v>0</v>
      </c>
      <c r="BJ126" s="3686" t="s">
        <v>4862</v>
      </c>
      <c r="BK126" s="3547"/>
      <c r="BL126" s="3609"/>
      <c r="BM126" s="3562"/>
      <c r="BN126" s="3561">
        <f t="shared" si="205"/>
        <v>0</v>
      </c>
      <c r="BO126" s="3559"/>
      <c r="BP126" s="3562"/>
      <c r="BQ126" s="3561">
        <f t="shared" si="206"/>
        <v>0</v>
      </c>
      <c r="BR126" s="3686" t="s">
        <v>4862</v>
      </c>
      <c r="BS126" s="3547"/>
      <c r="BT126" s="3559"/>
      <c r="BU126" s="3562"/>
      <c r="BV126" s="3561">
        <f t="shared" si="207"/>
        <v>0</v>
      </c>
      <c r="BW126" s="3559"/>
      <c r="BX126" s="3562"/>
      <c r="BY126" s="3561">
        <f t="shared" si="208"/>
        <v>0</v>
      </c>
      <c r="BZ126" s="3686" t="s">
        <v>4862</v>
      </c>
      <c r="CA126" s="3547"/>
      <c r="CB126" s="3621"/>
      <c r="CC126" s="3603"/>
      <c r="CD126" s="3602">
        <f t="shared" si="164"/>
        <v>0</v>
      </c>
      <c r="CE126" s="3604"/>
      <c r="CF126" s="3562"/>
      <c r="CG126" s="3561">
        <f t="shared" si="165"/>
        <v>0</v>
      </c>
      <c r="CH126" s="3686" t="s">
        <v>4862</v>
      </c>
      <c r="CI126" s="3547"/>
      <c r="CJ126" s="3609"/>
      <c r="CK126" s="3562"/>
      <c r="CL126" s="3561">
        <f t="shared" si="133"/>
        <v>0</v>
      </c>
      <c r="CM126" s="3559"/>
      <c r="CN126" s="3562"/>
      <c r="CO126" s="3561">
        <f t="shared" si="166"/>
        <v>0</v>
      </c>
      <c r="CP126" s="3696" t="s">
        <v>4862</v>
      </c>
      <c r="CQ126" s="3547"/>
      <c r="CR126" s="3609"/>
      <c r="CS126" s="3603"/>
      <c r="CT126" s="3561">
        <f t="shared" si="167"/>
        <v>0</v>
      </c>
      <c r="CU126" s="3559"/>
      <c r="CV126" s="3562"/>
      <c r="CW126" s="3561">
        <f t="shared" si="168"/>
        <v>0</v>
      </c>
      <c r="CX126" s="3696" t="s">
        <v>4862</v>
      </c>
      <c r="CY126" s="3547"/>
      <c r="CZ126" s="3609"/>
      <c r="DA126" s="3562"/>
      <c r="DB126" s="3561">
        <f t="shared" si="169"/>
        <v>0</v>
      </c>
      <c r="DC126" s="3559"/>
      <c r="DD126" s="3562"/>
      <c r="DE126" s="3561">
        <f t="shared" si="170"/>
        <v>0</v>
      </c>
      <c r="DF126" s="3696" t="s">
        <v>4862</v>
      </c>
      <c r="DG126" s="3547"/>
      <c r="DH126" s="3609"/>
      <c r="DI126" s="3562"/>
      <c r="DJ126" s="3561">
        <f t="shared" si="171"/>
        <v>0</v>
      </c>
      <c r="DK126" s="3559"/>
      <c r="DL126" s="3562"/>
      <c r="DM126" s="3561">
        <f t="shared" si="172"/>
        <v>0</v>
      </c>
      <c r="DN126" s="3563"/>
      <c r="DO126" s="3547"/>
      <c r="DP126" s="3609"/>
      <c r="DQ126" s="3562"/>
      <c r="DR126" s="3561">
        <f t="shared" si="173"/>
        <v>0</v>
      </c>
      <c r="DS126" s="3559"/>
      <c r="DT126" s="3562"/>
      <c r="DU126" s="3561">
        <f t="shared" si="209"/>
        <v>0</v>
      </c>
      <c r="DV126" s="3563"/>
      <c r="DW126" s="3547"/>
      <c r="DX126" s="3609"/>
      <c r="DY126" s="3562"/>
      <c r="DZ126" s="3561">
        <f t="shared" si="175"/>
        <v>0</v>
      </c>
      <c r="EA126" s="3559"/>
      <c r="EB126" s="3562"/>
      <c r="EC126" s="3561">
        <f t="shared" si="176"/>
        <v>0</v>
      </c>
      <c r="ED126" s="3563"/>
      <c r="EF126" s="3565">
        <f t="shared" si="153"/>
        <v>0</v>
      </c>
      <c r="EG126" s="3565">
        <f t="shared" si="230"/>
        <v>0</v>
      </c>
      <c r="EH126" s="3565">
        <f t="shared" si="230"/>
        <v>0</v>
      </c>
      <c r="EI126" s="3565">
        <f t="shared" si="230"/>
        <v>0</v>
      </c>
      <c r="EJ126" s="3565">
        <f t="shared" si="154"/>
        <v>0</v>
      </c>
      <c r="EK126" s="3566">
        <f t="shared" si="155"/>
        <v>0</v>
      </c>
      <c r="EL126" s="3610"/>
      <c r="EM126" s="3567">
        <f t="shared" si="156"/>
        <v>0</v>
      </c>
      <c r="EN126" s="3557">
        <f t="shared" si="231"/>
        <v>0</v>
      </c>
      <c r="EO126" s="3557">
        <f t="shared" si="231"/>
        <v>0</v>
      </c>
      <c r="EP126" s="3557">
        <f t="shared" si="231"/>
        <v>0</v>
      </c>
      <c r="EQ126" s="3557">
        <f t="shared" si="157"/>
        <v>0</v>
      </c>
      <c r="ER126" s="3557">
        <f t="shared" si="158"/>
        <v>0</v>
      </c>
      <c r="ES126" s="3557"/>
      <c r="ET126" s="3568"/>
      <c r="EU126" s="3569"/>
      <c r="EV126" s="3562"/>
      <c r="EW126" s="3547">
        <f t="shared" si="210"/>
        <v>0</v>
      </c>
      <c r="EX126" s="3568"/>
      <c r="EY126" s="3569"/>
      <c r="EZ126" s="3562"/>
      <c r="FA126" s="3547">
        <f t="shared" si="211"/>
        <v>0</v>
      </c>
      <c r="FB126" s="3568"/>
      <c r="FC126" s="3569"/>
      <c r="FD126" s="3562"/>
      <c r="FE126" s="3547">
        <f t="shared" si="212"/>
        <v>0</v>
      </c>
      <c r="FF126" s="3568"/>
      <c r="FG126" s="3569"/>
      <c r="FH126" s="3562"/>
      <c r="FI126" s="3547">
        <f t="shared" si="213"/>
        <v>0</v>
      </c>
      <c r="FJ126" s="3568"/>
      <c r="FK126" s="3569"/>
      <c r="FL126" s="3562"/>
      <c r="FM126" s="3547">
        <f t="shared" si="214"/>
        <v>0</v>
      </c>
      <c r="FN126" s="3568"/>
      <c r="FO126" s="3569"/>
      <c r="FP126" s="3562"/>
      <c r="FQ126" s="3547">
        <f t="shared" si="215"/>
        <v>0</v>
      </c>
      <c r="FR126" s="3568"/>
      <c r="FS126" s="3569"/>
      <c r="FT126" s="3562"/>
      <c r="FU126" s="3547">
        <f t="shared" si="216"/>
        <v>0</v>
      </c>
      <c r="FV126" s="3568"/>
      <c r="FW126" s="3569"/>
      <c r="FX126" s="3562"/>
      <c r="FY126" s="3547">
        <f t="shared" si="217"/>
        <v>0</v>
      </c>
      <c r="FZ126" s="3568"/>
      <c r="GA126" s="3569"/>
      <c r="GB126" s="3562"/>
      <c r="GC126" s="3547">
        <f t="shared" si="218"/>
        <v>0</v>
      </c>
      <c r="GD126" s="3568"/>
      <c r="GE126" s="3569"/>
      <c r="GF126" s="3562"/>
      <c r="GG126" s="3547">
        <f t="shared" si="219"/>
        <v>0</v>
      </c>
      <c r="GH126" s="3568"/>
      <c r="GI126" s="3569"/>
      <c r="GJ126" s="3562"/>
      <c r="GK126" s="3547">
        <f t="shared" si="181"/>
        <v>0</v>
      </c>
      <c r="GL126" s="3568"/>
      <c r="GM126" s="3569"/>
      <c r="GN126" s="3562"/>
      <c r="GO126" s="3547">
        <f t="shared" si="182"/>
        <v>0</v>
      </c>
      <c r="GP126" s="3568"/>
      <c r="GQ126" s="3569"/>
      <c r="GR126" s="3562"/>
      <c r="GS126" s="3547">
        <f t="shared" si="183"/>
        <v>0</v>
      </c>
      <c r="GT126" s="3568"/>
      <c r="GU126" s="3569"/>
      <c r="GV126" s="3562"/>
      <c r="GW126" s="3547">
        <f t="shared" si="184"/>
        <v>0</v>
      </c>
      <c r="GX126" s="3568"/>
      <c r="GY126" s="3569"/>
      <c r="GZ126" s="3562"/>
      <c r="HA126" s="3547">
        <f t="shared" si="185"/>
        <v>0</v>
      </c>
      <c r="HB126" s="3568"/>
      <c r="HC126" s="3569"/>
      <c r="HD126" s="3562"/>
      <c r="HE126" s="3547">
        <f t="shared" si="186"/>
        <v>0</v>
      </c>
      <c r="HF126" s="3568"/>
      <c r="HG126" s="3569"/>
      <c r="HH126" s="3562"/>
      <c r="HI126" s="3547">
        <f t="shared" si="224"/>
        <v>0</v>
      </c>
      <c r="HJ126" s="3568"/>
      <c r="HK126" s="3569"/>
      <c r="HL126" s="3562"/>
      <c r="HM126" s="3547">
        <f t="shared" si="220"/>
        <v>0</v>
      </c>
      <c r="HN126" s="3568"/>
      <c r="HO126" s="3569"/>
      <c r="HP126" s="3562"/>
      <c r="HQ126" s="3547">
        <f t="shared" si="225"/>
        <v>0</v>
      </c>
      <c r="HR126" s="3568"/>
      <c r="HS126" s="3569"/>
      <c r="HT126" s="3562"/>
      <c r="HU126" s="3547">
        <f t="shared" si="221"/>
        <v>0</v>
      </c>
      <c r="HV126" s="3568"/>
      <c r="HW126" s="3569"/>
      <c r="HX126" s="3562"/>
      <c r="HY126" s="3547">
        <f t="shared" si="226"/>
        <v>0</v>
      </c>
      <c r="HZ126" s="3568"/>
      <c r="IA126" s="3569"/>
      <c r="IB126" s="3562"/>
      <c r="IC126" s="3547">
        <f t="shared" si="222"/>
        <v>0</v>
      </c>
      <c r="ID126" s="3568"/>
      <c r="IE126" s="3569"/>
      <c r="IF126" s="3562"/>
      <c r="IG126" s="3547">
        <f t="shared" si="227"/>
        <v>0</v>
      </c>
      <c r="IH126" s="3568"/>
      <c r="II126" s="3569"/>
      <c r="IJ126" s="3562"/>
      <c r="IK126" s="3547">
        <f t="shared" si="223"/>
        <v>0</v>
      </c>
      <c r="IL126" s="3570"/>
      <c r="IM126" s="3569"/>
      <c r="IN126" s="3569"/>
      <c r="IO126" s="3571"/>
      <c r="IP126" s="3560">
        <f t="shared" si="195"/>
        <v>0</v>
      </c>
      <c r="IQ126" s="3568"/>
      <c r="IR126" s="3568"/>
      <c r="IS126" s="3568"/>
      <c r="IT126" s="3568"/>
      <c r="IU126" s="3568"/>
      <c r="IV126" s="3568"/>
      <c r="IW126" s="3568"/>
      <c r="IX126" s="3568"/>
      <c r="IY126" s="3568"/>
      <c r="IZ126" s="3560"/>
      <c r="JA126" s="3560"/>
      <c r="JB126" s="3560"/>
      <c r="JC126" s="3560">
        <f t="shared" si="134"/>
        <v>0</v>
      </c>
      <c r="JD126" s="3571"/>
      <c r="JE126" s="3568"/>
      <c r="JF126" s="3568"/>
      <c r="JG126" s="3568"/>
      <c r="JH126" s="3568"/>
      <c r="JI126" s="3568"/>
      <c r="JJ126" s="3568"/>
      <c r="JK126" s="3568"/>
      <c r="JL126" s="3568"/>
      <c r="JM126" s="3568"/>
      <c r="JN126" s="3560"/>
      <c r="JO126" s="3560"/>
      <c r="JP126" s="3570"/>
      <c r="JQ126" s="3583"/>
      <c r="JR126" s="3583"/>
      <c r="JS126" s="3573">
        <f t="shared" si="145"/>
        <v>0</v>
      </c>
      <c r="JT126" s="3573">
        <f t="shared" si="152"/>
        <v>0</v>
      </c>
      <c r="JU126" s="3574">
        <f t="shared" si="146"/>
        <v>0</v>
      </c>
      <c r="JV126" s="3574">
        <f t="shared" si="147"/>
        <v>0</v>
      </c>
      <c r="JW126" s="3575"/>
      <c r="JX126" s="3576">
        <f t="shared" si="148"/>
        <v>0</v>
      </c>
      <c r="JY126" s="3576">
        <f t="shared" si="149"/>
        <v>0</v>
      </c>
      <c r="JZ126" s="3577"/>
      <c r="KA126" s="3573">
        <f t="shared" si="234"/>
        <v>0</v>
      </c>
      <c r="KB126" s="3573"/>
      <c r="KC126" s="3573"/>
      <c r="KD126" s="3573">
        <f t="shared" si="150"/>
        <v>0</v>
      </c>
      <c r="KE126" s="3571"/>
      <c r="KF126" s="3579"/>
      <c r="KG126" s="3579"/>
      <c r="KH126" s="3579"/>
      <c r="KI126" s="3579"/>
      <c r="KJ126" s="3579"/>
      <c r="KK126" s="3579"/>
      <c r="KL126" s="3579"/>
      <c r="KM126" s="3579"/>
      <c r="KN126" s="3579"/>
      <c r="KO126" s="3579"/>
      <c r="KP126" s="3579"/>
      <c r="KQ126" s="3579">
        <f t="shared" si="151"/>
        <v>0</v>
      </c>
      <c r="KR126" s="3579">
        <f t="shared" si="196"/>
        <v>0</v>
      </c>
      <c r="KS126" s="3577"/>
      <c r="KT126" s="3577"/>
      <c r="KU126" s="3577"/>
      <c r="KV126" s="3577"/>
      <c r="KW126" s="3577"/>
      <c r="KX126" s="3577"/>
      <c r="KY126" s="3577"/>
      <c r="KZ126" s="3577"/>
      <c r="LA126" s="3577"/>
      <c r="LB126" s="3577"/>
      <c r="LC126" s="3577"/>
      <c r="LD126" s="3577"/>
      <c r="LE126" s="3577"/>
      <c r="LF126" s="3577"/>
      <c r="LG126" s="3577"/>
      <c r="LH126" s="3577"/>
      <c r="LJ126" s="3575"/>
      <c r="LK126" s="3571"/>
      <c r="LL126" s="3576"/>
    </row>
    <row r="127" spans="1:325" s="3580" customFormat="1" ht="18" customHeight="1">
      <c r="A127" s="3545">
        <v>124</v>
      </c>
      <c r="B127" s="3546" t="s">
        <v>4818</v>
      </c>
      <c r="C127" s="3694" t="s">
        <v>4863</v>
      </c>
      <c r="D127" s="3695">
        <f>100+33.85</f>
        <v>133.85</v>
      </c>
      <c r="E127" s="3548" t="s">
        <v>3799</v>
      </c>
      <c r="F127" s="3546" t="s">
        <v>3790</v>
      </c>
      <c r="G127" s="3546" t="s">
        <v>4864</v>
      </c>
      <c r="H127" s="3546" t="s">
        <v>4865</v>
      </c>
      <c r="I127" s="3594" t="s">
        <v>4040</v>
      </c>
      <c r="J127" s="3594" t="s">
        <v>4041</v>
      </c>
      <c r="K127" s="3545" t="s">
        <v>3991</v>
      </c>
      <c r="L127" s="3555"/>
      <c r="M127" s="3551">
        <v>124214.46</v>
      </c>
      <c r="N127" s="3551">
        <v>124214.46</v>
      </c>
      <c r="O127" s="3551">
        <f t="shared" si="135"/>
        <v>0</v>
      </c>
      <c r="P127" s="3547">
        <v>10137.450000000001</v>
      </c>
      <c r="Q127" s="3547">
        <v>10137.450000000001</v>
      </c>
      <c r="R127" s="3547">
        <f t="shared" si="235"/>
        <v>0</v>
      </c>
      <c r="S127" s="3547">
        <f t="shared" si="232"/>
        <v>10.169998925396964</v>
      </c>
      <c r="T127" s="3658">
        <v>41404.82</v>
      </c>
      <c r="U127" s="3553">
        <f t="shared" si="136"/>
        <v>496857.83999999997</v>
      </c>
      <c r="V127" s="3547">
        <f>T127*12*2</f>
        <v>993715.67999999993</v>
      </c>
      <c r="W127" s="3547">
        <f t="shared" si="233"/>
        <v>0.82999882305381723</v>
      </c>
      <c r="X127" s="3547">
        <v>3379.15</v>
      </c>
      <c r="Y127" s="3547">
        <f t="shared" si="198"/>
        <v>40549.800000000003</v>
      </c>
      <c r="Z127" s="3554"/>
      <c r="AA127" s="3555"/>
      <c r="AB127" s="3680" t="s">
        <v>3804</v>
      </c>
      <c r="AC127" s="3556">
        <f t="shared" si="138"/>
        <v>496857.83999999997</v>
      </c>
      <c r="AD127" s="3556">
        <f t="shared" si="228"/>
        <v>372643.38</v>
      </c>
      <c r="AE127" s="3556">
        <f t="shared" si="228"/>
        <v>372643.38</v>
      </c>
      <c r="AF127" s="3556">
        <f t="shared" si="140"/>
        <v>0</v>
      </c>
      <c r="AG127" s="3556"/>
      <c r="AH127" s="3557">
        <f t="shared" si="141"/>
        <v>40549.800000000003</v>
      </c>
      <c r="AI127" s="3558">
        <f t="shared" si="229"/>
        <v>30412.350000000002</v>
      </c>
      <c r="AJ127" s="3558">
        <f t="shared" si="229"/>
        <v>30412.350000000002</v>
      </c>
      <c r="AK127" s="3557">
        <f t="shared" si="159"/>
        <v>0</v>
      </c>
      <c r="AL127" s="3557"/>
      <c r="AM127" s="3547"/>
      <c r="AN127" s="3609"/>
      <c r="AO127" s="3562"/>
      <c r="AP127" s="3561">
        <f t="shared" si="199"/>
        <v>0</v>
      </c>
      <c r="AQ127" s="3559"/>
      <c r="AR127" s="3562"/>
      <c r="AS127" s="3561">
        <f t="shared" si="200"/>
        <v>0</v>
      </c>
      <c r="AT127" s="3563" t="s">
        <v>4866</v>
      </c>
      <c r="AU127" s="3547"/>
      <c r="AV127" s="3609"/>
      <c r="AW127" s="3562">
        <v>124214.46</v>
      </c>
      <c r="AX127" s="3561">
        <f t="shared" si="201"/>
        <v>124214.46</v>
      </c>
      <c r="AY127" s="3559"/>
      <c r="AZ127" s="3624">
        <v>10137.450000000001</v>
      </c>
      <c r="BA127" s="3561">
        <f t="shared" si="202"/>
        <v>10137.450000000001</v>
      </c>
      <c r="BB127" s="3589" t="s">
        <v>4867</v>
      </c>
      <c r="BC127" s="3547" t="s">
        <v>4087</v>
      </c>
      <c r="BD127" s="3609">
        <f>3*41404.82</f>
        <v>124214.45999999999</v>
      </c>
      <c r="BE127" s="3562"/>
      <c r="BF127" s="3561">
        <f t="shared" si="203"/>
        <v>-124214.45999999999</v>
      </c>
      <c r="BG127" s="3559">
        <f>3*3379.15</f>
        <v>10137.450000000001</v>
      </c>
      <c r="BH127" s="3562"/>
      <c r="BI127" s="3561">
        <f t="shared" si="204"/>
        <v>-10137.450000000001</v>
      </c>
      <c r="BJ127" s="3589" t="s">
        <v>4867</v>
      </c>
      <c r="BK127" s="3547"/>
      <c r="BL127" s="3609"/>
      <c r="BM127" s="3562"/>
      <c r="BN127" s="3561">
        <f t="shared" si="205"/>
        <v>0</v>
      </c>
      <c r="BO127" s="3559"/>
      <c r="BP127" s="3562"/>
      <c r="BQ127" s="3561">
        <f t="shared" si="206"/>
        <v>0</v>
      </c>
      <c r="BR127" s="3589" t="s">
        <v>4867</v>
      </c>
      <c r="BS127" s="3547"/>
      <c r="BT127" s="3559"/>
      <c r="BU127" s="3562">
        <v>124214.46</v>
      </c>
      <c r="BV127" s="3561">
        <f t="shared" si="207"/>
        <v>124214.46</v>
      </c>
      <c r="BW127" s="3559"/>
      <c r="BX127" s="3562">
        <v>10137.450000000001</v>
      </c>
      <c r="BY127" s="3561">
        <f t="shared" si="208"/>
        <v>10137.450000000001</v>
      </c>
      <c r="BZ127" s="3589" t="s">
        <v>4868</v>
      </c>
      <c r="CA127" s="3547" t="s">
        <v>4089</v>
      </c>
      <c r="CB127" s="3621">
        <f>3*41404.82</f>
        <v>124214.45999999999</v>
      </c>
      <c r="CC127" s="3603"/>
      <c r="CD127" s="3602">
        <f t="shared" si="164"/>
        <v>-124214.45999999999</v>
      </c>
      <c r="CE127" s="3604">
        <f>3*3379.15</f>
        <v>10137.450000000001</v>
      </c>
      <c r="CF127" s="3562"/>
      <c r="CG127" s="3561">
        <f t="shared" si="165"/>
        <v>-10137.450000000001</v>
      </c>
      <c r="CH127" s="3589" t="s">
        <v>4868</v>
      </c>
      <c r="CI127" s="3547"/>
      <c r="CJ127" s="3609"/>
      <c r="CK127" s="3562"/>
      <c r="CL127" s="3561">
        <f t="shared" si="133"/>
        <v>0</v>
      </c>
      <c r="CM127" s="3559"/>
      <c r="CN127" s="3562"/>
      <c r="CO127" s="3561">
        <f t="shared" si="166"/>
        <v>0</v>
      </c>
      <c r="CP127" s="3630" t="s">
        <v>4868</v>
      </c>
      <c r="CQ127" s="3547"/>
      <c r="CR127" s="3609"/>
      <c r="CS127" s="3562">
        <v>124214.46</v>
      </c>
      <c r="CT127" s="3561">
        <f t="shared" si="167"/>
        <v>124214.46</v>
      </c>
      <c r="CU127" s="3559"/>
      <c r="CV127" s="3603">
        <v>10137.450000000001</v>
      </c>
      <c r="CW127" s="3561">
        <f t="shared" si="168"/>
        <v>10137.450000000001</v>
      </c>
      <c r="CX127" s="3589" t="s">
        <v>4869</v>
      </c>
      <c r="CY127" s="3547" t="s">
        <v>4091</v>
      </c>
      <c r="CZ127" s="3609">
        <f>3*41404.82</f>
        <v>124214.45999999999</v>
      </c>
      <c r="DA127" s="3562"/>
      <c r="DB127" s="3561">
        <f t="shared" si="169"/>
        <v>-124214.45999999999</v>
      </c>
      <c r="DC127" s="3559">
        <f>3*3379.15</f>
        <v>10137.450000000001</v>
      </c>
      <c r="DD127" s="3562"/>
      <c r="DE127" s="3561">
        <f t="shared" si="170"/>
        <v>-10137.450000000001</v>
      </c>
      <c r="DF127" s="3589" t="s">
        <v>4869</v>
      </c>
      <c r="DG127" s="3547"/>
      <c r="DH127" s="3609"/>
      <c r="DI127" s="3562"/>
      <c r="DJ127" s="3561">
        <f t="shared" si="171"/>
        <v>0</v>
      </c>
      <c r="DK127" s="3559"/>
      <c r="DL127" s="3562"/>
      <c r="DM127" s="3561">
        <f t="shared" si="172"/>
        <v>0</v>
      </c>
      <c r="DN127" s="3563"/>
      <c r="DO127" s="3547"/>
      <c r="DP127" s="3609"/>
      <c r="DQ127" s="3562"/>
      <c r="DR127" s="3561">
        <f t="shared" si="173"/>
        <v>0</v>
      </c>
      <c r="DS127" s="3559"/>
      <c r="DT127" s="3562"/>
      <c r="DU127" s="3561">
        <f t="shared" si="209"/>
        <v>0</v>
      </c>
      <c r="DV127" s="3563"/>
      <c r="DW127" s="3547" t="s">
        <v>4093</v>
      </c>
      <c r="DX127" s="3609">
        <f>41404.82*3</f>
        <v>124214.45999999999</v>
      </c>
      <c r="DY127" s="3562"/>
      <c r="DZ127" s="3561">
        <f t="shared" si="175"/>
        <v>-124214.45999999999</v>
      </c>
      <c r="EA127" s="3559">
        <f>3379.15*3</f>
        <v>10137.450000000001</v>
      </c>
      <c r="EB127" s="3562"/>
      <c r="EC127" s="3561">
        <f t="shared" si="176"/>
        <v>-10137.450000000001</v>
      </c>
      <c r="ED127" s="3563"/>
      <c r="EE127" s="3564"/>
      <c r="EF127" s="3565">
        <f t="shared" si="153"/>
        <v>473197.94285714295</v>
      </c>
      <c r="EG127" s="3565">
        <f t="shared" si="230"/>
        <v>354898.45714285719</v>
      </c>
      <c r="EH127" s="3565">
        <f t="shared" si="230"/>
        <v>354898.45714285719</v>
      </c>
      <c r="EI127" s="3565">
        <f t="shared" si="230"/>
        <v>354898.45714285719</v>
      </c>
      <c r="EJ127" s="3565">
        <f t="shared" si="154"/>
        <v>0</v>
      </c>
      <c r="EK127" s="3566">
        <f t="shared" si="155"/>
        <v>0</v>
      </c>
      <c r="EL127" s="3610"/>
      <c r="EM127" s="3567">
        <f t="shared" si="156"/>
        <v>38254.528301886836</v>
      </c>
      <c r="EN127" s="3557">
        <f t="shared" si="231"/>
        <v>28690.896226415123</v>
      </c>
      <c r="EO127" s="3557">
        <f t="shared" si="231"/>
        <v>28690.89622641509</v>
      </c>
      <c r="EP127" s="3557">
        <f t="shared" si="231"/>
        <v>28690.89622641509</v>
      </c>
      <c r="EQ127" s="3557">
        <f t="shared" si="157"/>
        <v>-3.2741809263825417E-11</v>
      </c>
      <c r="ER127" s="3557">
        <f t="shared" si="158"/>
        <v>0</v>
      </c>
      <c r="ES127" s="3557"/>
      <c r="ET127" s="3568">
        <v>39433.161904761902</v>
      </c>
      <c r="EU127" s="3569">
        <f>41404.82/1.05</f>
        <v>39433.161904761902</v>
      </c>
      <c r="EV127" s="3562">
        <f>124214.46/3/1.05</f>
        <v>39433.161904761902</v>
      </c>
      <c r="EW127" s="3547">
        <f t="shared" si="210"/>
        <v>0</v>
      </c>
      <c r="EX127" s="3568">
        <v>3187.8773584905698</v>
      </c>
      <c r="EY127" s="3569">
        <f>3379.15/1.06</f>
        <v>3187.8773584905662</v>
      </c>
      <c r="EZ127" s="3562">
        <f>10137.45/3/1.06</f>
        <v>3187.8773584905662</v>
      </c>
      <c r="FA127" s="3547">
        <f t="shared" si="211"/>
        <v>-3.637978807091713E-12</v>
      </c>
      <c r="FB127" s="3568">
        <v>39433.161904761902</v>
      </c>
      <c r="FC127" s="3569">
        <f>41404.82/1.05</f>
        <v>39433.161904761902</v>
      </c>
      <c r="FD127" s="3562">
        <f>124214.46/3/1.05</f>
        <v>39433.161904761902</v>
      </c>
      <c r="FE127" s="3547">
        <f t="shared" si="212"/>
        <v>0</v>
      </c>
      <c r="FF127" s="3568">
        <v>3187.8773584905698</v>
      </c>
      <c r="FG127" s="3569">
        <f>3379.15/1.06</f>
        <v>3187.8773584905662</v>
      </c>
      <c r="FH127" s="3562">
        <f>10137.45/3/1.06</f>
        <v>3187.8773584905662</v>
      </c>
      <c r="FI127" s="3547">
        <f t="shared" si="213"/>
        <v>-3.637978807091713E-12</v>
      </c>
      <c r="FJ127" s="3568">
        <v>39433.161904761902</v>
      </c>
      <c r="FK127" s="3569">
        <f>41404.82/1.05</f>
        <v>39433.161904761902</v>
      </c>
      <c r="FL127" s="3562">
        <f>124214.46/3/1.05</f>
        <v>39433.161904761902</v>
      </c>
      <c r="FM127" s="3547">
        <f t="shared" si="214"/>
        <v>0</v>
      </c>
      <c r="FN127" s="3568">
        <v>3187.8773584905698</v>
      </c>
      <c r="FO127" s="3569">
        <f>3379.15/1.06</f>
        <v>3187.8773584905662</v>
      </c>
      <c r="FP127" s="3562">
        <f>10137.45/3/1.06</f>
        <v>3187.8773584905662</v>
      </c>
      <c r="FQ127" s="3547">
        <f t="shared" si="215"/>
        <v>-3.637978807091713E-12</v>
      </c>
      <c r="FR127" s="3568">
        <v>39433.161904761902</v>
      </c>
      <c r="FS127" s="3569">
        <f>41404.82/1.05</f>
        <v>39433.161904761902</v>
      </c>
      <c r="FT127" s="3562">
        <f>124214.46/1.05/3</f>
        <v>39433.16190476191</v>
      </c>
      <c r="FU127" s="3547">
        <f t="shared" si="216"/>
        <v>0</v>
      </c>
      <c r="FV127" s="3568">
        <v>3187.8773584905698</v>
      </c>
      <c r="FW127" s="3569">
        <f>3379.15/1.06</f>
        <v>3187.8773584905662</v>
      </c>
      <c r="FX127" s="3562">
        <f>10137.45/3/1.06</f>
        <v>3187.8773584905662</v>
      </c>
      <c r="FY127" s="3547">
        <f t="shared" si="217"/>
        <v>-3.637978807091713E-12</v>
      </c>
      <c r="FZ127" s="3568">
        <v>39433.161904761902</v>
      </c>
      <c r="GA127" s="3569">
        <f>41404.82/1.05</f>
        <v>39433.161904761902</v>
      </c>
      <c r="GB127" s="3562">
        <f>124214.46/1.05/3</f>
        <v>39433.16190476191</v>
      </c>
      <c r="GC127" s="3547">
        <f t="shared" si="218"/>
        <v>0</v>
      </c>
      <c r="GD127" s="3568">
        <v>3187.8773584905698</v>
      </c>
      <c r="GE127" s="3569">
        <f>3379.15/1.06</f>
        <v>3187.8773584905662</v>
      </c>
      <c r="GF127" s="3562">
        <f>10137.45/3/1.06</f>
        <v>3187.8773584905662</v>
      </c>
      <c r="GG127" s="3547">
        <f t="shared" si="219"/>
        <v>-3.637978807091713E-12</v>
      </c>
      <c r="GH127" s="3568">
        <v>39433.161904761902</v>
      </c>
      <c r="GI127" s="3569">
        <f>41404.82/1.05</f>
        <v>39433.161904761902</v>
      </c>
      <c r="GJ127" s="3562">
        <f>124214.46/1.05/3</f>
        <v>39433.16190476191</v>
      </c>
      <c r="GK127" s="3547">
        <f t="shared" si="181"/>
        <v>0</v>
      </c>
      <c r="GL127" s="3568">
        <v>3187.8773584905698</v>
      </c>
      <c r="GM127" s="3569">
        <f>3379.15/1.06</f>
        <v>3187.8773584905662</v>
      </c>
      <c r="GN127" s="3562">
        <f>10137.45/3/1.06</f>
        <v>3187.8773584905662</v>
      </c>
      <c r="GO127" s="3547">
        <f t="shared" si="182"/>
        <v>-3.637978807091713E-12</v>
      </c>
      <c r="GP127" s="3568">
        <v>39433.161904761902</v>
      </c>
      <c r="GQ127" s="3569">
        <f>41404.82/1.05</f>
        <v>39433.161904761902</v>
      </c>
      <c r="GR127" s="3562">
        <f>124214.46/3/1.05</f>
        <v>39433.161904761902</v>
      </c>
      <c r="GS127" s="3547">
        <f t="shared" si="183"/>
        <v>0</v>
      </c>
      <c r="GT127" s="3568">
        <v>3187.8773584905698</v>
      </c>
      <c r="GU127" s="3569">
        <f>3379.15/1.06</f>
        <v>3187.8773584905662</v>
      </c>
      <c r="GV127" s="3562">
        <f>10137.45/3/1.06</f>
        <v>3187.8773584905662</v>
      </c>
      <c r="GW127" s="3547">
        <f t="shared" si="184"/>
        <v>-3.637978807091713E-12</v>
      </c>
      <c r="GX127" s="3568">
        <v>39433.161904761902</v>
      </c>
      <c r="GY127" s="3569">
        <f>41404.82/1.05</f>
        <v>39433.161904761902</v>
      </c>
      <c r="GZ127" s="3562">
        <f>124214.46/3/1.05</f>
        <v>39433.161904761902</v>
      </c>
      <c r="HA127" s="3547">
        <f t="shared" si="185"/>
        <v>0</v>
      </c>
      <c r="HB127" s="3568">
        <v>3187.8773584905698</v>
      </c>
      <c r="HC127" s="3569">
        <f>3379.15/1.06</f>
        <v>3187.8773584905662</v>
      </c>
      <c r="HD127" s="3562">
        <f>10137.45/3/1.06</f>
        <v>3187.8773584905662</v>
      </c>
      <c r="HE127" s="3547">
        <f t="shared" si="186"/>
        <v>-3.637978807091713E-12</v>
      </c>
      <c r="HF127" s="3568">
        <v>39433.161904761902</v>
      </c>
      <c r="HG127" s="3569">
        <f>41404.82/1.05</f>
        <v>39433.161904761902</v>
      </c>
      <c r="HH127" s="3562">
        <f>124214.46/3/1.05</f>
        <v>39433.161904761902</v>
      </c>
      <c r="HI127" s="3547">
        <f t="shared" si="224"/>
        <v>0</v>
      </c>
      <c r="HJ127" s="3568">
        <v>3187.8773584905698</v>
      </c>
      <c r="HK127" s="3569">
        <f>3379.15/1.06</f>
        <v>3187.8773584905662</v>
      </c>
      <c r="HL127" s="3562">
        <f>10137.45/3/1.06</f>
        <v>3187.8773584905662</v>
      </c>
      <c r="HM127" s="3547">
        <f t="shared" si="220"/>
        <v>-3.637978807091713E-12</v>
      </c>
      <c r="HN127" s="3568">
        <v>39433.161904761902</v>
      </c>
      <c r="HO127" s="3569">
        <f>41404.82/1.05</f>
        <v>39433.161904761902</v>
      </c>
      <c r="HP127" s="3562">
        <f>124214.46/3/1.05</f>
        <v>39433.161904761902</v>
      </c>
      <c r="HQ127" s="3547">
        <f t="shared" si="225"/>
        <v>0</v>
      </c>
      <c r="HR127" s="3568">
        <v>3187.8773584905698</v>
      </c>
      <c r="HS127" s="3569">
        <f>3379.15/1.06</f>
        <v>3187.8773584905662</v>
      </c>
      <c r="HT127" s="3562">
        <f>10137.45/3/1.06</f>
        <v>3187.8773584905662</v>
      </c>
      <c r="HU127" s="3547">
        <f t="shared" si="221"/>
        <v>-3.637978807091713E-12</v>
      </c>
      <c r="HV127" s="3568">
        <v>39433.161904761902</v>
      </c>
      <c r="HW127" s="3569">
        <f>41404.82/1.05</f>
        <v>39433.161904761902</v>
      </c>
      <c r="HX127" s="3562">
        <f>124214.46/3/1.05</f>
        <v>39433.161904761902</v>
      </c>
      <c r="HY127" s="3547">
        <f t="shared" si="226"/>
        <v>0</v>
      </c>
      <c r="HZ127" s="3568">
        <v>3187.8773584905698</v>
      </c>
      <c r="IA127" s="3569">
        <f>3379.15/1.06</f>
        <v>3187.8773584905662</v>
      </c>
      <c r="IB127" s="3562">
        <f>10137.45/3/1.06</f>
        <v>3187.8773584905662</v>
      </c>
      <c r="IC127" s="3547">
        <f t="shared" si="222"/>
        <v>-3.637978807091713E-12</v>
      </c>
      <c r="ID127" s="3568">
        <v>39433.161904761902</v>
      </c>
      <c r="IE127" s="3569">
        <f>41404.82/1.05</f>
        <v>39433.161904761902</v>
      </c>
      <c r="IF127" s="3562">
        <f>124214.46/3/1.05</f>
        <v>39433.161904761902</v>
      </c>
      <c r="IG127" s="3547">
        <f t="shared" si="227"/>
        <v>0</v>
      </c>
      <c r="IH127" s="3568">
        <v>3187.8773584905698</v>
      </c>
      <c r="II127" s="3569">
        <f>3379.15/1.06</f>
        <v>3187.8773584905662</v>
      </c>
      <c r="IJ127" s="3562">
        <f>10137.45/3/1.06</f>
        <v>3187.8773584905662</v>
      </c>
      <c r="IK127" s="3547">
        <f t="shared" si="223"/>
        <v>-3.637978807091713E-12</v>
      </c>
      <c r="IL127" s="3547" t="s">
        <v>4093</v>
      </c>
      <c r="IM127" s="3569">
        <f>41404.82/1.05*3</f>
        <v>118299.48571428571</v>
      </c>
      <c r="IN127" s="3569">
        <f>3379.15/1.06*3</f>
        <v>9563.632075471698</v>
      </c>
      <c r="IO127" s="3547"/>
      <c r="IP127" s="3560">
        <f t="shared" si="195"/>
        <v>0</v>
      </c>
      <c r="IQ127" s="3568"/>
      <c r="IR127" s="3568"/>
      <c r="IS127" s="3568"/>
      <c r="IT127" s="3568"/>
      <c r="IU127" s="3568"/>
      <c r="IV127" s="3568"/>
      <c r="IW127" s="3568"/>
      <c r="IX127" s="3568"/>
      <c r="IY127" s="3568"/>
      <c r="IZ127" s="3625"/>
      <c r="JA127" s="3625"/>
      <c r="JB127" s="3625"/>
      <c r="JC127" s="3560">
        <f t="shared" si="134"/>
        <v>0</v>
      </c>
      <c r="JD127" s="3547"/>
      <c r="JE127" s="3568"/>
      <c r="JF127" s="3568"/>
      <c r="JG127" s="3568"/>
      <c r="JH127" s="3568"/>
      <c r="JI127" s="3568"/>
      <c r="JJ127" s="3568"/>
      <c r="JK127" s="3568"/>
      <c r="JL127" s="3568"/>
      <c r="JM127" s="3568"/>
      <c r="JN127" s="3625"/>
      <c r="JO127" s="3625"/>
      <c r="JP127" s="3547" t="s">
        <v>4094</v>
      </c>
      <c r="JQ127" s="3583">
        <f>41404.82/1.05*3</f>
        <v>118299.48571428571</v>
      </c>
      <c r="JR127" s="3583">
        <f>3379.15/1.06*3</f>
        <v>9563.632075471698</v>
      </c>
      <c r="JS127" s="3573">
        <f t="shared" si="145"/>
        <v>-1.3096723705530167E-10</v>
      </c>
      <c r="JT127" s="3573">
        <f t="shared" si="152"/>
        <v>0</v>
      </c>
      <c r="JU127" s="3574">
        <f t="shared" si="146"/>
        <v>0</v>
      </c>
      <c r="JV127" s="3574">
        <f t="shared" si="147"/>
        <v>0</v>
      </c>
      <c r="JW127" s="3575"/>
      <c r="JX127" s="3576">
        <f t="shared" si="148"/>
        <v>118299.48571428571</v>
      </c>
      <c r="JY127" s="3576">
        <f t="shared" si="149"/>
        <v>9563.632075471698</v>
      </c>
      <c r="JZ127" s="3577"/>
      <c r="KA127" s="3573">
        <f t="shared" si="234"/>
        <v>-3.637978807091713E-12</v>
      </c>
      <c r="KB127" s="3573"/>
      <c r="KC127" s="3573"/>
      <c r="KD127" s="3573">
        <f t="shared" si="150"/>
        <v>-3.637978807091713E-12</v>
      </c>
      <c r="KE127" s="3571"/>
      <c r="KF127" s="3579"/>
      <c r="KG127" s="3579"/>
      <c r="KH127" s="3579"/>
      <c r="KI127" s="3579"/>
      <c r="KJ127" s="3579"/>
      <c r="KK127" s="3579"/>
      <c r="KL127" s="3579"/>
      <c r="KM127" s="3579"/>
      <c r="KN127" s="3579"/>
      <c r="KO127" s="3579"/>
      <c r="KP127" s="3579"/>
      <c r="KQ127" s="3579">
        <f t="shared" si="151"/>
        <v>0</v>
      </c>
      <c r="KR127" s="3579">
        <f t="shared" si="196"/>
        <v>-3.2741809263825416E-15</v>
      </c>
      <c r="KS127" s="3577"/>
      <c r="KT127" s="3577"/>
      <c r="KU127" s="3577"/>
      <c r="KV127" s="3577"/>
      <c r="KW127" s="3577"/>
      <c r="KX127" s="3577"/>
      <c r="KY127" s="3577"/>
      <c r="KZ127" s="3577"/>
      <c r="LA127" s="3577"/>
      <c r="LB127" s="3577"/>
      <c r="LC127" s="3577"/>
      <c r="LD127" s="3577"/>
      <c r="LE127" s="3577"/>
      <c r="LF127" s="3577"/>
      <c r="LG127" s="3577"/>
      <c r="LH127" s="3577"/>
      <c r="LJ127" s="3575"/>
      <c r="LK127" s="3626">
        <v>12</v>
      </c>
      <c r="LL127" s="3627">
        <v>52681.67</v>
      </c>
      <c r="LM127" s="3580" t="s">
        <v>3954</v>
      </c>
    </row>
    <row r="128" spans="1:325" s="3580" customFormat="1" ht="18" customHeight="1">
      <c r="A128" s="3545">
        <v>125</v>
      </c>
      <c r="B128" s="3546" t="s">
        <v>4818</v>
      </c>
      <c r="C128" s="3694" t="s">
        <v>4870</v>
      </c>
      <c r="D128" s="3695">
        <v>50</v>
      </c>
      <c r="E128" s="3548" t="s">
        <v>3799</v>
      </c>
      <c r="F128" s="3546" t="s">
        <v>3790</v>
      </c>
      <c r="G128" s="3613" t="s">
        <v>4871</v>
      </c>
      <c r="H128" s="3546" t="s">
        <v>4872</v>
      </c>
      <c r="I128" s="3594" t="s">
        <v>4873</v>
      </c>
      <c r="J128" s="3594" t="s">
        <v>4874</v>
      </c>
      <c r="K128" s="3545" t="s">
        <v>4875</v>
      </c>
      <c r="L128" s="3555"/>
      <c r="M128" s="3551">
        <v>0</v>
      </c>
      <c r="N128" s="3551"/>
      <c r="O128" s="3551">
        <f t="shared" si="135"/>
        <v>0</v>
      </c>
      <c r="P128" s="3547">
        <v>0</v>
      </c>
      <c r="Q128" s="3547"/>
      <c r="R128" s="3547">
        <f t="shared" si="235"/>
        <v>0</v>
      </c>
      <c r="S128" s="3547">
        <f t="shared" si="232"/>
        <v>20.502910684931507</v>
      </c>
      <c r="T128" s="3658">
        <v>31181.51</v>
      </c>
      <c r="U128" s="3553">
        <f t="shared" si="136"/>
        <v>374178.12</v>
      </c>
      <c r="V128" s="3547">
        <f>31181.51*2*12</f>
        <v>748356.24</v>
      </c>
      <c r="W128" s="3547">
        <f t="shared" si="233"/>
        <v>2.7580931506849318</v>
      </c>
      <c r="X128" s="3693">
        <v>4194.6000000000004</v>
      </c>
      <c r="Y128" s="3547">
        <f t="shared" si="198"/>
        <v>50335.200000000004</v>
      </c>
      <c r="Z128" s="3554"/>
      <c r="AA128" s="3555"/>
      <c r="AB128" s="3593" t="s">
        <v>4876</v>
      </c>
      <c r="AC128" s="3556">
        <f t="shared" si="138"/>
        <v>374178.12</v>
      </c>
      <c r="AD128" s="3556">
        <f t="shared" si="228"/>
        <v>374178.12</v>
      </c>
      <c r="AE128" s="3556">
        <f t="shared" si="228"/>
        <v>374178.12</v>
      </c>
      <c r="AF128" s="3556">
        <f t="shared" si="140"/>
        <v>0</v>
      </c>
      <c r="AG128" s="3556"/>
      <c r="AH128" s="3557">
        <f t="shared" si="141"/>
        <v>50335.200000000004</v>
      </c>
      <c r="AI128" s="3558">
        <f t="shared" si="229"/>
        <v>50335.200000000004</v>
      </c>
      <c r="AJ128" s="3558">
        <f t="shared" si="229"/>
        <v>50335.199999999997</v>
      </c>
      <c r="AK128" s="3557">
        <f t="shared" si="159"/>
        <v>0</v>
      </c>
      <c r="AL128" s="3557"/>
      <c r="AM128" s="3547"/>
      <c r="AN128" s="3609"/>
      <c r="AO128" s="3562"/>
      <c r="AP128" s="3561">
        <f t="shared" si="199"/>
        <v>0</v>
      </c>
      <c r="AQ128" s="3559"/>
      <c r="AR128" s="3562"/>
      <c r="AS128" s="3561">
        <f t="shared" si="200"/>
        <v>0</v>
      </c>
      <c r="AT128" s="3686" t="s">
        <v>4877</v>
      </c>
      <c r="AU128" s="3547"/>
      <c r="AV128" s="3609"/>
      <c r="AW128" s="3562"/>
      <c r="AX128" s="3561">
        <f t="shared" si="201"/>
        <v>0</v>
      </c>
      <c r="AY128" s="3559"/>
      <c r="AZ128" s="3562"/>
      <c r="BA128" s="3561">
        <f t="shared" si="202"/>
        <v>0</v>
      </c>
      <c r="BB128" s="3686" t="s">
        <v>4877</v>
      </c>
      <c r="BC128" s="3547"/>
      <c r="BD128" s="3609"/>
      <c r="BE128" s="3562"/>
      <c r="BF128" s="3561">
        <f t="shared" si="203"/>
        <v>0</v>
      </c>
      <c r="BG128" s="3559"/>
      <c r="BH128" s="3562"/>
      <c r="BI128" s="3561">
        <f t="shared" si="204"/>
        <v>0</v>
      </c>
      <c r="BJ128" s="3686" t="s">
        <v>4877</v>
      </c>
      <c r="BK128" s="3547"/>
      <c r="BL128" s="3609"/>
      <c r="BM128" s="3562"/>
      <c r="BN128" s="3561">
        <f t="shared" si="205"/>
        <v>0</v>
      </c>
      <c r="BO128" s="3559"/>
      <c r="BP128" s="3562"/>
      <c r="BQ128" s="3561">
        <f t="shared" si="206"/>
        <v>0</v>
      </c>
      <c r="BR128" s="3686" t="s">
        <v>4877</v>
      </c>
      <c r="BS128" s="3547"/>
      <c r="BT128" s="3609"/>
      <c r="BU128" s="3562"/>
      <c r="BV128" s="3561">
        <f t="shared" si="207"/>
        <v>0</v>
      </c>
      <c r="BW128" s="3559"/>
      <c r="BX128" s="3562"/>
      <c r="BY128" s="3561">
        <f t="shared" si="208"/>
        <v>0</v>
      </c>
      <c r="BZ128" s="3686" t="s">
        <v>4877</v>
      </c>
      <c r="CA128" s="3547"/>
      <c r="CB128" s="3621"/>
      <c r="CC128" s="3603"/>
      <c r="CD128" s="3602">
        <f t="shared" si="164"/>
        <v>0</v>
      </c>
      <c r="CE128" s="3604"/>
      <c r="CF128" s="3562"/>
      <c r="CG128" s="3561">
        <f t="shared" si="165"/>
        <v>0</v>
      </c>
      <c r="CH128" s="3686" t="s">
        <v>4877</v>
      </c>
      <c r="CI128" s="3547"/>
      <c r="CJ128" s="3609"/>
      <c r="CK128" s="3562"/>
      <c r="CL128" s="3561">
        <f t="shared" si="133"/>
        <v>0</v>
      </c>
      <c r="CM128" s="3559"/>
      <c r="CN128" s="3562"/>
      <c r="CO128" s="3561">
        <f t="shared" si="166"/>
        <v>0</v>
      </c>
      <c r="CP128" s="3696" t="s">
        <v>4877</v>
      </c>
      <c r="CQ128" s="3547" t="s">
        <v>4878</v>
      </c>
      <c r="CR128" s="3609">
        <f>31181.51*12</f>
        <v>374178.12</v>
      </c>
      <c r="CS128" s="3562">
        <v>374178.12</v>
      </c>
      <c r="CT128" s="3561">
        <f t="shared" si="167"/>
        <v>0</v>
      </c>
      <c r="CU128" s="3559">
        <f>4194.6*12</f>
        <v>50335.200000000004</v>
      </c>
      <c r="CV128" s="3562">
        <v>50335.199999999997</v>
      </c>
      <c r="CW128" s="3561">
        <f t="shared" si="168"/>
        <v>0</v>
      </c>
      <c r="CX128" s="3696" t="s">
        <v>4879</v>
      </c>
      <c r="CY128" s="3547"/>
      <c r="CZ128" s="3609"/>
      <c r="DA128" s="3562"/>
      <c r="DB128" s="3561">
        <f t="shared" si="169"/>
        <v>0</v>
      </c>
      <c r="DC128" s="3559"/>
      <c r="DD128" s="3562"/>
      <c r="DE128" s="3561">
        <f t="shared" si="170"/>
        <v>0</v>
      </c>
      <c r="DF128" s="3696" t="s">
        <v>4879</v>
      </c>
      <c r="DG128" s="3547"/>
      <c r="DH128" s="3609"/>
      <c r="DI128" s="3562"/>
      <c r="DJ128" s="3561">
        <f t="shared" si="171"/>
        <v>0</v>
      </c>
      <c r="DK128" s="3559"/>
      <c r="DL128" s="3562"/>
      <c r="DM128" s="3561">
        <f t="shared" si="172"/>
        <v>0</v>
      </c>
      <c r="DN128" s="3563"/>
      <c r="DO128" s="3547"/>
      <c r="DP128" s="3609"/>
      <c r="DQ128" s="3562"/>
      <c r="DR128" s="3561">
        <f t="shared" si="173"/>
        <v>0</v>
      </c>
      <c r="DS128" s="3559"/>
      <c r="DT128" s="3562"/>
      <c r="DU128" s="3561">
        <f t="shared" si="209"/>
        <v>0</v>
      </c>
      <c r="DV128" s="3563"/>
      <c r="DW128" s="3547"/>
      <c r="DX128" s="3609"/>
      <c r="DY128" s="3562"/>
      <c r="DZ128" s="3561">
        <f t="shared" si="175"/>
        <v>0</v>
      </c>
      <c r="EA128" s="3559"/>
      <c r="EB128" s="3562"/>
      <c r="EC128" s="3561">
        <f t="shared" si="176"/>
        <v>0</v>
      </c>
      <c r="ED128" s="3563"/>
      <c r="EE128" s="3564"/>
      <c r="EF128" s="3565">
        <f t="shared" si="153"/>
        <v>107240.45714285715</v>
      </c>
      <c r="EG128" s="3565">
        <f t="shared" si="230"/>
        <v>80430.342857142852</v>
      </c>
      <c r="EH128" s="3565">
        <f t="shared" si="230"/>
        <v>267270.08571428573</v>
      </c>
      <c r="EI128" s="3565">
        <f t="shared" si="230"/>
        <v>267270.08571428573</v>
      </c>
      <c r="EJ128" s="3565">
        <f t="shared" si="154"/>
        <v>186839.74285714288</v>
      </c>
      <c r="EK128" s="3566">
        <f t="shared" si="155"/>
        <v>0</v>
      </c>
      <c r="EL128" s="3610"/>
      <c r="EM128" s="3567">
        <f t="shared" si="156"/>
        <v>14290.075471698119</v>
      </c>
      <c r="EN128" s="3557">
        <f t="shared" si="231"/>
        <v>10717.55660377359</v>
      </c>
      <c r="EO128" s="3557">
        <f t="shared" si="231"/>
        <v>35614.528301886785</v>
      </c>
      <c r="EP128" s="3557">
        <f t="shared" si="231"/>
        <v>35614.528301886785</v>
      </c>
      <c r="EQ128" s="3557">
        <f t="shared" si="157"/>
        <v>24896.971698113193</v>
      </c>
      <c r="ER128" s="3557">
        <f t="shared" si="158"/>
        <v>0</v>
      </c>
      <c r="ES128" s="3557"/>
      <c r="ET128" s="3568">
        <v>8936.7047619047607</v>
      </c>
      <c r="EU128" s="3569">
        <f>31181.51/1.05</f>
        <v>29696.676190476188</v>
      </c>
      <c r="EV128" s="3562">
        <f>374178.12/12/1.05</f>
        <v>29696.676190476188</v>
      </c>
      <c r="EW128" s="3547">
        <f t="shared" si="210"/>
        <v>20759.971428571429</v>
      </c>
      <c r="EX128" s="3568">
        <v>1190.83962264151</v>
      </c>
      <c r="EY128" s="3569">
        <f>4194.6/1.06</f>
        <v>3957.1698113207549</v>
      </c>
      <c r="EZ128" s="3562">
        <f>50335.2/12/1.06</f>
        <v>3957.169811320754</v>
      </c>
      <c r="FA128" s="3547">
        <f t="shared" si="211"/>
        <v>2766.3301886792442</v>
      </c>
      <c r="FB128" s="3568">
        <v>8936.7047619047607</v>
      </c>
      <c r="FC128" s="3569">
        <f>31181.51/1.05</f>
        <v>29696.676190476188</v>
      </c>
      <c r="FD128" s="3562">
        <f>374178.12/12/1.05</f>
        <v>29696.676190476188</v>
      </c>
      <c r="FE128" s="3547">
        <f t="shared" si="212"/>
        <v>20759.971428571429</v>
      </c>
      <c r="FF128" s="3568">
        <v>1190.83962264151</v>
      </c>
      <c r="FG128" s="3569">
        <f>4194.6/1.06</f>
        <v>3957.1698113207549</v>
      </c>
      <c r="FH128" s="3562">
        <f>50335.2/12/1.06</f>
        <v>3957.169811320754</v>
      </c>
      <c r="FI128" s="3547">
        <f t="shared" si="213"/>
        <v>2766.3301886792442</v>
      </c>
      <c r="FJ128" s="3568">
        <v>8936.7047619047607</v>
      </c>
      <c r="FK128" s="3569">
        <f>31181.51/1.05</f>
        <v>29696.676190476188</v>
      </c>
      <c r="FL128" s="3562">
        <f>374178.12/12/1.05</f>
        <v>29696.676190476188</v>
      </c>
      <c r="FM128" s="3547">
        <f t="shared" si="214"/>
        <v>20759.971428571429</v>
      </c>
      <c r="FN128" s="3568">
        <v>1190.83962264151</v>
      </c>
      <c r="FO128" s="3569">
        <f>4194.6/1.06</f>
        <v>3957.1698113207549</v>
      </c>
      <c r="FP128" s="3562">
        <f>50335.2/12/1.06</f>
        <v>3957.169811320754</v>
      </c>
      <c r="FQ128" s="3547">
        <f t="shared" si="215"/>
        <v>2766.3301886792442</v>
      </c>
      <c r="FR128" s="3568">
        <v>8936.7047619047607</v>
      </c>
      <c r="FS128" s="3569">
        <f>31181.51/1.05</f>
        <v>29696.676190476188</v>
      </c>
      <c r="FT128" s="3562">
        <f>374178.12/12/1.05</f>
        <v>29696.676190476188</v>
      </c>
      <c r="FU128" s="3547">
        <f t="shared" si="216"/>
        <v>20759.971428571429</v>
      </c>
      <c r="FV128" s="3568">
        <v>1190.83962264151</v>
      </c>
      <c r="FW128" s="3569">
        <f>4194.6/1.06</f>
        <v>3957.1698113207549</v>
      </c>
      <c r="FX128" s="3562">
        <f>50335.2/12/1.06</f>
        <v>3957.169811320754</v>
      </c>
      <c r="FY128" s="3547">
        <f t="shared" si="217"/>
        <v>2766.3301886792442</v>
      </c>
      <c r="FZ128" s="3568">
        <v>8936.7047619047607</v>
      </c>
      <c r="GA128" s="3569">
        <f>31181.51/1.05</f>
        <v>29696.676190476188</v>
      </c>
      <c r="GB128" s="3562">
        <f>374178.12/12/1.05</f>
        <v>29696.676190476188</v>
      </c>
      <c r="GC128" s="3547">
        <f t="shared" si="218"/>
        <v>20759.971428571429</v>
      </c>
      <c r="GD128" s="3568">
        <v>1190.83962264151</v>
      </c>
      <c r="GE128" s="3569">
        <f>4194.6/1.06</f>
        <v>3957.1698113207549</v>
      </c>
      <c r="GF128" s="3562">
        <f>50335.2/12/1.06</f>
        <v>3957.169811320754</v>
      </c>
      <c r="GG128" s="3547">
        <f t="shared" si="219"/>
        <v>2766.3301886792442</v>
      </c>
      <c r="GH128" s="3568">
        <v>8936.7047619047607</v>
      </c>
      <c r="GI128" s="3569">
        <f>31181.51/1.05</f>
        <v>29696.676190476188</v>
      </c>
      <c r="GJ128" s="3562">
        <f>374178.12/12/1.05</f>
        <v>29696.676190476188</v>
      </c>
      <c r="GK128" s="3547">
        <f t="shared" si="181"/>
        <v>20759.971428571429</v>
      </c>
      <c r="GL128" s="3568">
        <v>1190.83962264151</v>
      </c>
      <c r="GM128" s="3569">
        <f>4194.6/1.06</f>
        <v>3957.1698113207549</v>
      </c>
      <c r="GN128" s="3562">
        <f>50335.2/12/1.06</f>
        <v>3957.169811320754</v>
      </c>
      <c r="GO128" s="3547">
        <f t="shared" si="182"/>
        <v>2766.3301886792442</v>
      </c>
      <c r="GP128" s="3568">
        <v>8936.7047619047607</v>
      </c>
      <c r="GQ128" s="3569">
        <f>31181.51/1.05</f>
        <v>29696.676190476188</v>
      </c>
      <c r="GR128" s="3562">
        <f>374178.12/12/1.05</f>
        <v>29696.676190476188</v>
      </c>
      <c r="GS128" s="3547">
        <f t="shared" si="183"/>
        <v>20759.971428571429</v>
      </c>
      <c r="GT128" s="3568">
        <v>1190.83962264151</v>
      </c>
      <c r="GU128" s="3569">
        <f>4194.6/1.06</f>
        <v>3957.1698113207549</v>
      </c>
      <c r="GV128" s="3562">
        <f>50335.2/12/1.06</f>
        <v>3957.169811320754</v>
      </c>
      <c r="GW128" s="3547">
        <f t="shared" si="184"/>
        <v>2766.3301886792442</v>
      </c>
      <c r="GX128" s="3568">
        <v>8936.7047619047607</v>
      </c>
      <c r="GY128" s="3569">
        <f>31181.51/1.05</f>
        <v>29696.676190476188</v>
      </c>
      <c r="GZ128" s="3562">
        <f>374178.12/12/1.05</f>
        <v>29696.676190476188</v>
      </c>
      <c r="HA128" s="3547">
        <f t="shared" si="185"/>
        <v>20759.971428571429</v>
      </c>
      <c r="HB128" s="3568">
        <v>1190.83962264151</v>
      </c>
      <c r="HC128" s="3569">
        <f>4194.6/1.06</f>
        <v>3957.1698113207549</v>
      </c>
      <c r="HD128" s="3562">
        <f>50335.2/12/1.06</f>
        <v>3957.169811320754</v>
      </c>
      <c r="HE128" s="3547">
        <f t="shared" si="186"/>
        <v>2766.3301886792442</v>
      </c>
      <c r="HF128" s="3568">
        <v>8936.7047619047607</v>
      </c>
      <c r="HG128" s="3569">
        <f>31181.51/1.05</f>
        <v>29696.676190476188</v>
      </c>
      <c r="HH128" s="3562">
        <f>374178.12/365/1.05*7+374178.12/12/1.05-374178.12/365/1.05*7</f>
        <v>29696.676190476188</v>
      </c>
      <c r="HI128" s="3547">
        <f t="shared" si="224"/>
        <v>20759.971428571429</v>
      </c>
      <c r="HJ128" s="3568">
        <v>1190.83962264151</v>
      </c>
      <c r="HK128" s="3569">
        <f>4194.6/1.06</f>
        <v>3957.1698113207549</v>
      </c>
      <c r="HL128" s="3562">
        <f>50335.2/365/1.06*7+50335.2/12/1.06-50335.2/365/1.06*7</f>
        <v>3957.1698113207544</v>
      </c>
      <c r="HM128" s="3547">
        <f t="shared" si="220"/>
        <v>2766.3301886792442</v>
      </c>
      <c r="HN128" s="3568">
        <v>8936.7047619047607</v>
      </c>
      <c r="HO128" s="3569">
        <f>31181.51/1.05</f>
        <v>29696.676190476188</v>
      </c>
      <c r="HP128" s="3562">
        <f>374178.12/12/1.05</f>
        <v>29696.676190476188</v>
      </c>
      <c r="HQ128" s="3547">
        <f t="shared" si="225"/>
        <v>20759.971428571429</v>
      </c>
      <c r="HR128" s="3568">
        <v>1190.83962264151</v>
      </c>
      <c r="HS128" s="3569">
        <f>4194.6/1.06</f>
        <v>3957.1698113207549</v>
      </c>
      <c r="HT128" s="3562">
        <f>50335.2/12/1.06</f>
        <v>3957.169811320754</v>
      </c>
      <c r="HU128" s="3547">
        <f t="shared" si="221"/>
        <v>2766.3301886792442</v>
      </c>
      <c r="HV128" s="3568">
        <v>8936.7047619047607</v>
      </c>
      <c r="HW128" s="3569">
        <f>31181.51/1.05</f>
        <v>29696.676190476188</v>
      </c>
      <c r="HX128" s="3562">
        <f>374178.12/12/1.05</f>
        <v>29696.676190476188</v>
      </c>
      <c r="HY128" s="3547">
        <f t="shared" si="226"/>
        <v>20759.971428571429</v>
      </c>
      <c r="HZ128" s="3568">
        <v>1190.83962264151</v>
      </c>
      <c r="IA128" s="3569">
        <f>4194.6/1.06</f>
        <v>3957.1698113207549</v>
      </c>
      <c r="IB128" s="3562">
        <f>50335.2/12/1.06</f>
        <v>3957.169811320754</v>
      </c>
      <c r="IC128" s="3547">
        <f t="shared" si="222"/>
        <v>2766.3301886792442</v>
      </c>
      <c r="ID128" s="3568">
        <v>8936.7047619047607</v>
      </c>
      <c r="IE128" s="3569">
        <f>31181.51/1.05</f>
        <v>29696.676190476188</v>
      </c>
      <c r="IF128" s="3562">
        <f>374178.12/12/1.05</f>
        <v>29696.676190476188</v>
      </c>
      <c r="IG128" s="3547">
        <f t="shared" si="227"/>
        <v>20759.971428571429</v>
      </c>
      <c r="IH128" s="3568">
        <v>1190.83962264151</v>
      </c>
      <c r="II128" s="3569">
        <f>4194.6/1.06</f>
        <v>3957.1698113207549</v>
      </c>
      <c r="IJ128" s="3562">
        <f>50335.2/12/1.06</f>
        <v>3957.169811320754</v>
      </c>
      <c r="IK128" s="3547">
        <f t="shared" si="223"/>
        <v>2766.3301886792442</v>
      </c>
      <c r="IL128" s="3547" t="s">
        <v>4880</v>
      </c>
      <c r="IM128" s="3569">
        <f>31181.51/1.05*8+31181.51/1.05*12/365*7</f>
        <v>244407.71308545335</v>
      </c>
      <c r="IN128" s="3569">
        <f>4194.6/1.06*8+4194.6/1.06*12/365*7</f>
        <v>32568.049625226158</v>
      </c>
      <c r="IO128" s="3547" t="s">
        <v>4880</v>
      </c>
      <c r="IP128" s="3560">
        <f t="shared" si="195"/>
        <v>244407.71308545338</v>
      </c>
      <c r="IQ128" s="3562">
        <f t="shared" ref="IQ128:IX128" si="236">374178.12/12/1.05</f>
        <v>29696.676190476188</v>
      </c>
      <c r="IR128" s="3562">
        <f t="shared" si="236"/>
        <v>29696.676190476188</v>
      </c>
      <c r="IS128" s="3562">
        <f t="shared" si="236"/>
        <v>29696.676190476188</v>
      </c>
      <c r="IT128" s="3562">
        <f t="shared" si="236"/>
        <v>29696.676190476188</v>
      </c>
      <c r="IU128" s="3562">
        <f t="shared" si="236"/>
        <v>29696.676190476188</v>
      </c>
      <c r="IV128" s="3562">
        <f t="shared" si="236"/>
        <v>29696.676190476188</v>
      </c>
      <c r="IW128" s="3562">
        <f t="shared" si="236"/>
        <v>29696.676190476188</v>
      </c>
      <c r="IX128" s="3562">
        <f t="shared" si="236"/>
        <v>29696.676190476188</v>
      </c>
      <c r="IY128" s="3562">
        <f>374178.12/12/1.05*12/365*7</f>
        <v>6834.3035616438337</v>
      </c>
      <c r="IZ128" s="3560"/>
      <c r="JA128" s="3560"/>
      <c r="JB128" s="3560"/>
      <c r="JC128" s="3560">
        <f t="shared" si="134"/>
        <v>32568.049625226147</v>
      </c>
      <c r="JD128" s="3562">
        <f t="shared" ref="JD128:JK128" si="237">50335.2/12/1.06</f>
        <v>3957.169811320754</v>
      </c>
      <c r="JE128" s="3562">
        <f t="shared" si="237"/>
        <v>3957.169811320754</v>
      </c>
      <c r="JF128" s="3562">
        <f t="shared" si="237"/>
        <v>3957.169811320754</v>
      </c>
      <c r="JG128" s="3562">
        <f t="shared" si="237"/>
        <v>3957.169811320754</v>
      </c>
      <c r="JH128" s="3562">
        <f t="shared" si="237"/>
        <v>3957.169811320754</v>
      </c>
      <c r="JI128" s="3562">
        <f t="shared" si="237"/>
        <v>3957.169811320754</v>
      </c>
      <c r="JJ128" s="3562">
        <f t="shared" si="237"/>
        <v>3957.169811320754</v>
      </c>
      <c r="JK128" s="3562">
        <f t="shared" si="237"/>
        <v>3957.169811320754</v>
      </c>
      <c r="JL128" s="3562">
        <f>50335.2/12/1.06*12/365*7</f>
        <v>910.69113466011879</v>
      </c>
      <c r="JM128" s="3568"/>
      <c r="JN128" s="3560"/>
      <c r="JO128" s="3560"/>
      <c r="JP128" s="3547" t="s">
        <v>4881</v>
      </c>
      <c r="JQ128" s="3583">
        <f>374178.12/12/1.05*8+374178.12/365/1.05*7</f>
        <v>244407.71308545335</v>
      </c>
      <c r="JR128" s="3583">
        <f>50335.2/12/1.06*8+50335.2/365/1.06*7</f>
        <v>32568.049625226151</v>
      </c>
      <c r="JS128" s="3573">
        <f t="shared" si="145"/>
        <v>0</v>
      </c>
      <c r="JT128" s="3573">
        <f t="shared" si="152"/>
        <v>0</v>
      </c>
      <c r="JU128" s="3574">
        <f t="shared" si="146"/>
        <v>0</v>
      </c>
      <c r="JV128" s="3574">
        <f t="shared" si="147"/>
        <v>0</v>
      </c>
      <c r="JW128" s="3575"/>
      <c r="JX128" s="3576">
        <f t="shared" si="148"/>
        <v>333497.74165688193</v>
      </c>
      <c r="JY128" s="3576">
        <f t="shared" si="149"/>
        <v>44439.55905918841</v>
      </c>
      <c r="JZ128" s="3577"/>
      <c r="KA128" s="3573">
        <f t="shared" si="234"/>
        <v>23526.301617250672</v>
      </c>
      <c r="KB128" s="3573"/>
      <c r="KC128" s="3573"/>
      <c r="KD128" s="3573">
        <f t="shared" si="150"/>
        <v>23526.301617250672</v>
      </c>
      <c r="KE128" s="3578" t="s">
        <v>3971</v>
      </c>
      <c r="KF128" s="3579"/>
      <c r="KG128" s="3579"/>
      <c r="KH128" s="3579"/>
      <c r="KI128" s="3579"/>
      <c r="KJ128" s="3579"/>
      <c r="KK128" s="3579"/>
      <c r="KL128" s="3579"/>
      <c r="KM128" s="3579"/>
      <c r="KN128" s="3579"/>
      <c r="KO128" s="3579"/>
      <c r="KP128" s="3579"/>
      <c r="KQ128" s="3579">
        <f t="shared" si="151"/>
        <v>0</v>
      </c>
      <c r="KR128" s="3632">
        <f t="shared" si="196"/>
        <v>21.173671455525607</v>
      </c>
      <c r="KS128" s="3577"/>
      <c r="KT128" s="3577"/>
      <c r="KU128" s="3577"/>
      <c r="KV128" s="3577"/>
      <c r="KW128" s="3577"/>
      <c r="KX128" s="3577"/>
      <c r="KY128" s="3577"/>
      <c r="KZ128" s="3577"/>
      <c r="LA128" s="3577"/>
      <c r="LB128" s="3577"/>
      <c r="LC128" s="3577"/>
      <c r="LD128" s="3577"/>
      <c r="LE128" s="3577"/>
      <c r="LF128" s="3577"/>
      <c r="LG128" s="3577"/>
      <c r="LH128" s="3577"/>
      <c r="LJ128" s="3575"/>
      <c r="LK128" s="3571"/>
      <c r="LL128" s="3576"/>
    </row>
    <row r="129" spans="1:16370" s="3580" customFormat="1" ht="18" customHeight="1">
      <c r="A129" s="3545">
        <v>126</v>
      </c>
      <c r="B129" s="3546" t="s">
        <v>4818</v>
      </c>
      <c r="C129" s="3694" t="s">
        <v>4882</v>
      </c>
      <c r="D129" s="3695">
        <f>150-33.85</f>
        <v>116.15</v>
      </c>
      <c r="E129" s="3548" t="s">
        <v>3799</v>
      </c>
      <c r="F129" s="3546" t="s">
        <v>3790</v>
      </c>
      <c r="G129" s="3613" t="s">
        <v>4871</v>
      </c>
      <c r="H129" s="3546" t="s">
        <v>4872</v>
      </c>
      <c r="I129" s="3594" t="s">
        <v>4873</v>
      </c>
      <c r="J129" s="3594" t="s">
        <v>4874</v>
      </c>
      <c r="K129" s="3545" t="s">
        <v>4875</v>
      </c>
      <c r="L129" s="3555"/>
      <c r="M129" s="3551"/>
      <c r="N129" s="3551"/>
      <c r="O129" s="3551">
        <f t="shared" si="135"/>
        <v>0</v>
      </c>
      <c r="P129" s="3547"/>
      <c r="Q129" s="3547"/>
      <c r="R129" s="3547">
        <f t="shared" si="235"/>
        <v>0</v>
      </c>
      <c r="S129" s="3547">
        <f t="shared" si="232"/>
        <v>0</v>
      </c>
      <c r="T129" s="3658"/>
      <c r="U129" s="3553">
        <f t="shared" si="136"/>
        <v>0</v>
      </c>
      <c r="V129" s="3547"/>
      <c r="W129" s="3547">
        <f t="shared" si="233"/>
        <v>0</v>
      </c>
      <c r="X129" s="3547"/>
      <c r="Y129" s="3547">
        <f t="shared" si="198"/>
        <v>0</v>
      </c>
      <c r="Z129" s="3554"/>
      <c r="AA129" s="3555"/>
      <c r="AB129" s="3680"/>
      <c r="AC129" s="3556">
        <f t="shared" si="138"/>
        <v>0</v>
      </c>
      <c r="AD129" s="3556">
        <f t="shared" si="228"/>
        <v>0</v>
      </c>
      <c r="AE129" s="3556">
        <f t="shared" si="228"/>
        <v>0</v>
      </c>
      <c r="AF129" s="3556">
        <f t="shared" si="140"/>
        <v>0</v>
      </c>
      <c r="AG129" s="3556"/>
      <c r="AH129" s="3557">
        <f t="shared" si="141"/>
        <v>0</v>
      </c>
      <c r="AI129" s="3558">
        <f t="shared" si="229"/>
        <v>0</v>
      </c>
      <c r="AJ129" s="3558">
        <f t="shared" si="229"/>
        <v>0</v>
      </c>
      <c r="AK129" s="3557">
        <f t="shared" si="159"/>
        <v>0</v>
      </c>
      <c r="AL129" s="3557"/>
      <c r="AM129" s="3547"/>
      <c r="AN129" s="3609"/>
      <c r="AO129" s="3562"/>
      <c r="AP129" s="3561">
        <f t="shared" si="199"/>
        <v>0</v>
      </c>
      <c r="AQ129" s="3559"/>
      <c r="AR129" s="3562"/>
      <c r="AS129" s="3561">
        <f t="shared" si="200"/>
        <v>0</v>
      </c>
      <c r="AT129" s="3563" t="s">
        <v>4883</v>
      </c>
      <c r="AU129" s="3547"/>
      <c r="AV129" s="3609"/>
      <c r="AW129" s="3562"/>
      <c r="AX129" s="3561">
        <f t="shared" si="201"/>
        <v>0</v>
      </c>
      <c r="AY129" s="3559"/>
      <c r="AZ129" s="3562"/>
      <c r="BA129" s="3561">
        <f t="shared" si="202"/>
        <v>0</v>
      </c>
      <c r="BB129" s="3563" t="s">
        <v>4883</v>
      </c>
      <c r="BC129" s="3547"/>
      <c r="BD129" s="3609"/>
      <c r="BE129" s="3562"/>
      <c r="BF129" s="3561">
        <f t="shared" si="203"/>
        <v>0</v>
      </c>
      <c r="BG129" s="3559"/>
      <c r="BH129" s="3562"/>
      <c r="BI129" s="3561">
        <f t="shared" si="204"/>
        <v>0</v>
      </c>
      <c r="BJ129" s="3563" t="s">
        <v>4883</v>
      </c>
      <c r="BK129" s="3547"/>
      <c r="BL129" s="3609"/>
      <c r="BM129" s="3562"/>
      <c r="BN129" s="3561">
        <f t="shared" si="205"/>
        <v>0</v>
      </c>
      <c r="BO129" s="3559"/>
      <c r="BP129" s="3562"/>
      <c r="BQ129" s="3561">
        <f t="shared" si="206"/>
        <v>0</v>
      </c>
      <c r="BR129" s="3563" t="s">
        <v>4883</v>
      </c>
      <c r="BS129" s="3547"/>
      <c r="BT129" s="3609"/>
      <c r="BU129" s="3562"/>
      <c r="BV129" s="3561">
        <f t="shared" si="207"/>
        <v>0</v>
      </c>
      <c r="BW129" s="3559"/>
      <c r="BX129" s="3562"/>
      <c r="BY129" s="3561">
        <f t="shared" si="208"/>
        <v>0</v>
      </c>
      <c r="BZ129" s="3563" t="s">
        <v>4883</v>
      </c>
      <c r="CA129" s="3547"/>
      <c r="CB129" s="3621"/>
      <c r="CC129" s="3603"/>
      <c r="CD129" s="3602">
        <f t="shared" si="164"/>
        <v>0</v>
      </c>
      <c r="CE129" s="3604"/>
      <c r="CF129" s="3562"/>
      <c r="CG129" s="3561">
        <f t="shared" si="165"/>
        <v>0</v>
      </c>
      <c r="CH129" s="3563" t="s">
        <v>4883</v>
      </c>
      <c r="CI129" s="3547"/>
      <c r="CJ129" s="3609"/>
      <c r="CK129" s="3562"/>
      <c r="CL129" s="3561">
        <f t="shared" si="133"/>
        <v>0</v>
      </c>
      <c r="CM129" s="3559"/>
      <c r="CN129" s="3562"/>
      <c r="CO129" s="3561">
        <f t="shared" si="166"/>
        <v>0</v>
      </c>
      <c r="CP129" s="3630" t="s">
        <v>4883</v>
      </c>
      <c r="CQ129" s="3547"/>
      <c r="CR129" s="3609"/>
      <c r="CS129" s="3562"/>
      <c r="CT129" s="3561">
        <f t="shared" si="167"/>
        <v>0</v>
      </c>
      <c r="CU129" s="3559"/>
      <c r="CV129" s="3562"/>
      <c r="CW129" s="3561">
        <f t="shared" si="168"/>
        <v>0</v>
      </c>
      <c r="CX129" s="3630" t="s">
        <v>4883</v>
      </c>
      <c r="CY129" s="3547"/>
      <c r="CZ129" s="3609"/>
      <c r="DA129" s="3562"/>
      <c r="DB129" s="3561">
        <f t="shared" si="169"/>
        <v>0</v>
      </c>
      <c r="DC129" s="3559"/>
      <c r="DD129" s="3562"/>
      <c r="DE129" s="3561">
        <f t="shared" si="170"/>
        <v>0</v>
      </c>
      <c r="DF129" s="3630" t="s">
        <v>4883</v>
      </c>
      <c r="DG129" s="3547"/>
      <c r="DH129" s="3609"/>
      <c r="DI129" s="3562"/>
      <c r="DJ129" s="3561">
        <f t="shared" si="171"/>
        <v>0</v>
      </c>
      <c r="DK129" s="3559"/>
      <c r="DL129" s="3562"/>
      <c r="DM129" s="3561">
        <f t="shared" si="172"/>
        <v>0</v>
      </c>
      <c r="DN129" s="3563"/>
      <c r="DO129" s="3547"/>
      <c r="DP129" s="3609"/>
      <c r="DQ129" s="3562"/>
      <c r="DR129" s="3561">
        <f t="shared" si="173"/>
        <v>0</v>
      </c>
      <c r="DS129" s="3559"/>
      <c r="DT129" s="3562"/>
      <c r="DU129" s="3561">
        <f t="shared" si="209"/>
        <v>0</v>
      </c>
      <c r="DV129" s="3563"/>
      <c r="DW129" s="3547"/>
      <c r="DX129" s="3609"/>
      <c r="DY129" s="3562"/>
      <c r="DZ129" s="3561">
        <f t="shared" si="175"/>
        <v>0</v>
      </c>
      <c r="EA129" s="3559"/>
      <c r="EB129" s="3562"/>
      <c r="EC129" s="3561">
        <f t="shared" si="176"/>
        <v>0</v>
      </c>
      <c r="ED129" s="3563"/>
      <c r="EE129" s="3564"/>
      <c r="EF129" s="3565">
        <f t="shared" si="153"/>
        <v>249119.65714285674</v>
      </c>
      <c r="EG129" s="3565">
        <f t="shared" si="230"/>
        <v>186839.74285714258</v>
      </c>
      <c r="EH129" s="3565">
        <f t="shared" si="230"/>
        <v>0</v>
      </c>
      <c r="EI129" s="3565">
        <f t="shared" si="230"/>
        <v>0</v>
      </c>
      <c r="EJ129" s="3565">
        <f t="shared" si="154"/>
        <v>-186839.74285714258</v>
      </c>
      <c r="EK129" s="3566">
        <f t="shared" si="155"/>
        <v>0</v>
      </c>
      <c r="EL129" s="3610"/>
      <c r="EM129" s="3567">
        <f t="shared" si="156"/>
        <v>33195.849056603758</v>
      </c>
      <c r="EN129" s="3557">
        <f t="shared" si="231"/>
        <v>24896.88679245282</v>
      </c>
      <c r="EO129" s="3557">
        <f t="shared" si="231"/>
        <v>0</v>
      </c>
      <c r="EP129" s="3557">
        <f t="shared" si="231"/>
        <v>0</v>
      </c>
      <c r="EQ129" s="3557">
        <f t="shared" si="157"/>
        <v>-24896.88679245282</v>
      </c>
      <c r="ER129" s="3557">
        <f t="shared" si="158"/>
        <v>0</v>
      </c>
      <c r="ES129" s="3557"/>
      <c r="ET129" s="3568">
        <v>20759.9714285714</v>
      </c>
      <c r="EU129" s="3569"/>
      <c r="EV129" s="3562"/>
      <c r="EW129" s="3547">
        <f t="shared" si="210"/>
        <v>-20759.9714285714</v>
      </c>
      <c r="EX129" s="3568">
        <v>2766.32075471698</v>
      </c>
      <c r="EY129" s="3569"/>
      <c r="EZ129" s="3562"/>
      <c r="FA129" s="3547">
        <f t="shared" si="211"/>
        <v>-2766.32075471698</v>
      </c>
      <c r="FB129" s="3568">
        <v>20759.9714285714</v>
      </c>
      <c r="FC129" s="3569"/>
      <c r="FD129" s="3562"/>
      <c r="FE129" s="3547">
        <f t="shared" si="212"/>
        <v>-20759.9714285714</v>
      </c>
      <c r="FF129" s="3568">
        <v>2766.32075471698</v>
      </c>
      <c r="FG129" s="3569"/>
      <c r="FH129" s="3562"/>
      <c r="FI129" s="3547">
        <f t="shared" si="213"/>
        <v>-2766.32075471698</v>
      </c>
      <c r="FJ129" s="3568">
        <v>20759.9714285714</v>
      </c>
      <c r="FK129" s="3569"/>
      <c r="FL129" s="3562"/>
      <c r="FM129" s="3547">
        <f t="shared" si="214"/>
        <v>-20759.9714285714</v>
      </c>
      <c r="FN129" s="3568">
        <v>2766.32075471698</v>
      </c>
      <c r="FO129" s="3569"/>
      <c r="FP129" s="3562"/>
      <c r="FQ129" s="3547">
        <f t="shared" si="215"/>
        <v>-2766.32075471698</v>
      </c>
      <c r="FR129" s="3568">
        <v>20759.9714285714</v>
      </c>
      <c r="FS129" s="3569"/>
      <c r="FT129" s="3562"/>
      <c r="FU129" s="3547">
        <f t="shared" si="216"/>
        <v>-20759.9714285714</v>
      </c>
      <c r="FV129" s="3568">
        <v>2766.32075471698</v>
      </c>
      <c r="FW129" s="3569"/>
      <c r="FX129" s="3562"/>
      <c r="FY129" s="3547">
        <f t="shared" si="217"/>
        <v>-2766.32075471698</v>
      </c>
      <c r="FZ129" s="3568">
        <v>20759.9714285714</v>
      </c>
      <c r="GA129" s="3569"/>
      <c r="GB129" s="3562"/>
      <c r="GC129" s="3547">
        <f t="shared" si="218"/>
        <v>-20759.9714285714</v>
      </c>
      <c r="GD129" s="3568">
        <v>2766.32075471698</v>
      </c>
      <c r="GE129" s="3569"/>
      <c r="GF129" s="3562"/>
      <c r="GG129" s="3547">
        <f t="shared" si="219"/>
        <v>-2766.32075471698</v>
      </c>
      <c r="GH129" s="3568">
        <v>20759.9714285714</v>
      </c>
      <c r="GI129" s="3569"/>
      <c r="GJ129" s="3562"/>
      <c r="GK129" s="3547">
        <f t="shared" si="181"/>
        <v>-20759.9714285714</v>
      </c>
      <c r="GL129" s="3568">
        <v>2766.32075471698</v>
      </c>
      <c r="GM129" s="3569"/>
      <c r="GN129" s="3562"/>
      <c r="GO129" s="3547">
        <f t="shared" si="182"/>
        <v>-2766.32075471698</v>
      </c>
      <c r="GP129" s="3568">
        <v>20759.9714285714</v>
      </c>
      <c r="GQ129" s="3569"/>
      <c r="GR129" s="3562"/>
      <c r="GS129" s="3547">
        <f t="shared" si="183"/>
        <v>-20759.9714285714</v>
      </c>
      <c r="GT129" s="3568">
        <v>2766.32075471698</v>
      </c>
      <c r="GU129" s="3569"/>
      <c r="GV129" s="3562"/>
      <c r="GW129" s="3547">
        <f t="shared" si="184"/>
        <v>-2766.32075471698</v>
      </c>
      <c r="GX129" s="3568">
        <v>20759.9714285714</v>
      </c>
      <c r="GY129" s="3569"/>
      <c r="GZ129" s="3562"/>
      <c r="HA129" s="3547">
        <f t="shared" si="185"/>
        <v>-20759.9714285714</v>
      </c>
      <c r="HB129" s="3568">
        <v>2766.32075471698</v>
      </c>
      <c r="HC129" s="3569"/>
      <c r="HD129" s="3562"/>
      <c r="HE129" s="3547">
        <f t="shared" si="186"/>
        <v>-2766.32075471698</v>
      </c>
      <c r="HF129" s="3568">
        <v>20759.9714285714</v>
      </c>
      <c r="HG129" s="3569"/>
      <c r="HH129" s="3562"/>
      <c r="HI129" s="3547">
        <f t="shared" si="224"/>
        <v>-20759.9714285714</v>
      </c>
      <c r="HJ129" s="3568">
        <v>2766.32075471698</v>
      </c>
      <c r="HK129" s="3569"/>
      <c r="HL129" s="3562"/>
      <c r="HM129" s="3547">
        <f t="shared" si="220"/>
        <v>-2766.32075471698</v>
      </c>
      <c r="HN129" s="3568">
        <v>20759.9714285714</v>
      </c>
      <c r="HO129" s="3569"/>
      <c r="HP129" s="3562"/>
      <c r="HQ129" s="3547">
        <f t="shared" si="225"/>
        <v>-20759.9714285714</v>
      </c>
      <c r="HR129" s="3568">
        <v>2766.32075471698</v>
      </c>
      <c r="HS129" s="3569"/>
      <c r="HT129" s="3562"/>
      <c r="HU129" s="3547">
        <f t="shared" si="221"/>
        <v>-2766.32075471698</v>
      </c>
      <c r="HV129" s="3568">
        <v>20759.9714285714</v>
      </c>
      <c r="HW129" s="3569"/>
      <c r="HX129" s="3562"/>
      <c r="HY129" s="3547">
        <f t="shared" si="226"/>
        <v>-20759.9714285714</v>
      </c>
      <c r="HZ129" s="3568">
        <v>2766.32075471698</v>
      </c>
      <c r="IA129" s="3569"/>
      <c r="IB129" s="3562"/>
      <c r="IC129" s="3547">
        <f t="shared" si="222"/>
        <v>-2766.32075471698</v>
      </c>
      <c r="ID129" s="3568">
        <v>20759.9714285714</v>
      </c>
      <c r="IE129" s="3569"/>
      <c r="IF129" s="3562"/>
      <c r="IG129" s="3547">
        <f t="shared" si="227"/>
        <v>-20759.9714285714</v>
      </c>
      <c r="IH129" s="3568">
        <v>2766.32075471698</v>
      </c>
      <c r="II129" s="3569"/>
      <c r="IJ129" s="3562"/>
      <c r="IK129" s="3547">
        <f t="shared" si="223"/>
        <v>-2766.32075471698</v>
      </c>
      <c r="IL129" s="3571"/>
      <c r="IM129" s="3569"/>
      <c r="IN129" s="3569"/>
      <c r="IO129" s="3571"/>
      <c r="IP129" s="3560">
        <f t="shared" si="195"/>
        <v>0</v>
      </c>
      <c r="IQ129" s="3568"/>
      <c r="IR129" s="3568"/>
      <c r="IS129" s="3568"/>
      <c r="IT129" s="3568"/>
      <c r="IU129" s="3568"/>
      <c r="IV129" s="3568"/>
      <c r="IW129" s="3568"/>
      <c r="IX129" s="3568"/>
      <c r="IY129" s="3568"/>
      <c r="IZ129" s="3560"/>
      <c r="JA129" s="3560"/>
      <c r="JB129" s="3560"/>
      <c r="JC129" s="3560">
        <f t="shared" si="134"/>
        <v>0</v>
      </c>
      <c r="JD129" s="3571"/>
      <c r="JE129" s="3568"/>
      <c r="JF129" s="3568"/>
      <c r="JG129" s="3568"/>
      <c r="JH129" s="3568"/>
      <c r="JI129" s="3568"/>
      <c r="JJ129" s="3568"/>
      <c r="JK129" s="3568"/>
      <c r="JL129" s="3568"/>
      <c r="JM129" s="3568"/>
      <c r="JN129" s="3560"/>
      <c r="JO129" s="3560"/>
      <c r="JP129" s="3571"/>
      <c r="JQ129" s="3583"/>
      <c r="JR129" s="3583"/>
      <c r="JS129" s="3573">
        <f t="shared" si="145"/>
        <v>0</v>
      </c>
      <c r="JT129" s="3573">
        <f t="shared" si="152"/>
        <v>0</v>
      </c>
      <c r="JU129" s="3574">
        <f t="shared" si="146"/>
        <v>0</v>
      </c>
      <c r="JV129" s="3574">
        <f t="shared" si="147"/>
        <v>0</v>
      </c>
      <c r="JW129" s="3575"/>
      <c r="JX129" s="3576">
        <f t="shared" si="148"/>
        <v>0</v>
      </c>
      <c r="JY129" s="3576">
        <f t="shared" si="149"/>
        <v>0</v>
      </c>
      <c r="JZ129" s="3577"/>
      <c r="KA129" s="3573">
        <f t="shared" si="234"/>
        <v>-23526.29218328838</v>
      </c>
      <c r="KB129" s="3573"/>
      <c r="KC129" s="3573"/>
      <c r="KD129" s="3573">
        <f t="shared" si="150"/>
        <v>-23526.29218328838</v>
      </c>
      <c r="KE129" s="3578" t="s">
        <v>3971</v>
      </c>
      <c r="KF129" s="3579"/>
      <c r="KG129" s="3579"/>
      <c r="KH129" s="3579"/>
      <c r="KI129" s="3579"/>
      <c r="KJ129" s="3579"/>
      <c r="KK129" s="3579"/>
      <c r="KL129" s="3579"/>
      <c r="KM129" s="3579"/>
      <c r="KN129" s="3579"/>
      <c r="KO129" s="3579"/>
      <c r="KP129" s="3579"/>
      <c r="KQ129" s="3579">
        <f t="shared" si="151"/>
        <v>0</v>
      </c>
      <c r="KR129" s="3632">
        <f t="shared" si="196"/>
        <v>-21.17366296495954</v>
      </c>
      <c r="KS129" s="3577"/>
      <c r="KT129" s="3577"/>
      <c r="KU129" s="3577"/>
      <c r="KV129" s="3577"/>
      <c r="KW129" s="3577"/>
      <c r="KX129" s="3577"/>
      <c r="KY129" s="3577"/>
      <c r="KZ129" s="3577"/>
      <c r="LA129" s="3577"/>
      <c r="LB129" s="3577"/>
      <c r="LC129" s="3577"/>
      <c r="LD129" s="3577"/>
      <c r="LE129" s="3577"/>
      <c r="LF129" s="3577"/>
      <c r="LG129" s="3577"/>
      <c r="LH129" s="3577"/>
      <c r="LJ129" s="3575"/>
      <c r="LK129" s="3626">
        <v>12</v>
      </c>
      <c r="LL129" s="3627">
        <v>61908.56</v>
      </c>
      <c r="LM129" s="3580" t="s">
        <v>4095</v>
      </c>
    </row>
    <row r="130" spans="1:16370" s="3580" customFormat="1" ht="18" customHeight="1">
      <c r="A130" s="3545">
        <v>127</v>
      </c>
      <c r="B130" s="3546" t="s">
        <v>4818</v>
      </c>
      <c r="C130" s="3546" t="s">
        <v>4884</v>
      </c>
      <c r="D130" s="3547">
        <v>153</v>
      </c>
      <c r="E130" s="3548" t="s">
        <v>3789</v>
      </c>
      <c r="F130" s="3546" t="s">
        <v>3790</v>
      </c>
      <c r="G130" s="3549" t="s">
        <v>4885</v>
      </c>
      <c r="H130" s="3546" t="s">
        <v>4886</v>
      </c>
      <c r="I130" s="3594" t="s">
        <v>4887</v>
      </c>
      <c r="J130" s="3594" t="s">
        <v>4888</v>
      </c>
      <c r="K130" s="3545" t="s">
        <v>3991</v>
      </c>
      <c r="L130" s="3555"/>
      <c r="M130" s="3551"/>
      <c r="N130" s="3551"/>
      <c r="O130" s="3551">
        <f t="shared" si="135"/>
        <v>0</v>
      </c>
      <c r="P130" s="3551"/>
      <c r="Q130" s="3551"/>
      <c r="R130" s="3547">
        <f t="shared" si="235"/>
        <v>0</v>
      </c>
      <c r="S130" s="3547">
        <f t="shared" si="232"/>
        <v>0</v>
      </c>
      <c r="T130" s="3552"/>
      <c r="U130" s="3553">
        <f t="shared" si="136"/>
        <v>0</v>
      </c>
      <c r="V130" s="3547"/>
      <c r="W130" s="3547">
        <f t="shared" si="233"/>
        <v>0</v>
      </c>
      <c r="X130" s="3552"/>
      <c r="Y130" s="3547">
        <f t="shared" si="198"/>
        <v>0</v>
      </c>
      <c r="Z130" s="3554"/>
      <c r="AA130" s="3555"/>
      <c r="AB130" s="3593"/>
      <c r="AC130" s="3556">
        <f t="shared" si="138"/>
        <v>0</v>
      </c>
      <c r="AD130" s="3556">
        <f t="shared" si="228"/>
        <v>0</v>
      </c>
      <c r="AE130" s="3556">
        <f t="shared" si="228"/>
        <v>0</v>
      </c>
      <c r="AF130" s="3556">
        <f t="shared" si="140"/>
        <v>0</v>
      </c>
      <c r="AG130" s="3556"/>
      <c r="AH130" s="3557">
        <f t="shared" si="141"/>
        <v>0</v>
      </c>
      <c r="AI130" s="3558">
        <f t="shared" si="229"/>
        <v>0</v>
      </c>
      <c r="AJ130" s="3558">
        <f t="shared" si="229"/>
        <v>0</v>
      </c>
      <c r="AK130" s="3557">
        <f t="shared" si="159"/>
        <v>0</v>
      </c>
      <c r="AL130" s="3557"/>
      <c r="AM130" s="3547"/>
      <c r="AN130" s="3609"/>
      <c r="AO130" s="3562"/>
      <c r="AP130" s="3561">
        <f t="shared" si="199"/>
        <v>0</v>
      </c>
      <c r="AQ130" s="3559"/>
      <c r="AR130" s="3562"/>
      <c r="AS130" s="3561">
        <f t="shared" si="200"/>
        <v>0</v>
      </c>
      <c r="AT130" s="3563" t="s">
        <v>4889</v>
      </c>
      <c r="AU130" s="3547"/>
      <c r="AV130" s="3609"/>
      <c r="AW130" s="3562"/>
      <c r="AX130" s="3561">
        <f t="shared" si="201"/>
        <v>0</v>
      </c>
      <c r="AY130" s="3559"/>
      <c r="AZ130" s="3562"/>
      <c r="BA130" s="3561">
        <f t="shared" si="202"/>
        <v>0</v>
      </c>
      <c r="BB130" s="3563" t="s">
        <v>4889</v>
      </c>
      <c r="BC130" s="3547"/>
      <c r="BD130" s="3609"/>
      <c r="BE130" s="3562"/>
      <c r="BF130" s="3561">
        <f t="shared" si="203"/>
        <v>0</v>
      </c>
      <c r="BG130" s="3559"/>
      <c r="BH130" s="3562"/>
      <c r="BI130" s="3561">
        <f t="shared" si="204"/>
        <v>0</v>
      </c>
      <c r="BJ130" s="3563" t="s">
        <v>4889</v>
      </c>
      <c r="BK130" s="3547"/>
      <c r="BL130" s="3609"/>
      <c r="BM130" s="3562"/>
      <c r="BN130" s="3561">
        <f t="shared" si="205"/>
        <v>0</v>
      </c>
      <c r="BO130" s="3559"/>
      <c r="BP130" s="3562"/>
      <c r="BQ130" s="3561">
        <f t="shared" si="206"/>
        <v>0</v>
      </c>
      <c r="BR130" s="3563" t="s">
        <v>4889</v>
      </c>
      <c r="BS130" s="3547"/>
      <c r="BT130" s="3609"/>
      <c r="BU130" s="3562"/>
      <c r="BV130" s="3561">
        <f t="shared" si="207"/>
        <v>0</v>
      </c>
      <c r="BW130" s="3559"/>
      <c r="BX130" s="3562"/>
      <c r="BY130" s="3561">
        <f t="shared" si="208"/>
        <v>0</v>
      </c>
      <c r="BZ130" s="3563" t="s">
        <v>4889</v>
      </c>
      <c r="CA130" s="3547"/>
      <c r="CB130" s="3621"/>
      <c r="CC130" s="3603"/>
      <c r="CD130" s="3602">
        <f t="shared" si="164"/>
        <v>0</v>
      </c>
      <c r="CE130" s="3604"/>
      <c r="CF130" s="3562"/>
      <c r="CG130" s="3561">
        <f t="shared" si="165"/>
        <v>0</v>
      </c>
      <c r="CH130" s="3563" t="s">
        <v>4889</v>
      </c>
      <c r="CI130" s="3547"/>
      <c r="CJ130" s="3609"/>
      <c r="CK130" s="3562"/>
      <c r="CL130" s="3561">
        <f t="shared" si="133"/>
        <v>0</v>
      </c>
      <c r="CM130" s="3559"/>
      <c r="CN130" s="3562"/>
      <c r="CO130" s="3561">
        <f t="shared" si="166"/>
        <v>0</v>
      </c>
      <c r="CP130" s="3563" t="s">
        <v>4889</v>
      </c>
      <c r="CQ130" s="3547"/>
      <c r="CR130" s="3609"/>
      <c r="CS130" s="3562"/>
      <c r="CT130" s="3561">
        <f t="shared" si="167"/>
        <v>0</v>
      </c>
      <c r="CU130" s="3559"/>
      <c r="CV130" s="3562"/>
      <c r="CW130" s="3561">
        <f t="shared" si="168"/>
        <v>0</v>
      </c>
      <c r="CX130" s="3563" t="s">
        <v>4889</v>
      </c>
      <c r="CY130" s="3547"/>
      <c r="CZ130" s="3609"/>
      <c r="DA130" s="3562"/>
      <c r="DB130" s="3561">
        <f t="shared" si="169"/>
        <v>0</v>
      </c>
      <c r="DC130" s="3559"/>
      <c r="DD130" s="3562"/>
      <c r="DE130" s="3561">
        <f t="shared" si="170"/>
        <v>0</v>
      </c>
      <c r="DF130" s="3563" t="s">
        <v>4889</v>
      </c>
      <c r="DG130" s="3547"/>
      <c r="DH130" s="3609"/>
      <c r="DI130" s="3562"/>
      <c r="DJ130" s="3561">
        <f t="shared" si="171"/>
        <v>0</v>
      </c>
      <c r="DK130" s="3559"/>
      <c r="DL130" s="3562"/>
      <c r="DM130" s="3561">
        <f t="shared" si="172"/>
        <v>0</v>
      </c>
      <c r="DN130" s="3563"/>
      <c r="DO130" s="3547"/>
      <c r="DP130" s="3609"/>
      <c r="DQ130" s="3562"/>
      <c r="DR130" s="3561">
        <f t="shared" si="173"/>
        <v>0</v>
      </c>
      <c r="DS130" s="3559"/>
      <c r="DT130" s="3562"/>
      <c r="DU130" s="3561">
        <f t="shared" si="209"/>
        <v>0</v>
      </c>
      <c r="DV130" s="3563"/>
      <c r="DW130" s="3547"/>
      <c r="DX130" s="3609"/>
      <c r="DY130" s="3562"/>
      <c r="DZ130" s="3561">
        <f t="shared" si="175"/>
        <v>0</v>
      </c>
      <c r="EA130" s="3559"/>
      <c r="EB130" s="3562"/>
      <c r="EC130" s="3561">
        <f t="shared" si="176"/>
        <v>0</v>
      </c>
      <c r="ED130" s="3563"/>
      <c r="EE130" s="3564"/>
      <c r="EF130" s="3565">
        <f t="shared" si="153"/>
        <v>0</v>
      </c>
      <c r="EG130" s="3565">
        <f t="shared" si="230"/>
        <v>0</v>
      </c>
      <c r="EH130" s="3565">
        <f t="shared" si="230"/>
        <v>0</v>
      </c>
      <c r="EI130" s="3565">
        <f t="shared" si="230"/>
        <v>0</v>
      </c>
      <c r="EJ130" s="3565">
        <f t="shared" si="154"/>
        <v>0</v>
      </c>
      <c r="EK130" s="3566">
        <f t="shared" si="155"/>
        <v>0</v>
      </c>
      <c r="EL130" s="3610"/>
      <c r="EM130" s="3567">
        <f t="shared" si="156"/>
        <v>0</v>
      </c>
      <c r="EN130" s="3557">
        <f t="shared" si="231"/>
        <v>0</v>
      </c>
      <c r="EO130" s="3557">
        <f t="shared" si="231"/>
        <v>0</v>
      </c>
      <c r="EP130" s="3557">
        <f t="shared" si="231"/>
        <v>0</v>
      </c>
      <c r="EQ130" s="3557">
        <f t="shared" si="157"/>
        <v>0</v>
      </c>
      <c r="ER130" s="3557">
        <f t="shared" si="158"/>
        <v>0</v>
      </c>
      <c r="ES130" s="3557"/>
      <c r="ET130" s="3568"/>
      <c r="EU130" s="3569"/>
      <c r="EV130" s="3562"/>
      <c r="EW130" s="3547">
        <f t="shared" si="210"/>
        <v>0</v>
      </c>
      <c r="EX130" s="3568"/>
      <c r="EY130" s="3569"/>
      <c r="EZ130" s="3562"/>
      <c r="FA130" s="3547">
        <f t="shared" si="211"/>
        <v>0</v>
      </c>
      <c r="FB130" s="3568"/>
      <c r="FC130" s="3569"/>
      <c r="FD130" s="3562"/>
      <c r="FE130" s="3547">
        <f t="shared" si="212"/>
        <v>0</v>
      </c>
      <c r="FF130" s="3568"/>
      <c r="FG130" s="3569"/>
      <c r="FH130" s="3562"/>
      <c r="FI130" s="3547">
        <f t="shared" si="213"/>
        <v>0</v>
      </c>
      <c r="FJ130" s="3568"/>
      <c r="FK130" s="3569"/>
      <c r="FL130" s="3562"/>
      <c r="FM130" s="3547">
        <f t="shared" si="214"/>
        <v>0</v>
      </c>
      <c r="FN130" s="3568"/>
      <c r="FO130" s="3569"/>
      <c r="FP130" s="3562"/>
      <c r="FQ130" s="3547">
        <f t="shared" si="215"/>
        <v>0</v>
      </c>
      <c r="FR130" s="3568"/>
      <c r="FS130" s="3569"/>
      <c r="FT130" s="3562"/>
      <c r="FU130" s="3547">
        <f t="shared" si="216"/>
        <v>0</v>
      </c>
      <c r="FV130" s="3568"/>
      <c r="FW130" s="3569"/>
      <c r="FX130" s="3562"/>
      <c r="FY130" s="3547">
        <f t="shared" si="217"/>
        <v>0</v>
      </c>
      <c r="FZ130" s="3568"/>
      <c r="GA130" s="3569"/>
      <c r="GB130" s="3562"/>
      <c r="GC130" s="3547">
        <f t="shared" si="218"/>
        <v>0</v>
      </c>
      <c r="GD130" s="3568"/>
      <c r="GE130" s="3569"/>
      <c r="GF130" s="3562"/>
      <c r="GG130" s="3547">
        <f t="shared" si="219"/>
        <v>0</v>
      </c>
      <c r="GH130" s="3568"/>
      <c r="GI130" s="3569"/>
      <c r="GJ130" s="3562"/>
      <c r="GK130" s="3547">
        <f t="shared" si="181"/>
        <v>0</v>
      </c>
      <c r="GL130" s="3568"/>
      <c r="GM130" s="3569"/>
      <c r="GN130" s="3562"/>
      <c r="GO130" s="3547">
        <f t="shared" si="182"/>
        <v>0</v>
      </c>
      <c r="GP130" s="3568"/>
      <c r="GQ130" s="3569"/>
      <c r="GR130" s="3562"/>
      <c r="GS130" s="3547">
        <f t="shared" si="183"/>
        <v>0</v>
      </c>
      <c r="GT130" s="3568"/>
      <c r="GU130" s="3569"/>
      <c r="GV130" s="3562"/>
      <c r="GW130" s="3547">
        <f t="shared" si="184"/>
        <v>0</v>
      </c>
      <c r="GX130" s="3568"/>
      <c r="GY130" s="3569"/>
      <c r="GZ130" s="3562"/>
      <c r="HA130" s="3547">
        <f t="shared" si="185"/>
        <v>0</v>
      </c>
      <c r="HB130" s="3568"/>
      <c r="HC130" s="3569"/>
      <c r="HD130" s="3562"/>
      <c r="HE130" s="3547">
        <f t="shared" si="186"/>
        <v>0</v>
      </c>
      <c r="HF130" s="3568"/>
      <c r="HG130" s="3569"/>
      <c r="HH130" s="3562"/>
      <c r="HI130" s="3547">
        <f t="shared" si="224"/>
        <v>0</v>
      </c>
      <c r="HJ130" s="3568"/>
      <c r="HK130" s="3569"/>
      <c r="HL130" s="3562"/>
      <c r="HM130" s="3547">
        <f t="shared" si="220"/>
        <v>0</v>
      </c>
      <c r="HN130" s="3568"/>
      <c r="HO130" s="3569"/>
      <c r="HP130" s="3562"/>
      <c r="HQ130" s="3547">
        <f t="shared" si="225"/>
        <v>0</v>
      </c>
      <c r="HR130" s="3568"/>
      <c r="HS130" s="3569"/>
      <c r="HT130" s="3562"/>
      <c r="HU130" s="3547">
        <f t="shared" si="221"/>
        <v>0</v>
      </c>
      <c r="HV130" s="3568"/>
      <c r="HW130" s="3569"/>
      <c r="HX130" s="3562"/>
      <c r="HY130" s="3547">
        <f t="shared" si="226"/>
        <v>0</v>
      </c>
      <c r="HZ130" s="3568"/>
      <c r="IA130" s="3569"/>
      <c r="IB130" s="3562"/>
      <c r="IC130" s="3547">
        <f t="shared" si="222"/>
        <v>0</v>
      </c>
      <c r="ID130" s="3568"/>
      <c r="IE130" s="3569"/>
      <c r="IF130" s="3562"/>
      <c r="IG130" s="3547">
        <f t="shared" si="227"/>
        <v>0</v>
      </c>
      <c r="IH130" s="3568"/>
      <c r="II130" s="3569"/>
      <c r="IJ130" s="3562"/>
      <c r="IK130" s="3547">
        <f t="shared" si="223"/>
        <v>0</v>
      </c>
      <c r="IL130" s="3571"/>
      <c r="IM130" s="3569"/>
      <c r="IN130" s="3569"/>
      <c r="IO130" s="3571"/>
      <c r="IP130" s="3560">
        <f t="shared" si="195"/>
        <v>0</v>
      </c>
      <c r="IQ130" s="3568"/>
      <c r="IR130" s="3568"/>
      <c r="IS130" s="3568"/>
      <c r="IT130" s="3568"/>
      <c r="IU130" s="3568"/>
      <c r="IV130" s="3568"/>
      <c r="IW130" s="3568"/>
      <c r="IX130" s="3568"/>
      <c r="IY130" s="3568"/>
      <c r="IZ130" s="3560"/>
      <c r="JA130" s="3560"/>
      <c r="JB130" s="3560"/>
      <c r="JC130" s="3560">
        <f t="shared" si="134"/>
        <v>0</v>
      </c>
      <c r="JD130" s="3571"/>
      <c r="JE130" s="3568"/>
      <c r="JF130" s="3568"/>
      <c r="JG130" s="3568"/>
      <c r="JH130" s="3568"/>
      <c r="JI130" s="3568"/>
      <c r="JJ130" s="3568"/>
      <c r="JK130" s="3568"/>
      <c r="JL130" s="3568"/>
      <c r="JM130" s="3568"/>
      <c r="JN130" s="3560"/>
      <c r="JO130" s="3560"/>
      <c r="JP130" s="3571"/>
      <c r="JQ130" s="3583"/>
      <c r="JR130" s="3583"/>
      <c r="JS130" s="3573">
        <f t="shared" si="145"/>
        <v>0</v>
      </c>
      <c r="JT130" s="3573">
        <f t="shared" si="152"/>
        <v>0</v>
      </c>
      <c r="JU130" s="3574">
        <f t="shared" si="146"/>
        <v>0</v>
      </c>
      <c r="JV130" s="3574">
        <f t="shared" si="147"/>
        <v>0</v>
      </c>
      <c r="JW130" s="3575"/>
      <c r="JX130" s="3576">
        <f t="shared" si="148"/>
        <v>0</v>
      </c>
      <c r="JY130" s="3576">
        <f t="shared" si="149"/>
        <v>0</v>
      </c>
      <c r="JZ130" s="3577"/>
      <c r="KA130" s="3573">
        <f t="shared" si="234"/>
        <v>0</v>
      </c>
      <c r="KB130" s="3573"/>
      <c r="KC130" s="3573"/>
      <c r="KD130" s="3573">
        <f t="shared" si="150"/>
        <v>0</v>
      </c>
      <c r="KE130" s="3571"/>
      <c r="KF130" s="3579"/>
      <c r="KG130" s="3579"/>
      <c r="KH130" s="3579"/>
      <c r="KI130" s="3579"/>
      <c r="KJ130" s="3579"/>
      <c r="KK130" s="3579"/>
      <c r="KL130" s="3579"/>
      <c r="KM130" s="3579"/>
      <c r="KN130" s="3579"/>
      <c r="KO130" s="3579"/>
      <c r="KP130" s="3579"/>
      <c r="KQ130" s="3579">
        <f t="shared" si="151"/>
        <v>0</v>
      </c>
      <c r="KR130" s="3579">
        <f t="shared" si="196"/>
        <v>0</v>
      </c>
      <c r="KS130" s="3577"/>
      <c r="KT130" s="3577"/>
      <c r="KU130" s="3577"/>
      <c r="KV130" s="3577"/>
      <c r="KW130" s="3577"/>
      <c r="KX130" s="3577"/>
      <c r="KY130" s="3577"/>
      <c r="KZ130" s="3577"/>
      <c r="LA130" s="3577"/>
      <c r="LB130" s="3577"/>
      <c r="LC130" s="3577"/>
      <c r="LD130" s="3577"/>
      <c r="LE130" s="3577"/>
      <c r="LF130" s="3577"/>
      <c r="LG130" s="3577"/>
      <c r="LH130" s="3577"/>
      <c r="LJ130" s="3575"/>
      <c r="LK130" s="3571"/>
      <c r="LL130" s="3576"/>
    </row>
    <row r="131" spans="1:16370" s="3580" customFormat="1" ht="18" customHeight="1">
      <c r="A131" s="3545">
        <v>128</v>
      </c>
      <c r="B131" s="3546" t="s">
        <v>4818</v>
      </c>
      <c r="C131" s="3694" t="s">
        <v>4890</v>
      </c>
      <c r="D131" s="3695">
        <v>30</v>
      </c>
      <c r="E131" s="3548" t="s">
        <v>3799</v>
      </c>
      <c r="F131" s="3546" t="s">
        <v>3790</v>
      </c>
      <c r="G131" s="3546" t="s">
        <v>4891</v>
      </c>
      <c r="H131" s="3546" t="s">
        <v>4892</v>
      </c>
      <c r="I131" s="3594" t="s">
        <v>4490</v>
      </c>
      <c r="J131" s="3594" t="s">
        <v>4491</v>
      </c>
      <c r="K131" s="3545" t="s">
        <v>3925</v>
      </c>
      <c r="L131" s="3555"/>
      <c r="M131" s="3551">
        <v>30577.89</v>
      </c>
      <c r="N131" s="3551">
        <f>21144.64+20000+383.25+1314</f>
        <v>42841.89</v>
      </c>
      <c r="O131" s="3551">
        <f t="shared" si="135"/>
        <v>12264</v>
      </c>
      <c r="P131" s="3547">
        <v>2272.14</v>
      </c>
      <c r="Q131" s="3547">
        <f>X131*3</f>
        <v>2272.14</v>
      </c>
      <c r="R131" s="3547">
        <f t="shared" si="235"/>
        <v>0</v>
      </c>
      <c r="S131" s="3547">
        <f t="shared" si="232"/>
        <v>11.170005479452055</v>
      </c>
      <c r="T131" s="3658">
        <v>10192.629999999999</v>
      </c>
      <c r="U131" s="3553">
        <f t="shared" si="136"/>
        <v>122311.56</v>
      </c>
      <c r="V131" s="3547">
        <f>T131*12</f>
        <v>122311.56</v>
      </c>
      <c r="W131" s="3547">
        <f t="shared" si="233"/>
        <v>0.83000547945205472</v>
      </c>
      <c r="X131" s="3693">
        <v>757.38</v>
      </c>
      <c r="Y131" s="3547">
        <f t="shared" si="198"/>
        <v>9088.56</v>
      </c>
      <c r="Z131" s="3554"/>
      <c r="AA131" s="3555"/>
      <c r="AB131" s="3593" t="s">
        <v>4876</v>
      </c>
      <c r="AC131" s="3556">
        <f t="shared" si="138"/>
        <v>122311.56</v>
      </c>
      <c r="AD131" s="3556">
        <f t="shared" si="228"/>
        <v>122311.56</v>
      </c>
      <c r="AE131" s="3556">
        <f t="shared" si="228"/>
        <v>122311.56</v>
      </c>
      <c r="AF131" s="3556">
        <f t="shared" si="140"/>
        <v>0</v>
      </c>
      <c r="AG131" s="3556"/>
      <c r="AH131" s="3557">
        <f t="shared" si="141"/>
        <v>9088.56</v>
      </c>
      <c r="AI131" s="3558">
        <f t="shared" si="229"/>
        <v>9088.56</v>
      </c>
      <c r="AJ131" s="3558">
        <f t="shared" si="229"/>
        <v>9088.56</v>
      </c>
      <c r="AK131" s="3557">
        <f t="shared" si="159"/>
        <v>0</v>
      </c>
      <c r="AL131" s="3557"/>
      <c r="AM131" s="3547" t="s">
        <v>4893</v>
      </c>
      <c r="AN131" s="3609">
        <f>10192.63*12</f>
        <v>122311.56</v>
      </c>
      <c r="AO131" s="3562">
        <v>122311.56</v>
      </c>
      <c r="AP131" s="3561">
        <f t="shared" si="199"/>
        <v>0</v>
      </c>
      <c r="AQ131" s="3559">
        <f>757.38*12</f>
        <v>9088.56</v>
      </c>
      <c r="AR131" s="3562">
        <v>9088.56</v>
      </c>
      <c r="AS131" s="3561">
        <f t="shared" si="200"/>
        <v>0</v>
      </c>
      <c r="AT131" s="3686" t="s">
        <v>4894</v>
      </c>
      <c r="AU131" s="3547"/>
      <c r="AV131" s="3609"/>
      <c r="AW131" s="3562"/>
      <c r="AX131" s="3561">
        <f t="shared" si="201"/>
        <v>0</v>
      </c>
      <c r="AY131" s="3609"/>
      <c r="AZ131" s="3562"/>
      <c r="BA131" s="3561">
        <f t="shared" si="202"/>
        <v>0</v>
      </c>
      <c r="BB131" s="3686" t="s">
        <v>4894</v>
      </c>
      <c r="BC131" s="3547"/>
      <c r="BD131" s="3609"/>
      <c r="BE131" s="3562"/>
      <c r="BF131" s="3561">
        <f t="shared" si="203"/>
        <v>0</v>
      </c>
      <c r="BG131" s="3609"/>
      <c r="BH131" s="3562"/>
      <c r="BI131" s="3561">
        <f t="shared" si="204"/>
        <v>0</v>
      </c>
      <c r="BJ131" s="3686" t="s">
        <v>4894</v>
      </c>
      <c r="BK131" s="3547"/>
      <c r="BL131" s="3609"/>
      <c r="BM131" s="3562"/>
      <c r="BN131" s="3561">
        <f t="shared" si="205"/>
        <v>0</v>
      </c>
      <c r="BO131" s="3609"/>
      <c r="BP131" s="3562"/>
      <c r="BQ131" s="3561">
        <f t="shared" si="206"/>
        <v>0</v>
      </c>
      <c r="BR131" s="3686" t="s">
        <v>4894</v>
      </c>
      <c r="BS131" s="3547"/>
      <c r="BT131" s="3609"/>
      <c r="BU131" s="3562"/>
      <c r="BV131" s="3561">
        <f t="shared" si="207"/>
        <v>0</v>
      </c>
      <c r="BW131" s="3609"/>
      <c r="BX131" s="3562"/>
      <c r="BY131" s="3561">
        <f t="shared" si="208"/>
        <v>0</v>
      </c>
      <c r="BZ131" s="3686" t="s">
        <v>4894</v>
      </c>
      <c r="CA131" s="3547"/>
      <c r="CB131" s="3609"/>
      <c r="CC131" s="3562"/>
      <c r="CD131" s="3561">
        <f t="shared" si="164"/>
        <v>0</v>
      </c>
      <c r="CE131" s="3609"/>
      <c r="CF131" s="3562"/>
      <c r="CG131" s="3561">
        <f t="shared" si="165"/>
        <v>0</v>
      </c>
      <c r="CH131" s="3686" t="s">
        <v>4894</v>
      </c>
      <c r="CI131" s="3547"/>
      <c r="CJ131" s="3609"/>
      <c r="CK131" s="3562"/>
      <c r="CL131" s="3561">
        <f t="shared" si="133"/>
        <v>0</v>
      </c>
      <c r="CM131" s="3609"/>
      <c r="CN131" s="3562"/>
      <c r="CO131" s="3561">
        <f t="shared" si="166"/>
        <v>0</v>
      </c>
      <c r="CP131" s="3686" t="s">
        <v>4894</v>
      </c>
      <c r="CQ131" s="3547"/>
      <c r="CR131" s="3609"/>
      <c r="CS131" s="3562"/>
      <c r="CT131" s="3561">
        <f t="shared" si="167"/>
        <v>0</v>
      </c>
      <c r="CU131" s="3609"/>
      <c r="CV131" s="3562"/>
      <c r="CW131" s="3561">
        <f t="shared" si="168"/>
        <v>0</v>
      </c>
      <c r="CX131" s="3686" t="s">
        <v>4894</v>
      </c>
      <c r="CY131" s="3547"/>
      <c r="CZ131" s="3609"/>
      <c r="DA131" s="3562"/>
      <c r="DB131" s="3561">
        <f t="shared" si="169"/>
        <v>0</v>
      </c>
      <c r="DC131" s="3609"/>
      <c r="DD131" s="3562"/>
      <c r="DE131" s="3561">
        <f t="shared" si="170"/>
        <v>0</v>
      </c>
      <c r="DF131" s="3686" t="s">
        <v>4894</v>
      </c>
      <c r="DG131" s="3547"/>
      <c r="DH131" s="3609"/>
      <c r="DI131" s="3562"/>
      <c r="DJ131" s="3561">
        <f t="shared" si="171"/>
        <v>0</v>
      </c>
      <c r="DK131" s="3609"/>
      <c r="DL131" s="3562"/>
      <c r="DM131" s="3561">
        <f t="shared" si="172"/>
        <v>0</v>
      </c>
      <c r="DN131" s="3563"/>
      <c r="DO131" s="3547"/>
      <c r="DP131" s="3609"/>
      <c r="DQ131" s="3562"/>
      <c r="DR131" s="3561">
        <f t="shared" si="173"/>
        <v>0</v>
      </c>
      <c r="DS131" s="3609"/>
      <c r="DT131" s="3562"/>
      <c r="DU131" s="3561">
        <f t="shared" si="209"/>
        <v>0</v>
      </c>
      <c r="DV131" s="3563"/>
      <c r="DW131" s="3547"/>
      <c r="DX131" s="3609"/>
      <c r="DY131" s="3562"/>
      <c r="DZ131" s="3561">
        <f t="shared" si="175"/>
        <v>0</v>
      </c>
      <c r="EA131" s="3609"/>
      <c r="EB131" s="3562"/>
      <c r="EC131" s="3561">
        <f t="shared" si="176"/>
        <v>0</v>
      </c>
      <c r="ED131" s="3563"/>
      <c r="EE131" s="3564"/>
      <c r="EF131" s="3565">
        <f t="shared" si="153"/>
        <v>98237.142857142884</v>
      </c>
      <c r="EG131" s="3565">
        <f t="shared" si="230"/>
        <v>74329.64285714287</v>
      </c>
      <c r="EH131" s="3565">
        <f t="shared" si="230"/>
        <v>88234.447619047598</v>
      </c>
      <c r="EI131" s="3565">
        <f t="shared" si="230"/>
        <v>88234.447619047598</v>
      </c>
      <c r="EJ131" s="3565">
        <f t="shared" si="154"/>
        <v>13904.804761904728</v>
      </c>
      <c r="EK131" s="3566">
        <f t="shared" si="155"/>
        <v>0</v>
      </c>
      <c r="EL131" s="3610"/>
      <c r="EM131" s="3567">
        <f t="shared" si="156"/>
        <v>8574.0566037735862</v>
      </c>
      <c r="EN131" s="3557">
        <f t="shared" si="231"/>
        <v>6430.5424528301892</v>
      </c>
      <c r="EO131" s="3557">
        <f t="shared" si="231"/>
        <v>6430.5849056603756</v>
      </c>
      <c r="EP131" s="3557">
        <f t="shared" si="231"/>
        <v>6430.5849056603756</v>
      </c>
      <c r="EQ131" s="3557">
        <f t="shared" si="157"/>
        <v>4.2452830186448409E-2</v>
      </c>
      <c r="ER131" s="3557">
        <f t="shared" si="158"/>
        <v>0</v>
      </c>
      <c r="ES131" s="3557"/>
      <c r="ET131" s="3568">
        <v>10576.309523809499</v>
      </c>
      <c r="EU131" s="3569">
        <f>133261.56/12/1.05</f>
        <v>10576.314285714285</v>
      </c>
      <c r="EV131" s="3562">
        <f>133261.56/12/1.05</f>
        <v>10576.314285714285</v>
      </c>
      <c r="EW131" s="3547">
        <f t="shared" si="210"/>
        <v>4.7619047854823293E-3</v>
      </c>
      <c r="EX131" s="3568">
        <v>714.50471698113199</v>
      </c>
      <c r="EY131" s="3569">
        <f>757.38/1.06</f>
        <v>714.5094339622641</v>
      </c>
      <c r="EZ131" s="3562">
        <f>9088.56/12/1.06</f>
        <v>714.5094339622641</v>
      </c>
      <c r="FA131" s="3547">
        <f t="shared" si="211"/>
        <v>4.7169811321055022E-3</v>
      </c>
      <c r="FB131" s="3568">
        <v>7969.1666666666697</v>
      </c>
      <c r="FC131" s="3569">
        <f>10192.63/1.05</f>
        <v>9707.2666666666646</v>
      </c>
      <c r="FD131" s="3562">
        <f>122311.56/12/1.05</f>
        <v>9707.2666666666646</v>
      </c>
      <c r="FE131" s="3547">
        <f t="shared" si="212"/>
        <v>1738.0999999999949</v>
      </c>
      <c r="FF131" s="3568">
        <v>714.50471698113199</v>
      </c>
      <c r="FG131" s="3569">
        <f>757.38/1.06</f>
        <v>714.5094339622641</v>
      </c>
      <c r="FH131" s="3562">
        <f>9088.56/12/1.06</f>
        <v>714.5094339622641</v>
      </c>
      <c r="FI131" s="3547">
        <f t="shared" si="213"/>
        <v>4.7169811321055022E-3</v>
      </c>
      <c r="FJ131" s="3568">
        <v>7969.1666666666697</v>
      </c>
      <c r="FK131" s="3569">
        <f>10192.63/1.05</f>
        <v>9707.2666666666646</v>
      </c>
      <c r="FL131" s="3562">
        <f>122311.56/12/1.05</f>
        <v>9707.2666666666646</v>
      </c>
      <c r="FM131" s="3547">
        <f t="shared" si="214"/>
        <v>1738.0999999999949</v>
      </c>
      <c r="FN131" s="3568">
        <v>714.50471698113199</v>
      </c>
      <c r="FO131" s="3569">
        <f>757.38/1.06</f>
        <v>714.5094339622641</v>
      </c>
      <c r="FP131" s="3562">
        <f>9088.56/12/1.06</f>
        <v>714.5094339622641</v>
      </c>
      <c r="FQ131" s="3547">
        <f t="shared" si="215"/>
        <v>4.7169811321055022E-3</v>
      </c>
      <c r="FR131" s="3568">
        <v>7969.1666666666697</v>
      </c>
      <c r="FS131" s="3569">
        <f>10192.63/1.05</f>
        <v>9707.2666666666646</v>
      </c>
      <c r="FT131" s="3562">
        <f>122311.56/12/1.05</f>
        <v>9707.2666666666646</v>
      </c>
      <c r="FU131" s="3547">
        <f t="shared" si="216"/>
        <v>1738.0999999999949</v>
      </c>
      <c r="FV131" s="3568">
        <v>714.50471698113199</v>
      </c>
      <c r="FW131" s="3569">
        <f>757.38/1.06</f>
        <v>714.5094339622641</v>
      </c>
      <c r="FX131" s="3562">
        <f>9088.56/12/1.06</f>
        <v>714.5094339622641</v>
      </c>
      <c r="FY131" s="3547">
        <f t="shared" si="217"/>
        <v>4.7169811321055022E-3</v>
      </c>
      <c r="FZ131" s="3568">
        <v>7969.1666666666697</v>
      </c>
      <c r="GA131" s="3569">
        <f>10192.63/1.05</f>
        <v>9707.2666666666646</v>
      </c>
      <c r="GB131" s="3562">
        <f>122311.56/12/1.05</f>
        <v>9707.2666666666646</v>
      </c>
      <c r="GC131" s="3547">
        <f t="shared" si="218"/>
        <v>1738.0999999999949</v>
      </c>
      <c r="GD131" s="3568">
        <v>714.50471698113199</v>
      </c>
      <c r="GE131" s="3569">
        <f>757.38/1.06</f>
        <v>714.5094339622641</v>
      </c>
      <c r="GF131" s="3562">
        <f>9088.56/12/1.06</f>
        <v>714.5094339622641</v>
      </c>
      <c r="GG131" s="3547">
        <f t="shared" si="219"/>
        <v>4.7169811321055022E-3</v>
      </c>
      <c r="GH131" s="3568">
        <v>7969.1666666666697</v>
      </c>
      <c r="GI131" s="3569">
        <f>10192.63/1.05</f>
        <v>9707.2666666666646</v>
      </c>
      <c r="GJ131" s="3562">
        <f>122311.56/12/1.05</f>
        <v>9707.2666666666646</v>
      </c>
      <c r="GK131" s="3547">
        <f t="shared" si="181"/>
        <v>1738.0999999999949</v>
      </c>
      <c r="GL131" s="3568">
        <v>714.50471698113199</v>
      </c>
      <c r="GM131" s="3569">
        <f>757.38/1.06</f>
        <v>714.5094339622641</v>
      </c>
      <c r="GN131" s="3562">
        <f>9088.56/12/1.06</f>
        <v>714.5094339622641</v>
      </c>
      <c r="GO131" s="3547">
        <f t="shared" si="182"/>
        <v>4.7169811321055022E-3</v>
      </c>
      <c r="GP131" s="3568">
        <v>7969.1666666666697</v>
      </c>
      <c r="GQ131" s="3569">
        <f>10192.63/1.05</f>
        <v>9707.2666666666646</v>
      </c>
      <c r="GR131" s="3562">
        <f>122311.56/12/1.05</f>
        <v>9707.2666666666646</v>
      </c>
      <c r="GS131" s="3547">
        <f t="shared" si="183"/>
        <v>1738.0999999999949</v>
      </c>
      <c r="GT131" s="3568">
        <v>714.50471698113199</v>
      </c>
      <c r="GU131" s="3569">
        <f>757.38/1.06</f>
        <v>714.5094339622641</v>
      </c>
      <c r="GV131" s="3562">
        <f>9088.56/12/1.06</f>
        <v>714.5094339622641</v>
      </c>
      <c r="GW131" s="3547">
        <f t="shared" si="184"/>
        <v>4.7169811321055022E-3</v>
      </c>
      <c r="GX131" s="3568">
        <v>7969.1666666666697</v>
      </c>
      <c r="GY131" s="3569">
        <f>10192.63/1.05</f>
        <v>9707.2666666666646</v>
      </c>
      <c r="GZ131" s="3562">
        <f>122311.56/12/1.05</f>
        <v>9707.2666666666646</v>
      </c>
      <c r="HA131" s="3547">
        <f t="shared" si="185"/>
        <v>1738.0999999999949</v>
      </c>
      <c r="HB131" s="3568">
        <v>714.50471698113199</v>
      </c>
      <c r="HC131" s="3569">
        <f>757.38/1.06</f>
        <v>714.5094339622641</v>
      </c>
      <c r="HD131" s="3562">
        <f>9088.56/12/1.06</f>
        <v>714.5094339622641</v>
      </c>
      <c r="HE131" s="3547">
        <f t="shared" si="186"/>
        <v>4.7169811321055022E-3</v>
      </c>
      <c r="HF131" s="3568">
        <v>7969.1666666666697</v>
      </c>
      <c r="HG131" s="3569">
        <f>10192.63/1.05</f>
        <v>9707.2666666666646</v>
      </c>
      <c r="HH131" s="3562">
        <f>122311.56/12/1.05</f>
        <v>9707.2666666666646</v>
      </c>
      <c r="HI131" s="3547">
        <f t="shared" si="224"/>
        <v>1738.0999999999949</v>
      </c>
      <c r="HJ131" s="3568">
        <v>714.50471698113199</v>
      </c>
      <c r="HK131" s="3569">
        <f>757.38/1.06</f>
        <v>714.5094339622641</v>
      </c>
      <c r="HL131" s="3562">
        <f>9088.56/12/1.06</f>
        <v>714.5094339622641</v>
      </c>
      <c r="HM131" s="3547">
        <f t="shared" si="220"/>
        <v>4.7169811321055022E-3</v>
      </c>
      <c r="HN131" s="3568">
        <v>7969.1666666666697</v>
      </c>
      <c r="HO131" s="3569">
        <f>10192.63/1.05</f>
        <v>9707.2666666666646</v>
      </c>
      <c r="HP131" s="3562">
        <f>122311.56/12/1.05</f>
        <v>9707.2666666666646</v>
      </c>
      <c r="HQ131" s="3547">
        <f t="shared" si="225"/>
        <v>1738.0999999999949</v>
      </c>
      <c r="HR131" s="3568">
        <v>714.50471698113199</v>
      </c>
      <c r="HS131" s="3569">
        <f>757.38/1.06</f>
        <v>714.5094339622641</v>
      </c>
      <c r="HT131" s="3562">
        <f>9088.56/12/1.06</f>
        <v>714.5094339622641</v>
      </c>
      <c r="HU131" s="3547">
        <f t="shared" si="221"/>
        <v>4.7169811321055022E-3</v>
      </c>
      <c r="HV131" s="3568">
        <v>7969.1666666666697</v>
      </c>
      <c r="HW131" s="3569">
        <f>10192.63/1.05</f>
        <v>9707.2666666666646</v>
      </c>
      <c r="HX131" s="3562">
        <f>122311.56/12/1.05</f>
        <v>9707.2666666666646</v>
      </c>
      <c r="HY131" s="3547">
        <f t="shared" si="226"/>
        <v>1738.0999999999949</v>
      </c>
      <c r="HZ131" s="3568">
        <v>714.50471698113199</v>
      </c>
      <c r="IA131" s="3569">
        <f>757.38/1.06</f>
        <v>714.5094339622641</v>
      </c>
      <c r="IB131" s="3562">
        <f>9088.56/12/1.06</f>
        <v>714.5094339622641</v>
      </c>
      <c r="IC131" s="3547">
        <f t="shared" si="222"/>
        <v>4.7169811321055022E-3</v>
      </c>
      <c r="ID131" s="3568">
        <v>7969.1666666666697</v>
      </c>
      <c r="IE131" s="3569">
        <f>10192.63/1.05</f>
        <v>9707.2666666666646</v>
      </c>
      <c r="IF131" s="3562">
        <f>122311.56/12/1.05</f>
        <v>9707.2666666666646</v>
      </c>
      <c r="IG131" s="3547">
        <f t="shared" si="227"/>
        <v>1738.0999999999949</v>
      </c>
      <c r="IH131" s="3568">
        <v>714.50471698113199</v>
      </c>
      <c r="II131" s="3569">
        <f>757.38/1.06</f>
        <v>714.5094339622641</v>
      </c>
      <c r="IJ131" s="3562">
        <f>9088.56/12/1.06</f>
        <v>714.5094339622641</v>
      </c>
      <c r="IK131" s="3547">
        <f t="shared" si="223"/>
        <v>4.7169811321055022E-3</v>
      </c>
      <c r="IL131" s="3547" t="s">
        <v>3970</v>
      </c>
      <c r="IM131" s="3569">
        <f>10192.63/1.05</f>
        <v>9707.2666666666646</v>
      </c>
      <c r="IN131" s="3569">
        <f>757.38/1.06</f>
        <v>714.5094339622641</v>
      </c>
      <c r="IO131" s="3547" t="s">
        <v>3970</v>
      </c>
      <c r="IP131" s="3560">
        <f t="shared" si="195"/>
        <v>9707.2666666666646</v>
      </c>
      <c r="IQ131" s="3562">
        <f>122311.56/12/1.05</f>
        <v>9707.2666666666646</v>
      </c>
      <c r="IR131" s="3568"/>
      <c r="IS131" s="3568"/>
      <c r="IT131" s="3568"/>
      <c r="IU131" s="3568"/>
      <c r="IV131" s="3568"/>
      <c r="IW131" s="3568"/>
      <c r="IX131" s="3568"/>
      <c r="IY131" s="3568"/>
      <c r="IZ131" s="3560"/>
      <c r="JA131" s="3560"/>
      <c r="JB131" s="3560"/>
      <c r="JC131" s="3560">
        <f t="shared" si="134"/>
        <v>714.5094339622641</v>
      </c>
      <c r="JD131" s="3562">
        <f>9088.56/12/1.06</f>
        <v>714.5094339622641</v>
      </c>
      <c r="JE131" s="3568"/>
      <c r="JF131" s="3568"/>
      <c r="JG131" s="3568"/>
      <c r="JH131" s="3568"/>
      <c r="JI131" s="3568"/>
      <c r="JJ131" s="3568"/>
      <c r="JK131" s="3568"/>
      <c r="JL131" s="3568"/>
      <c r="JM131" s="3568"/>
      <c r="JN131" s="3560"/>
      <c r="JO131" s="3560"/>
      <c r="JP131" s="3547" t="s">
        <v>3837</v>
      </c>
      <c r="JQ131" s="3583">
        <f>11105.13/1.05</f>
        <v>10576.314285714285</v>
      </c>
      <c r="JR131" s="3583">
        <f>757.38/1.06</f>
        <v>714.5094339622641</v>
      </c>
      <c r="JS131" s="3573">
        <f t="shared" si="145"/>
        <v>2.7284841053187847E-11</v>
      </c>
      <c r="JT131" s="3573">
        <f t="shared" si="152"/>
        <v>2.3874235921539366E-12</v>
      </c>
      <c r="JU131" s="3574">
        <f t="shared" si="146"/>
        <v>0</v>
      </c>
      <c r="JV131" s="3574">
        <f t="shared" si="147"/>
        <v>0</v>
      </c>
      <c r="JW131" s="3575"/>
      <c r="JX131" s="3576">
        <f t="shared" si="148"/>
        <v>38829.066666666658</v>
      </c>
      <c r="JY131" s="3576">
        <f t="shared" si="149"/>
        <v>2858.0377358490564</v>
      </c>
      <c r="JZ131" s="3577"/>
      <c r="KA131" s="3573">
        <f t="shared" si="234"/>
        <v>1738.104716981127</v>
      </c>
      <c r="KB131" s="3573"/>
      <c r="KC131" s="3573"/>
      <c r="KD131" s="3573">
        <f t="shared" si="150"/>
        <v>1738.104716981127</v>
      </c>
      <c r="KE131" s="3578" t="s">
        <v>4069</v>
      </c>
      <c r="KF131" s="3579"/>
      <c r="KG131" s="3579"/>
      <c r="KH131" s="3579"/>
      <c r="KI131" s="3579">
        <f>1738.1/10000*8</f>
        <v>1.3904799999999999</v>
      </c>
      <c r="KJ131" s="3579"/>
      <c r="KK131" s="3579"/>
      <c r="KL131" s="3579"/>
      <c r="KM131" s="3579"/>
      <c r="KN131" s="3579"/>
      <c r="KO131" s="3579"/>
      <c r="KP131" s="3579"/>
      <c r="KQ131" s="3579">
        <f t="shared" si="151"/>
        <v>1.3904799999999999</v>
      </c>
      <c r="KR131" s="3579">
        <f t="shared" si="196"/>
        <v>4.7214734915090872E-6</v>
      </c>
      <c r="KS131" s="3577"/>
      <c r="KT131" s="3577"/>
      <c r="KU131" s="3577"/>
      <c r="KV131" s="3577"/>
      <c r="KW131" s="3577"/>
      <c r="KX131" s="3577"/>
      <c r="KY131" s="3577"/>
      <c r="KZ131" s="3577"/>
      <c r="LA131" s="3577"/>
      <c r="LB131" s="3577"/>
      <c r="LC131" s="3577"/>
      <c r="LD131" s="3577"/>
      <c r="LE131" s="3577"/>
      <c r="LF131" s="3577"/>
      <c r="LG131" s="3577"/>
      <c r="LH131" s="3577"/>
      <c r="LJ131" s="3575"/>
      <c r="LK131" s="3626">
        <v>12</v>
      </c>
      <c r="LL131" s="3627">
        <v>14280.63</v>
      </c>
      <c r="LM131" s="3580" t="s">
        <v>4895</v>
      </c>
    </row>
    <row r="132" spans="1:16370" s="3580" customFormat="1" ht="18" customHeight="1">
      <c r="A132" s="3545">
        <v>129</v>
      </c>
      <c r="B132" s="3546" t="s">
        <v>4818</v>
      </c>
      <c r="C132" s="3697" t="s">
        <v>4896</v>
      </c>
      <c r="D132" s="3698">
        <v>45</v>
      </c>
      <c r="E132" s="3596" t="s">
        <v>3845</v>
      </c>
      <c r="F132" s="3546" t="s">
        <v>3790</v>
      </c>
      <c r="G132" s="3595" t="s">
        <v>4897</v>
      </c>
      <c r="H132" s="3546"/>
      <c r="I132" s="3634"/>
      <c r="J132" s="3634"/>
      <c r="K132" s="3545"/>
      <c r="L132" s="3555"/>
      <c r="M132" s="3551"/>
      <c r="N132" s="3551"/>
      <c r="O132" s="3551">
        <f t="shared" si="135"/>
        <v>0</v>
      </c>
      <c r="P132" s="3547"/>
      <c r="Q132" s="3547"/>
      <c r="R132" s="3547">
        <f t="shared" si="235"/>
        <v>0</v>
      </c>
      <c r="S132" s="3547">
        <f t="shared" si="232"/>
        <v>0</v>
      </c>
      <c r="T132" s="3547"/>
      <c r="U132" s="3553">
        <f t="shared" si="136"/>
        <v>0</v>
      </c>
      <c r="V132" s="3547"/>
      <c r="W132" s="3547">
        <f t="shared" si="233"/>
        <v>0</v>
      </c>
      <c r="X132" s="3693"/>
      <c r="Y132" s="3547">
        <f t="shared" si="198"/>
        <v>0</v>
      </c>
      <c r="Z132" s="3554"/>
      <c r="AA132" s="3555"/>
      <c r="AB132" s="3593"/>
      <c r="AC132" s="3556">
        <f t="shared" si="138"/>
        <v>0</v>
      </c>
      <c r="AD132" s="3556">
        <f t="shared" si="228"/>
        <v>0</v>
      </c>
      <c r="AE132" s="3556">
        <f t="shared" si="228"/>
        <v>0</v>
      </c>
      <c r="AF132" s="3556">
        <f t="shared" si="140"/>
        <v>0</v>
      </c>
      <c r="AG132" s="3556"/>
      <c r="AH132" s="3557">
        <f t="shared" si="141"/>
        <v>0</v>
      </c>
      <c r="AI132" s="3558">
        <f t="shared" si="229"/>
        <v>0</v>
      </c>
      <c r="AJ132" s="3558">
        <f t="shared" si="229"/>
        <v>0</v>
      </c>
      <c r="AK132" s="3557">
        <f t="shared" si="159"/>
        <v>0</v>
      </c>
      <c r="AL132" s="3558"/>
      <c r="AM132" s="3547"/>
      <c r="AN132" s="3609"/>
      <c r="AO132" s="3562"/>
      <c r="AP132" s="3561">
        <f t="shared" si="199"/>
        <v>0</v>
      </c>
      <c r="AQ132" s="3559"/>
      <c r="AR132" s="3562"/>
      <c r="AS132" s="3561">
        <f t="shared" si="200"/>
        <v>0</v>
      </c>
      <c r="AT132" s="3686" t="s">
        <v>4898</v>
      </c>
      <c r="AU132" s="3547"/>
      <c r="AV132" s="3609"/>
      <c r="AW132" s="3562"/>
      <c r="AX132" s="3561">
        <f t="shared" si="201"/>
        <v>0</v>
      </c>
      <c r="AY132" s="3559"/>
      <c r="AZ132" s="3562"/>
      <c r="BA132" s="3561">
        <f t="shared" si="202"/>
        <v>0</v>
      </c>
      <c r="BB132" s="3686" t="s">
        <v>4898</v>
      </c>
      <c r="BC132" s="3547"/>
      <c r="BD132" s="3609"/>
      <c r="BE132" s="3562"/>
      <c r="BF132" s="3561">
        <f t="shared" si="203"/>
        <v>0</v>
      </c>
      <c r="BG132" s="3559"/>
      <c r="BH132" s="3562"/>
      <c r="BI132" s="3561">
        <f t="shared" si="204"/>
        <v>0</v>
      </c>
      <c r="BJ132" s="3686" t="s">
        <v>4898</v>
      </c>
      <c r="BK132" s="3547"/>
      <c r="BL132" s="3609"/>
      <c r="BM132" s="3562"/>
      <c r="BN132" s="3561">
        <f t="shared" si="205"/>
        <v>0</v>
      </c>
      <c r="BO132" s="3559"/>
      <c r="BP132" s="3562"/>
      <c r="BQ132" s="3561">
        <f t="shared" si="206"/>
        <v>0</v>
      </c>
      <c r="BR132" s="3686" t="s">
        <v>4898</v>
      </c>
      <c r="BS132" s="3547"/>
      <c r="BT132" s="3609"/>
      <c r="BU132" s="3562"/>
      <c r="BV132" s="3561">
        <f t="shared" si="207"/>
        <v>0</v>
      </c>
      <c r="BW132" s="3559"/>
      <c r="BX132" s="3562"/>
      <c r="BY132" s="3561">
        <f t="shared" si="208"/>
        <v>0</v>
      </c>
      <c r="BZ132" s="3686" t="s">
        <v>4898</v>
      </c>
      <c r="CA132" s="3547"/>
      <c r="CB132" s="3609"/>
      <c r="CC132" s="3562"/>
      <c r="CD132" s="3561">
        <f t="shared" si="164"/>
        <v>0</v>
      </c>
      <c r="CE132" s="3559"/>
      <c r="CF132" s="3562"/>
      <c r="CG132" s="3561">
        <f t="shared" si="165"/>
        <v>0</v>
      </c>
      <c r="CH132" s="3686" t="s">
        <v>4898</v>
      </c>
      <c r="CI132" s="3547"/>
      <c r="CJ132" s="3609"/>
      <c r="CK132" s="3562"/>
      <c r="CL132" s="3561">
        <f t="shared" ref="CL132" si="238">CK132-CJ132</f>
        <v>0</v>
      </c>
      <c r="CM132" s="3559"/>
      <c r="CN132" s="3562"/>
      <c r="CO132" s="3561">
        <f t="shared" si="166"/>
        <v>0</v>
      </c>
      <c r="CP132" s="3686" t="s">
        <v>4898</v>
      </c>
      <c r="CQ132" s="3547"/>
      <c r="CR132" s="3609"/>
      <c r="CS132" s="3562"/>
      <c r="CT132" s="3561">
        <f t="shared" si="167"/>
        <v>0</v>
      </c>
      <c r="CU132" s="3559"/>
      <c r="CV132" s="3562"/>
      <c r="CW132" s="3561">
        <f t="shared" si="168"/>
        <v>0</v>
      </c>
      <c r="CX132" s="3686" t="s">
        <v>4898</v>
      </c>
      <c r="CY132" s="3547"/>
      <c r="CZ132" s="3609"/>
      <c r="DA132" s="3562"/>
      <c r="DB132" s="3561">
        <f t="shared" si="169"/>
        <v>0</v>
      </c>
      <c r="DC132" s="3559"/>
      <c r="DD132" s="3562"/>
      <c r="DE132" s="3561">
        <f t="shared" si="170"/>
        <v>0</v>
      </c>
      <c r="DF132" s="3686" t="s">
        <v>4898</v>
      </c>
      <c r="DG132" s="3547"/>
      <c r="DH132" s="3609"/>
      <c r="DI132" s="3562"/>
      <c r="DJ132" s="3561">
        <f t="shared" si="171"/>
        <v>0</v>
      </c>
      <c r="DK132" s="3559"/>
      <c r="DL132" s="3562"/>
      <c r="DM132" s="3561">
        <f t="shared" si="172"/>
        <v>0</v>
      </c>
      <c r="DN132" s="3563"/>
      <c r="DO132" s="3547"/>
      <c r="DP132" s="3609"/>
      <c r="DQ132" s="3562"/>
      <c r="DR132" s="3561">
        <f t="shared" si="173"/>
        <v>0</v>
      </c>
      <c r="DS132" s="3559"/>
      <c r="DT132" s="3562"/>
      <c r="DU132" s="3561">
        <f t="shared" si="209"/>
        <v>0</v>
      </c>
      <c r="DV132" s="3563"/>
      <c r="DW132" s="3547"/>
      <c r="DX132" s="3609"/>
      <c r="DY132" s="3562"/>
      <c r="DZ132" s="3561">
        <f t="shared" si="175"/>
        <v>0</v>
      </c>
      <c r="EA132" s="3559"/>
      <c r="EB132" s="3562"/>
      <c r="EC132" s="3561">
        <f t="shared" si="176"/>
        <v>0</v>
      </c>
      <c r="ED132" s="3563"/>
      <c r="EF132" s="3565">
        <f t="shared" si="153"/>
        <v>0</v>
      </c>
      <c r="EG132" s="3565">
        <f t="shared" si="230"/>
        <v>0</v>
      </c>
      <c r="EH132" s="3565">
        <f t="shared" si="230"/>
        <v>0</v>
      </c>
      <c r="EI132" s="3565">
        <f t="shared" si="230"/>
        <v>0</v>
      </c>
      <c r="EJ132" s="3565">
        <f t="shared" si="154"/>
        <v>0</v>
      </c>
      <c r="EK132" s="3566">
        <f t="shared" si="155"/>
        <v>0</v>
      </c>
      <c r="EL132" s="3610"/>
      <c r="EM132" s="3567">
        <f t="shared" si="156"/>
        <v>0</v>
      </c>
      <c r="EN132" s="3557">
        <f t="shared" si="231"/>
        <v>0</v>
      </c>
      <c r="EO132" s="3557">
        <f t="shared" si="231"/>
        <v>0</v>
      </c>
      <c r="EP132" s="3557">
        <f t="shared" si="231"/>
        <v>0</v>
      </c>
      <c r="EQ132" s="3557">
        <f t="shared" si="157"/>
        <v>0</v>
      </c>
      <c r="ER132" s="3557">
        <f t="shared" si="158"/>
        <v>0</v>
      </c>
      <c r="ES132" s="3557"/>
      <c r="ET132" s="3568"/>
      <c r="EU132" s="3569"/>
      <c r="EV132" s="3562"/>
      <c r="EW132" s="3547">
        <f t="shared" si="210"/>
        <v>0</v>
      </c>
      <c r="EX132" s="3568"/>
      <c r="EY132" s="3569"/>
      <c r="EZ132" s="3562"/>
      <c r="FA132" s="3547">
        <f t="shared" si="211"/>
        <v>0</v>
      </c>
      <c r="FB132" s="3568"/>
      <c r="FC132" s="3569"/>
      <c r="FD132" s="3562"/>
      <c r="FE132" s="3547">
        <f t="shared" si="212"/>
        <v>0</v>
      </c>
      <c r="FF132" s="3568"/>
      <c r="FG132" s="3569"/>
      <c r="FH132" s="3562"/>
      <c r="FI132" s="3547">
        <f t="shared" si="213"/>
        <v>0</v>
      </c>
      <c r="FJ132" s="3568"/>
      <c r="FK132" s="3569"/>
      <c r="FL132" s="3562"/>
      <c r="FM132" s="3547">
        <f t="shared" si="214"/>
        <v>0</v>
      </c>
      <c r="FN132" s="3568"/>
      <c r="FO132" s="3569"/>
      <c r="FP132" s="3562"/>
      <c r="FQ132" s="3547">
        <f t="shared" si="215"/>
        <v>0</v>
      </c>
      <c r="FR132" s="3568"/>
      <c r="FS132" s="3569"/>
      <c r="FT132" s="3562"/>
      <c r="FU132" s="3547">
        <f t="shared" si="216"/>
        <v>0</v>
      </c>
      <c r="FV132" s="3568"/>
      <c r="FW132" s="3569"/>
      <c r="FX132" s="3562"/>
      <c r="FY132" s="3547">
        <f t="shared" si="217"/>
        <v>0</v>
      </c>
      <c r="FZ132" s="3568"/>
      <c r="GA132" s="3569"/>
      <c r="GB132" s="3562"/>
      <c r="GC132" s="3547">
        <f t="shared" si="218"/>
        <v>0</v>
      </c>
      <c r="GD132" s="3568"/>
      <c r="GE132" s="3569"/>
      <c r="GF132" s="3562"/>
      <c r="GG132" s="3547">
        <f t="shared" si="219"/>
        <v>0</v>
      </c>
      <c r="GH132" s="3568"/>
      <c r="GI132" s="3569"/>
      <c r="GJ132" s="3562"/>
      <c r="GK132" s="3547">
        <f t="shared" si="181"/>
        <v>0</v>
      </c>
      <c r="GL132" s="3568"/>
      <c r="GM132" s="3569"/>
      <c r="GN132" s="3562"/>
      <c r="GO132" s="3547">
        <f t="shared" si="182"/>
        <v>0</v>
      </c>
      <c r="GP132" s="3568"/>
      <c r="GQ132" s="3569"/>
      <c r="GR132" s="3562"/>
      <c r="GS132" s="3547">
        <f t="shared" si="183"/>
        <v>0</v>
      </c>
      <c r="GT132" s="3568"/>
      <c r="GU132" s="3569"/>
      <c r="GV132" s="3562"/>
      <c r="GW132" s="3547">
        <f t="shared" si="184"/>
        <v>0</v>
      </c>
      <c r="GX132" s="3568"/>
      <c r="GY132" s="3569"/>
      <c r="GZ132" s="3562"/>
      <c r="HA132" s="3547">
        <f t="shared" si="185"/>
        <v>0</v>
      </c>
      <c r="HB132" s="3568"/>
      <c r="HC132" s="3569"/>
      <c r="HD132" s="3562"/>
      <c r="HE132" s="3547">
        <f t="shared" si="186"/>
        <v>0</v>
      </c>
      <c r="HF132" s="3568"/>
      <c r="HG132" s="3569"/>
      <c r="HH132" s="3562"/>
      <c r="HI132" s="3547">
        <f t="shared" si="224"/>
        <v>0</v>
      </c>
      <c r="HJ132" s="3568"/>
      <c r="HK132" s="3569"/>
      <c r="HL132" s="3562"/>
      <c r="HM132" s="3547">
        <f t="shared" si="220"/>
        <v>0</v>
      </c>
      <c r="HN132" s="3568"/>
      <c r="HO132" s="3569"/>
      <c r="HP132" s="3562"/>
      <c r="HQ132" s="3547">
        <f t="shared" si="225"/>
        <v>0</v>
      </c>
      <c r="HR132" s="3568"/>
      <c r="HS132" s="3569"/>
      <c r="HT132" s="3562"/>
      <c r="HU132" s="3547">
        <f t="shared" si="221"/>
        <v>0</v>
      </c>
      <c r="HV132" s="3568"/>
      <c r="HW132" s="3569"/>
      <c r="HX132" s="3562"/>
      <c r="HY132" s="3547">
        <f t="shared" si="226"/>
        <v>0</v>
      </c>
      <c r="HZ132" s="3568"/>
      <c r="IA132" s="3569"/>
      <c r="IB132" s="3562"/>
      <c r="IC132" s="3547">
        <f t="shared" si="222"/>
        <v>0</v>
      </c>
      <c r="ID132" s="3568"/>
      <c r="IE132" s="3569"/>
      <c r="IF132" s="3562"/>
      <c r="IG132" s="3547">
        <f t="shared" si="227"/>
        <v>0</v>
      </c>
      <c r="IH132" s="3568"/>
      <c r="II132" s="3569"/>
      <c r="IJ132" s="3562"/>
      <c r="IK132" s="3547">
        <f t="shared" si="223"/>
        <v>0</v>
      </c>
      <c r="IL132" s="3570"/>
      <c r="IM132" s="3569"/>
      <c r="IN132" s="3569"/>
      <c r="IO132" s="3571"/>
      <c r="IP132" s="3560">
        <f t="shared" si="195"/>
        <v>0</v>
      </c>
      <c r="IQ132" s="3568"/>
      <c r="IR132" s="3568"/>
      <c r="IS132" s="3568"/>
      <c r="IT132" s="3568"/>
      <c r="IU132" s="3568"/>
      <c r="IV132" s="3568"/>
      <c r="IW132" s="3568"/>
      <c r="IX132" s="3568"/>
      <c r="IY132" s="3568"/>
      <c r="IZ132" s="3560"/>
      <c r="JA132" s="3560"/>
      <c r="JB132" s="3560"/>
      <c r="JC132" s="3560">
        <f t="shared" ref="JC132" si="239">SUM(JD132:JO132)</f>
        <v>0</v>
      </c>
      <c r="JD132" s="3571"/>
      <c r="JE132" s="3568"/>
      <c r="JF132" s="3568"/>
      <c r="JG132" s="3568"/>
      <c r="JH132" s="3568"/>
      <c r="JI132" s="3568"/>
      <c r="JJ132" s="3568"/>
      <c r="JK132" s="3568"/>
      <c r="JL132" s="3568"/>
      <c r="JM132" s="3568"/>
      <c r="JN132" s="3560"/>
      <c r="JO132" s="3560"/>
      <c r="JP132" s="3570"/>
      <c r="JQ132" s="3583"/>
      <c r="JR132" s="3583"/>
      <c r="JS132" s="3573">
        <f t="shared" si="145"/>
        <v>0</v>
      </c>
      <c r="JT132" s="3573">
        <f t="shared" si="152"/>
        <v>0</v>
      </c>
      <c r="JU132" s="3574">
        <f t="shared" si="146"/>
        <v>0</v>
      </c>
      <c r="JV132" s="3574">
        <f t="shared" si="147"/>
        <v>0</v>
      </c>
      <c r="JW132" s="3575"/>
      <c r="JX132" s="3576">
        <f t="shared" si="148"/>
        <v>0</v>
      </c>
      <c r="JY132" s="3576">
        <f t="shared" si="149"/>
        <v>0</v>
      </c>
      <c r="JZ132" s="3577"/>
      <c r="KA132" s="3573">
        <f t="shared" si="234"/>
        <v>0</v>
      </c>
      <c r="KB132" s="3573"/>
      <c r="KC132" s="3573"/>
      <c r="KD132" s="3573">
        <f t="shared" si="150"/>
        <v>0</v>
      </c>
      <c r="KE132" s="3571"/>
      <c r="KF132" s="3579"/>
      <c r="KG132" s="3579"/>
      <c r="KH132" s="3579"/>
      <c r="KI132" s="3579"/>
      <c r="KJ132" s="3579"/>
      <c r="KK132" s="3579"/>
      <c r="KL132" s="3579"/>
      <c r="KM132" s="3579"/>
      <c r="KN132" s="3579"/>
      <c r="KO132" s="3579"/>
      <c r="KP132" s="3579"/>
      <c r="KQ132" s="3579">
        <f t="shared" si="151"/>
        <v>0</v>
      </c>
      <c r="KR132" s="3579">
        <f t="shared" si="196"/>
        <v>0</v>
      </c>
      <c r="KS132" s="3577"/>
      <c r="KT132" s="3577"/>
      <c r="KU132" s="3577"/>
      <c r="KV132" s="3577"/>
      <c r="KW132" s="3577"/>
      <c r="KX132" s="3577"/>
      <c r="KY132" s="3577"/>
      <c r="KZ132" s="3577"/>
      <c r="LA132" s="3577"/>
      <c r="LB132" s="3577"/>
      <c r="LC132" s="3577"/>
      <c r="LD132" s="3577"/>
      <c r="LE132" s="3577"/>
      <c r="LF132" s="3577"/>
      <c r="LG132" s="3577"/>
      <c r="LH132" s="3577"/>
      <c r="LJ132" s="3575"/>
      <c r="LK132" s="3571"/>
      <c r="LL132" s="3571"/>
    </row>
    <row r="133" spans="1:16370" s="3708" customFormat="1" ht="18" customHeight="1">
      <c r="A133" s="3975" t="s">
        <v>4899</v>
      </c>
      <c r="B133" s="3976"/>
      <c r="C133" s="3699"/>
      <c r="D133" s="3700">
        <f>SUM(D4:D132)</f>
        <v>33723.26</v>
      </c>
      <c r="E133" s="3701"/>
      <c r="F133" s="3699"/>
      <c r="G133" s="3699"/>
      <c r="H133" s="3699"/>
      <c r="I133" s="3700"/>
      <c r="J133" s="3700"/>
      <c r="K133" s="3700"/>
      <c r="L133" s="3700">
        <f t="shared" ref="L133:R133" si="240">SUM(L4:L132)</f>
        <v>0</v>
      </c>
      <c r="M133" s="3700">
        <f t="shared" si="240"/>
        <v>10282317.220000001</v>
      </c>
      <c r="N133" s="3700">
        <f t="shared" si="240"/>
        <v>10554879.580000002</v>
      </c>
      <c r="O133" s="3700">
        <f t="shared" si="240"/>
        <v>272562.36000000004</v>
      </c>
      <c r="P133" s="3700">
        <f t="shared" si="240"/>
        <v>1675470.64</v>
      </c>
      <c r="Q133" s="3700">
        <f t="shared" si="240"/>
        <v>1651480.5599999998</v>
      </c>
      <c r="R133" s="3700">
        <f t="shared" si="240"/>
        <v>-23990.080000000002</v>
      </c>
      <c r="S133" s="3700"/>
      <c r="T133" s="3700">
        <f>SUM(T4:T132)</f>
        <v>3339783.13</v>
      </c>
      <c r="U133" s="3700">
        <f>SUM(U4:U132)</f>
        <v>40070928.020000003</v>
      </c>
      <c r="V133" s="3700">
        <f>SUM(V4:V132)</f>
        <v>80470507.348433778</v>
      </c>
      <c r="W133" s="3700"/>
      <c r="X133" s="3700">
        <f>SUM(X4:X132)</f>
        <v>590116.87</v>
      </c>
      <c r="Y133" s="3700">
        <f>SUM(Y4:Y132)</f>
        <v>7081402.4399999985</v>
      </c>
      <c r="Z133" s="3700">
        <f>SUM(Z4:Z132)</f>
        <v>0</v>
      </c>
      <c r="AA133" s="3702"/>
      <c r="AB133" s="3702"/>
      <c r="AC133" s="3703">
        <f>SUM(AC4:AC132)</f>
        <v>39058874.215041094</v>
      </c>
      <c r="AD133" s="3703">
        <f>SUM(AD4:AD132)</f>
        <v>30646763.581753429</v>
      </c>
      <c r="AE133" s="3703">
        <f>SUM(AE4:AE132)</f>
        <v>30091457.339999996</v>
      </c>
      <c r="AF133" s="3703">
        <f>SUM(AF4:AF132)</f>
        <v>-555306.24175342475</v>
      </c>
      <c r="AG133" s="3610">
        <v>0</v>
      </c>
      <c r="AH133" s="3700">
        <f>SUM(AH4:AH132)</f>
        <v>6984198.2316986285</v>
      </c>
      <c r="AI133" s="3700">
        <f>SUM(AI4:AI132)</f>
        <v>5452929.677863013</v>
      </c>
      <c r="AJ133" s="3700">
        <f>SUM(AJ4:AJ132)</f>
        <v>5364000.3699999992</v>
      </c>
      <c r="AK133" s="3704">
        <f>SUM(AK4:AK132)</f>
        <v>-88929.307863013702</v>
      </c>
      <c r="AL133" s="3700">
        <v>0</v>
      </c>
      <c r="AM133" s="3700">
        <f t="shared" ref="AM133:CX133" si="241">SUM(AM4:AM132)</f>
        <v>0</v>
      </c>
      <c r="AN133" s="3705">
        <f t="shared" si="241"/>
        <v>4346241.38109589</v>
      </c>
      <c r="AO133" s="3706">
        <f t="shared" si="241"/>
        <v>4342942.3399999989</v>
      </c>
      <c r="AP133" s="3705">
        <f t="shared" si="241"/>
        <v>-3299.0410958904149</v>
      </c>
      <c r="AQ133" s="3705">
        <f t="shared" si="241"/>
        <v>767746.61175342405</v>
      </c>
      <c r="AR133" s="3706">
        <f t="shared" si="241"/>
        <v>785764.96999999939</v>
      </c>
      <c r="AS133" s="3705">
        <f t="shared" si="241"/>
        <v>18018.358246575342</v>
      </c>
      <c r="AT133" s="3707">
        <f t="shared" si="241"/>
        <v>0</v>
      </c>
      <c r="AU133" s="3700">
        <f t="shared" si="241"/>
        <v>0</v>
      </c>
      <c r="AV133" s="3700">
        <f t="shared" si="241"/>
        <v>2076536.3765753426</v>
      </c>
      <c r="AW133" s="3703">
        <f t="shared" si="241"/>
        <v>2220313.66</v>
      </c>
      <c r="AX133" s="3703">
        <f t="shared" si="241"/>
        <v>143777.28342465754</v>
      </c>
      <c r="AY133" s="3700">
        <f t="shared" si="241"/>
        <v>332847.03999999998</v>
      </c>
      <c r="AZ133" s="3700">
        <f t="shared" si="241"/>
        <v>345431.81</v>
      </c>
      <c r="BA133" s="3703">
        <f t="shared" si="241"/>
        <v>12584.77</v>
      </c>
      <c r="BB133" s="3707">
        <f t="shared" si="241"/>
        <v>0</v>
      </c>
      <c r="BC133" s="3700">
        <f t="shared" si="241"/>
        <v>0</v>
      </c>
      <c r="BD133" s="3700">
        <f t="shared" si="241"/>
        <v>4061268.6206849325</v>
      </c>
      <c r="BE133" s="3703">
        <f t="shared" si="241"/>
        <v>3905452.1900000009</v>
      </c>
      <c r="BF133" s="3703">
        <f t="shared" si="241"/>
        <v>-155816.43068493149</v>
      </c>
      <c r="BG133" s="3700">
        <f t="shared" si="241"/>
        <v>768370.76257534232</v>
      </c>
      <c r="BH133" s="3700">
        <f t="shared" si="241"/>
        <v>752932.28999999992</v>
      </c>
      <c r="BI133" s="3703">
        <f t="shared" si="241"/>
        <v>-15438.472575342466</v>
      </c>
      <c r="BJ133" s="3707">
        <f t="shared" si="241"/>
        <v>0</v>
      </c>
      <c r="BK133" s="3700">
        <f t="shared" si="241"/>
        <v>0</v>
      </c>
      <c r="BL133" s="3700">
        <f t="shared" si="241"/>
        <v>3048311.0538356169</v>
      </c>
      <c r="BM133" s="3703">
        <f t="shared" si="241"/>
        <v>2147239.0100000002</v>
      </c>
      <c r="BN133" s="3703">
        <f t="shared" si="241"/>
        <v>-901072.04383561655</v>
      </c>
      <c r="BO133" s="3700">
        <f t="shared" si="241"/>
        <v>570923.3789041097</v>
      </c>
      <c r="BP133" s="3700">
        <f t="shared" si="241"/>
        <v>407866</v>
      </c>
      <c r="BQ133" s="3703">
        <f t="shared" si="241"/>
        <v>-163057.37890410959</v>
      </c>
      <c r="BR133" s="3707">
        <f t="shared" si="241"/>
        <v>0</v>
      </c>
      <c r="BS133" s="3700">
        <f t="shared" si="241"/>
        <v>0</v>
      </c>
      <c r="BT133" s="3700">
        <f t="shared" si="241"/>
        <v>2458058.4900000002</v>
      </c>
      <c r="BU133" s="3703">
        <f t="shared" si="241"/>
        <v>3522407.5500000003</v>
      </c>
      <c r="BV133" s="3703">
        <f t="shared" si="241"/>
        <v>1064349.0600000003</v>
      </c>
      <c r="BW133" s="3700">
        <f t="shared" si="241"/>
        <v>222055.80000000008</v>
      </c>
      <c r="BX133" s="3700">
        <f t="shared" si="241"/>
        <v>402036.62000000005</v>
      </c>
      <c r="BY133" s="3703">
        <f t="shared" si="241"/>
        <v>179980.82</v>
      </c>
      <c r="BZ133" s="3707">
        <f t="shared" si="241"/>
        <v>0</v>
      </c>
      <c r="CA133" s="3700">
        <f t="shared" si="241"/>
        <v>0</v>
      </c>
      <c r="CB133" s="3700">
        <f t="shared" si="241"/>
        <v>3522017.6815068498</v>
      </c>
      <c r="CC133" s="3703">
        <f t="shared" si="241"/>
        <v>2795849.5300000003</v>
      </c>
      <c r="CD133" s="3703">
        <f t="shared" si="241"/>
        <v>-726168.15150684933</v>
      </c>
      <c r="CE133" s="3700">
        <f t="shared" si="241"/>
        <v>642385.61</v>
      </c>
      <c r="CF133" s="3700">
        <f t="shared" si="241"/>
        <v>513881.31000000011</v>
      </c>
      <c r="CG133" s="3703">
        <f t="shared" si="241"/>
        <v>-128504.3</v>
      </c>
      <c r="CH133" s="3707">
        <f t="shared" si="241"/>
        <v>0</v>
      </c>
      <c r="CI133" s="3700">
        <f t="shared" si="241"/>
        <v>0</v>
      </c>
      <c r="CJ133" s="3700">
        <f t="shared" si="241"/>
        <v>3243946.6395068499</v>
      </c>
      <c r="CK133" s="3703">
        <f t="shared" si="241"/>
        <v>4022755.2600000007</v>
      </c>
      <c r="CL133" s="3703">
        <f t="shared" si="241"/>
        <v>778808.62049315055</v>
      </c>
      <c r="CM133" s="3700">
        <f t="shared" si="241"/>
        <v>645921.91999999993</v>
      </c>
      <c r="CN133" s="3700">
        <f t="shared" si="241"/>
        <v>799717.75999999978</v>
      </c>
      <c r="CO133" s="3703">
        <f t="shared" si="241"/>
        <v>153795.84</v>
      </c>
      <c r="CP133" s="3707">
        <f t="shared" si="241"/>
        <v>0</v>
      </c>
      <c r="CQ133" s="3700">
        <f t="shared" si="241"/>
        <v>0</v>
      </c>
      <c r="CR133" s="3700">
        <f t="shared" si="241"/>
        <v>3821280.0261095907</v>
      </c>
      <c r="CS133" s="3703">
        <f t="shared" si="241"/>
        <v>3744915.68</v>
      </c>
      <c r="CT133" s="3703">
        <f t="shared" si="241"/>
        <v>-76364.346109589023</v>
      </c>
      <c r="CU133" s="3700">
        <f t="shared" si="241"/>
        <v>761288.94999999972</v>
      </c>
      <c r="CV133" s="3700">
        <f t="shared" si="241"/>
        <v>731236.80999999971</v>
      </c>
      <c r="CW133" s="3703">
        <f t="shared" si="241"/>
        <v>-30052.139999999996</v>
      </c>
      <c r="CX133" s="3707">
        <f t="shared" si="241"/>
        <v>0</v>
      </c>
      <c r="CY133" s="3700">
        <f t="shared" ref="CY133:ED133" si="242">SUM(CY4:CY132)</f>
        <v>0</v>
      </c>
      <c r="CZ133" s="3700">
        <f t="shared" si="242"/>
        <v>4069103.3124383567</v>
      </c>
      <c r="DA133" s="3703">
        <f t="shared" si="242"/>
        <v>3389582.120000001</v>
      </c>
      <c r="DB133" s="3703">
        <f t="shared" si="242"/>
        <v>-679521.19243835611</v>
      </c>
      <c r="DC133" s="3700">
        <f t="shared" si="242"/>
        <v>741389.60463013686</v>
      </c>
      <c r="DD133" s="3700">
        <f t="shared" si="242"/>
        <v>625132.79999999993</v>
      </c>
      <c r="DE133" s="3703">
        <f t="shared" si="242"/>
        <v>-116256.80463013698</v>
      </c>
      <c r="DF133" s="3707">
        <f t="shared" si="242"/>
        <v>0</v>
      </c>
      <c r="DG133" s="3700">
        <f t="shared" si="242"/>
        <v>0</v>
      </c>
      <c r="DH133" s="3700">
        <f t="shared" si="242"/>
        <v>1573324.43</v>
      </c>
      <c r="DI133" s="3703">
        <f t="shared" si="242"/>
        <v>0</v>
      </c>
      <c r="DJ133" s="3703">
        <f t="shared" si="242"/>
        <v>-1573324.43</v>
      </c>
      <c r="DK133" s="3700">
        <f t="shared" si="242"/>
        <v>283345.64999999997</v>
      </c>
      <c r="DL133" s="3700">
        <f t="shared" si="242"/>
        <v>0</v>
      </c>
      <c r="DM133" s="3703">
        <f t="shared" si="242"/>
        <v>-283345.64999999997</v>
      </c>
      <c r="DN133" s="3707">
        <f t="shared" si="242"/>
        <v>0</v>
      </c>
      <c r="DO133" s="3700">
        <f t="shared" si="242"/>
        <v>0</v>
      </c>
      <c r="DP133" s="3700">
        <f t="shared" si="242"/>
        <v>3369589.7632876728</v>
      </c>
      <c r="DQ133" s="3703">
        <f t="shared" si="242"/>
        <v>0</v>
      </c>
      <c r="DR133" s="3703">
        <f t="shared" si="242"/>
        <v>-3369589.7632876728</v>
      </c>
      <c r="DS133" s="3700">
        <f t="shared" si="242"/>
        <v>596900.67383561644</v>
      </c>
      <c r="DT133" s="3700">
        <f t="shared" si="242"/>
        <v>0</v>
      </c>
      <c r="DU133" s="3703">
        <f t="shared" si="242"/>
        <v>-583663.27383561642</v>
      </c>
      <c r="DV133" s="3707">
        <f t="shared" si="242"/>
        <v>0</v>
      </c>
      <c r="DW133" s="3700">
        <f t="shared" si="242"/>
        <v>0</v>
      </c>
      <c r="DX133" s="3700">
        <f t="shared" si="242"/>
        <v>3469196.4400000004</v>
      </c>
      <c r="DY133" s="3703">
        <f t="shared" si="242"/>
        <v>0</v>
      </c>
      <c r="DZ133" s="3703">
        <f t="shared" si="242"/>
        <v>-3469196.4400000004</v>
      </c>
      <c r="EA133" s="3700">
        <f t="shared" si="242"/>
        <v>651022.23</v>
      </c>
      <c r="EB133" s="3700">
        <f t="shared" si="242"/>
        <v>0</v>
      </c>
      <c r="EC133" s="3703">
        <f t="shared" si="242"/>
        <v>-651022.23</v>
      </c>
      <c r="ED133" s="3707">
        <f t="shared" si="242"/>
        <v>0</v>
      </c>
      <c r="EF133" s="3709">
        <f t="shared" ref="EF133:GQ133" si="243">SUM(EF4:EF132)</f>
        <v>40249647.013029046</v>
      </c>
      <c r="EG133" s="3709">
        <f t="shared" si="243"/>
        <v>29871884.074543484</v>
      </c>
      <c r="EH133" s="3709">
        <f t="shared" si="243"/>
        <v>27497661.600365303</v>
      </c>
      <c r="EI133" s="3709">
        <f t="shared" si="243"/>
        <v>27497661.614898898</v>
      </c>
      <c r="EJ133" s="3709">
        <f t="shared" si="243"/>
        <v>-2374222.4596446003</v>
      </c>
      <c r="EK133" s="3709">
        <f t="shared" si="243"/>
        <v>1.4533594126987737E-2</v>
      </c>
      <c r="EL133" s="3709">
        <f t="shared" si="243"/>
        <v>0</v>
      </c>
      <c r="EM133" s="3709">
        <f t="shared" si="243"/>
        <v>7387772.5994742373</v>
      </c>
      <c r="EN133" s="3709">
        <f t="shared" si="243"/>
        <v>5492906.5488603842</v>
      </c>
      <c r="EO133" s="3709">
        <f t="shared" si="243"/>
        <v>4804864.0300336033</v>
      </c>
      <c r="EP133" s="3709">
        <f t="shared" si="243"/>
        <v>4804864.0241922997</v>
      </c>
      <c r="EQ133" s="3709">
        <f t="shared" si="243"/>
        <v>-688042.5246680869</v>
      </c>
      <c r="ER133" s="3709">
        <f t="shared" si="243"/>
        <v>-5.8413026654307032E-3</v>
      </c>
      <c r="ES133" s="3709">
        <f t="shared" si="243"/>
        <v>0</v>
      </c>
      <c r="ET133" s="3709">
        <f t="shared" si="243"/>
        <v>2890575.4041866707</v>
      </c>
      <c r="EU133" s="3709">
        <f t="shared" si="243"/>
        <v>2886923.7873450755</v>
      </c>
      <c r="EV133" s="3710">
        <f t="shared" si="243"/>
        <v>2886923.7952772346</v>
      </c>
      <c r="EW133" s="3709">
        <f t="shared" si="243"/>
        <v>-3651.6089094363797</v>
      </c>
      <c r="EX133" s="3709">
        <f t="shared" si="243"/>
        <v>537436.16959905659</v>
      </c>
      <c r="EY133" s="3709">
        <f t="shared" si="243"/>
        <v>540395.16097182757</v>
      </c>
      <c r="EZ133" s="3710">
        <f t="shared" si="243"/>
        <v>541569.68255363172</v>
      </c>
      <c r="FA133" s="3709">
        <f t="shared" si="243"/>
        <v>4133.5129545748887</v>
      </c>
      <c r="FB133" s="3709">
        <f t="shared" si="243"/>
        <v>3013064.5067991954</v>
      </c>
      <c r="FC133" s="3709">
        <f t="shared" si="243"/>
        <v>3007077.2951598181</v>
      </c>
      <c r="FD133" s="3710">
        <f t="shared" si="243"/>
        <v>3007077.2951598181</v>
      </c>
      <c r="FE133" s="3709">
        <f t="shared" si="243"/>
        <v>-5987.2116393779143</v>
      </c>
      <c r="FF133" s="3709">
        <f t="shared" si="243"/>
        <v>535323.89738993708</v>
      </c>
      <c r="FG133" s="3709">
        <f t="shared" si="243"/>
        <v>500579.12240889121</v>
      </c>
      <c r="FH133" s="3710">
        <f t="shared" si="243"/>
        <v>500579.12240889121</v>
      </c>
      <c r="FI133" s="3709">
        <f t="shared" si="243"/>
        <v>-34744.774981045855</v>
      </c>
      <c r="FJ133" s="3709">
        <f t="shared" si="243"/>
        <v>3084542.0290400083</v>
      </c>
      <c r="FK133" s="3709">
        <f t="shared" si="243"/>
        <v>3184740.0277886498</v>
      </c>
      <c r="FL133" s="3710">
        <f t="shared" si="243"/>
        <v>3184740.031050228</v>
      </c>
      <c r="FM133" s="3709">
        <f t="shared" si="243"/>
        <v>100198.00201021896</v>
      </c>
      <c r="FN133" s="3709">
        <f t="shared" si="243"/>
        <v>534371.50762578612</v>
      </c>
      <c r="FO133" s="3709">
        <f t="shared" si="243"/>
        <v>532673.03372964589</v>
      </c>
      <c r="FP133" s="3710">
        <f t="shared" si="243"/>
        <v>531498.50542775914</v>
      </c>
      <c r="FQ133" s="3709">
        <f t="shared" si="243"/>
        <v>-2873.0021980269876</v>
      </c>
      <c r="FR133" s="3709">
        <f t="shared" si="243"/>
        <v>3369761.4854066093</v>
      </c>
      <c r="FS133" s="3709">
        <f t="shared" si="243"/>
        <v>3079085.260169602</v>
      </c>
      <c r="FT133" s="3710">
        <f t="shared" si="243"/>
        <v>3079085.2590737115</v>
      </c>
      <c r="FU133" s="3709">
        <f t="shared" si="243"/>
        <v>-290676.22633289878</v>
      </c>
      <c r="FV133" s="3709">
        <f t="shared" si="243"/>
        <v>601267.28282501956</v>
      </c>
      <c r="FW133" s="3709">
        <f t="shared" si="243"/>
        <v>542472.0565779272</v>
      </c>
      <c r="FX133" s="3710">
        <f t="shared" si="243"/>
        <v>542472.05642284837</v>
      </c>
      <c r="FY133" s="3709">
        <f t="shared" si="243"/>
        <v>-58795.226402170934</v>
      </c>
      <c r="FZ133" s="3709">
        <f t="shared" si="243"/>
        <v>3118034.698191999</v>
      </c>
      <c r="GA133" s="3709">
        <f t="shared" si="243"/>
        <v>3599331.2472015657</v>
      </c>
      <c r="GB133" s="3710">
        <f t="shared" si="243"/>
        <v>3599331.2488975865</v>
      </c>
      <c r="GC133" s="3709">
        <f t="shared" si="243"/>
        <v>481296.55070558767</v>
      </c>
      <c r="GD133" s="3709">
        <f t="shared" si="243"/>
        <v>647114.25203217892</v>
      </c>
      <c r="GE133" s="3709">
        <f t="shared" si="243"/>
        <v>509515.70868441463</v>
      </c>
      <c r="GF133" s="3710">
        <f t="shared" si="243"/>
        <v>509515.70971827349</v>
      </c>
      <c r="GG133" s="3709">
        <f t="shared" si="243"/>
        <v>-137598.54231390523</v>
      </c>
      <c r="GH133" s="3709">
        <f t="shared" si="243"/>
        <v>3473264.152324961</v>
      </c>
      <c r="GI133" s="3709">
        <f t="shared" si="243"/>
        <v>2829453.9648010433</v>
      </c>
      <c r="GJ133" s="3710">
        <f t="shared" si="243"/>
        <v>2829453.9648010433</v>
      </c>
      <c r="GK133" s="3709">
        <f t="shared" si="243"/>
        <v>-643810.18752391881</v>
      </c>
      <c r="GL133" s="3709">
        <f t="shared" si="243"/>
        <v>663651.69315445411</v>
      </c>
      <c r="GM133" s="3709">
        <f t="shared" si="243"/>
        <v>492889.3144223314</v>
      </c>
      <c r="GN133" s="3710">
        <f t="shared" si="243"/>
        <v>492889.3144223314</v>
      </c>
      <c r="GO133" s="3709">
        <f t="shared" si="243"/>
        <v>-170762.37873212266</v>
      </c>
      <c r="GP133" s="3709">
        <f t="shared" si="243"/>
        <v>3598527.5313404002</v>
      </c>
      <c r="GQ133" s="3709">
        <f t="shared" si="243"/>
        <v>3269486.0698238746</v>
      </c>
      <c r="GR133" s="3710">
        <f t="shared" ref="GR133:JC133" si="244">SUM(GR4:GR132)</f>
        <v>3269486.0683887801</v>
      </c>
      <c r="GS133" s="3709">
        <f t="shared" si="244"/>
        <v>-329041.46295162104</v>
      </c>
      <c r="GT133" s="3709">
        <f t="shared" si="244"/>
        <v>661556.42180634558</v>
      </c>
      <c r="GU133" s="3709">
        <f t="shared" si="244"/>
        <v>565912.37575600937</v>
      </c>
      <c r="GV133" s="3710">
        <f t="shared" si="244"/>
        <v>552140.60470405791</v>
      </c>
      <c r="GW133" s="3709">
        <f t="shared" si="244"/>
        <v>-109415.81710228727</v>
      </c>
      <c r="GX133" s="3709">
        <f t="shared" si="244"/>
        <v>3618128.3035484883</v>
      </c>
      <c r="GY133" s="3709">
        <f t="shared" si="244"/>
        <v>2763295.788571429</v>
      </c>
      <c r="GZ133" s="3710">
        <f t="shared" si="244"/>
        <v>2763295.7890410963</v>
      </c>
      <c r="HA133" s="3709">
        <f t="shared" si="244"/>
        <v>-854832.51450739393</v>
      </c>
      <c r="HB133" s="3709">
        <f t="shared" si="244"/>
        <v>655926.28357941331</v>
      </c>
      <c r="HC133" s="3709">
        <f t="shared" si="244"/>
        <v>561240.40566037735</v>
      </c>
      <c r="HD133" s="3710">
        <f t="shared" si="244"/>
        <v>575012.17671232892</v>
      </c>
      <c r="HE133" s="3709">
        <f t="shared" si="244"/>
        <v>-80914.106867084323</v>
      </c>
      <c r="HF133" s="3709">
        <f t="shared" si="244"/>
        <v>3705985.9637051537</v>
      </c>
      <c r="HG133" s="3709">
        <f t="shared" si="244"/>
        <v>2878268.1595042404</v>
      </c>
      <c r="HH133" s="3710">
        <f t="shared" si="244"/>
        <v>2878268.1632093941</v>
      </c>
      <c r="HI133" s="3709">
        <f t="shared" si="244"/>
        <v>-799077.77740006195</v>
      </c>
      <c r="HJ133" s="3709">
        <f t="shared" si="244"/>
        <v>656259.0408481952</v>
      </c>
      <c r="HK133" s="3709">
        <f t="shared" si="244"/>
        <v>559186.85182217625</v>
      </c>
      <c r="HL133" s="3710">
        <f t="shared" si="244"/>
        <v>559186.85182217625</v>
      </c>
      <c r="HM133" s="3709">
        <f t="shared" si="244"/>
        <v>-91425.435456519146</v>
      </c>
      <c r="HN133" s="3709">
        <f t="shared" si="244"/>
        <v>3553798.4218426826</v>
      </c>
      <c r="HO133" s="3709">
        <f t="shared" si="244"/>
        <v>2994087.9831702542</v>
      </c>
      <c r="HP133" s="3710">
        <f t="shared" si="244"/>
        <v>2748926.9834572738</v>
      </c>
      <c r="HQ133" s="3709">
        <f t="shared" si="244"/>
        <v>-776231.41528971167</v>
      </c>
      <c r="HR133" s="3709">
        <f t="shared" si="244"/>
        <v>633437.00153366511</v>
      </c>
      <c r="HS133" s="3709">
        <f t="shared" si="244"/>
        <v>553471.65158955799</v>
      </c>
      <c r="HT133" s="3710">
        <f t="shared" si="244"/>
        <v>506546.45084001037</v>
      </c>
      <c r="HU133" s="3709">
        <f t="shared" si="244"/>
        <v>-121243.79712415505</v>
      </c>
      <c r="HV133" s="3709">
        <f t="shared" si="244"/>
        <v>3475187.9410476177</v>
      </c>
      <c r="HW133" s="3709">
        <f t="shared" si="244"/>
        <v>2839983.5166862365</v>
      </c>
      <c r="HX133" s="3710">
        <f t="shared" si="244"/>
        <v>1683934.1466927587</v>
      </c>
      <c r="HY133" s="3709">
        <f t="shared" si="244"/>
        <v>-1762613.7712591605</v>
      </c>
      <c r="HZ133" s="3709">
        <f t="shared" si="244"/>
        <v>629526.79943396233</v>
      </c>
      <c r="IA133" s="3709">
        <f t="shared" si="244"/>
        <v>502644.6429051435</v>
      </c>
      <c r="IB133" s="3710">
        <f t="shared" si="244"/>
        <v>301343.13476350479</v>
      </c>
      <c r="IC133" s="3709">
        <f t="shared" si="244"/>
        <v>-322536.91110095789</v>
      </c>
      <c r="ID133" s="3709">
        <f t="shared" si="244"/>
        <v>3348776.5755952368</v>
      </c>
      <c r="IE133" s="3709">
        <f t="shared" si="244"/>
        <v>2819607.8405740382</v>
      </c>
      <c r="IF133" s="3710">
        <f t="shared" si="244"/>
        <v>1037298.553268102</v>
      </c>
      <c r="IG133" s="3709">
        <f t="shared" si="244"/>
        <v>-2282837.9992314377</v>
      </c>
      <c r="IH133" s="3709">
        <f t="shared" si="244"/>
        <v>631902.24964622653</v>
      </c>
      <c r="II133" s="3709">
        <f t="shared" si="244"/>
        <v>500472.77720341174</v>
      </c>
      <c r="IJ133" s="3710">
        <f t="shared" si="244"/>
        <v>188568.21194107001</v>
      </c>
      <c r="IK133" s="3709">
        <f t="shared" si="244"/>
        <v>-437687.28413565661</v>
      </c>
      <c r="IL133" s="3709">
        <f t="shared" si="244"/>
        <v>0</v>
      </c>
      <c r="IM133" s="3709">
        <f t="shared" si="244"/>
        <v>5781344.3426484009</v>
      </c>
      <c r="IN133" s="3709">
        <f t="shared" si="244"/>
        <v>1050766.4832256394</v>
      </c>
      <c r="IO133" s="3709">
        <f t="shared" si="244"/>
        <v>0</v>
      </c>
      <c r="IP133" s="3709">
        <f t="shared" si="244"/>
        <v>431572.27992172207</v>
      </c>
      <c r="IQ133" s="3709">
        <f t="shared" si="244"/>
        <v>212751.43919112848</v>
      </c>
      <c r="IR133" s="3709">
        <f t="shared" si="244"/>
        <v>33806.480026092628</v>
      </c>
      <c r="IS133" s="3709">
        <f t="shared" si="244"/>
        <v>29696.676190476188</v>
      </c>
      <c r="IT133" s="3709">
        <f t="shared" si="244"/>
        <v>29696.676190476188</v>
      </c>
      <c r="IU133" s="3709">
        <f t="shared" si="244"/>
        <v>29696.676190476188</v>
      </c>
      <c r="IV133" s="3709">
        <f t="shared" si="244"/>
        <v>29696.676190476188</v>
      </c>
      <c r="IW133" s="3709">
        <f t="shared" si="244"/>
        <v>29696.676190476188</v>
      </c>
      <c r="IX133" s="3709">
        <f t="shared" si="244"/>
        <v>29696.676190476188</v>
      </c>
      <c r="IY133" s="3709">
        <f t="shared" si="244"/>
        <v>6834.3035616438337</v>
      </c>
      <c r="IZ133" s="3709">
        <f t="shared" si="244"/>
        <v>0</v>
      </c>
      <c r="JA133" s="3709">
        <f t="shared" si="244"/>
        <v>0</v>
      </c>
      <c r="JB133" s="3709">
        <f t="shared" si="244"/>
        <v>0</v>
      </c>
      <c r="JC133" s="3709">
        <f t="shared" si="244"/>
        <v>66192.258826570149</v>
      </c>
      <c r="JD133" s="3709">
        <f t="shared" ref="JD133:JP133" si="245">SUM(JD4:JD132)</f>
        <v>36927.807340398031</v>
      </c>
      <c r="JE133" s="3709">
        <f t="shared" si="245"/>
        <v>4610.7414835874897</v>
      </c>
      <c r="JF133" s="3709">
        <f t="shared" si="245"/>
        <v>3957.169811320754</v>
      </c>
      <c r="JG133" s="3709">
        <f t="shared" si="245"/>
        <v>3957.169811320754</v>
      </c>
      <c r="JH133" s="3709">
        <f t="shared" si="245"/>
        <v>3957.169811320754</v>
      </c>
      <c r="JI133" s="3709">
        <f t="shared" si="245"/>
        <v>3957.169811320754</v>
      </c>
      <c r="JJ133" s="3709">
        <f t="shared" si="245"/>
        <v>3957.169811320754</v>
      </c>
      <c r="JK133" s="3709">
        <f t="shared" si="245"/>
        <v>3957.169811320754</v>
      </c>
      <c r="JL133" s="3709">
        <f t="shared" si="245"/>
        <v>910.69113466011879</v>
      </c>
      <c r="JM133" s="3709">
        <f t="shared" si="245"/>
        <v>0</v>
      </c>
      <c r="JN133" s="3709">
        <f t="shared" si="245"/>
        <v>0</v>
      </c>
      <c r="JO133" s="3709">
        <f t="shared" si="245"/>
        <v>0</v>
      </c>
      <c r="JP133" s="3709">
        <f t="shared" si="245"/>
        <v>0</v>
      </c>
      <c r="JQ133" s="3709">
        <f>SUM(JQ4:JQ132)+0.01</f>
        <v>4740862.7805414218</v>
      </c>
      <c r="JR133" s="3709">
        <f>SUM(JR4:JR132)+0.07</f>
        <v>807136.45208839467</v>
      </c>
      <c r="JS133" s="3709">
        <f>SUM(JS4:JS132)</f>
        <v>-3.3398574796592584E-3</v>
      </c>
      <c r="JT133" s="3709">
        <f>SUM(JT4:JT132)</f>
        <v>-3.1532693786031768E-3</v>
      </c>
      <c r="JU133" s="3709">
        <f t="shared" ref="JU133" si="246">JQ133+AE133/1.05-EI133-JX133</f>
        <v>2.3026634007692337E-3</v>
      </c>
      <c r="JV133" s="3709">
        <f t="shared" ref="JV133" si="247">JR133+AJ133/1.06-EP133-JY133</f>
        <v>7.9072109190747142E-2</v>
      </c>
      <c r="JW133" s="3711"/>
      <c r="JX133" s="3709">
        <f>SUM(JX4:JX132)</f>
        <v>5901731.9633398559</v>
      </c>
      <c r="JY133" s="3709">
        <f>SUM(JY4:JY132)</f>
        <v>1062650.0563711554</v>
      </c>
      <c r="JZ133" s="3712"/>
      <c r="KA133" s="3709">
        <f>SUM(KA4:KA132)</f>
        <v>-909580.7755649311</v>
      </c>
      <c r="KB133" s="3709">
        <f>SUM(KB4:KB132)</f>
        <v>19077.564673759072</v>
      </c>
      <c r="KC133" s="3709">
        <f>SUM(KC4:KC132)</f>
        <v>0</v>
      </c>
      <c r="KD133" s="3709">
        <f>SUM(KD4:KD132)</f>
        <v>-890503.21089117171</v>
      </c>
      <c r="KE133" s="3700">
        <f>SUM(KE11:KE132)</f>
        <v>0</v>
      </c>
      <c r="KF133" s="3705">
        <f t="shared" ref="KF133:KR133" si="248">SUM(KF4:KF132)</f>
        <v>98.470075000000008</v>
      </c>
      <c r="KG133" s="3705">
        <f t="shared" si="248"/>
        <v>0</v>
      </c>
      <c r="KH133" s="3705">
        <f t="shared" si="248"/>
        <v>72.473282999999995</v>
      </c>
      <c r="KI133" s="3705">
        <f t="shared" si="248"/>
        <v>23.940978000000001</v>
      </c>
      <c r="KJ133" s="3705">
        <f t="shared" si="248"/>
        <v>0</v>
      </c>
      <c r="KK133" s="3705">
        <f t="shared" si="248"/>
        <v>0</v>
      </c>
      <c r="KL133" s="3705">
        <f t="shared" si="248"/>
        <v>-431.560497</v>
      </c>
      <c r="KM133" s="3705">
        <f t="shared" si="248"/>
        <v>-96.493000000000009</v>
      </c>
      <c r="KN133" s="3705">
        <f t="shared" si="248"/>
        <v>-115.96299476712329</v>
      </c>
      <c r="KO133" s="3705">
        <f t="shared" si="248"/>
        <v>0</v>
      </c>
      <c r="KP133" s="3705">
        <f t="shared" si="248"/>
        <v>142.90529528571426</v>
      </c>
      <c r="KQ133" s="3705">
        <f t="shared" si="248"/>
        <v>-306.22686048140906</v>
      </c>
      <c r="KR133" s="3705">
        <f t="shared" si="248"/>
        <v>3.6205014025747495E-4</v>
      </c>
      <c r="KS133" s="3713"/>
      <c r="KT133" s="3713"/>
      <c r="KU133" s="3713"/>
      <c r="KV133" s="3713"/>
      <c r="KW133" s="3713"/>
      <c r="KX133" s="3713"/>
      <c r="KY133" s="3713"/>
      <c r="KZ133" s="3713"/>
      <c r="LA133" s="3713"/>
      <c r="LB133" s="3713"/>
      <c r="LC133" s="3713"/>
      <c r="LD133" s="3713"/>
      <c r="LE133" s="3713"/>
      <c r="LF133" s="3713"/>
      <c r="LG133" s="3713"/>
      <c r="LH133" s="3713"/>
      <c r="LJ133" s="3575"/>
      <c r="LK133" s="3709"/>
      <c r="LL133" s="3709">
        <f>SUM(LL4:LL132)</f>
        <v>1279383.8899999999</v>
      </c>
    </row>
    <row r="134" spans="1:16370" s="3580" customFormat="1" ht="18" customHeight="1">
      <c r="A134" s="3507"/>
      <c r="B134" s="3507"/>
      <c r="C134" s="3673" t="s">
        <v>4900</v>
      </c>
      <c r="D134" s="3575">
        <v>206.35</v>
      </c>
      <c r="E134" s="3580" t="s">
        <v>4901</v>
      </c>
      <c r="F134" s="3507"/>
      <c r="G134" s="3517"/>
      <c r="H134" s="3517"/>
      <c r="K134" s="3507"/>
      <c r="L134" s="3507"/>
      <c r="M134" s="3508"/>
      <c r="N134" s="3508"/>
      <c r="O134" s="3508"/>
      <c r="P134" s="3508"/>
      <c r="Q134" s="3508"/>
      <c r="R134" s="3508"/>
      <c r="S134" s="3508"/>
      <c r="T134" s="3508"/>
      <c r="U134" s="3508"/>
      <c r="V134" s="3508"/>
      <c r="W134" s="3508"/>
      <c r="X134" s="3508"/>
      <c r="Y134" s="3508"/>
      <c r="Z134" s="3508"/>
      <c r="AA134" s="3507"/>
      <c r="AB134" s="3507"/>
      <c r="AC134" s="3508"/>
      <c r="AD134" s="3508"/>
      <c r="AE134" s="3508"/>
      <c r="AF134" s="3511"/>
      <c r="AG134" s="3508"/>
      <c r="AH134" s="3508"/>
      <c r="AI134" s="3508"/>
      <c r="AJ134" s="3508"/>
      <c r="AK134" s="3508"/>
      <c r="AL134" s="3508"/>
      <c r="AM134" s="3511"/>
      <c r="AN134" s="3511"/>
      <c r="AO134" s="3510"/>
      <c r="AP134" s="3511"/>
      <c r="AQ134" s="3511"/>
      <c r="AR134" s="3510"/>
      <c r="AS134" s="3511"/>
      <c r="AT134" s="3508"/>
      <c r="AU134" s="3508"/>
      <c r="AV134" s="3509"/>
      <c r="AW134" s="3510"/>
      <c r="AX134" s="3508"/>
      <c r="AY134" s="3509"/>
      <c r="AZ134" s="3510"/>
      <c r="BA134" s="3508"/>
      <c r="BB134" s="3508"/>
      <c r="BC134" s="3508"/>
      <c r="BD134" s="3509"/>
      <c r="BE134" s="3510"/>
      <c r="BF134" s="3508"/>
      <c r="BG134" s="3509"/>
      <c r="BH134" s="3510"/>
      <c r="BI134" s="3508"/>
      <c r="BJ134" s="3511"/>
      <c r="BK134" s="3508"/>
      <c r="BL134" s="3509"/>
      <c r="BM134" s="3510"/>
      <c r="BN134" s="3508"/>
      <c r="BO134" s="3509"/>
      <c r="BP134" s="3510"/>
      <c r="BQ134" s="3508"/>
      <c r="BR134" s="3508"/>
      <c r="BS134" s="3508"/>
      <c r="BT134" s="3509"/>
      <c r="BU134" s="3510"/>
      <c r="BV134" s="3508"/>
      <c r="BW134" s="3509"/>
      <c r="BX134" s="3510"/>
      <c r="BY134" s="3508"/>
      <c r="BZ134" s="3508"/>
      <c r="CA134" s="3508"/>
      <c r="CB134" s="3509"/>
      <c r="CC134" s="3510"/>
      <c r="CD134" s="3508"/>
      <c r="CE134" s="3509"/>
      <c r="CF134" s="3510"/>
      <c r="CG134" s="3508"/>
      <c r="CH134" s="3508"/>
      <c r="CI134" s="3508"/>
      <c r="CJ134" s="3509"/>
      <c r="CK134" s="3510"/>
      <c r="CL134" s="3508"/>
      <c r="CM134" s="3509"/>
      <c r="CN134" s="3510"/>
      <c r="CO134" s="3508"/>
      <c r="CP134" s="3508"/>
      <c r="CQ134" s="3508"/>
      <c r="CR134" s="3509"/>
      <c r="CS134" s="3510"/>
      <c r="CT134" s="3508"/>
      <c r="CU134" s="3509"/>
      <c r="CV134" s="3510"/>
      <c r="CW134" s="3508"/>
      <c r="CX134" s="3508"/>
      <c r="CY134" s="3508"/>
      <c r="CZ134" s="3509"/>
      <c r="DA134" s="3510"/>
      <c r="DB134" s="3508"/>
      <c r="DC134" s="3509"/>
      <c r="DD134" s="3510"/>
      <c r="DE134" s="3508"/>
      <c r="DF134" s="3508"/>
      <c r="DG134" s="3508"/>
      <c r="DH134" s="3509"/>
      <c r="DI134" s="3510"/>
      <c r="DJ134" s="3508"/>
      <c r="DK134" s="3509"/>
      <c r="DL134" s="3510"/>
      <c r="DM134" s="3508"/>
      <c r="DN134" s="3508"/>
      <c r="DO134" s="3508"/>
      <c r="DP134" s="3509"/>
      <c r="DQ134" s="3510"/>
      <c r="DR134" s="3508"/>
      <c r="DS134" s="3509"/>
      <c r="DT134" s="3510"/>
      <c r="DU134" s="3508"/>
      <c r="DV134" s="3508"/>
      <c r="DW134" s="3508"/>
      <c r="DX134" s="3509"/>
      <c r="DY134" s="3510"/>
      <c r="DZ134" s="3508"/>
      <c r="EA134" s="3509"/>
      <c r="EB134" s="3510"/>
      <c r="EC134" s="3508"/>
      <c r="ED134" s="3508"/>
      <c r="EE134" s="3714" t="s">
        <v>4902</v>
      </c>
      <c r="EF134" s="3564">
        <v>24160588.410182498</v>
      </c>
      <c r="EG134" s="3564">
        <v>16510795.284111099</v>
      </c>
      <c r="EH134" s="3564">
        <v>14321098.8223614</v>
      </c>
      <c r="EI134" s="3564">
        <v>14321098.8281278</v>
      </c>
      <c r="EJ134" s="3564">
        <v>-2189696.4559832499</v>
      </c>
      <c r="EK134" s="3564">
        <v>5.7664647029014304E-3</v>
      </c>
      <c r="EL134" s="3564">
        <v>0</v>
      </c>
      <c r="EM134" s="3564">
        <v>4868465.3275550297</v>
      </c>
      <c r="EN134" s="3564">
        <v>3494188.3839229601</v>
      </c>
      <c r="EO134" s="3564">
        <v>2554651.9488239898</v>
      </c>
      <c r="EP134" s="3564">
        <v>2554651.9488239898</v>
      </c>
      <c r="EQ134" s="3564">
        <v>-939536.43509896996</v>
      </c>
      <c r="ER134" s="3564">
        <v>4.65661287307739E-10</v>
      </c>
      <c r="ES134" s="3564">
        <v>0</v>
      </c>
      <c r="ET134" s="3516"/>
      <c r="EU134" s="3507"/>
      <c r="EV134" s="3715"/>
      <c r="EW134" s="3716"/>
      <c r="EX134" s="3507"/>
      <c r="EY134" s="3507"/>
      <c r="EZ134" s="3717"/>
      <c r="FA134" s="3716"/>
      <c r="FB134" s="3509"/>
      <c r="FC134" s="3510"/>
      <c r="FD134" s="3510"/>
      <c r="FE134" s="3511"/>
      <c r="FF134" s="3509"/>
      <c r="FG134" s="3510"/>
      <c r="FH134" s="3510"/>
      <c r="FI134" s="3511"/>
      <c r="FJ134" s="3509"/>
      <c r="FK134" s="3510"/>
      <c r="FL134" s="3510"/>
      <c r="FM134" s="3511"/>
      <c r="FN134" s="3511"/>
      <c r="FO134" s="3511"/>
      <c r="FP134" s="3510"/>
      <c r="FQ134" s="3511"/>
      <c r="FR134" s="3509"/>
      <c r="FS134" s="3510"/>
      <c r="FT134" s="3510"/>
      <c r="FU134" s="3511"/>
      <c r="FV134" s="3509"/>
      <c r="FW134" s="3510"/>
      <c r="FX134" s="3510"/>
      <c r="FY134" s="3511"/>
      <c r="FZ134" s="3509"/>
      <c r="GA134" s="3510"/>
      <c r="GB134" s="3510"/>
      <c r="GC134" s="3511"/>
      <c r="GD134" s="3509"/>
      <c r="GE134" s="3510"/>
      <c r="GF134" s="3510"/>
      <c r="GG134" s="3511"/>
      <c r="GH134" s="3509"/>
      <c r="GI134" s="3510"/>
      <c r="GJ134" s="3510"/>
      <c r="GK134" s="3511"/>
      <c r="GL134" s="3509"/>
      <c r="GM134" s="3510"/>
      <c r="GN134" s="3510"/>
      <c r="GO134" s="3511"/>
      <c r="GP134" s="3509"/>
      <c r="GQ134" s="3510"/>
      <c r="GR134" s="3718"/>
      <c r="GS134" s="3511"/>
      <c r="GT134" s="3509"/>
      <c r="GU134" s="3510"/>
      <c r="GV134" s="3510"/>
      <c r="GW134" s="3511"/>
      <c r="GX134" s="3509"/>
      <c r="GY134" s="3510"/>
      <c r="GZ134" s="3510"/>
      <c r="HA134" s="3511"/>
      <c r="HB134" s="3509"/>
      <c r="HC134" s="3510"/>
      <c r="HD134" s="3510"/>
      <c r="HE134" s="3511"/>
      <c r="HF134" s="3509"/>
      <c r="HG134" s="3510"/>
      <c r="HH134" s="3717"/>
      <c r="HI134" s="3511"/>
      <c r="HJ134" s="3509"/>
      <c r="HK134" s="3510"/>
      <c r="HL134" s="3510"/>
      <c r="HM134" s="3511"/>
      <c r="HN134" s="3509"/>
      <c r="HO134" s="3510"/>
      <c r="HP134" s="3719">
        <f>HP133-HQ150</f>
        <v>2748926.9834572738</v>
      </c>
      <c r="HQ134" s="3511"/>
      <c r="HR134" s="3509"/>
      <c r="HS134" s="3510"/>
      <c r="HT134" s="3510"/>
      <c r="HU134" s="3511"/>
      <c r="HV134" s="3509"/>
      <c r="HW134" s="3510"/>
      <c r="HX134" s="3510"/>
      <c r="HY134" s="3511"/>
      <c r="HZ134" s="3509"/>
      <c r="IA134" s="3510"/>
      <c r="IB134" s="3510"/>
      <c r="IC134" s="3511"/>
      <c r="ID134" s="3720"/>
      <c r="IE134" s="3719"/>
      <c r="IF134" s="3719"/>
      <c r="IG134" s="3721"/>
      <c r="IH134" s="3720"/>
      <c r="II134" s="3719"/>
      <c r="IJ134" s="3719"/>
      <c r="IK134" s="3721"/>
      <c r="IL134" s="3517"/>
      <c r="IM134" s="3516"/>
      <c r="IN134" s="3516"/>
      <c r="IO134" s="3507"/>
      <c r="IP134" s="3515"/>
      <c r="IQ134" s="3515"/>
      <c r="IR134" s="3515"/>
      <c r="IS134" s="3515"/>
      <c r="IT134" s="3515"/>
      <c r="IU134" s="3515"/>
      <c r="IV134" s="3515"/>
      <c r="IW134" s="3515"/>
      <c r="IX134" s="3515"/>
      <c r="IY134" s="3515"/>
      <c r="IZ134" s="3515"/>
      <c r="JA134" s="3515"/>
      <c r="JB134" s="3515"/>
      <c r="JC134" s="3515"/>
      <c r="JD134" s="3515"/>
      <c r="JE134" s="3515"/>
      <c r="JF134" s="3515"/>
      <c r="JG134" s="3515"/>
      <c r="JH134" s="3515"/>
      <c r="JI134" s="3515"/>
      <c r="JJ134" s="3515"/>
      <c r="JK134" s="3515"/>
      <c r="JL134" s="3515"/>
      <c r="JM134" s="3515"/>
      <c r="JN134" s="3515"/>
      <c r="JO134" s="3515"/>
      <c r="JP134" s="3507"/>
      <c r="JQ134" s="3516"/>
      <c r="JR134" s="3516"/>
      <c r="JS134" s="3507"/>
      <c r="JT134" s="3507"/>
      <c r="JU134" s="3516"/>
      <c r="JV134" s="3516"/>
      <c r="JW134" s="3516"/>
      <c r="JX134" s="3507"/>
      <c r="JY134" s="3507"/>
      <c r="JZ134" s="3722"/>
      <c r="KA134" s="3510"/>
      <c r="KB134" s="3577"/>
      <c r="KC134" s="3577"/>
      <c r="KD134" s="3723">
        <v>-846003.90057464805</v>
      </c>
      <c r="KE134" s="3577" t="s">
        <v>4903</v>
      </c>
      <c r="KF134" s="3577"/>
      <c r="KG134" s="3577"/>
      <c r="KH134" s="3577"/>
      <c r="KI134" s="3577"/>
      <c r="KJ134" s="3577"/>
      <c r="KK134" s="3577"/>
      <c r="KL134" s="3724"/>
      <c r="KM134" s="3724"/>
      <c r="KN134" s="3724"/>
      <c r="KO134" s="3724"/>
      <c r="KP134" s="3724"/>
      <c r="KQ134" s="3712">
        <v>0</v>
      </c>
      <c r="KR134" s="3725" t="s">
        <v>4904</v>
      </c>
      <c r="KS134" s="3712"/>
      <c r="KT134" s="3516"/>
      <c r="KU134" s="3516"/>
      <c r="KV134" s="3516"/>
      <c r="KW134" s="3516"/>
      <c r="KX134" s="3516"/>
      <c r="KY134" s="3516"/>
      <c r="KZ134" s="3516"/>
      <c r="LA134" s="3516"/>
      <c r="LB134" s="3516"/>
      <c r="LC134" s="3516"/>
      <c r="LD134" s="3516"/>
      <c r="LE134" s="3516"/>
      <c r="LF134" s="3516"/>
      <c r="LG134" s="3516"/>
      <c r="LH134" s="3516"/>
      <c r="LI134" s="3507"/>
      <c r="LJ134" s="3575"/>
      <c r="LK134" s="3507"/>
      <c r="LL134" s="3507"/>
      <c r="LM134" s="3507"/>
      <c r="LN134" s="3507"/>
      <c r="LO134" s="3507"/>
      <c r="LP134" s="3507"/>
      <c r="LQ134" s="3507"/>
      <c r="LR134" s="3507"/>
      <c r="LS134" s="3507"/>
      <c r="LT134" s="3507"/>
      <c r="LU134" s="3507"/>
      <c r="LV134" s="3507"/>
      <c r="LW134" s="3507"/>
      <c r="LX134" s="3507"/>
      <c r="LY134" s="3507"/>
      <c r="LZ134" s="3507"/>
      <c r="MA134" s="3507"/>
      <c r="MB134" s="3507"/>
      <c r="MC134" s="3507"/>
      <c r="MD134" s="3507"/>
      <c r="ME134" s="3507"/>
      <c r="MF134" s="3507"/>
      <c r="MG134" s="3507"/>
      <c r="MH134" s="3507"/>
      <c r="MI134" s="3507"/>
      <c r="MJ134" s="3507"/>
      <c r="MK134" s="3507"/>
      <c r="ML134" s="3507"/>
      <c r="MM134" s="3507"/>
      <c r="MN134" s="3507"/>
      <c r="MO134" s="3507"/>
      <c r="MP134" s="3507"/>
      <c r="MQ134" s="3507"/>
      <c r="MR134" s="3507"/>
      <c r="MS134" s="3507"/>
      <c r="MT134" s="3507"/>
      <c r="MU134" s="3507"/>
      <c r="MV134" s="3507"/>
      <c r="MW134" s="3507"/>
      <c r="MX134" s="3507"/>
      <c r="MY134" s="3507"/>
      <c r="MZ134" s="3507"/>
      <c r="NA134" s="3507"/>
      <c r="NB134" s="3507"/>
      <c r="NC134" s="3507"/>
      <c r="ND134" s="3507"/>
      <c r="NE134" s="3507"/>
      <c r="NF134" s="3507"/>
      <c r="NG134" s="3507"/>
      <c r="NH134" s="3507"/>
      <c r="NI134" s="3507"/>
      <c r="NJ134" s="3507"/>
      <c r="NK134" s="3507"/>
      <c r="NL134" s="3507"/>
      <c r="NM134" s="3507"/>
      <c r="NN134" s="3507"/>
      <c r="NO134" s="3507"/>
      <c r="NP134" s="3507"/>
      <c r="NQ134" s="3507"/>
      <c r="NR134" s="3507"/>
      <c r="NS134" s="3507"/>
      <c r="NT134" s="3507"/>
      <c r="NU134" s="3507"/>
      <c r="NV134" s="3507"/>
      <c r="NW134" s="3507"/>
      <c r="NX134" s="3507"/>
      <c r="NY134" s="3507"/>
      <c r="NZ134" s="3507"/>
      <c r="OA134" s="3507"/>
      <c r="OB134" s="3507"/>
      <c r="OC134" s="3507"/>
      <c r="OD134" s="3507"/>
      <c r="OE134" s="3507"/>
      <c r="OF134" s="3507"/>
      <c r="OG134" s="3507"/>
      <c r="OH134" s="3507"/>
      <c r="OI134" s="3507"/>
      <c r="OJ134" s="3507"/>
      <c r="OK134" s="3507"/>
      <c r="OL134" s="3507"/>
      <c r="OM134" s="3507"/>
      <c r="ON134" s="3507"/>
      <c r="OO134" s="3507"/>
      <c r="OP134" s="3507"/>
      <c r="OQ134" s="3507"/>
      <c r="OR134" s="3507"/>
      <c r="OS134" s="3507"/>
      <c r="OT134" s="3507"/>
      <c r="OU134" s="3507"/>
      <c r="OV134" s="3507"/>
      <c r="OW134" s="3507"/>
      <c r="OX134" s="3507"/>
      <c r="OY134" s="3507"/>
      <c r="OZ134" s="3507"/>
      <c r="PA134" s="3507"/>
      <c r="PB134" s="3507"/>
      <c r="PC134" s="3507"/>
      <c r="PD134" s="3507"/>
      <c r="PE134" s="3507"/>
      <c r="PF134" s="3507"/>
      <c r="PG134" s="3507"/>
      <c r="PH134" s="3507"/>
      <c r="PI134" s="3507"/>
      <c r="PJ134" s="3507"/>
      <c r="PK134" s="3507"/>
      <c r="PL134" s="3507"/>
      <c r="PM134" s="3507"/>
      <c r="PN134" s="3507"/>
      <c r="PO134" s="3507"/>
      <c r="PP134" s="3507"/>
      <c r="PQ134" s="3507"/>
      <c r="PR134" s="3507"/>
      <c r="PS134" s="3507"/>
      <c r="PT134" s="3507"/>
      <c r="PU134" s="3507"/>
      <c r="PV134" s="3507"/>
      <c r="PW134" s="3507"/>
      <c r="PX134" s="3507"/>
      <c r="PY134" s="3507"/>
      <c r="PZ134" s="3507"/>
      <c r="QA134" s="3507"/>
      <c r="QB134" s="3507"/>
      <c r="QC134" s="3507"/>
      <c r="QD134" s="3507"/>
      <c r="QE134" s="3507"/>
      <c r="QF134" s="3507"/>
      <c r="QG134" s="3507"/>
      <c r="QH134" s="3507"/>
      <c r="QI134" s="3507"/>
      <c r="QJ134" s="3507"/>
      <c r="QK134" s="3507"/>
      <c r="QL134" s="3507"/>
      <c r="QM134" s="3507"/>
      <c r="QN134" s="3507"/>
      <c r="QO134" s="3507"/>
      <c r="QP134" s="3507"/>
      <c r="QQ134" s="3507"/>
      <c r="QR134" s="3507"/>
      <c r="QS134" s="3507"/>
      <c r="QT134" s="3507"/>
      <c r="QU134" s="3507"/>
      <c r="QV134" s="3507"/>
      <c r="QW134" s="3507"/>
      <c r="QX134" s="3507"/>
      <c r="QY134" s="3507"/>
      <c r="QZ134" s="3507"/>
      <c r="RA134" s="3507"/>
      <c r="RB134" s="3507"/>
      <c r="RC134" s="3507"/>
      <c r="RD134" s="3507"/>
      <c r="RE134" s="3507"/>
      <c r="RF134" s="3507"/>
      <c r="RG134" s="3507"/>
      <c r="RH134" s="3507"/>
      <c r="RI134" s="3507"/>
      <c r="RJ134" s="3507"/>
      <c r="RK134" s="3507"/>
      <c r="RL134" s="3507"/>
      <c r="RM134" s="3507"/>
      <c r="RN134" s="3507"/>
      <c r="RO134" s="3507"/>
      <c r="RP134" s="3507"/>
      <c r="RQ134" s="3507"/>
      <c r="RR134" s="3507"/>
      <c r="RS134" s="3507"/>
      <c r="RT134" s="3507"/>
      <c r="RU134" s="3507"/>
      <c r="RV134" s="3507"/>
      <c r="RW134" s="3507"/>
      <c r="RX134" s="3507"/>
      <c r="RY134" s="3507"/>
      <c r="RZ134" s="3507"/>
      <c r="SA134" s="3507"/>
      <c r="SB134" s="3507"/>
      <c r="SC134" s="3507"/>
      <c r="SD134" s="3507"/>
      <c r="SE134" s="3507"/>
      <c r="SF134" s="3507"/>
      <c r="SG134" s="3507"/>
      <c r="SH134" s="3507"/>
      <c r="SI134" s="3507"/>
      <c r="SJ134" s="3507"/>
      <c r="SK134" s="3507"/>
      <c r="SL134" s="3507"/>
      <c r="SM134" s="3507"/>
      <c r="SN134" s="3507"/>
      <c r="SO134" s="3507"/>
      <c r="SP134" s="3507"/>
      <c r="SQ134" s="3507"/>
      <c r="SR134" s="3507"/>
      <c r="SS134" s="3507"/>
      <c r="ST134" s="3507"/>
      <c r="SU134" s="3507"/>
      <c r="SV134" s="3507"/>
      <c r="SW134" s="3507"/>
      <c r="SX134" s="3507"/>
      <c r="SY134" s="3507"/>
      <c r="SZ134" s="3507"/>
      <c r="TA134" s="3507"/>
      <c r="TB134" s="3507"/>
      <c r="TC134" s="3507"/>
      <c r="TD134" s="3507"/>
      <c r="TE134" s="3507"/>
      <c r="TF134" s="3507"/>
      <c r="TG134" s="3507"/>
      <c r="TH134" s="3507"/>
      <c r="TI134" s="3507"/>
      <c r="TJ134" s="3507"/>
      <c r="TK134" s="3507"/>
      <c r="TL134" s="3507"/>
      <c r="TM134" s="3507"/>
      <c r="TN134" s="3507"/>
      <c r="TO134" s="3507"/>
      <c r="TP134" s="3507"/>
      <c r="TQ134" s="3507"/>
      <c r="TR134" s="3507"/>
      <c r="TS134" s="3507"/>
      <c r="TT134" s="3507"/>
      <c r="TU134" s="3507"/>
      <c r="TV134" s="3507"/>
      <c r="TW134" s="3507"/>
      <c r="TX134" s="3507"/>
      <c r="TY134" s="3507"/>
      <c r="TZ134" s="3507"/>
      <c r="UA134" s="3507"/>
      <c r="UB134" s="3507"/>
      <c r="UC134" s="3507"/>
      <c r="UD134" s="3507"/>
      <c r="UE134" s="3507"/>
      <c r="UF134" s="3507"/>
      <c r="UG134" s="3507"/>
      <c r="UH134" s="3507"/>
      <c r="UI134" s="3507"/>
      <c r="UJ134" s="3507"/>
      <c r="UK134" s="3507"/>
      <c r="UL134" s="3507"/>
      <c r="UM134" s="3507"/>
      <c r="UN134" s="3507"/>
      <c r="UO134" s="3507"/>
      <c r="UP134" s="3507"/>
      <c r="UQ134" s="3507"/>
      <c r="UR134" s="3507"/>
      <c r="US134" s="3507"/>
      <c r="UT134" s="3507"/>
      <c r="UU134" s="3507"/>
      <c r="UV134" s="3507"/>
      <c r="UW134" s="3507"/>
      <c r="UX134" s="3507"/>
      <c r="UY134" s="3507"/>
      <c r="UZ134" s="3507"/>
      <c r="VA134" s="3507"/>
      <c r="VB134" s="3507"/>
      <c r="VC134" s="3507"/>
      <c r="VD134" s="3507"/>
      <c r="VE134" s="3507"/>
      <c r="VF134" s="3507"/>
      <c r="VG134" s="3507"/>
      <c r="VH134" s="3507"/>
      <c r="VI134" s="3507"/>
      <c r="VJ134" s="3507"/>
      <c r="VK134" s="3507"/>
      <c r="VL134" s="3507"/>
      <c r="VM134" s="3507"/>
      <c r="VN134" s="3507"/>
      <c r="VO134" s="3507"/>
      <c r="VP134" s="3507"/>
      <c r="VQ134" s="3507"/>
      <c r="VR134" s="3507"/>
      <c r="VS134" s="3507"/>
      <c r="VT134" s="3507"/>
      <c r="VU134" s="3507"/>
      <c r="VV134" s="3507"/>
      <c r="VW134" s="3507"/>
      <c r="VX134" s="3507"/>
      <c r="VY134" s="3507"/>
      <c r="VZ134" s="3507"/>
      <c r="WA134" s="3507"/>
      <c r="WB134" s="3507"/>
      <c r="WC134" s="3507"/>
      <c r="WD134" s="3507"/>
      <c r="WE134" s="3507"/>
      <c r="WF134" s="3507"/>
      <c r="WG134" s="3507"/>
      <c r="WH134" s="3507"/>
      <c r="WI134" s="3507"/>
      <c r="WJ134" s="3507"/>
      <c r="WK134" s="3507"/>
      <c r="WL134" s="3507"/>
      <c r="WM134" s="3507"/>
      <c r="WN134" s="3507"/>
      <c r="WO134" s="3507"/>
      <c r="WP134" s="3507"/>
      <c r="WQ134" s="3507"/>
      <c r="WR134" s="3507"/>
      <c r="WS134" s="3507"/>
      <c r="WT134" s="3507"/>
      <c r="WU134" s="3507"/>
      <c r="WV134" s="3507"/>
      <c r="WW134" s="3507"/>
      <c r="WX134" s="3507"/>
      <c r="WY134" s="3507"/>
      <c r="WZ134" s="3507"/>
      <c r="XA134" s="3507"/>
      <c r="XB134" s="3507"/>
      <c r="XC134" s="3507"/>
      <c r="XD134" s="3507"/>
      <c r="XE134" s="3507"/>
      <c r="XF134" s="3507"/>
      <c r="XG134" s="3507"/>
      <c r="XH134" s="3507"/>
      <c r="XI134" s="3507"/>
      <c r="XJ134" s="3507"/>
      <c r="XK134" s="3507"/>
      <c r="XL134" s="3507"/>
      <c r="XM134" s="3507"/>
      <c r="XN134" s="3507"/>
      <c r="XO134" s="3507"/>
      <c r="XP134" s="3507"/>
      <c r="XQ134" s="3507"/>
      <c r="XR134" s="3507"/>
      <c r="XS134" s="3507"/>
      <c r="XT134" s="3507"/>
      <c r="XU134" s="3507"/>
      <c r="XV134" s="3507"/>
      <c r="XW134" s="3507"/>
      <c r="XX134" s="3507"/>
      <c r="XY134" s="3507"/>
      <c r="XZ134" s="3507"/>
      <c r="YA134" s="3507"/>
      <c r="YB134" s="3507"/>
      <c r="YC134" s="3507"/>
      <c r="YD134" s="3507"/>
      <c r="YE134" s="3507"/>
      <c r="YF134" s="3507"/>
      <c r="YG134" s="3507"/>
      <c r="YH134" s="3507"/>
      <c r="YI134" s="3507"/>
      <c r="YJ134" s="3507"/>
      <c r="YK134" s="3507"/>
      <c r="YL134" s="3507"/>
      <c r="YM134" s="3507"/>
      <c r="YN134" s="3507"/>
      <c r="YO134" s="3507"/>
      <c r="YP134" s="3507"/>
      <c r="YQ134" s="3507"/>
      <c r="YR134" s="3507"/>
      <c r="YS134" s="3507"/>
      <c r="YT134" s="3507"/>
      <c r="YU134" s="3507"/>
      <c r="YV134" s="3507"/>
      <c r="YW134" s="3507"/>
      <c r="YX134" s="3507"/>
      <c r="YY134" s="3507"/>
      <c r="YZ134" s="3507"/>
      <c r="ZA134" s="3507"/>
      <c r="ZB134" s="3507"/>
      <c r="ZC134" s="3507"/>
      <c r="ZD134" s="3507"/>
      <c r="ZE134" s="3507"/>
      <c r="ZF134" s="3507"/>
      <c r="ZG134" s="3507"/>
      <c r="ZH134" s="3507"/>
      <c r="ZI134" s="3507"/>
      <c r="ZJ134" s="3507"/>
      <c r="ZK134" s="3507"/>
      <c r="ZL134" s="3507"/>
      <c r="ZM134" s="3507"/>
      <c r="ZN134" s="3507"/>
      <c r="ZO134" s="3507"/>
      <c r="ZP134" s="3507"/>
      <c r="ZQ134" s="3507"/>
      <c r="ZR134" s="3507"/>
      <c r="ZS134" s="3507"/>
      <c r="ZT134" s="3507"/>
      <c r="ZU134" s="3507"/>
      <c r="ZV134" s="3507"/>
      <c r="ZW134" s="3507"/>
      <c r="ZX134" s="3507"/>
      <c r="ZY134" s="3507"/>
      <c r="ZZ134" s="3507"/>
      <c r="AAA134" s="3507"/>
      <c r="AAB134" s="3507"/>
      <c r="AAC134" s="3507"/>
      <c r="AAD134" s="3507"/>
      <c r="AAE134" s="3507"/>
      <c r="AAF134" s="3507"/>
      <c r="AAG134" s="3507"/>
      <c r="AAH134" s="3507"/>
      <c r="AAI134" s="3507"/>
      <c r="AAJ134" s="3507"/>
      <c r="AAK134" s="3507"/>
      <c r="AAL134" s="3507"/>
      <c r="AAM134" s="3507"/>
      <c r="AAN134" s="3507"/>
      <c r="AAO134" s="3507"/>
      <c r="AAP134" s="3507"/>
      <c r="AAQ134" s="3507"/>
      <c r="AAR134" s="3507"/>
      <c r="AAS134" s="3507"/>
      <c r="AAT134" s="3507"/>
      <c r="AAU134" s="3507"/>
      <c r="AAV134" s="3507"/>
      <c r="AAW134" s="3507"/>
      <c r="AAX134" s="3507"/>
      <c r="AAY134" s="3507"/>
      <c r="AAZ134" s="3507"/>
      <c r="ABA134" s="3507"/>
      <c r="ABB134" s="3507"/>
      <c r="ABC134" s="3507"/>
      <c r="ABD134" s="3507"/>
      <c r="ABE134" s="3507"/>
      <c r="ABF134" s="3507"/>
      <c r="ABG134" s="3507"/>
      <c r="ABH134" s="3507"/>
      <c r="ABI134" s="3507"/>
      <c r="ABJ134" s="3507"/>
      <c r="ABK134" s="3507"/>
      <c r="ABL134" s="3507"/>
      <c r="ABM134" s="3507"/>
      <c r="ABN134" s="3507"/>
      <c r="ABO134" s="3507"/>
      <c r="ABP134" s="3507"/>
      <c r="ABQ134" s="3507"/>
      <c r="ABR134" s="3507"/>
      <c r="ABS134" s="3507"/>
      <c r="ABT134" s="3507"/>
      <c r="ABU134" s="3507"/>
      <c r="ABV134" s="3507"/>
      <c r="ABW134" s="3507"/>
      <c r="ABX134" s="3507"/>
      <c r="ABY134" s="3507"/>
      <c r="ABZ134" s="3507"/>
      <c r="ACA134" s="3507"/>
      <c r="ACB134" s="3507"/>
      <c r="ACC134" s="3507"/>
      <c r="ACD134" s="3507"/>
      <c r="ACE134" s="3507"/>
      <c r="ACF134" s="3507"/>
      <c r="ACG134" s="3507"/>
      <c r="ACH134" s="3507"/>
      <c r="ACI134" s="3507"/>
      <c r="ACJ134" s="3507"/>
      <c r="ACK134" s="3507"/>
      <c r="ACL134" s="3507"/>
      <c r="ACM134" s="3507"/>
      <c r="ACN134" s="3507"/>
      <c r="ACO134" s="3507"/>
      <c r="ACP134" s="3507"/>
      <c r="ACQ134" s="3507"/>
      <c r="ACR134" s="3507"/>
      <c r="ACS134" s="3507"/>
      <c r="ACT134" s="3507"/>
      <c r="ACU134" s="3507"/>
      <c r="ACV134" s="3507"/>
      <c r="ACW134" s="3507"/>
      <c r="ACX134" s="3507"/>
      <c r="ACY134" s="3507"/>
      <c r="ACZ134" s="3507"/>
      <c r="ADA134" s="3507"/>
      <c r="ADB134" s="3507"/>
      <c r="ADC134" s="3507"/>
      <c r="ADD134" s="3507"/>
      <c r="ADE134" s="3507"/>
      <c r="ADF134" s="3507"/>
      <c r="ADG134" s="3507"/>
      <c r="ADH134" s="3507"/>
      <c r="ADI134" s="3507"/>
      <c r="ADJ134" s="3507"/>
      <c r="ADK134" s="3507"/>
      <c r="ADL134" s="3507"/>
      <c r="ADM134" s="3507"/>
      <c r="ADN134" s="3507"/>
      <c r="ADO134" s="3507"/>
      <c r="ADP134" s="3507"/>
      <c r="ADQ134" s="3507"/>
      <c r="ADR134" s="3507"/>
      <c r="ADS134" s="3507"/>
      <c r="ADT134" s="3507"/>
      <c r="ADU134" s="3507"/>
      <c r="ADV134" s="3507"/>
      <c r="ADW134" s="3507"/>
      <c r="ADX134" s="3507"/>
      <c r="ADY134" s="3507"/>
      <c r="ADZ134" s="3507"/>
      <c r="AEA134" s="3507"/>
      <c r="AEB134" s="3507"/>
      <c r="AEC134" s="3507"/>
      <c r="AED134" s="3507"/>
      <c r="AEE134" s="3507"/>
      <c r="AEF134" s="3507"/>
      <c r="AEG134" s="3507"/>
      <c r="AEH134" s="3507"/>
      <c r="AEI134" s="3507"/>
      <c r="AEJ134" s="3507"/>
      <c r="AEK134" s="3507"/>
      <c r="AEL134" s="3507"/>
      <c r="AEM134" s="3507"/>
      <c r="AEN134" s="3507"/>
      <c r="AEO134" s="3507"/>
      <c r="AEP134" s="3507"/>
      <c r="AEQ134" s="3507"/>
      <c r="AER134" s="3507"/>
      <c r="AES134" s="3507"/>
      <c r="AET134" s="3507"/>
      <c r="AEU134" s="3507"/>
      <c r="AEV134" s="3507"/>
      <c r="AEW134" s="3507"/>
      <c r="AEX134" s="3507"/>
      <c r="AEY134" s="3507"/>
      <c r="AEZ134" s="3507"/>
      <c r="AFA134" s="3507"/>
      <c r="AFB134" s="3507"/>
      <c r="AFC134" s="3507"/>
      <c r="AFD134" s="3507"/>
      <c r="AFE134" s="3507"/>
      <c r="AFF134" s="3507"/>
      <c r="AFG134" s="3507"/>
      <c r="AFH134" s="3507"/>
      <c r="AFI134" s="3507"/>
      <c r="AFJ134" s="3507"/>
      <c r="AFK134" s="3507"/>
      <c r="AFL134" s="3507"/>
      <c r="AFM134" s="3507"/>
      <c r="AFN134" s="3507"/>
      <c r="AFO134" s="3507"/>
      <c r="AFP134" s="3507"/>
      <c r="AFQ134" s="3507"/>
      <c r="AFR134" s="3507"/>
      <c r="AFS134" s="3507"/>
      <c r="AFT134" s="3507"/>
      <c r="AFU134" s="3507"/>
      <c r="AFV134" s="3507"/>
      <c r="AFW134" s="3507"/>
      <c r="AFX134" s="3507"/>
      <c r="AFY134" s="3507"/>
      <c r="AFZ134" s="3507"/>
      <c r="AGA134" s="3507"/>
      <c r="AGB134" s="3507"/>
      <c r="AGC134" s="3507"/>
      <c r="AGD134" s="3507"/>
      <c r="AGE134" s="3507"/>
      <c r="AGF134" s="3507"/>
      <c r="AGG134" s="3507"/>
      <c r="AGH134" s="3507"/>
      <c r="AGI134" s="3507"/>
      <c r="AGJ134" s="3507"/>
      <c r="AGK134" s="3507"/>
      <c r="AGL134" s="3507"/>
      <c r="AGM134" s="3507"/>
      <c r="AGN134" s="3507"/>
      <c r="AGO134" s="3507"/>
      <c r="AGP134" s="3507"/>
      <c r="AGQ134" s="3507"/>
      <c r="AGR134" s="3507"/>
      <c r="AGS134" s="3507"/>
      <c r="AGT134" s="3507"/>
      <c r="AGU134" s="3507"/>
      <c r="AGV134" s="3507"/>
      <c r="AGW134" s="3507"/>
      <c r="AGX134" s="3507"/>
      <c r="AGY134" s="3507"/>
      <c r="AGZ134" s="3507"/>
      <c r="AHA134" s="3507"/>
      <c r="AHB134" s="3507"/>
      <c r="AHC134" s="3507"/>
      <c r="AHD134" s="3507"/>
      <c r="AHE134" s="3507"/>
      <c r="AHF134" s="3507"/>
      <c r="AHG134" s="3507"/>
      <c r="AHH134" s="3507"/>
      <c r="AHI134" s="3507"/>
      <c r="AHJ134" s="3507"/>
      <c r="AHK134" s="3507"/>
      <c r="AHL134" s="3507"/>
      <c r="AHM134" s="3507"/>
      <c r="AHN134" s="3507"/>
      <c r="AHO134" s="3507"/>
      <c r="AHP134" s="3507"/>
      <c r="AHQ134" s="3507"/>
      <c r="AHR134" s="3507"/>
      <c r="AHS134" s="3507"/>
      <c r="AHT134" s="3507"/>
      <c r="AHU134" s="3507"/>
      <c r="AHV134" s="3507"/>
      <c r="AHW134" s="3507"/>
      <c r="AHX134" s="3507"/>
      <c r="AHY134" s="3507"/>
      <c r="AHZ134" s="3507"/>
      <c r="AIA134" s="3507"/>
      <c r="AIB134" s="3507"/>
      <c r="AIC134" s="3507"/>
      <c r="AID134" s="3507"/>
      <c r="AIE134" s="3507"/>
      <c r="AIF134" s="3507"/>
      <c r="AIG134" s="3507"/>
      <c r="AIH134" s="3507"/>
      <c r="AII134" s="3507"/>
      <c r="AIJ134" s="3507"/>
      <c r="AIK134" s="3507"/>
      <c r="AIL134" s="3507"/>
      <c r="AIM134" s="3507"/>
      <c r="AIN134" s="3507"/>
      <c r="AIO134" s="3507"/>
      <c r="AIP134" s="3507"/>
      <c r="AIQ134" s="3507"/>
      <c r="AIR134" s="3507"/>
      <c r="AIS134" s="3507"/>
      <c r="AIT134" s="3507"/>
      <c r="AIU134" s="3507"/>
      <c r="AIV134" s="3507"/>
      <c r="AIW134" s="3507"/>
      <c r="AIX134" s="3507"/>
      <c r="AIY134" s="3507"/>
      <c r="AIZ134" s="3507"/>
      <c r="AJA134" s="3507"/>
      <c r="AJB134" s="3507"/>
      <c r="AJC134" s="3507"/>
      <c r="AJD134" s="3507"/>
      <c r="AJE134" s="3507"/>
      <c r="AJF134" s="3507"/>
      <c r="AJG134" s="3507"/>
      <c r="AJH134" s="3507"/>
      <c r="AJI134" s="3507"/>
      <c r="AJJ134" s="3507"/>
      <c r="AJK134" s="3507"/>
      <c r="AJL134" s="3507"/>
      <c r="AJM134" s="3507"/>
      <c r="AJN134" s="3507"/>
      <c r="AJO134" s="3507"/>
      <c r="AJP134" s="3507"/>
      <c r="AJQ134" s="3507"/>
      <c r="AJR134" s="3507"/>
      <c r="AJS134" s="3507"/>
      <c r="AJT134" s="3507"/>
      <c r="AJU134" s="3507"/>
      <c r="AJV134" s="3507"/>
      <c r="AJW134" s="3507"/>
      <c r="AJX134" s="3507"/>
      <c r="AJY134" s="3507"/>
      <c r="AJZ134" s="3507"/>
      <c r="AKA134" s="3507"/>
      <c r="AKB134" s="3507"/>
      <c r="AKC134" s="3507"/>
      <c r="AKD134" s="3507"/>
      <c r="AKE134" s="3507"/>
      <c r="AKF134" s="3507"/>
      <c r="AKG134" s="3507"/>
      <c r="AKH134" s="3507"/>
      <c r="AKI134" s="3507"/>
      <c r="AKJ134" s="3507"/>
      <c r="AKK134" s="3507"/>
      <c r="AKL134" s="3507"/>
      <c r="AKM134" s="3507"/>
      <c r="AKN134" s="3507"/>
      <c r="AKO134" s="3507"/>
      <c r="AKP134" s="3507"/>
      <c r="AKQ134" s="3507"/>
      <c r="AKR134" s="3507"/>
      <c r="AKS134" s="3507"/>
      <c r="AKT134" s="3507"/>
      <c r="AKU134" s="3507"/>
      <c r="AKV134" s="3507"/>
      <c r="AKW134" s="3507"/>
      <c r="AKX134" s="3507"/>
      <c r="AKY134" s="3507"/>
      <c r="AKZ134" s="3507"/>
      <c r="ALA134" s="3507"/>
      <c r="ALB134" s="3507"/>
      <c r="ALC134" s="3507"/>
      <c r="ALD134" s="3507"/>
      <c r="ALE134" s="3507"/>
      <c r="ALF134" s="3507"/>
      <c r="ALG134" s="3507"/>
      <c r="ALH134" s="3507"/>
      <c r="ALI134" s="3507"/>
      <c r="ALJ134" s="3507"/>
      <c r="ALK134" s="3507"/>
      <c r="ALL134" s="3507"/>
      <c r="ALM134" s="3507"/>
      <c r="ALN134" s="3507"/>
      <c r="ALO134" s="3507"/>
      <c r="ALP134" s="3507"/>
      <c r="ALQ134" s="3507"/>
      <c r="ALR134" s="3507"/>
      <c r="ALS134" s="3507"/>
      <c r="ALT134" s="3507"/>
      <c r="ALU134" s="3507"/>
      <c r="ALV134" s="3507"/>
      <c r="ALW134" s="3507"/>
      <c r="ALX134" s="3507"/>
      <c r="ALY134" s="3507"/>
      <c r="ALZ134" s="3507"/>
      <c r="AMA134" s="3507"/>
      <c r="AMB134" s="3507"/>
      <c r="AMC134" s="3507"/>
      <c r="AMD134" s="3507"/>
      <c r="AME134" s="3507"/>
      <c r="AMF134" s="3507"/>
      <c r="AMG134" s="3507"/>
      <c r="AMH134" s="3507"/>
      <c r="AMI134" s="3507"/>
      <c r="AMJ134" s="3507"/>
      <c r="AMK134" s="3507"/>
      <c r="AML134" s="3507"/>
      <c r="AMM134" s="3507"/>
      <c r="AMN134" s="3507"/>
      <c r="AMO134" s="3507"/>
      <c r="AMP134" s="3507"/>
      <c r="AMQ134" s="3507"/>
      <c r="AMR134" s="3507"/>
      <c r="AMS134" s="3507"/>
      <c r="AMT134" s="3507"/>
      <c r="AMU134" s="3507"/>
      <c r="AMV134" s="3507"/>
      <c r="AMW134" s="3507"/>
      <c r="AMX134" s="3507"/>
      <c r="AMY134" s="3507"/>
      <c r="AMZ134" s="3507"/>
      <c r="ANA134" s="3507"/>
      <c r="ANB134" s="3507"/>
      <c r="ANC134" s="3507"/>
      <c r="AND134" s="3507"/>
      <c r="ANE134" s="3507"/>
      <c r="ANF134" s="3507"/>
      <c r="ANG134" s="3507"/>
      <c r="ANH134" s="3507"/>
      <c r="ANI134" s="3507"/>
      <c r="ANJ134" s="3507"/>
      <c r="ANK134" s="3507"/>
      <c r="ANL134" s="3507"/>
      <c r="ANM134" s="3507"/>
      <c r="ANN134" s="3507"/>
      <c r="ANO134" s="3507"/>
      <c r="ANP134" s="3507"/>
      <c r="ANQ134" s="3507"/>
      <c r="ANR134" s="3507"/>
      <c r="ANS134" s="3507"/>
      <c r="ANT134" s="3507"/>
      <c r="ANU134" s="3507"/>
      <c r="ANV134" s="3507"/>
      <c r="ANW134" s="3507"/>
      <c r="ANX134" s="3507"/>
      <c r="ANY134" s="3507"/>
      <c r="ANZ134" s="3507"/>
      <c r="AOA134" s="3507"/>
      <c r="AOB134" s="3507"/>
      <c r="AOC134" s="3507"/>
      <c r="AOD134" s="3507"/>
      <c r="AOE134" s="3507"/>
      <c r="AOF134" s="3507"/>
      <c r="AOG134" s="3507"/>
      <c r="AOH134" s="3507"/>
      <c r="AOI134" s="3507"/>
      <c r="AOJ134" s="3507"/>
      <c r="AOK134" s="3507"/>
      <c r="AOL134" s="3507"/>
      <c r="AOM134" s="3507"/>
      <c r="AON134" s="3507"/>
      <c r="AOO134" s="3507"/>
      <c r="AOP134" s="3507"/>
      <c r="AOQ134" s="3507"/>
      <c r="AOR134" s="3507"/>
      <c r="AOS134" s="3507"/>
      <c r="AOT134" s="3507"/>
      <c r="AOU134" s="3507"/>
      <c r="AOV134" s="3507"/>
      <c r="AOW134" s="3507"/>
      <c r="AOX134" s="3507"/>
      <c r="AOY134" s="3507"/>
      <c r="AOZ134" s="3507"/>
      <c r="APA134" s="3507"/>
      <c r="APB134" s="3507"/>
      <c r="APC134" s="3507"/>
      <c r="APD134" s="3507"/>
      <c r="APE134" s="3507"/>
      <c r="APF134" s="3507"/>
      <c r="APG134" s="3507"/>
      <c r="APH134" s="3507"/>
      <c r="API134" s="3507"/>
      <c r="APJ134" s="3507"/>
      <c r="APK134" s="3507"/>
      <c r="APL134" s="3507"/>
      <c r="APM134" s="3507"/>
      <c r="APN134" s="3507"/>
      <c r="APO134" s="3507"/>
      <c r="APP134" s="3507"/>
      <c r="APQ134" s="3507"/>
      <c r="APR134" s="3507"/>
      <c r="APS134" s="3507"/>
      <c r="APT134" s="3507"/>
      <c r="APU134" s="3507"/>
      <c r="APV134" s="3507"/>
      <c r="APW134" s="3507"/>
      <c r="APX134" s="3507"/>
      <c r="APY134" s="3507"/>
      <c r="APZ134" s="3507"/>
      <c r="AQA134" s="3507"/>
      <c r="AQB134" s="3507"/>
      <c r="AQC134" s="3507"/>
      <c r="AQD134" s="3507"/>
      <c r="AQE134" s="3507"/>
      <c r="AQF134" s="3507"/>
      <c r="AQG134" s="3507"/>
      <c r="AQH134" s="3507"/>
      <c r="AQI134" s="3507"/>
      <c r="AQJ134" s="3507"/>
      <c r="AQK134" s="3507"/>
      <c r="AQL134" s="3507"/>
      <c r="AQM134" s="3507"/>
      <c r="AQN134" s="3507"/>
      <c r="AQO134" s="3507"/>
      <c r="AQP134" s="3507"/>
      <c r="AQQ134" s="3507"/>
      <c r="AQR134" s="3507"/>
      <c r="AQS134" s="3507"/>
      <c r="AQT134" s="3507"/>
      <c r="AQU134" s="3507"/>
      <c r="AQV134" s="3507"/>
      <c r="AQW134" s="3507"/>
      <c r="AQX134" s="3507"/>
      <c r="AQY134" s="3507"/>
      <c r="AQZ134" s="3507"/>
      <c r="ARA134" s="3507"/>
      <c r="ARB134" s="3507"/>
      <c r="ARC134" s="3507"/>
      <c r="ARD134" s="3507"/>
      <c r="ARE134" s="3507"/>
      <c r="ARF134" s="3507"/>
      <c r="ARG134" s="3507"/>
      <c r="ARH134" s="3507"/>
      <c r="ARI134" s="3507"/>
      <c r="ARJ134" s="3507"/>
      <c r="ARK134" s="3507"/>
      <c r="ARL134" s="3507"/>
      <c r="ARM134" s="3507"/>
      <c r="ARN134" s="3507"/>
      <c r="ARO134" s="3507"/>
      <c r="ARP134" s="3507"/>
      <c r="ARQ134" s="3507"/>
      <c r="ARR134" s="3507"/>
      <c r="ARS134" s="3507"/>
      <c r="ART134" s="3507"/>
      <c r="ARU134" s="3507"/>
      <c r="ARV134" s="3507"/>
      <c r="ARW134" s="3507"/>
      <c r="ARX134" s="3507"/>
      <c r="ARY134" s="3507"/>
      <c r="ARZ134" s="3507"/>
      <c r="ASA134" s="3507"/>
      <c r="ASB134" s="3507"/>
      <c r="ASC134" s="3507"/>
      <c r="ASD134" s="3507"/>
      <c r="ASE134" s="3507"/>
      <c r="ASF134" s="3507"/>
      <c r="ASG134" s="3507"/>
      <c r="ASH134" s="3507"/>
      <c r="ASI134" s="3507"/>
      <c r="ASJ134" s="3507"/>
      <c r="ASK134" s="3507"/>
      <c r="ASL134" s="3507"/>
      <c r="ASM134" s="3507"/>
      <c r="ASN134" s="3507"/>
      <c r="ASO134" s="3507"/>
      <c r="ASP134" s="3507"/>
      <c r="ASQ134" s="3507"/>
      <c r="ASR134" s="3507"/>
      <c r="ASS134" s="3507"/>
      <c r="AST134" s="3507"/>
      <c r="ASU134" s="3507"/>
      <c r="ASV134" s="3507"/>
      <c r="ASW134" s="3507"/>
      <c r="ASX134" s="3507"/>
      <c r="ASY134" s="3507"/>
      <c r="ASZ134" s="3507"/>
      <c r="ATA134" s="3507"/>
      <c r="ATB134" s="3507"/>
      <c r="ATC134" s="3507"/>
      <c r="ATD134" s="3507"/>
      <c r="ATE134" s="3507"/>
      <c r="ATF134" s="3507"/>
      <c r="ATG134" s="3507"/>
      <c r="ATH134" s="3507"/>
      <c r="ATI134" s="3507"/>
      <c r="ATJ134" s="3507"/>
      <c r="ATK134" s="3507"/>
      <c r="ATL134" s="3507"/>
      <c r="ATM134" s="3507"/>
      <c r="ATN134" s="3507"/>
      <c r="ATO134" s="3507"/>
      <c r="ATP134" s="3507"/>
      <c r="ATQ134" s="3507"/>
      <c r="ATR134" s="3507"/>
      <c r="ATS134" s="3507"/>
      <c r="ATT134" s="3507"/>
      <c r="ATU134" s="3507"/>
      <c r="ATV134" s="3507"/>
      <c r="ATW134" s="3507"/>
      <c r="ATX134" s="3507"/>
      <c r="ATY134" s="3507"/>
      <c r="ATZ134" s="3507"/>
      <c r="AUA134" s="3507"/>
      <c r="AUB134" s="3507"/>
      <c r="AUC134" s="3507"/>
      <c r="AUD134" s="3507"/>
      <c r="AUE134" s="3507"/>
      <c r="AUF134" s="3507"/>
      <c r="AUG134" s="3507"/>
      <c r="AUH134" s="3507"/>
      <c r="AUI134" s="3507"/>
      <c r="AUJ134" s="3507"/>
      <c r="AUK134" s="3507"/>
      <c r="AUL134" s="3507"/>
      <c r="AUM134" s="3507"/>
      <c r="AUN134" s="3507"/>
      <c r="AUO134" s="3507"/>
      <c r="AUP134" s="3507"/>
      <c r="AUQ134" s="3507"/>
      <c r="AUR134" s="3507"/>
      <c r="AUS134" s="3507"/>
      <c r="AUT134" s="3507"/>
      <c r="AUU134" s="3507"/>
      <c r="AUV134" s="3507"/>
      <c r="AUW134" s="3507"/>
      <c r="AUX134" s="3507"/>
      <c r="AUY134" s="3507"/>
      <c r="AUZ134" s="3507"/>
      <c r="AVA134" s="3507"/>
      <c r="AVB134" s="3507"/>
      <c r="AVC134" s="3507"/>
      <c r="AVD134" s="3507"/>
      <c r="AVE134" s="3507"/>
      <c r="AVF134" s="3507"/>
      <c r="AVG134" s="3507"/>
      <c r="AVH134" s="3507"/>
      <c r="AVI134" s="3507"/>
      <c r="AVJ134" s="3507"/>
      <c r="AVK134" s="3507"/>
      <c r="AVL134" s="3507"/>
      <c r="AVM134" s="3507"/>
      <c r="AVN134" s="3507"/>
      <c r="AVO134" s="3507"/>
      <c r="AVP134" s="3507"/>
      <c r="AVQ134" s="3507"/>
      <c r="AVR134" s="3507"/>
      <c r="AVS134" s="3507"/>
      <c r="AVT134" s="3507"/>
      <c r="AVU134" s="3507"/>
      <c r="AVV134" s="3507"/>
      <c r="AVW134" s="3507"/>
      <c r="AVX134" s="3507"/>
      <c r="AVY134" s="3507"/>
      <c r="AVZ134" s="3507"/>
      <c r="AWA134" s="3507"/>
      <c r="AWB134" s="3507"/>
      <c r="AWC134" s="3507"/>
      <c r="AWD134" s="3507"/>
      <c r="AWE134" s="3507"/>
      <c r="AWF134" s="3507"/>
      <c r="AWG134" s="3507"/>
      <c r="AWH134" s="3507"/>
      <c r="AWI134" s="3507"/>
      <c r="AWJ134" s="3507"/>
      <c r="AWK134" s="3507"/>
      <c r="AWL134" s="3507"/>
      <c r="AWM134" s="3507"/>
      <c r="AWN134" s="3507"/>
      <c r="AWO134" s="3507"/>
      <c r="AWP134" s="3507"/>
      <c r="AWQ134" s="3507"/>
      <c r="AWR134" s="3507"/>
      <c r="AWS134" s="3507"/>
      <c r="AWT134" s="3507"/>
      <c r="AWU134" s="3507"/>
      <c r="AWV134" s="3507"/>
      <c r="AWW134" s="3507"/>
      <c r="AWX134" s="3507"/>
      <c r="AWY134" s="3507"/>
      <c r="AWZ134" s="3507"/>
      <c r="AXA134" s="3507"/>
      <c r="AXB134" s="3507"/>
      <c r="AXC134" s="3507"/>
      <c r="AXD134" s="3507"/>
      <c r="AXE134" s="3507"/>
      <c r="AXF134" s="3507"/>
      <c r="AXG134" s="3507"/>
      <c r="AXH134" s="3507"/>
      <c r="AXI134" s="3507"/>
      <c r="AXJ134" s="3507"/>
      <c r="AXK134" s="3507"/>
      <c r="AXL134" s="3507"/>
      <c r="AXM134" s="3507"/>
      <c r="AXN134" s="3507"/>
      <c r="AXO134" s="3507"/>
      <c r="AXP134" s="3507"/>
      <c r="AXQ134" s="3507"/>
      <c r="AXR134" s="3507"/>
      <c r="AXS134" s="3507"/>
      <c r="AXT134" s="3507"/>
      <c r="AXU134" s="3507"/>
      <c r="AXV134" s="3507"/>
      <c r="AXW134" s="3507"/>
      <c r="AXX134" s="3507"/>
      <c r="AXY134" s="3507"/>
      <c r="AXZ134" s="3507"/>
      <c r="AYA134" s="3507"/>
      <c r="AYB134" s="3507"/>
      <c r="AYC134" s="3507"/>
      <c r="AYD134" s="3507"/>
      <c r="AYE134" s="3507"/>
      <c r="AYF134" s="3507"/>
      <c r="AYG134" s="3507"/>
      <c r="AYH134" s="3507"/>
      <c r="AYI134" s="3507"/>
      <c r="AYJ134" s="3507"/>
      <c r="AYK134" s="3507"/>
      <c r="AYL134" s="3507"/>
      <c r="AYM134" s="3507"/>
      <c r="AYN134" s="3507"/>
      <c r="AYO134" s="3507"/>
      <c r="AYP134" s="3507"/>
      <c r="AYQ134" s="3507"/>
      <c r="AYR134" s="3507"/>
      <c r="AYS134" s="3507"/>
      <c r="AYT134" s="3507"/>
      <c r="AYU134" s="3507"/>
      <c r="AYV134" s="3507"/>
      <c r="AYW134" s="3507"/>
      <c r="AYX134" s="3507"/>
      <c r="AYY134" s="3507"/>
      <c r="AYZ134" s="3507"/>
      <c r="AZA134" s="3507"/>
      <c r="AZB134" s="3507"/>
      <c r="AZC134" s="3507"/>
      <c r="AZD134" s="3507"/>
      <c r="AZE134" s="3507"/>
      <c r="AZF134" s="3507"/>
      <c r="AZG134" s="3507"/>
      <c r="AZH134" s="3507"/>
      <c r="AZI134" s="3507"/>
      <c r="AZJ134" s="3507"/>
      <c r="AZK134" s="3507"/>
      <c r="AZL134" s="3507"/>
      <c r="AZM134" s="3507"/>
      <c r="AZN134" s="3507"/>
      <c r="AZO134" s="3507"/>
      <c r="AZP134" s="3507"/>
      <c r="AZQ134" s="3507"/>
      <c r="AZR134" s="3507"/>
      <c r="AZS134" s="3507"/>
      <c r="AZT134" s="3507"/>
      <c r="AZU134" s="3507"/>
      <c r="AZV134" s="3507"/>
      <c r="AZW134" s="3507"/>
      <c r="AZX134" s="3507"/>
      <c r="AZY134" s="3507"/>
      <c r="AZZ134" s="3507"/>
      <c r="BAA134" s="3507"/>
      <c r="BAB134" s="3507"/>
      <c r="BAC134" s="3507"/>
      <c r="BAD134" s="3507"/>
      <c r="BAE134" s="3507"/>
      <c r="BAF134" s="3507"/>
      <c r="BAG134" s="3507"/>
      <c r="BAH134" s="3507"/>
      <c r="BAI134" s="3507"/>
      <c r="BAJ134" s="3507"/>
      <c r="BAK134" s="3507"/>
      <c r="BAL134" s="3507"/>
      <c r="BAM134" s="3507"/>
      <c r="BAN134" s="3507"/>
      <c r="BAO134" s="3507"/>
      <c r="BAP134" s="3507"/>
      <c r="BAQ134" s="3507"/>
      <c r="BAR134" s="3507"/>
      <c r="BAS134" s="3507"/>
      <c r="BAT134" s="3507"/>
      <c r="BAU134" s="3507"/>
      <c r="BAV134" s="3507"/>
      <c r="BAW134" s="3507"/>
      <c r="BAX134" s="3507"/>
      <c r="BAY134" s="3507"/>
      <c r="BAZ134" s="3507"/>
      <c r="BBA134" s="3507"/>
      <c r="BBB134" s="3507"/>
      <c r="BBC134" s="3507"/>
      <c r="BBD134" s="3507"/>
      <c r="BBE134" s="3507"/>
      <c r="BBF134" s="3507"/>
      <c r="BBG134" s="3507"/>
      <c r="BBH134" s="3507"/>
      <c r="BBI134" s="3507"/>
      <c r="BBJ134" s="3507"/>
      <c r="BBK134" s="3507"/>
      <c r="BBL134" s="3507"/>
      <c r="BBM134" s="3507"/>
      <c r="BBN134" s="3507"/>
      <c r="BBO134" s="3507"/>
      <c r="BBP134" s="3507"/>
      <c r="BBQ134" s="3507"/>
      <c r="BBR134" s="3507"/>
      <c r="BBS134" s="3507"/>
      <c r="BBT134" s="3507"/>
      <c r="BBU134" s="3507"/>
      <c r="BBV134" s="3507"/>
      <c r="BBW134" s="3507"/>
      <c r="BBX134" s="3507"/>
      <c r="BBY134" s="3507"/>
      <c r="BBZ134" s="3507"/>
      <c r="BCA134" s="3507"/>
      <c r="BCB134" s="3507"/>
      <c r="BCC134" s="3507"/>
      <c r="BCD134" s="3507"/>
      <c r="BCE134" s="3507"/>
      <c r="BCF134" s="3507"/>
      <c r="BCG134" s="3507"/>
      <c r="BCH134" s="3507"/>
      <c r="BCI134" s="3507"/>
      <c r="BCJ134" s="3507"/>
      <c r="BCK134" s="3507"/>
      <c r="BCL134" s="3507"/>
      <c r="BCM134" s="3507"/>
      <c r="BCN134" s="3507"/>
      <c r="BCO134" s="3507"/>
      <c r="BCP134" s="3507"/>
      <c r="BCQ134" s="3507"/>
      <c r="BCR134" s="3507"/>
      <c r="BCS134" s="3507"/>
      <c r="BCT134" s="3507"/>
      <c r="BCU134" s="3507"/>
      <c r="BCV134" s="3507"/>
      <c r="BCW134" s="3507"/>
      <c r="BCX134" s="3507"/>
      <c r="BCY134" s="3507"/>
      <c r="BCZ134" s="3507"/>
      <c r="BDA134" s="3507"/>
      <c r="BDB134" s="3507"/>
      <c r="BDC134" s="3507"/>
      <c r="BDD134" s="3507"/>
      <c r="BDE134" s="3507"/>
      <c r="BDF134" s="3507"/>
      <c r="BDG134" s="3507"/>
      <c r="BDH134" s="3507"/>
      <c r="BDI134" s="3507"/>
      <c r="BDJ134" s="3507"/>
      <c r="BDK134" s="3507"/>
      <c r="BDL134" s="3507"/>
      <c r="BDM134" s="3507"/>
      <c r="BDN134" s="3507"/>
      <c r="BDO134" s="3507"/>
      <c r="BDP134" s="3507"/>
      <c r="BDQ134" s="3507"/>
      <c r="BDR134" s="3507"/>
      <c r="BDS134" s="3507"/>
      <c r="BDT134" s="3507"/>
      <c r="BDU134" s="3507"/>
      <c r="BDV134" s="3507"/>
      <c r="BDW134" s="3507"/>
      <c r="BDX134" s="3507"/>
      <c r="BDY134" s="3507"/>
      <c r="BDZ134" s="3507"/>
      <c r="BEA134" s="3507"/>
      <c r="BEB134" s="3507"/>
      <c r="BEC134" s="3507"/>
      <c r="BED134" s="3507"/>
      <c r="BEE134" s="3507"/>
      <c r="BEF134" s="3507"/>
      <c r="BEG134" s="3507"/>
      <c r="BEH134" s="3507"/>
      <c r="BEI134" s="3507"/>
      <c r="BEJ134" s="3507"/>
      <c r="BEK134" s="3507"/>
      <c r="BEL134" s="3507"/>
      <c r="BEM134" s="3507"/>
      <c r="BEN134" s="3507"/>
      <c r="BEO134" s="3507"/>
      <c r="BEP134" s="3507"/>
      <c r="BEQ134" s="3507"/>
      <c r="BER134" s="3507"/>
      <c r="BES134" s="3507"/>
      <c r="BET134" s="3507"/>
      <c r="BEU134" s="3507"/>
      <c r="BEV134" s="3507"/>
      <c r="BEW134" s="3507"/>
      <c r="BEX134" s="3507"/>
      <c r="BEY134" s="3507"/>
      <c r="BEZ134" s="3507"/>
      <c r="BFA134" s="3507"/>
      <c r="BFB134" s="3507"/>
      <c r="BFC134" s="3507"/>
      <c r="BFD134" s="3507"/>
      <c r="BFE134" s="3507"/>
      <c r="BFF134" s="3507"/>
      <c r="BFG134" s="3507"/>
      <c r="BFH134" s="3507"/>
      <c r="BFI134" s="3507"/>
      <c r="BFJ134" s="3507"/>
      <c r="BFK134" s="3507"/>
      <c r="BFL134" s="3507"/>
      <c r="BFM134" s="3507"/>
      <c r="BFN134" s="3507"/>
      <c r="BFO134" s="3507"/>
      <c r="BFP134" s="3507"/>
      <c r="BFQ134" s="3507"/>
      <c r="BFR134" s="3507"/>
      <c r="BFS134" s="3507"/>
      <c r="BFT134" s="3507"/>
      <c r="BFU134" s="3507"/>
      <c r="BFV134" s="3507"/>
      <c r="BFW134" s="3507"/>
      <c r="BFX134" s="3507"/>
      <c r="BFY134" s="3507"/>
      <c r="BFZ134" s="3507"/>
      <c r="BGA134" s="3507"/>
      <c r="BGB134" s="3507"/>
      <c r="BGC134" s="3507"/>
      <c r="BGD134" s="3507"/>
      <c r="BGE134" s="3507"/>
      <c r="BGF134" s="3507"/>
      <c r="BGG134" s="3507"/>
      <c r="BGH134" s="3507"/>
      <c r="BGI134" s="3507"/>
      <c r="BGJ134" s="3507"/>
      <c r="BGK134" s="3507"/>
      <c r="BGL134" s="3507"/>
      <c r="BGM134" s="3507"/>
      <c r="BGN134" s="3507"/>
      <c r="BGO134" s="3507"/>
      <c r="BGP134" s="3507"/>
      <c r="BGQ134" s="3507"/>
      <c r="BGR134" s="3507"/>
      <c r="BGS134" s="3507"/>
      <c r="BGT134" s="3507"/>
      <c r="BGU134" s="3507"/>
      <c r="BGV134" s="3507"/>
      <c r="BGW134" s="3507"/>
      <c r="BGX134" s="3507"/>
      <c r="BGY134" s="3507"/>
      <c r="BGZ134" s="3507"/>
      <c r="BHA134" s="3507"/>
      <c r="BHB134" s="3507"/>
      <c r="BHC134" s="3507"/>
      <c r="BHD134" s="3507"/>
      <c r="BHE134" s="3507"/>
      <c r="BHF134" s="3507"/>
      <c r="BHG134" s="3507"/>
      <c r="BHH134" s="3507"/>
      <c r="BHI134" s="3507"/>
      <c r="BHJ134" s="3507"/>
      <c r="BHK134" s="3507"/>
      <c r="BHL134" s="3507"/>
      <c r="BHM134" s="3507"/>
      <c r="BHN134" s="3507"/>
      <c r="BHO134" s="3507"/>
      <c r="BHP134" s="3507"/>
      <c r="BHQ134" s="3507"/>
      <c r="BHR134" s="3507"/>
      <c r="BHS134" s="3507"/>
      <c r="BHT134" s="3507"/>
      <c r="BHU134" s="3507"/>
      <c r="BHV134" s="3507"/>
      <c r="BHW134" s="3507"/>
      <c r="BHX134" s="3507"/>
      <c r="BHY134" s="3507"/>
      <c r="BHZ134" s="3507"/>
      <c r="BIA134" s="3507"/>
      <c r="BIB134" s="3507"/>
      <c r="BIC134" s="3507"/>
      <c r="BID134" s="3507"/>
      <c r="BIE134" s="3507"/>
      <c r="BIF134" s="3507"/>
      <c r="BIG134" s="3507"/>
      <c r="BIH134" s="3507"/>
      <c r="BII134" s="3507"/>
      <c r="BIJ134" s="3507"/>
      <c r="BIK134" s="3507"/>
      <c r="BIL134" s="3507"/>
      <c r="BIM134" s="3507"/>
      <c r="BIN134" s="3507"/>
      <c r="BIO134" s="3507"/>
      <c r="BIP134" s="3507"/>
      <c r="BIQ134" s="3507"/>
      <c r="BIR134" s="3507"/>
      <c r="BIS134" s="3507"/>
      <c r="BIT134" s="3507"/>
      <c r="BIU134" s="3507"/>
      <c r="BIV134" s="3507"/>
      <c r="BIW134" s="3507"/>
      <c r="BIX134" s="3507"/>
      <c r="BIY134" s="3507"/>
      <c r="BIZ134" s="3507"/>
      <c r="BJA134" s="3507"/>
      <c r="BJB134" s="3507"/>
      <c r="BJC134" s="3507"/>
      <c r="BJD134" s="3507"/>
      <c r="BJE134" s="3507"/>
      <c r="BJF134" s="3507"/>
      <c r="BJG134" s="3507"/>
      <c r="BJH134" s="3507"/>
      <c r="BJI134" s="3507"/>
      <c r="BJJ134" s="3507"/>
      <c r="BJK134" s="3507"/>
      <c r="BJL134" s="3507"/>
      <c r="BJM134" s="3507"/>
      <c r="BJN134" s="3507"/>
      <c r="BJO134" s="3507"/>
      <c r="BJP134" s="3507"/>
      <c r="BJQ134" s="3507"/>
      <c r="BJR134" s="3507"/>
      <c r="BJS134" s="3507"/>
      <c r="BJT134" s="3507"/>
      <c r="BJU134" s="3507"/>
      <c r="BJV134" s="3507"/>
      <c r="BJW134" s="3507"/>
      <c r="BJX134" s="3507"/>
      <c r="BJY134" s="3507"/>
      <c r="BJZ134" s="3507"/>
      <c r="BKA134" s="3507"/>
      <c r="BKB134" s="3507"/>
      <c r="BKC134" s="3507"/>
      <c r="BKD134" s="3507"/>
      <c r="BKE134" s="3507"/>
      <c r="BKF134" s="3507"/>
      <c r="BKG134" s="3507"/>
      <c r="BKH134" s="3507"/>
      <c r="BKI134" s="3507"/>
      <c r="BKJ134" s="3507"/>
      <c r="BKK134" s="3507"/>
      <c r="BKL134" s="3507"/>
      <c r="BKM134" s="3507"/>
      <c r="BKN134" s="3507"/>
      <c r="BKO134" s="3507"/>
      <c r="BKP134" s="3507"/>
      <c r="BKQ134" s="3507"/>
      <c r="BKR134" s="3507"/>
      <c r="BKS134" s="3507"/>
      <c r="BKT134" s="3507"/>
      <c r="BKU134" s="3507"/>
      <c r="BKV134" s="3507"/>
      <c r="BKW134" s="3507"/>
      <c r="BKX134" s="3507"/>
      <c r="BKY134" s="3507"/>
      <c r="BKZ134" s="3507"/>
      <c r="BLA134" s="3507"/>
      <c r="BLB134" s="3507"/>
      <c r="BLC134" s="3507"/>
      <c r="BLD134" s="3507"/>
      <c r="BLE134" s="3507"/>
      <c r="BLF134" s="3507"/>
      <c r="BLG134" s="3507"/>
      <c r="BLH134" s="3507"/>
      <c r="BLI134" s="3507"/>
      <c r="BLJ134" s="3507"/>
      <c r="BLK134" s="3507"/>
      <c r="BLL134" s="3507"/>
      <c r="BLM134" s="3507"/>
      <c r="BLN134" s="3507"/>
      <c r="BLO134" s="3507"/>
      <c r="BLP134" s="3507"/>
      <c r="BLQ134" s="3507"/>
      <c r="BLR134" s="3507"/>
      <c r="BLS134" s="3507"/>
      <c r="BLT134" s="3507"/>
      <c r="BLU134" s="3507"/>
      <c r="BLV134" s="3507"/>
      <c r="BLW134" s="3507"/>
      <c r="BLX134" s="3507"/>
      <c r="BLY134" s="3507"/>
      <c r="BLZ134" s="3507"/>
      <c r="BMA134" s="3507"/>
      <c r="BMB134" s="3507"/>
      <c r="BMC134" s="3507"/>
      <c r="BMD134" s="3507"/>
      <c r="BME134" s="3507"/>
      <c r="BMF134" s="3507"/>
      <c r="BMG134" s="3507"/>
      <c r="BMH134" s="3507"/>
      <c r="BMI134" s="3507"/>
      <c r="BMJ134" s="3507"/>
      <c r="BMK134" s="3507"/>
      <c r="BML134" s="3507"/>
      <c r="BMM134" s="3507"/>
      <c r="BMN134" s="3507"/>
      <c r="BMO134" s="3507"/>
      <c r="BMP134" s="3507"/>
      <c r="BMQ134" s="3507"/>
      <c r="BMR134" s="3507"/>
      <c r="BMS134" s="3507"/>
      <c r="BMT134" s="3507"/>
      <c r="BMU134" s="3507"/>
      <c r="BMV134" s="3507"/>
      <c r="BMW134" s="3507"/>
      <c r="BMX134" s="3507"/>
      <c r="BMY134" s="3507"/>
      <c r="BMZ134" s="3507"/>
      <c r="BNA134" s="3507"/>
      <c r="BNB134" s="3507"/>
      <c r="BNC134" s="3507"/>
      <c r="BND134" s="3507"/>
      <c r="BNE134" s="3507"/>
      <c r="BNF134" s="3507"/>
      <c r="BNG134" s="3507"/>
      <c r="BNH134" s="3507"/>
      <c r="BNI134" s="3507"/>
      <c r="BNJ134" s="3507"/>
      <c r="BNK134" s="3507"/>
      <c r="BNL134" s="3507"/>
      <c r="BNM134" s="3507"/>
      <c r="BNN134" s="3507"/>
      <c r="BNO134" s="3507"/>
      <c r="BNP134" s="3507"/>
      <c r="BNQ134" s="3507"/>
      <c r="BNR134" s="3507"/>
      <c r="BNS134" s="3507"/>
      <c r="BNT134" s="3507"/>
      <c r="BNU134" s="3507"/>
      <c r="BNV134" s="3507"/>
      <c r="BNW134" s="3507"/>
      <c r="BNX134" s="3507"/>
      <c r="BNY134" s="3507"/>
      <c r="BNZ134" s="3507"/>
      <c r="BOA134" s="3507"/>
      <c r="BOB134" s="3507"/>
      <c r="BOC134" s="3507"/>
      <c r="BOD134" s="3507"/>
      <c r="BOE134" s="3507"/>
      <c r="BOF134" s="3507"/>
      <c r="BOG134" s="3507"/>
      <c r="BOH134" s="3507"/>
      <c r="BOI134" s="3507"/>
      <c r="BOJ134" s="3507"/>
      <c r="BOK134" s="3507"/>
      <c r="BOL134" s="3507"/>
      <c r="BOM134" s="3507"/>
      <c r="BON134" s="3507"/>
      <c r="BOO134" s="3507"/>
      <c r="BOP134" s="3507"/>
      <c r="BOQ134" s="3507"/>
      <c r="BOR134" s="3507"/>
      <c r="BOS134" s="3507"/>
      <c r="BOT134" s="3507"/>
      <c r="BOU134" s="3507"/>
      <c r="BOV134" s="3507"/>
      <c r="BOW134" s="3507"/>
      <c r="BOX134" s="3507"/>
      <c r="BOY134" s="3507"/>
      <c r="BOZ134" s="3507"/>
      <c r="BPA134" s="3507"/>
      <c r="BPB134" s="3507"/>
      <c r="BPC134" s="3507"/>
      <c r="BPD134" s="3507"/>
      <c r="BPE134" s="3507"/>
      <c r="BPF134" s="3507"/>
      <c r="BPG134" s="3507"/>
      <c r="BPH134" s="3507"/>
      <c r="BPI134" s="3507"/>
      <c r="BPJ134" s="3507"/>
      <c r="BPK134" s="3507"/>
      <c r="BPL134" s="3507"/>
      <c r="BPM134" s="3507"/>
      <c r="BPN134" s="3507"/>
      <c r="BPO134" s="3507"/>
      <c r="BPP134" s="3507"/>
      <c r="BPQ134" s="3507"/>
      <c r="BPR134" s="3507"/>
      <c r="BPS134" s="3507"/>
      <c r="BPT134" s="3507"/>
      <c r="BPU134" s="3507"/>
      <c r="BPV134" s="3507"/>
      <c r="BPW134" s="3507"/>
      <c r="BPX134" s="3507"/>
      <c r="BPY134" s="3507"/>
      <c r="BPZ134" s="3507"/>
      <c r="BQA134" s="3507"/>
      <c r="BQB134" s="3507"/>
      <c r="BQC134" s="3507"/>
      <c r="BQD134" s="3507"/>
      <c r="BQE134" s="3507"/>
      <c r="BQF134" s="3507"/>
      <c r="BQG134" s="3507"/>
      <c r="BQH134" s="3507"/>
      <c r="BQI134" s="3507"/>
      <c r="BQJ134" s="3507"/>
      <c r="BQK134" s="3507"/>
      <c r="BQL134" s="3507"/>
      <c r="BQM134" s="3507"/>
      <c r="BQN134" s="3507"/>
      <c r="BQO134" s="3507"/>
      <c r="BQP134" s="3507"/>
      <c r="BQQ134" s="3507"/>
      <c r="BQR134" s="3507"/>
      <c r="BQS134" s="3507"/>
      <c r="BQT134" s="3507"/>
      <c r="BQU134" s="3507"/>
      <c r="BQV134" s="3507"/>
      <c r="BQW134" s="3507"/>
      <c r="BQX134" s="3507"/>
      <c r="BQY134" s="3507"/>
      <c r="BQZ134" s="3507"/>
      <c r="BRA134" s="3507"/>
      <c r="BRB134" s="3507"/>
      <c r="BRC134" s="3507"/>
      <c r="BRD134" s="3507"/>
      <c r="BRE134" s="3507"/>
      <c r="BRF134" s="3507"/>
      <c r="BRG134" s="3507"/>
      <c r="BRH134" s="3507"/>
      <c r="BRI134" s="3507"/>
      <c r="BRJ134" s="3507"/>
      <c r="BRK134" s="3507"/>
      <c r="BRL134" s="3507"/>
      <c r="BRM134" s="3507"/>
      <c r="BRN134" s="3507"/>
      <c r="BRO134" s="3507"/>
      <c r="BRP134" s="3507"/>
      <c r="BRQ134" s="3507"/>
      <c r="BRR134" s="3507"/>
      <c r="BRS134" s="3507"/>
      <c r="BRT134" s="3507"/>
      <c r="BRU134" s="3507"/>
      <c r="BRV134" s="3507"/>
      <c r="BRW134" s="3507"/>
      <c r="BRX134" s="3507"/>
      <c r="BRY134" s="3507"/>
      <c r="BRZ134" s="3507"/>
      <c r="BSA134" s="3507"/>
      <c r="BSB134" s="3507"/>
      <c r="BSC134" s="3507"/>
      <c r="BSD134" s="3507"/>
      <c r="BSE134" s="3507"/>
      <c r="BSF134" s="3507"/>
      <c r="BSG134" s="3507"/>
      <c r="BSH134" s="3507"/>
      <c r="BSI134" s="3507"/>
      <c r="BSJ134" s="3507"/>
      <c r="BSK134" s="3507"/>
      <c r="BSL134" s="3507"/>
      <c r="BSM134" s="3507"/>
      <c r="BSN134" s="3507"/>
      <c r="BSO134" s="3507"/>
      <c r="BSP134" s="3507"/>
      <c r="BSQ134" s="3507"/>
      <c r="BSR134" s="3507"/>
      <c r="BSS134" s="3507"/>
      <c r="BST134" s="3507"/>
      <c r="BSU134" s="3507"/>
      <c r="BSV134" s="3507"/>
      <c r="BSW134" s="3507"/>
      <c r="BSX134" s="3507"/>
      <c r="BSY134" s="3507"/>
      <c r="BSZ134" s="3507"/>
      <c r="BTA134" s="3507"/>
      <c r="BTB134" s="3507"/>
      <c r="BTC134" s="3507"/>
      <c r="BTD134" s="3507"/>
      <c r="BTE134" s="3507"/>
      <c r="BTF134" s="3507"/>
      <c r="BTG134" s="3507"/>
      <c r="BTH134" s="3507"/>
      <c r="BTI134" s="3507"/>
      <c r="BTJ134" s="3507"/>
      <c r="BTK134" s="3507"/>
      <c r="BTL134" s="3507"/>
      <c r="BTM134" s="3507"/>
      <c r="BTN134" s="3507"/>
      <c r="BTO134" s="3507"/>
      <c r="BTP134" s="3507"/>
      <c r="BTQ134" s="3507"/>
      <c r="BTR134" s="3507"/>
      <c r="BTS134" s="3507"/>
      <c r="BTT134" s="3507"/>
      <c r="BTU134" s="3507"/>
      <c r="BTV134" s="3507"/>
      <c r="BTW134" s="3507"/>
      <c r="BTX134" s="3507"/>
      <c r="BTY134" s="3507"/>
      <c r="BTZ134" s="3507"/>
      <c r="BUA134" s="3507"/>
      <c r="BUB134" s="3507"/>
      <c r="BUC134" s="3507"/>
      <c r="BUD134" s="3507"/>
      <c r="BUE134" s="3507"/>
      <c r="BUF134" s="3507"/>
      <c r="BUG134" s="3507"/>
      <c r="BUH134" s="3507"/>
      <c r="BUI134" s="3507"/>
      <c r="BUJ134" s="3507"/>
      <c r="BUK134" s="3507"/>
      <c r="BUL134" s="3507"/>
      <c r="BUM134" s="3507"/>
      <c r="BUN134" s="3507"/>
      <c r="BUO134" s="3507"/>
      <c r="BUP134" s="3507"/>
      <c r="BUQ134" s="3507"/>
      <c r="BUR134" s="3507"/>
      <c r="BUS134" s="3507"/>
      <c r="BUT134" s="3507"/>
      <c r="BUU134" s="3507"/>
      <c r="BUV134" s="3507"/>
      <c r="BUW134" s="3507"/>
      <c r="BUX134" s="3507"/>
      <c r="BUY134" s="3507"/>
      <c r="BUZ134" s="3507"/>
      <c r="BVA134" s="3507"/>
      <c r="BVB134" s="3507"/>
      <c r="BVC134" s="3507"/>
      <c r="BVD134" s="3507"/>
      <c r="BVE134" s="3507"/>
      <c r="BVF134" s="3507"/>
      <c r="BVG134" s="3507"/>
      <c r="BVH134" s="3507"/>
      <c r="BVI134" s="3507"/>
      <c r="BVJ134" s="3507"/>
      <c r="BVK134" s="3507"/>
      <c r="BVL134" s="3507"/>
      <c r="BVM134" s="3507"/>
      <c r="BVN134" s="3507"/>
      <c r="BVO134" s="3507"/>
      <c r="BVP134" s="3507"/>
      <c r="BVQ134" s="3507"/>
      <c r="BVR134" s="3507"/>
      <c r="BVS134" s="3507"/>
      <c r="BVT134" s="3507"/>
      <c r="BVU134" s="3507"/>
      <c r="BVV134" s="3507"/>
      <c r="BVW134" s="3507"/>
      <c r="BVX134" s="3507"/>
      <c r="BVY134" s="3507"/>
      <c r="BVZ134" s="3507"/>
      <c r="BWA134" s="3507"/>
      <c r="BWB134" s="3507"/>
      <c r="BWC134" s="3507"/>
      <c r="BWD134" s="3507"/>
      <c r="BWE134" s="3507"/>
      <c r="BWF134" s="3507"/>
      <c r="BWG134" s="3507"/>
      <c r="BWH134" s="3507"/>
      <c r="BWI134" s="3507"/>
      <c r="BWJ134" s="3507"/>
      <c r="BWK134" s="3507"/>
      <c r="BWL134" s="3507"/>
      <c r="BWM134" s="3507"/>
      <c r="BWN134" s="3507"/>
      <c r="BWO134" s="3507"/>
      <c r="BWP134" s="3507"/>
      <c r="BWQ134" s="3507"/>
      <c r="BWR134" s="3507"/>
      <c r="BWS134" s="3507"/>
      <c r="BWT134" s="3507"/>
      <c r="BWU134" s="3507"/>
      <c r="BWV134" s="3507"/>
      <c r="BWW134" s="3507"/>
      <c r="BWX134" s="3507"/>
      <c r="BWY134" s="3507"/>
      <c r="BWZ134" s="3507"/>
      <c r="BXA134" s="3507"/>
      <c r="BXB134" s="3507"/>
      <c r="BXC134" s="3507"/>
      <c r="BXD134" s="3507"/>
      <c r="BXE134" s="3507"/>
      <c r="BXF134" s="3507"/>
      <c r="BXG134" s="3507"/>
      <c r="BXH134" s="3507"/>
      <c r="BXI134" s="3507"/>
      <c r="BXJ134" s="3507"/>
      <c r="BXK134" s="3507"/>
      <c r="BXL134" s="3507"/>
      <c r="BXM134" s="3507"/>
      <c r="BXN134" s="3507"/>
      <c r="BXO134" s="3507"/>
      <c r="BXP134" s="3507"/>
      <c r="BXQ134" s="3507"/>
      <c r="BXR134" s="3507"/>
      <c r="BXS134" s="3507"/>
      <c r="BXT134" s="3507"/>
      <c r="BXU134" s="3507"/>
      <c r="BXV134" s="3507"/>
      <c r="BXW134" s="3507"/>
      <c r="BXX134" s="3507"/>
      <c r="BXY134" s="3507"/>
      <c r="BXZ134" s="3507"/>
      <c r="BYA134" s="3507"/>
      <c r="BYB134" s="3507"/>
      <c r="BYC134" s="3507"/>
      <c r="BYD134" s="3507"/>
      <c r="BYE134" s="3507"/>
      <c r="BYF134" s="3507"/>
      <c r="BYG134" s="3507"/>
      <c r="BYH134" s="3507"/>
      <c r="BYI134" s="3507"/>
      <c r="BYJ134" s="3507"/>
      <c r="BYK134" s="3507"/>
      <c r="BYL134" s="3507"/>
      <c r="BYM134" s="3507"/>
      <c r="BYN134" s="3507"/>
      <c r="BYO134" s="3507"/>
      <c r="BYP134" s="3507"/>
      <c r="BYQ134" s="3507"/>
      <c r="BYR134" s="3507"/>
      <c r="BYS134" s="3507"/>
      <c r="BYT134" s="3507"/>
      <c r="BYU134" s="3507"/>
      <c r="BYV134" s="3507"/>
      <c r="BYW134" s="3507"/>
      <c r="BYX134" s="3507"/>
      <c r="BYY134" s="3507"/>
      <c r="BYZ134" s="3507"/>
      <c r="BZA134" s="3507"/>
      <c r="BZB134" s="3507"/>
      <c r="BZC134" s="3507"/>
      <c r="BZD134" s="3507"/>
      <c r="BZE134" s="3507"/>
      <c r="BZF134" s="3507"/>
      <c r="BZG134" s="3507"/>
      <c r="BZH134" s="3507"/>
      <c r="BZI134" s="3507"/>
      <c r="BZJ134" s="3507"/>
      <c r="BZK134" s="3507"/>
      <c r="BZL134" s="3507"/>
      <c r="BZM134" s="3507"/>
      <c r="BZN134" s="3507"/>
      <c r="BZO134" s="3507"/>
      <c r="BZP134" s="3507"/>
      <c r="BZQ134" s="3507"/>
      <c r="BZR134" s="3507"/>
      <c r="BZS134" s="3507"/>
      <c r="BZT134" s="3507"/>
      <c r="BZU134" s="3507"/>
      <c r="BZV134" s="3507"/>
      <c r="BZW134" s="3507"/>
      <c r="BZX134" s="3507"/>
      <c r="BZY134" s="3507"/>
      <c r="BZZ134" s="3507"/>
      <c r="CAA134" s="3507"/>
      <c r="CAB134" s="3507"/>
      <c r="CAC134" s="3507"/>
      <c r="CAD134" s="3507"/>
      <c r="CAE134" s="3507"/>
      <c r="CAF134" s="3507"/>
      <c r="CAG134" s="3507"/>
      <c r="CAH134" s="3507"/>
      <c r="CAI134" s="3507"/>
      <c r="CAJ134" s="3507"/>
      <c r="CAK134" s="3507"/>
      <c r="CAL134" s="3507"/>
      <c r="CAM134" s="3507"/>
      <c r="CAN134" s="3507"/>
      <c r="CAO134" s="3507"/>
      <c r="CAP134" s="3507"/>
      <c r="CAQ134" s="3507"/>
      <c r="CAR134" s="3507"/>
      <c r="CAS134" s="3507"/>
      <c r="CAT134" s="3507"/>
      <c r="CAU134" s="3507"/>
      <c r="CAV134" s="3507"/>
      <c r="CAW134" s="3507"/>
      <c r="CAX134" s="3507"/>
      <c r="CAY134" s="3507"/>
      <c r="CAZ134" s="3507"/>
      <c r="CBA134" s="3507"/>
      <c r="CBB134" s="3507"/>
      <c r="CBC134" s="3507"/>
      <c r="CBD134" s="3507"/>
      <c r="CBE134" s="3507"/>
      <c r="CBF134" s="3507"/>
      <c r="CBG134" s="3507"/>
      <c r="CBH134" s="3507"/>
      <c r="CBI134" s="3507"/>
      <c r="CBJ134" s="3507"/>
      <c r="CBK134" s="3507"/>
      <c r="CBL134" s="3507"/>
      <c r="CBM134" s="3507"/>
      <c r="CBN134" s="3507"/>
      <c r="CBO134" s="3507"/>
      <c r="CBP134" s="3507"/>
      <c r="CBQ134" s="3507"/>
      <c r="CBR134" s="3507"/>
      <c r="CBS134" s="3507"/>
      <c r="CBT134" s="3507"/>
      <c r="CBU134" s="3507"/>
      <c r="CBV134" s="3507"/>
      <c r="CBW134" s="3507"/>
      <c r="CBX134" s="3507"/>
      <c r="CBY134" s="3507"/>
      <c r="CBZ134" s="3507"/>
      <c r="CCA134" s="3507"/>
      <c r="CCB134" s="3507"/>
      <c r="CCC134" s="3507"/>
      <c r="CCD134" s="3507"/>
      <c r="CCE134" s="3507"/>
      <c r="CCF134" s="3507"/>
      <c r="CCG134" s="3507"/>
      <c r="CCH134" s="3507"/>
      <c r="CCI134" s="3507"/>
      <c r="CCJ134" s="3507"/>
      <c r="CCK134" s="3507"/>
      <c r="CCL134" s="3507"/>
      <c r="CCM134" s="3507"/>
      <c r="CCN134" s="3507"/>
      <c r="CCO134" s="3507"/>
      <c r="CCP134" s="3507"/>
      <c r="CCQ134" s="3507"/>
      <c r="CCR134" s="3507"/>
      <c r="CCS134" s="3507"/>
      <c r="CCT134" s="3507"/>
      <c r="CCU134" s="3507"/>
      <c r="CCV134" s="3507"/>
      <c r="CCW134" s="3507"/>
      <c r="CCX134" s="3507"/>
      <c r="CCY134" s="3507"/>
      <c r="CCZ134" s="3507"/>
      <c r="CDA134" s="3507"/>
      <c r="CDB134" s="3507"/>
      <c r="CDC134" s="3507"/>
      <c r="CDD134" s="3507"/>
      <c r="CDE134" s="3507"/>
      <c r="CDF134" s="3507"/>
      <c r="CDG134" s="3507"/>
      <c r="CDH134" s="3507"/>
      <c r="CDI134" s="3507"/>
      <c r="CDJ134" s="3507"/>
      <c r="CDK134" s="3507"/>
      <c r="CDL134" s="3507"/>
      <c r="CDM134" s="3507"/>
      <c r="CDN134" s="3507"/>
      <c r="CDO134" s="3507"/>
      <c r="CDP134" s="3507"/>
      <c r="CDQ134" s="3507"/>
      <c r="CDR134" s="3507"/>
      <c r="CDS134" s="3507"/>
      <c r="CDT134" s="3507"/>
      <c r="CDU134" s="3507"/>
      <c r="CDV134" s="3507"/>
      <c r="CDW134" s="3507"/>
      <c r="CDX134" s="3507"/>
      <c r="CDY134" s="3507"/>
      <c r="CDZ134" s="3507"/>
      <c r="CEA134" s="3507"/>
      <c r="CEB134" s="3507"/>
      <c r="CEC134" s="3507"/>
      <c r="CED134" s="3507"/>
      <c r="CEE134" s="3507"/>
      <c r="CEF134" s="3507"/>
      <c r="CEG134" s="3507"/>
      <c r="CEH134" s="3507"/>
      <c r="CEI134" s="3507"/>
      <c r="CEJ134" s="3507"/>
      <c r="CEK134" s="3507"/>
      <c r="CEL134" s="3507"/>
      <c r="CEM134" s="3507"/>
      <c r="CEN134" s="3507"/>
      <c r="CEO134" s="3507"/>
      <c r="CEP134" s="3507"/>
      <c r="CEQ134" s="3507"/>
      <c r="CER134" s="3507"/>
      <c r="CES134" s="3507"/>
      <c r="CET134" s="3507"/>
      <c r="CEU134" s="3507"/>
      <c r="CEV134" s="3507"/>
      <c r="CEW134" s="3507"/>
      <c r="CEX134" s="3507"/>
      <c r="CEY134" s="3507"/>
      <c r="CEZ134" s="3507"/>
      <c r="CFA134" s="3507"/>
      <c r="CFB134" s="3507"/>
      <c r="CFC134" s="3507"/>
      <c r="CFD134" s="3507"/>
      <c r="CFE134" s="3507"/>
      <c r="CFF134" s="3507"/>
      <c r="CFG134" s="3507"/>
      <c r="CFH134" s="3507"/>
      <c r="CFI134" s="3507"/>
      <c r="CFJ134" s="3507"/>
      <c r="CFK134" s="3507"/>
      <c r="CFL134" s="3507"/>
      <c r="CFM134" s="3507"/>
      <c r="CFN134" s="3507"/>
      <c r="CFO134" s="3507"/>
      <c r="CFP134" s="3507"/>
      <c r="CFQ134" s="3507"/>
      <c r="CFR134" s="3507"/>
      <c r="CFS134" s="3507"/>
      <c r="CFT134" s="3507"/>
      <c r="CFU134" s="3507"/>
      <c r="CFV134" s="3507"/>
      <c r="CFW134" s="3507"/>
      <c r="CFX134" s="3507"/>
      <c r="CFY134" s="3507"/>
      <c r="CFZ134" s="3507"/>
      <c r="CGA134" s="3507"/>
      <c r="CGB134" s="3507"/>
      <c r="CGC134" s="3507"/>
      <c r="CGD134" s="3507"/>
      <c r="CGE134" s="3507"/>
      <c r="CGF134" s="3507"/>
      <c r="CGG134" s="3507"/>
      <c r="CGH134" s="3507"/>
      <c r="CGI134" s="3507"/>
      <c r="CGJ134" s="3507"/>
      <c r="CGK134" s="3507"/>
      <c r="CGL134" s="3507"/>
      <c r="CGM134" s="3507"/>
      <c r="CGN134" s="3507"/>
      <c r="CGO134" s="3507"/>
      <c r="CGP134" s="3507"/>
      <c r="CGQ134" s="3507"/>
      <c r="CGR134" s="3507"/>
      <c r="CGS134" s="3507"/>
      <c r="CGT134" s="3507"/>
      <c r="CGU134" s="3507"/>
      <c r="CGV134" s="3507"/>
      <c r="CGW134" s="3507"/>
      <c r="CGX134" s="3507"/>
      <c r="CGY134" s="3507"/>
      <c r="CGZ134" s="3507"/>
      <c r="CHA134" s="3507"/>
      <c r="CHB134" s="3507"/>
      <c r="CHC134" s="3507"/>
      <c r="CHD134" s="3507"/>
      <c r="CHE134" s="3507"/>
      <c r="CHF134" s="3507"/>
      <c r="CHG134" s="3507"/>
      <c r="CHH134" s="3507"/>
      <c r="CHI134" s="3507"/>
      <c r="CHJ134" s="3507"/>
      <c r="CHK134" s="3507"/>
      <c r="CHL134" s="3507"/>
      <c r="CHM134" s="3507"/>
      <c r="CHN134" s="3507"/>
      <c r="CHO134" s="3507"/>
      <c r="CHP134" s="3507"/>
      <c r="CHQ134" s="3507"/>
      <c r="CHR134" s="3507"/>
      <c r="CHS134" s="3507"/>
      <c r="CHT134" s="3507"/>
      <c r="CHU134" s="3507"/>
      <c r="CHV134" s="3507"/>
      <c r="CHW134" s="3507"/>
      <c r="CHX134" s="3507"/>
      <c r="CHY134" s="3507"/>
      <c r="CHZ134" s="3507"/>
      <c r="CIA134" s="3507"/>
      <c r="CIB134" s="3507"/>
      <c r="CIC134" s="3507"/>
      <c r="CID134" s="3507"/>
      <c r="CIE134" s="3507"/>
      <c r="CIF134" s="3507"/>
      <c r="CIG134" s="3507"/>
      <c r="CIH134" s="3507"/>
      <c r="CII134" s="3507"/>
      <c r="CIJ134" s="3507"/>
      <c r="CIK134" s="3507"/>
      <c r="CIL134" s="3507"/>
      <c r="CIM134" s="3507"/>
      <c r="CIN134" s="3507"/>
      <c r="CIO134" s="3507"/>
      <c r="CIP134" s="3507"/>
      <c r="CIQ134" s="3507"/>
      <c r="CIR134" s="3507"/>
      <c r="CIS134" s="3507"/>
      <c r="CIT134" s="3507"/>
      <c r="CIU134" s="3507"/>
      <c r="CIV134" s="3507"/>
      <c r="CIW134" s="3507"/>
      <c r="CIX134" s="3507"/>
      <c r="CIY134" s="3507"/>
      <c r="CIZ134" s="3507"/>
      <c r="CJA134" s="3507"/>
      <c r="CJB134" s="3507"/>
      <c r="CJC134" s="3507"/>
      <c r="CJD134" s="3507"/>
      <c r="CJE134" s="3507"/>
      <c r="CJF134" s="3507"/>
      <c r="CJG134" s="3507"/>
      <c r="CJH134" s="3507"/>
      <c r="CJI134" s="3507"/>
      <c r="CJJ134" s="3507"/>
      <c r="CJK134" s="3507"/>
      <c r="CJL134" s="3507"/>
      <c r="CJM134" s="3507"/>
      <c r="CJN134" s="3507"/>
      <c r="CJO134" s="3507"/>
      <c r="CJP134" s="3507"/>
      <c r="CJQ134" s="3507"/>
      <c r="CJR134" s="3507"/>
      <c r="CJS134" s="3507"/>
      <c r="CJT134" s="3507"/>
      <c r="CJU134" s="3507"/>
      <c r="CJV134" s="3507"/>
      <c r="CJW134" s="3507"/>
      <c r="CJX134" s="3507"/>
      <c r="CJY134" s="3507"/>
      <c r="CJZ134" s="3507"/>
      <c r="CKA134" s="3507"/>
      <c r="CKB134" s="3507"/>
      <c r="CKC134" s="3507"/>
      <c r="CKD134" s="3507"/>
      <c r="CKE134" s="3507"/>
      <c r="CKF134" s="3507"/>
      <c r="CKG134" s="3507"/>
      <c r="CKH134" s="3507"/>
      <c r="CKI134" s="3507"/>
      <c r="CKJ134" s="3507"/>
      <c r="CKK134" s="3507"/>
      <c r="CKL134" s="3507"/>
      <c r="CKM134" s="3507"/>
      <c r="CKN134" s="3507"/>
      <c r="CKO134" s="3507"/>
      <c r="CKP134" s="3507"/>
      <c r="CKQ134" s="3507"/>
      <c r="CKR134" s="3507"/>
      <c r="CKS134" s="3507"/>
      <c r="CKT134" s="3507"/>
      <c r="CKU134" s="3507"/>
      <c r="CKV134" s="3507"/>
      <c r="CKW134" s="3507"/>
      <c r="CKX134" s="3507"/>
      <c r="CKY134" s="3507"/>
      <c r="CKZ134" s="3507"/>
      <c r="CLA134" s="3507"/>
      <c r="CLB134" s="3507"/>
      <c r="CLC134" s="3507"/>
      <c r="CLD134" s="3507"/>
      <c r="CLE134" s="3507"/>
      <c r="CLF134" s="3507"/>
      <c r="CLG134" s="3507"/>
      <c r="CLH134" s="3507"/>
      <c r="CLI134" s="3507"/>
      <c r="CLJ134" s="3507"/>
      <c r="CLK134" s="3507"/>
      <c r="CLL134" s="3507"/>
      <c r="CLM134" s="3507"/>
      <c r="CLN134" s="3507"/>
      <c r="CLO134" s="3507"/>
      <c r="CLP134" s="3507"/>
      <c r="CLQ134" s="3507"/>
      <c r="CLR134" s="3507"/>
      <c r="CLS134" s="3507"/>
      <c r="CLT134" s="3507"/>
      <c r="CLU134" s="3507"/>
      <c r="CLV134" s="3507"/>
      <c r="CLW134" s="3507"/>
      <c r="CLX134" s="3507"/>
      <c r="CLY134" s="3507"/>
      <c r="CLZ134" s="3507"/>
      <c r="CMA134" s="3507"/>
      <c r="CMB134" s="3507"/>
      <c r="CMC134" s="3507"/>
      <c r="CMD134" s="3507"/>
      <c r="CME134" s="3507"/>
      <c r="CMF134" s="3507"/>
      <c r="CMG134" s="3507"/>
      <c r="CMH134" s="3507"/>
      <c r="CMI134" s="3507"/>
      <c r="CMJ134" s="3507"/>
      <c r="CMK134" s="3507"/>
      <c r="CML134" s="3507"/>
      <c r="CMM134" s="3507"/>
      <c r="CMN134" s="3507"/>
      <c r="CMO134" s="3507"/>
      <c r="CMP134" s="3507"/>
      <c r="CMQ134" s="3507"/>
      <c r="CMR134" s="3507"/>
      <c r="CMS134" s="3507"/>
      <c r="CMT134" s="3507"/>
      <c r="CMU134" s="3507"/>
      <c r="CMV134" s="3507"/>
      <c r="CMW134" s="3507"/>
      <c r="CMX134" s="3507"/>
      <c r="CMY134" s="3507"/>
      <c r="CMZ134" s="3507"/>
      <c r="CNA134" s="3507"/>
      <c r="CNB134" s="3507"/>
      <c r="CNC134" s="3507"/>
      <c r="CND134" s="3507"/>
      <c r="CNE134" s="3507"/>
      <c r="CNF134" s="3507"/>
      <c r="CNG134" s="3507"/>
      <c r="CNH134" s="3507"/>
      <c r="CNI134" s="3507"/>
      <c r="CNJ134" s="3507"/>
      <c r="CNK134" s="3507"/>
      <c r="CNL134" s="3507"/>
      <c r="CNM134" s="3507"/>
      <c r="CNN134" s="3507"/>
      <c r="CNO134" s="3507"/>
      <c r="CNP134" s="3507"/>
      <c r="CNQ134" s="3507"/>
      <c r="CNR134" s="3507"/>
      <c r="CNS134" s="3507"/>
      <c r="CNT134" s="3507"/>
      <c r="CNU134" s="3507"/>
      <c r="CNV134" s="3507"/>
      <c r="CNW134" s="3507"/>
      <c r="CNX134" s="3507"/>
      <c r="CNY134" s="3507"/>
      <c r="CNZ134" s="3507"/>
      <c r="COA134" s="3507"/>
      <c r="COB134" s="3507"/>
      <c r="COC134" s="3507"/>
      <c r="COD134" s="3507"/>
      <c r="COE134" s="3507"/>
      <c r="COF134" s="3507"/>
      <c r="COG134" s="3507"/>
      <c r="COH134" s="3507"/>
      <c r="COI134" s="3507"/>
      <c r="COJ134" s="3507"/>
      <c r="COK134" s="3507"/>
      <c r="COL134" s="3507"/>
      <c r="COM134" s="3507"/>
      <c r="CON134" s="3507"/>
      <c r="COO134" s="3507"/>
      <c r="COP134" s="3507"/>
      <c r="COQ134" s="3507"/>
      <c r="COR134" s="3507"/>
      <c r="COS134" s="3507"/>
      <c r="COT134" s="3507"/>
      <c r="COU134" s="3507"/>
      <c r="COV134" s="3507"/>
      <c r="COW134" s="3507"/>
      <c r="COX134" s="3507"/>
      <c r="COY134" s="3507"/>
      <c r="COZ134" s="3507"/>
      <c r="CPA134" s="3507"/>
      <c r="CPB134" s="3507"/>
      <c r="CPC134" s="3507"/>
      <c r="CPD134" s="3507"/>
      <c r="CPE134" s="3507"/>
      <c r="CPF134" s="3507"/>
      <c r="CPG134" s="3507"/>
      <c r="CPH134" s="3507"/>
      <c r="CPI134" s="3507"/>
      <c r="CPJ134" s="3507"/>
      <c r="CPK134" s="3507"/>
      <c r="CPL134" s="3507"/>
      <c r="CPM134" s="3507"/>
      <c r="CPN134" s="3507"/>
      <c r="CPO134" s="3507"/>
      <c r="CPP134" s="3507"/>
      <c r="CPQ134" s="3507"/>
      <c r="CPR134" s="3507"/>
      <c r="CPS134" s="3507"/>
      <c r="CPT134" s="3507"/>
      <c r="CPU134" s="3507"/>
      <c r="CPV134" s="3507"/>
      <c r="CPW134" s="3507"/>
      <c r="CPX134" s="3507"/>
      <c r="CPY134" s="3507"/>
      <c r="CPZ134" s="3507"/>
      <c r="CQA134" s="3507"/>
      <c r="CQB134" s="3507"/>
      <c r="CQC134" s="3507"/>
      <c r="CQD134" s="3507"/>
      <c r="CQE134" s="3507"/>
      <c r="CQF134" s="3507"/>
      <c r="CQG134" s="3507"/>
      <c r="CQH134" s="3507"/>
      <c r="CQI134" s="3507"/>
      <c r="CQJ134" s="3507"/>
      <c r="CQK134" s="3507"/>
      <c r="CQL134" s="3507"/>
      <c r="CQM134" s="3507"/>
      <c r="CQN134" s="3507"/>
      <c r="CQO134" s="3507"/>
      <c r="CQP134" s="3507"/>
      <c r="CQQ134" s="3507"/>
      <c r="CQR134" s="3507"/>
      <c r="CQS134" s="3507"/>
      <c r="CQT134" s="3507"/>
      <c r="CQU134" s="3507"/>
      <c r="CQV134" s="3507"/>
      <c r="CQW134" s="3507"/>
      <c r="CQX134" s="3507"/>
      <c r="CQY134" s="3507"/>
      <c r="CQZ134" s="3507"/>
      <c r="CRA134" s="3507"/>
      <c r="CRB134" s="3507"/>
      <c r="CRC134" s="3507"/>
      <c r="CRD134" s="3507"/>
      <c r="CRE134" s="3507"/>
      <c r="CRF134" s="3507"/>
      <c r="CRG134" s="3507"/>
      <c r="CRH134" s="3507"/>
      <c r="CRI134" s="3507"/>
      <c r="CRJ134" s="3507"/>
      <c r="CRK134" s="3507"/>
      <c r="CRL134" s="3507"/>
      <c r="CRM134" s="3507"/>
      <c r="CRN134" s="3507"/>
      <c r="CRO134" s="3507"/>
      <c r="CRP134" s="3507"/>
      <c r="CRQ134" s="3507"/>
      <c r="CRR134" s="3507"/>
      <c r="CRS134" s="3507"/>
      <c r="CRT134" s="3507"/>
      <c r="CRU134" s="3507"/>
      <c r="CRV134" s="3507"/>
      <c r="CRW134" s="3507"/>
      <c r="CRX134" s="3507"/>
      <c r="CRY134" s="3507"/>
      <c r="CRZ134" s="3507"/>
      <c r="CSA134" s="3507"/>
      <c r="CSB134" s="3507"/>
      <c r="CSC134" s="3507"/>
      <c r="CSD134" s="3507"/>
      <c r="CSE134" s="3507"/>
      <c r="CSF134" s="3507"/>
      <c r="CSG134" s="3507"/>
      <c r="CSH134" s="3507"/>
      <c r="CSI134" s="3507"/>
      <c r="CSJ134" s="3507"/>
      <c r="CSK134" s="3507"/>
      <c r="CSL134" s="3507"/>
      <c r="CSM134" s="3507"/>
      <c r="CSN134" s="3507"/>
      <c r="CSO134" s="3507"/>
      <c r="CSP134" s="3507"/>
      <c r="CSQ134" s="3507"/>
      <c r="CSR134" s="3507"/>
      <c r="CSS134" s="3507"/>
      <c r="CST134" s="3507"/>
      <c r="CSU134" s="3507"/>
      <c r="CSV134" s="3507"/>
      <c r="CSW134" s="3507"/>
      <c r="CSX134" s="3507"/>
      <c r="CSY134" s="3507"/>
      <c r="CSZ134" s="3507"/>
      <c r="CTA134" s="3507"/>
      <c r="CTB134" s="3507"/>
      <c r="CTC134" s="3507"/>
      <c r="CTD134" s="3507"/>
      <c r="CTE134" s="3507"/>
      <c r="CTF134" s="3507"/>
      <c r="CTG134" s="3507"/>
      <c r="CTH134" s="3507"/>
      <c r="CTI134" s="3507"/>
      <c r="CTJ134" s="3507"/>
      <c r="CTK134" s="3507"/>
      <c r="CTL134" s="3507"/>
      <c r="CTM134" s="3507"/>
      <c r="CTN134" s="3507"/>
      <c r="CTO134" s="3507"/>
      <c r="CTP134" s="3507"/>
      <c r="CTQ134" s="3507"/>
      <c r="CTR134" s="3507"/>
      <c r="CTS134" s="3507"/>
      <c r="CTT134" s="3507"/>
      <c r="CTU134" s="3507"/>
      <c r="CTV134" s="3507"/>
      <c r="CTW134" s="3507"/>
      <c r="CTX134" s="3507"/>
      <c r="CTY134" s="3507"/>
      <c r="CTZ134" s="3507"/>
      <c r="CUA134" s="3507"/>
      <c r="CUB134" s="3507"/>
      <c r="CUC134" s="3507"/>
      <c r="CUD134" s="3507"/>
      <c r="CUE134" s="3507"/>
      <c r="CUF134" s="3507"/>
      <c r="CUG134" s="3507"/>
      <c r="CUH134" s="3507"/>
      <c r="CUI134" s="3507"/>
      <c r="CUJ134" s="3507"/>
      <c r="CUK134" s="3507"/>
      <c r="CUL134" s="3507"/>
      <c r="CUM134" s="3507"/>
      <c r="CUN134" s="3507"/>
      <c r="CUO134" s="3507"/>
      <c r="CUP134" s="3507"/>
      <c r="CUQ134" s="3507"/>
      <c r="CUR134" s="3507"/>
      <c r="CUS134" s="3507"/>
      <c r="CUT134" s="3507"/>
      <c r="CUU134" s="3507"/>
      <c r="CUV134" s="3507"/>
      <c r="CUW134" s="3507"/>
      <c r="CUX134" s="3507"/>
      <c r="CUY134" s="3507"/>
      <c r="CUZ134" s="3507"/>
      <c r="CVA134" s="3507"/>
      <c r="CVB134" s="3507"/>
      <c r="CVC134" s="3507"/>
      <c r="CVD134" s="3507"/>
      <c r="CVE134" s="3507"/>
      <c r="CVF134" s="3507"/>
      <c r="CVG134" s="3507"/>
      <c r="CVH134" s="3507"/>
      <c r="CVI134" s="3507"/>
      <c r="CVJ134" s="3507"/>
      <c r="CVK134" s="3507"/>
      <c r="CVL134" s="3507"/>
      <c r="CVM134" s="3507"/>
      <c r="CVN134" s="3507"/>
      <c r="CVO134" s="3507"/>
      <c r="CVP134" s="3507"/>
      <c r="CVQ134" s="3507"/>
      <c r="CVR134" s="3507"/>
      <c r="CVS134" s="3507"/>
      <c r="CVT134" s="3507"/>
      <c r="CVU134" s="3507"/>
      <c r="CVV134" s="3507"/>
      <c r="CVW134" s="3507"/>
      <c r="CVX134" s="3507"/>
      <c r="CVY134" s="3507"/>
      <c r="CVZ134" s="3507"/>
      <c r="CWA134" s="3507"/>
      <c r="CWB134" s="3507"/>
      <c r="CWC134" s="3507"/>
      <c r="CWD134" s="3507"/>
      <c r="CWE134" s="3507"/>
      <c r="CWF134" s="3507"/>
      <c r="CWG134" s="3507"/>
      <c r="CWH134" s="3507"/>
      <c r="CWI134" s="3507"/>
      <c r="CWJ134" s="3507"/>
      <c r="CWK134" s="3507"/>
      <c r="CWL134" s="3507"/>
      <c r="CWM134" s="3507"/>
      <c r="CWN134" s="3507"/>
      <c r="CWO134" s="3507"/>
      <c r="CWP134" s="3507"/>
      <c r="CWQ134" s="3507"/>
      <c r="CWR134" s="3507"/>
      <c r="CWS134" s="3507"/>
      <c r="CWT134" s="3507"/>
      <c r="CWU134" s="3507"/>
      <c r="CWV134" s="3507"/>
      <c r="CWW134" s="3507"/>
      <c r="CWX134" s="3507"/>
      <c r="CWY134" s="3507"/>
      <c r="CWZ134" s="3507"/>
      <c r="CXA134" s="3507"/>
      <c r="CXB134" s="3507"/>
      <c r="CXC134" s="3507"/>
      <c r="CXD134" s="3507"/>
      <c r="CXE134" s="3507"/>
      <c r="CXF134" s="3507"/>
      <c r="CXG134" s="3507"/>
      <c r="CXH134" s="3507"/>
      <c r="CXI134" s="3507"/>
      <c r="CXJ134" s="3507"/>
      <c r="CXK134" s="3507"/>
      <c r="CXL134" s="3507"/>
      <c r="CXM134" s="3507"/>
      <c r="CXN134" s="3507"/>
      <c r="CXO134" s="3507"/>
      <c r="CXP134" s="3507"/>
      <c r="CXQ134" s="3507"/>
      <c r="CXR134" s="3507"/>
      <c r="CXS134" s="3507"/>
      <c r="CXT134" s="3507"/>
      <c r="CXU134" s="3507"/>
      <c r="CXV134" s="3507"/>
      <c r="CXW134" s="3507"/>
      <c r="CXX134" s="3507"/>
      <c r="CXY134" s="3507"/>
      <c r="CXZ134" s="3507"/>
      <c r="CYA134" s="3507"/>
      <c r="CYB134" s="3507"/>
      <c r="CYC134" s="3507"/>
      <c r="CYD134" s="3507"/>
      <c r="CYE134" s="3507"/>
      <c r="CYF134" s="3507"/>
      <c r="CYG134" s="3507"/>
      <c r="CYH134" s="3507"/>
      <c r="CYI134" s="3507"/>
      <c r="CYJ134" s="3507"/>
      <c r="CYK134" s="3507"/>
      <c r="CYL134" s="3507"/>
      <c r="CYM134" s="3507"/>
      <c r="CYN134" s="3507"/>
      <c r="CYO134" s="3507"/>
      <c r="CYP134" s="3507"/>
      <c r="CYQ134" s="3507"/>
      <c r="CYR134" s="3507"/>
      <c r="CYS134" s="3507"/>
      <c r="CYT134" s="3507"/>
      <c r="CYU134" s="3507"/>
      <c r="CYV134" s="3507"/>
      <c r="CYW134" s="3507"/>
      <c r="CYX134" s="3507"/>
      <c r="CYY134" s="3507"/>
      <c r="CYZ134" s="3507"/>
      <c r="CZA134" s="3507"/>
      <c r="CZB134" s="3507"/>
      <c r="CZC134" s="3507"/>
      <c r="CZD134" s="3507"/>
      <c r="CZE134" s="3507"/>
      <c r="CZF134" s="3507"/>
      <c r="CZG134" s="3507"/>
      <c r="CZH134" s="3507"/>
      <c r="CZI134" s="3507"/>
      <c r="CZJ134" s="3507"/>
      <c r="CZK134" s="3507"/>
      <c r="CZL134" s="3507"/>
      <c r="CZM134" s="3507"/>
      <c r="CZN134" s="3507"/>
      <c r="CZO134" s="3507"/>
      <c r="CZP134" s="3507"/>
      <c r="CZQ134" s="3507"/>
      <c r="CZR134" s="3507"/>
      <c r="CZS134" s="3507"/>
      <c r="CZT134" s="3507"/>
      <c r="CZU134" s="3507"/>
      <c r="CZV134" s="3507"/>
      <c r="CZW134" s="3507"/>
      <c r="CZX134" s="3507"/>
      <c r="CZY134" s="3507"/>
      <c r="CZZ134" s="3507"/>
      <c r="DAA134" s="3507"/>
      <c r="DAB134" s="3507"/>
      <c r="DAC134" s="3507"/>
      <c r="DAD134" s="3507"/>
      <c r="DAE134" s="3507"/>
      <c r="DAF134" s="3507"/>
      <c r="DAG134" s="3507"/>
      <c r="DAH134" s="3507"/>
      <c r="DAI134" s="3507"/>
      <c r="DAJ134" s="3507"/>
      <c r="DAK134" s="3507"/>
      <c r="DAL134" s="3507"/>
      <c r="DAM134" s="3507"/>
      <c r="DAN134" s="3507"/>
      <c r="DAO134" s="3507"/>
      <c r="DAP134" s="3507"/>
      <c r="DAQ134" s="3507"/>
      <c r="DAR134" s="3507"/>
      <c r="DAS134" s="3507"/>
      <c r="DAT134" s="3507"/>
      <c r="DAU134" s="3507"/>
      <c r="DAV134" s="3507"/>
      <c r="DAW134" s="3507"/>
      <c r="DAX134" s="3507"/>
      <c r="DAY134" s="3507"/>
      <c r="DAZ134" s="3507"/>
      <c r="DBA134" s="3507"/>
      <c r="DBB134" s="3507"/>
      <c r="DBC134" s="3507"/>
      <c r="DBD134" s="3507"/>
      <c r="DBE134" s="3507"/>
      <c r="DBF134" s="3507"/>
      <c r="DBG134" s="3507"/>
      <c r="DBH134" s="3507"/>
      <c r="DBI134" s="3507"/>
      <c r="DBJ134" s="3507"/>
      <c r="DBK134" s="3507"/>
      <c r="DBL134" s="3507"/>
      <c r="DBM134" s="3507"/>
      <c r="DBN134" s="3507"/>
      <c r="DBO134" s="3507"/>
      <c r="DBP134" s="3507"/>
      <c r="DBQ134" s="3507"/>
      <c r="DBR134" s="3507"/>
      <c r="DBS134" s="3507"/>
      <c r="DBT134" s="3507"/>
      <c r="DBU134" s="3507"/>
      <c r="DBV134" s="3507"/>
      <c r="DBW134" s="3507"/>
      <c r="DBX134" s="3507"/>
      <c r="DBY134" s="3507"/>
      <c r="DBZ134" s="3507"/>
      <c r="DCA134" s="3507"/>
      <c r="DCB134" s="3507"/>
      <c r="DCC134" s="3507"/>
      <c r="DCD134" s="3507"/>
      <c r="DCE134" s="3507"/>
      <c r="DCF134" s="3507"/>
      <c r="DCG134" s="3507"/>
      <c r="DCH134" s="3507"/>
      <c r="DCI134" s="3507"/>
      <c r="DCJ134" s="3507"/>
      <c r="DCK134" s="3507"/>
      <c r="DCL134" s="3507"/>
      <c r="DCM134" s="3507"/>
      <c r="DCN134" s="3507"/>
      <c r="DCO134" s="3507"/>
      <c r="DCP134" s="3507"/>
      <c r="DCQ134" s="3507"/>
      <c r="DCR134" s="3507"/>
      <c r="DCS134" s="3507"/>
      <c r="DCT134" s="3507"/>
      <c r="DCU134" s="3507"/>
      <c r="DCV134" s="3507"/>
      <c r="DCW134" s="3507"/>
      <c r="DCX134" s="3507"/>
      <c r="DCY134" s="3507"/>
      <c r="DCZ134" s="3507"/>
      <c r="DDA134" s="3507"/>
      <c r="DDB134" s="3507"/>
      <c r="DDC134" s="3507"/>
      <c r="DDD134" s="3507"/>
      <c r="DDE134" s="3507"/>
      <c r="DDF134" s="3507"/>
      <c r="DDG134" s="3507"/>
      <c r="DDH134" s="3507"/>
      <c r="DDI134" s="3507"/>
      <c r="DDJ134" s="3507"/>
      <c r="DDK134" s="3507"/>
      <c r="DDL134" s="3507"/>
      <c r="DDM134" s="3507"/>
      <c r="DDN134" s="3507"/>
      <c r="DDO134" s="3507"/>
      <c r="DDP134" s="3507"/>
      <c r="DDQ134" s="3507"/>
      <c r="DDR134" s="3507"/>
      <c r="DDS134" s="3507"/>
      <c r="DDT134" s="3507"/>
      <c r="DDU134" s="3507"/>
      <c r="DDV134" s="3507"/>
      <c r="DDW134" s="3507"/>
      <c r="DDX134" s="3507"/>
      <c r="DDY134" s="3507"/>
      <c r="DDZ134" s="3507"/>
      <c r="DEA134" s="3507"/>
      <c r="DEB134" s="3507"/>
      <c r="DEC134" s="3507"/>
      <c r="DED134" s="3507"/>
      <c r="DEE134" s="3507"/>
      <c r="DEF134" s="3507"/>
      <c r="DEG134" s="3507"/>
      <c r="DEH134" s="3507"/>
      <c r="DEI134" s="3507"/>
      <c r="DEJ134" s="3507"/>
      <c r="DEK134" s="3507"/>
      <c r="DEL134" s="3507"/>
      <c r="DEM134" s="3507"/>
      <c r="DEN134" s="3507"/>
      <c r="DEO134" s="3507"/>
      <c r="DEP134" s="3507"/>
      <c r="DEQ134" s="3507"/>
      <c r="DER134" s="3507"/>
      <c r="DES134" s="3507"/>
      <c r="DET134" s="3507"/>
      <c r="DEU134" s="3507"/>
      <c r="DEV134" s="3507"/>
      <c r="DEW134" s="3507"/>
      <c r="DEX134" s="3507"/>
      <c r="DEY134" s="3507"/>
      <c r="DEZ134" s="3507"/>
      <c r="DFA134" s="3507"/>
      <c r="DFB134" s="3507"/>
      <c r="DFC134" s="3507"/>
      <c r="DFD134" s="3507"/>
      <c r="DFE134" s="3507"/>
      <c r="DFF134" s="3507"/>
      <c r="DFG134" s="3507"/>
      <c r="DFH134" s="3507"/>
      <c r="DFI134" s="3507"/>
      <c r="DFJ134" s="3507"/>
      <c r="DFK134" s="3507"/>
      <c r="DFL134" s="3507"/>
      <c r="DFM134" s="3507"/>
      <c r="DFN134" s="3507"/>
      <c r="DFO134" s="3507"/>
      <c r="DFP134" s="3507"/>
      <c r="DFQ134" s="3507"/>
      <c r="DFR134" s="3507"/>
      <c r="DFS134" s="3507"/>
      <c r="DFT134" s="3507"/>
      <c r="DFU134" s="3507"/>
      <c r="DFV134" s="3507"/>
      <c r="DFW134" s="3507"/>
      <c r="DFX134" s="3507"/>
      <c r="DFY134" s="3507"/>
      <c r="DFZ134" s="3507"/>
      <c r="DGA134" s="3507"/>
      <c r="DGB134" s="3507"/>
      <c r="DGC134" s="3507"/>
      <c r="DGD134" s="3507"/>
      <c r="DGE134" s="3507"/>
      <c r="DGF134" s="3507"/>
      <c r="DGG134" s="3507"/>
      <c r="DGH134" s="3507"/>
      <c r="DGI134" s="3507"/>
      <c r="DGJ134" s="3507"/>
      <c r="DGK134" s="3507"/>
      <c r="DGL134" s="3507"/>
      <c r="DGM134" s="3507"/>
      <c r="DGN134" s="3507"/>
      <c r="DGO134" s="3507"/>
      <c r="DGP134" s="3507"/>
      <c r="DGQ134" s="3507"/>
      <c r="DGR134" s="3507"/>
      <c r="DGS134" s="3507"/>
      <c r="DGT134" s="3507"/>
      <c r="DGU134" s="3507"/>
      <c r="DGV134" s="3507"/>
      <c r="DGW134" s="3507"/>
      <c r="DGX134" s="3507"/>
      <c r="DGY134" s="3507"/>
      <c r="DGZ134" s="3507"/>
      <c r="DHA134" s="3507"/>
      <c r="DHB134" s="3507"/>
      <c r="DHC134" s="3507"/>
      <c r="DHD134" s="3507"/>
      <c r="DHE134" s="3507"/>
      <c r="DHF134" s="3507"/>
      <c r="DHG134" s="3507"/>
      <c r="DHH134" s="3507"/>
      <c r="DHI134" s="3507"/>
      <c r="DHJ134" s="3507"/>
      <c r="DHK134" s="3507"/>
      <c r="DHL134" s="3507"/>
      <c r="DHM134" s="3507"/>
      <c r="DHN134" s="3507"/>
      <c r="DHO134" s="3507"/>
      <c r="DHP134" s="3507"/>
      <c r="DHQ134" s="3507"/>
      <c r="DHR134" s="3507"/>
      <c r="DHS134" s="3507"/>
      <c r="DHT134" s="3507"/>
      <c r="DHU134" s="3507"/>
      <c r="DHV134" s="3507"/>
      <c r="DHW134" s="3507"/>
      <c r="DHX134" s="3507"/>
      <c r="DHY134" s="3507"/>
      <c r="DHZ134" s="3507"/>
      <c r="DIA134" s="3507"/>
      <c r="DIB134" s="3507"/>
      <c r="DIC134" s="3507"/>
      <c r="DID134" s="3507"/>
      <c r="DIE134" s="3507"/>
      <c r="DIF134" s="3507"/>
      <c r="DIG134" s="3507"/>
      <c r="DIH134" s="3507"/>
      <c r="DII134" s="3507"/>
      <c r="DIJ134" s="3507"/>
      <c r="DIK134" s="3507"/>
      <c r="DIL134" s="3507"/>
      <c r="DIM134" s="3507"/>
      <c r="DIN134" s="3507"/>
      <c r="DIO134" s="3507"/>
      <c r="DIP134" s="3507"/>
      <c r="DIQ134" s="3507"/>
      <c r="DIR134" s="3507"/>
      <c r="DIS134" s="3507"/>
      <c r="DIT134" s="3507"/>
      <c r="DIU134" s="3507"/>
      <c r="DIV134" s="3507"/>
      <c r="DIW134" s="3507"/>
      <c r="DIX134" s="3507"/>
      <c r="DIY134" s="3507"/>
      <c r="DIZ134" s="3507"/>
      <c r="DJA134" s="3507"/>
      <c r="DJB134" s="3507"/>
      <c r="DJC134" s="3507"/>
      <c r="DJD134" s="3507"/>
      <c r="DJE134" s="3507"/>
      <c r="DJF134" s="3507"/>
      <c r="DJG134" s="3507"/>
      <c r="DJH134" s="3507"/>
      <c r="DJI134" s="3507"/>
      <c r="DJJ134" s="3507"/>
      <c r="DJK134" s="3507"/>
      <c r="DJL134" s="3507"/>
      <c r="DJM134" s="3507"/>
      <c r="DJN134" s="3507"/>
      <c r="DJO134" s="3507"/>
      <c r="DJP134" s="3507"/>
      <c r="DJQ134" s="3507"/>
      <c r="DJR134" s="3507"/>
      <c r="DJS134" s="3507"/>
      <c r="DJT134" s="3507"/>
      <c r="DJU134" s="3507"/>
      <c r="DJV134" s="3507"/>
      <c r="DJW134" s="3507"/>
      <c r="DJX134" s="3507"/>
      <c r="DJY134" s="3507"/>
      <c r="DJZ134" s="3507"/>
      <c r="DKA134" s="3507"/>
      <c r="DKB134" s="3507"/>
      <c r="DKC134" s="3507"/>
      <c r="DKD134" s="3507"/>
      <c r="DKE134" s="3507"/>
      <c r="DKF134" s="3507"/>
      <c r="DKG134" s="3507"/>
      <c r="DKH134" s="3507"/>
      <c r="DKI134" s="3507"/>
      <c r="DKJ134" s="3507"/>
      <c r="DKK134" s="3507"/>
      <c r="DKL134" s="3507"/>
      <c r="DKM134" s="3507"/>
      <c r="DKN134" s="3507"/>
      <c r="DKO134" s="3507"/>
      <c r="DKP134" s="3507"/>
      <c r="DKQ134" s="3507"/>
      <c r="DKR134" s="3507"/>
      <c r="DKS134" s="3507"/>
      <c r="DKT134" s="3507"/>
      <c r="DKU134" s="3507"/>
      <c r="DKV134" s="3507"/>
      <c r="DKW134" s="3507"/>
      <c r="DKX134" s="3507"/>
      <c r="DKY134" s="3507"/>
      <c r="DKZ134" s="3507"/>
      <c r="DLA134" s="3507"/>
      <c r="DLB134" s="3507"/>
      <c r="DLC134" s="3507"/>
      <c r="DLD134" s="3507"/>
      <c r="DLE134" s="3507"/>
      <c r="DLF134" s="3507"/>
      <c r="DLG134" s="3507"/>
      <c r="DLH134" s="3507"/>
      <c r="DLI134" s="3507"/>
      <c r="DLJ134" s="3507"/>
      <c r="DLK134" s="3507"/>
      <c r="DLL134" s="3507"/>
      <c r="DLM134" s="3507"/>
      <c r="DLN134" s="3507"/>
      <c r="DLO134" s="3507"/>
      <c r="DLP134" s="3507"/>
      <c r="DLQ134" s="3507"/>
      <c r="DLR134" s="3507"/>
      <c r="DLS134" s="3507"/>
      <c r="DLT134" s="3507"/>
      <c r="DLU134" s="3507"/>
      <c r="DLV134" s="3507"/>
      <c r="DLW134" s="3507"/>
      <c r="DLX134" s="3507"/>
      <c r="DLY134" s="3507"/>
      <c r="DLZ134" s="3507"/>
      <c r="DMA134" s="3507"/>
      <c r="DMB134" s="3507"/>
      <c r="DMC134" s="3507"/>
      <c r="DMD134" s="3507"/>
      <c r="DME134" s="3507"/>
      <c r="DMF134" s="3507"/>
      <c r="DMG134" s="3507"/>
      <c r="DMH134" s="3507"/>
      <c r="DMI134" s="3507"/>
      <c r="DMJ134" s="3507"/>
      <c r="DMK134" s="3507"/>
      <c r="DML134" s="3507"/>
      <c r="DMM134" s="3507"/>
      <c r="DMN134" s="3507"/>
      <c r="DMO134" s="3507"/>
      <c r="DMP134" s="3507"/>
      <c r="DMQ134" s="3507"/>
      <c r="DMR134" s="3507"/>
      <c r="DMS134" s="3507"/>
      <c r="DMT134" s="3507"/>
      <c r="DMU134" s="3507"/>
      <c r="DMV134" s="3507"/>
      <c r="DMW134" s="3507"/>
      <c r="DMX134" s="3507"/>
      <c r="DMY134" s="3507"/>
      <c r="DMZ134" s="3507"/>
      <c r="DNA134" s="3507"/>
      <c r="DNB134" s="3507"/>
      <c r="DNC134" s="3507"/>
      <c r="DND134" s="3507"/>
      <c r="DNE134" s="3507"/>
      <c r="DNF134" s="3507"/>
      <c r="DNG134" s="3507"/>
      <c r="DNH134" s="3507"/>
      <c r="DNI134" s="3507"/>
      <c r="DNJ134" s="3507"/>
      <c r="DNK134" s="3507"/>
      <c r="DNL134" s="3507"/>
      <c r="DNM134" s="3507"/>
      <c r="DNN134" s="3507"/>
      <c r="DNO134" s="3507"/>
      <c r="DNP134" s="3507"/>
      <c r="DNQ134" s="3507"/>
      <c r="DNR134" s="3507"/>
      <c r="DNS134" s="3507"/>
      <c r="DNT134" s="3507"/>
      <c r="DNU134" s="3507"/>
      <c r="DNV134" s="3507"/>
      <c r="DNW134" s="3507"/>
      <c r="DNX134" s="3507"/>
      <c r="DNY134" s="3507"/>
      <c r="DNZ134" s="3507"/>
      <c r="DOA134" s="3507"/>
      <c r="DOB134" s="3507"/>
      <c r="DOC134" s="3507"/>
      <c r="DOD134" s="3507"/>
      <c r="DOE134" s="3507"/>
      <c r="DOF134" s="3507"/>
      <c r="DOG134" s="3507"/>
      <c r="DOH134" s="3507"/>
      <c r="DOI134" s="3507"/>
      <c r="DOJ134" s="3507"/>
      <c r="DOK134" s="3507"/>
      <c r="DOL134" s="3507"/>
      <c r="DOM134" s="3507"/>
      <c r="DON134" s="3507"/>
      <c r="DOO134" s="3507"/>
      <c r="DOP134" s="3507"/>
      <c r="DOQ134" s="3507"/>
      <c r="DOR134" s="3507"/>
      <c r="DOS134" s="3507"/>
      <c r="DOT134" s="3507"/>
      <c r="DOU134" s="3507"/>
      <c r="DOV134" s="3507"/>
      <c r="DOW134" s="3507"/>
      <c r="DOX134" s="3507"/>
      <c r="DOY134" s="3507"/>
      <c r="DOZ134" s="3507"/>
      <c r="DPA134" s="3507"/>
      <c r="DPB134" s="3507"/>
      <c r="DPC134" s="3507"/>
      <c r="DPD134" s="3507"/>
      <c r="DPE134" s="3507"/>
      <c r="DPF134" s="3507"/>
      <c r="DPG134" s="3507"/>
      <c r="DPH134" s="3507"/>
      <c r="DPI134" s="3507"/>
      <c r="DPJ134" s="3507"/>
      <c r="DPK134" s="3507"/>
      <c r="DPL134" s="3507"/>
      <c r="DPM134" s="3507"/>
      <c r="DPN134" s="3507"/>
      <c r="DPO134" s="3507"/>
      <c r="DPP134" s="3507"/>
      <c r="DPQ134" s="3507"/>
      <c r="DPR134" s="3507"/>
      <c r="DPS134" s="3507"/>
      <c r="DPT134" s="3507"/>
      <c r="DPU134" s="3507"/>
      <c r="DPV134" s="3507"/>
      <c r="DPW134" s="3507"/>
      <c r="DPX134" s="3507"/>
      <c r="DPY134" s="3507"/>
      <c r="DPZ134" s="3507"/>
      <c r="DQA134" s="3507"/>
      <c r="DQB134" s="3507"/>
      <c r="DQC134" s="3507"/>
      <c r="DQD134" s="3507"/>
      <c r="DQE134" s="3507"/>
      <c r="DQF134" s="3507"/>
      <c r="DQG134" s="3507"/>
      <c r="DQH134" s="3507"/>
      <c r="DQI134" s="3507"/>
      <c r="DQJ134" s="3507"/>
      <c r="DQK134" s="3507"/>
      <c r="DQL134" s="3507"/>
      <c r="DQM134" s="3507"/>
      <c r="DQN134" s="3507"/>
      <c r="DQO134" s="3507"/>
      <c r="DQP134" s="3507"/>
      <c r="DQQ134" s="3507"/>
      <c r="DQR134" s="3507"/>
      <c r="DQS134" s="3507"/>
      <c r="DQT134" s="3507"/>
      <c r="DQU134" s="3507"/>
      <c r="DQV134" s="3507"/>
      <c r="DQW134" s="3507"/>
      <c r="DQX134" s="3507"/>
      <c r="DQY134" s="3507"/>
      <c r="DQZ134" s="3507"/>
      <c r="DRA134" s="3507"/>
      <c r="DRB134" s="3507"/>
      <c r="DRC134" s="3507"/>
      <c r="DRD134" s="3507"/>
      <c r="DRE134" s="3507"/>
      <c r="DRF134" s="3507"/>
      <c r="DRG134" s="3507"/>
      <c r="DRH134" s="3507"/>
      <c r="DRI134" s="3507"/>
      <c r="DRJ134" s="3507"/>
      <c r="DRK134" s="3507"/>
      <c r="DRL134" s="3507"/>
      <c r="DRM134" s="3507"/>
      <c r="DRN134" s="3507"/>
      <c r="DRO134" s="3507"/>
      <c r="DRP134" s="3507"/>
      <c r="DRQ134" s="3507"/>
      <c r="DRR134" s="3507"/>
      <c r="DRS134" s="3507"/>
      <c r="DRT134" s="3507"/>
      <c r="DRU134" s="3507"/>
      <c r="DRV134" s="3507"/>
      <c r="DRW134" s="3507"/>
      <c r="DRX134" s="3507"/>
      <c r="DRY134" s="3507"/>
      <c r="DRZ134" s="3507"/>
      <c r="DSA134" s="3507"/>
      <c r="DSB134" s="3507"/>
      <c r="DSC134" s="3507"/>
      <c r="DSD134" s="3507"/>
      <c r="DSE134" s="3507"/>
      <c r="DSF134" s="3507"/>
      <c r="DSG134" s="3507"/>
      <c r="DSH134" s="3507"/>
      <c r="DSI134" s="3507"/>
      <c r="DSJ134" s="3507"/>
      <c r="DSK134" s="3507"/>
      <c r="DSL134" s="3507"/>
      <c r="DSM134" s="3507"/>
      <c r="DSN134" s="3507"/>
      <c r="DSO134" s="3507"/>
      <c r="DSP134" s="3507"/>
      <c r="DSQ134" s="3507"/>
      <c r="DSR134" s="3507"/>
      <c r="DSS134" s="3507"/>
      <c r="DST134" s="3507"/>
      <c r="DSU134" s="3507"/>
      <c r="DSV134" s="3507"/>
      <c r="DSW134" s="3507"/>
      <c r="DSX134" s="3507"/>
      <c r="DSY134" s="3507"/>
      <c r="DSZ134" s="3507"/>
      <c r="DTA134" s="3507"/>
      <c r="DTB134" s="3507"/>
      <c r="DTC134" s="3507"/>
      <c r="DTD134" s="3507"/>
      <c r="DTE134" s="3507"/>
      <c r="DTF134" s="3507"/>
      <c r="DTG134" s="3507"/>
      <c r="DTH134" s="3507"/>
      <c r="DTI134" s="3507"/>
      <c r="DTJ134" s="3507"/>
      <c r="DTK134" s="3507"/>
      <c r="DTL134" s="3507"/>
      <c r="DTM134" s="3507"/>
      <c r="DTN134" s="3507"/>
      <c r="DTO134" s="3507"/>
      <c r="DTP134" s="3507"/>
      <c r="DTQ134" s="3507"/>
      <c r="DTR134" s="3507"/>
      <c r="DTS134" s="3507"/>
      <c r="DTT134" s="3507"/>
      <c r="DTU134" s="3507"/>
      <c r="DTV134" s="3507"/>
      <c r="DTW134" s="3507"/>
      <c r="DTX134" s="3507"/>
      <c r="DTY134" s="3507"/>
      <c r="DTZ134" s="3507"/>
      <c r="DUA134" s="3507"/>
      <c r="DUB134" s="3507"/>
      <c r="DUC134" s="3507"/>
      <c r="DUD134" s="3507"/>
      <c r="DUE134" s="3507"/>
      <c r="DUF134" s="3507"/>
      <c r="DUG134" s="3507"/>
      <c r="DUH134" s="3507"/>
      <c r="DUI134" s="3507"/>
      <c r="DUJ134" s="3507"/>
      <c r="DUK134" s="3507"/>
      <c r="DUL134" s="3507"/>
      <c r="DUM134" s="3507"/>
      <c r="DUN134" s="3507"/>
      <c r="DUO134" s="3507"/>
      <c r="DUP134" s="3507"/>
      <c r="DUQ134" s="3507"/>
      <c r="DUR134" s="3507"/>
      <c r="DUS134" s="3507"/>
      <c r="DUT134" s="3507"/>
      <c r="DUU134" s="3507"/>
      <c r="DUV134" s="3507"/>
      <c r="DUW134" s="3507"/>
      <c r="DUX134" s="3507"/>
      <c r="DUY134" s="3507"/>
      <c r="DUZ134" s="3507"/>
      <c r="DVA134" s="3507"/>
      <c r="DVB134" s="3507"/>
      <c r="DVC134" s="3507"/>
      <c r="DVD134" s="3507"/>
      <c r="DVE134" s="3507"/>
      <c r="DVF134" s="3507"/>
      <c r="DVG134" s="3507"/>
      <c r="DVH134" s="3507"/>
      <c r="DVI134" s="3507"/>
      <c r="DVJ134" s="3507"/>
      <c r="DVK134" s="3507"/>
      <c r="DVL134" s="3507"/>
      <c r="DVM134" s="3507"/>
      <c r="DVN134" s="3507"/>
      <c r="DVO134" s="3507"/>
      <c r="DVP134" s="3507"/>
      <c r="DVQ134" s="3507"/>
      <c r="DVR134" s="3507"/>
      <c r="DVS134" s="3507"/>
      <c r="DVT134" s="3507"/>
      <c r="DVU134" s="3507"/>
      <c r="DVV134" s="3507"/>
      <c r="DVW134" s="3507"/>
      <c r="DVX134" s="3507"/>
      <c r="DVY134" s="3507"/>
      <c r="DVZ134" s="3507"/>
      <c r="DWA134" s="3507"/>
      <c r="DWB134" s="3507"/>
      <c r="DWC134" s="3507"/>
      <c r="DWD134" s="3507"/>
      <c r="DWE134" s="3507"/>
      <c r="DWF134" s="3507"/>
      <c r="DWG134" s="3507"/>
      <c r="DWH134" s="3507"/>
      <c r="DWI134" s="3507"/>
      <c r="DWJ134" s="3507"/>
      <c r="DWK134" s="3507"/>
      <c r="DWL134" s="3507"/>
      <c r="DWM134" s="3507"/>
      <c r="DWN134" s="3507"/>
      <c r="DWO134" s="3507"/>
      <c r="DWP134" s="3507"/>
      <c r="DWQ134" s="3507"/>
      <c r="DWR134" s="3507"/>
      <c r="DWS134" s="3507"/>
      <c r="DWT134" s="3507"/>
      <c r="DWU134" s="3507"/>
      <c r="DWV134" s="3507"/>
      <c r="DWW134" s="3507"/>
      <c r="DWX134" s="3507"/>
      <c r="DWY134" s="3507"/>
      <c r="DWZ134" s="3507"/>
      <c r="DXA134" s="3507"/>
      <c r="DXB134" s="3507"/>
      <c r="DXC134" s="3507"/>
      <c r="DXD134" s="3507"/>
      <c r="DXE134" s="3507"/>
      <c r="DXF134" s="3507"/>
      <c r="DXG134" s="3507"/>
      <c r="DXH134" s="3507"/>
      <c r="DXI134" s="3507"/>
      <c r="DXJ134" s="3507"/>
      <c r="DXK134" s="3507"/>
      <c r="DXL134" s="3507"/>
      <c r="DXM134" s="3507"/>
      <c r="DXN134" s="3507"/>
      <c r="DXO134" s="3507"/>
      <c r="DXP134" s="3507"/>
      <c r="DXQ134" s="3507"/>
      <c r="DXR134" s="3507"/>
      <c r="DXS134" s="3507"/>
      <c r="DXT134" s="3507"/>
      <c r="DXU134" s="3507"/>
      <c r="DXV134" s="3507"/>
      <c r="DXW134" s="3507"/>
      <c r="DXX134" s="3507"/>
      <c r="DXY134" s="3507"/>
      <c r="DXZ134" s="3507"/>
      <c r="DYA134" s="3507"/>
      <c r="DYB134" s="3507"/>
      <c r="DYC134" s="3507"/>
      <c r="DYD134" s="3507"/>
      <c r="DYE134" s="3507"/>
      <c r="DYF134" s="3507"/>
      <c r="DYG134" s="3507"/>
      <c r="DYH134" s="3507"/>
      <c r="DYI134" s="3507"/>
      <c r="DYJ134" s="3507"/>
      <c r="DYK134" s="3507"/>
      <c r="DYL134" s="3507"/>
      <c r="DYM134" s="3507"/>
      <c r="DYN134" s="3507"/>
      <c r="DYO134" s="3507"/>
      <c r="DYP134" s="3507"/>
      <c r="DYQ134" s="3507"/>
      <c r="DYR134" s="3507"/>
      <c r="DYS134" s="3507"/>
      <c r="DYT134" s="3507"/>
      <c r="DYU134" s="3507"/>
      <c r="DYV134" s="3507"/>
      <c r="DYW134" s="3507"/>
      <c r="DYX134" s="3507"/>
      <c r="DYY134" s="3507"/>
      <c r="DYZ134" s="3507"/>
      <c r="DZA134" s="3507"/>
      <c r="DZB134" s="3507"/>
      <c r="DZC134" s="3507"/>
      <c r="DZD134" s="3507"/>
      <c r="DZE134" s="3507"/>
      <c r="DZF134" s="3507"/>
      <c r="DZG134" s="3507"/>
      <c r="DZH134" s="3507"/>
      <c r="DZI134" s="3507"/>
      <c r="DZJ134" s="3507"/>
      <c r="DZK134" s="3507"/>
      <c r="DZL134" s="3507"/>
      <c r="DZM134" s="3507"/>
      <c r="DZN134" s="3507"/>
      <c r="DZO134" s="3507"/>
      <c r="DZP134" s="3507"/>
      <c r="DZQ134" s="3507"/>
      <c r="DZR134" s="3507"/>
      <c r="DZS134" s="3507"/>
      <c r="DZT134" s="3507"/>
      <c r="DZU134" s="3507"/>
      <c r="DZV134" s="3507"/>
      <c r="DZW134" s="3507"/>
      <c r="DZX134" s="3507"/>
      <c r="DZY134" s="3507"/>
      <c r="DZZ134" s="3507"/>
      <c r="EAA134" s="3507"/>
      <c r="EAB134" s="3507"/>
      <c r="EAC134" s="3507"/>
      <c r="EAD134" s="3507"/>
      <c r="EAE134" s="3507"/>
      <c r="EAF134" s="3507"/>
      <c r="EAG134" s="3507"/>
      <c r="EAH134" s="3507"/>
      <c r="EAI134" s="3507"/>
      <c r="EAJ134" s="3507"/>
      <c r="EAK134" s="3507"/>
      <c r="EAL134" s="3507"/>
      <c r="EAM134" s="3507"/>
      <c r="EAN134" s="3507"/>
      <c r="EAO134" s="3507"/>
      <c r="EAP134" s="3507"/>
      <c r="EAQ134" s="3507"/>
      <c r="EAR134" s="3507"/>
      <c r="EAS134" s="3507"/>
      <c r="EAT134" s="3507"/>
      <c r="EAU134" s="3507"/>
      <c r="EAV134" s="3507"/>
      <c r="EAW134" s="3507"/>
      <c r="EAX134" s="3507"/>
      <c r="EAY134" s="3507"/>
      <c r="EAZ134" s="3507"/>
      <c r="EBA134" s="3507"/>
      <c r="EBB134" s="3507"/>
      <c r="EBC134" s="3507"/>
      <c r="EBD134" s="3507"/>
      <c r="EBE134" s="3507"/>
      <c r="EBF134" s="3507"/>
      <c r="EBG134" s="3507"/>
      <c r="EBH134" s="3507"/>
      <c r="EBI134" s="3507"/>
      <c r="EBJ134" s="3507"/>
      <c r="EBK134" s="3507"/>
      <c r="EBL134" s="3507"/>
      <c r="EBM134" s="3507"/>
      <c r="EBN134" s="3507"/>
      <c r="EBO134" s="3507"/>
      <c r="EBP134" s="3507"/>
      <c r="EBQ134" s="3507"/>
      <c r="EBR134" s="3507"/>
      <c r="EBS134" s="3507"/>
      <c r="EBT134" s="3507"/>
      <c r="EBU134" s="3507"/>
      <c r="EBV134" s="3507"/>
      <c r="EBW134" s="3507"/>
      <c r="EBX134" s="3507"/>
      <c r="EBY134" s="3507"/>
      <c r="EBZ134" s="3507"/>
      <c r="ECA134" s="3507"/>
      <c r="ECB134" s="3507"/>
      <c r="ECC134" s="3507"/>
      <c r="ECD134" s="3507"/>
      <c r="ECE134" s="3507"/>
      <c r="ECF134" s="3507"/>
      <c r="ECG134" s="3507"/>
      <c r="ECH134" s="3507"/>
      <c r="ECI134" s="3507"/>
      <c r="ECJ134" s="3507"/>
      <c r="ECK134" s="3507"/>
      <c r="ECL134" s="3507"/>
      <c r="ECM134" s="3507"/>
      <c r="ECN134" s="3507"/>
      <c r="ECO134" s="3507"/>
      <c r="ECP134" s="3507"/>
      <c r="ECQ134" s="3507"/>
      <c r="ECR134" s="3507"/>
      <c r="ECS134" s="3507"/>
      <c r="ECT134" s="3507"/>
      <c r="ECU134" s="3507"/>
      <c r="ECV134" s="3507"/>
      <c r="ECW134" s="3507"/>
      <c r="ECX134" s="3507"/>
      <c r="ECY134" s="3507"/>
      <c r="ECZ134" s="3507"/>
      <c r="EDA134" s="3507"/>
      <c r="EDB134" s="3507"/>
      <c r="EDC134" s="3507"/>
      <c r="EDD134" s="3507"/>
      <c r="EDE134" s="3507"/>
      <c r="EDF134" s="3507"/>
      <c r="EDG134" s="3507"/>
      <c r="EDH134" s="3507"/>
      <c r="EDI134" s="3507"/>
      <c r="EDJ134" s="3507"/>
      <c r="EDK134" s="3507"/>
      <c r="EDL134" s="3507"/>
      <c r="EDM134" s="3507"/>
      <c r="EDN134" s="3507"/>
      <c r="EDO134" s="3507"/>
      <c r="EDP134" s="3507"/>
      <c r="EDQ134" s="3507"/>
      <c r="EDR134" s="3507"/>
      <c r="EDS134" s="3507"/>
      <c r="EDT134" s="3507"/>
      <c r="EDU134" s="3507"/>
      <c r="EDV134" s="3507"/>
      <c r="EDW134" s="3507"/>
      <c r="EDX134" s="3507"/>
      <c r="EDY134" s="3507"/>
      <c r="EDZ134" s="3507"/>
      <c r="EEA134" s="3507"/>
      <c r="EEB134" s="3507"/>
      <c r="EEC134" s="3507"/>
      <c r="EED134" s="3507"/>
      <c r="EEE134" s="3507"/>
      <c r="EEF134" s="3507"/>
      <c r="EEG134" s="3507"/>
      <c r="EEH134" s="3507"/>
      <c r="EEI134" s="3507"/>
      <c r="EEJ134" s="3507"/>
      <c r="EEK134" s="3507"/>
      <c r="EEL134" s="3507"/>
      <c r="EEM134" s="3507"/>
      <c r="EEN134" s="3507"/>
      <c r="EEO134" s="3507"/>
      <c r="EEP134" s="3507"/>
      <c r="EEQ134" s="3507"/>
      <c r="EER134" s="3507"/>
      <c r="EES134" s="3507"/>
      <c r="EET134" s="3507"/>
      <c r="EEU134" s="3507"/>
      <c r="EEV134" s="3507"/>
      <c r="EEW134" s="3507"/>
      <c r="EEX134" s="3507"/>
      <c r="EEY134" s="3507"/>
      <c r="EEZ134" s="3507"/>
      <c r="EFA134" s="3507"/>
      <c r="EFB134" s="3507"/>
      <c r="EFC134" s="3507"/>
      <c r="EFD134" s="3507"/>
      <c r="EFE134" s="3507"/>
      <c r="EFF134" s="3507"/>
      <c r="EFG134" s="3507"/>
      <c r="EFH134" s="3507"/>
      <c r="EFI134" s="3507"/>
      <c r="EFJ134" s="3507"/>
      <c r="EFK134" s="3507"/>
      <c r="EFL134" s="3507"/>
      <c r="EFM134" s="3507"/>
      <c r="EFN134" s="3507"/>
      <c r="EFO134" s="3507"/>
      <c r="EFP134" s="3507"/>
      <c r="EFQ134" s="3507"/>
      <c r="EFR134" s="3507"/>
      <c r="EFS134" s="3507"/>
      <c r="EFT134" s="3507"/>
      <c r="EFU134" s="3507"/>
      <c r="EFV134" s="3507"/>
      <c r="EFW134" s="3507"/>
      <c r="EFX134" s="3507"/>
      <c r="EFY134" s="3507"/>
      <c r="EFZ134" s="3507"/>
      <c r="EGA134" s="3507"/>
      <c r="EGB134" s="3507"/>
      <c r="EGC134" s="3507"/>
      <c r="EGD134" s="3507"/>
      <c r="EGE134" s="3507"/>
      <c r="EGF134" s="3507"/>
      <c r="EGG134" s="3507"/>
      <c r="EGH134" s="3507"/>
      <c r="EGI134" s="3507"/>
      <c r="EGJ134" s="3507"/>
      <c r="EGK134" s="3507"/>
      <c r="EGL134" s="3507"/>
      <c r="EGM134" s="3507"/>
      <c r="EGN134" s="3507"/>
      <c r="EGO134" s="3507"/>
      <c r="EGP134" s="3507"/>
      <c r="EGQ134" s="3507"/>
      <c r="EGR134" s="3507"/>
      <c r="EGS134" s="3507"/>
      <c r="EGT134" s="3507"/>
      <c r="EGU134" s="3507"/>
      <c r="EGV134" s="3507"/>
      <c r="EGW134" s="3507"/>
      <c r="EGX134" s="3507"/>
      <c r="EGY134" s="3507"/>
      <c r="EGZ134" s="3507"/>
      <c r="EHA134" s="3507"/>
      <c r="EHB134" s="3507"/>
      <c r="EHC134" s="3507"/>
      <c r="EHD134" s="3507"/>
      <c r="EHE134" s="3507"/>
      <c r="EHF134" s="3507"/>
      <c r="EHG134" s="3507"/>
      <c r="EHH134" s="3507"/>
      <c r="EHI134" s="3507"/>
      <c r="EHJ134" s="3507"/>
      <c r="EHK134" s="3507"/>
      <c r="EHL134" s="3507"/>
      <c r="EHM134" s="3507"/>
      <c r="EHN134" s="3507"/>
      <c r="EHO134" s="3507"/>
      <c r="EHP134" s="3507"/>
      <c r="EHQ134" s="3507"/>
      <c r="EHR134" s="3507"/>
      <c r="EHS134" s="3507"/>
      <c r="EHT134" s="3507"/>
      <c r="EHU134" s="3507"/>
      <c r="EHV134" s="3507"/>
      <c r="EHW134" s="3507"/>
      <c r="EHX134" s="3507"/>
      <c r="EHY134" s="3507"/>
      <c r="EHZ134" s="3507"/>
      <c r="EIA134" s="3507"/>
      <c r="EIB134" s="3507"/>
      <c r="EIC134" s="3507"/>
      <c r="EID134" s="3507"/>
      <c r="EIE134" s="3507"/>
      <c r="EIF134" s="3507"/>
      <c r="EIG134" s="3507"/>
      <c r="EIH134" s="3507"/>
      <c r="EII134" s="3507"/>
      <c r="EIJ134" s="3507"/>
      <c r="EIK134" s="3507"/>
      <c r="EIL134" s="3507"/>
      <c r="EIM134" s="3507"/>
      <c r="EIN134" s="3507"/>
      <c r="EIO134" s="3507"/>
      <c r="EIP134" s="3507"/>
      <c r="EIQ134" s="3507"/>
      <c r="EIR134" s="3507"/>
      <c r="EIS134" s="3507"/>
      <c r="EIT134" s="3507"/>
      <c r="EIU134" s="3507"/>
      <c r="EIV134" s="3507"/>
      <c r="EIW134" s="3507"/>
      <c r="EIX134" s="3507"/>
      <c r="EIY134" s="3507"/>
      <c r="EIZ134" s="3507"/>
      <c r="EJA134" s="3507"/>
      <c r="EJB134" s="3507"/>
      <c r="EJC134" s="3507"/>
      <c r="EJD134" s="3507"/>
      <c r="EJE134" s="3507"/>
      <c r="EJF134" s="3507"/>
      <c r="EJG134" s="3507"/>
      <c r="EJH134" s="3507"/>
      <c r="EJI134" s="3507"/>
      <c r="EJJ134" s="3507"/>
      <c r="EJK134" s="3507"/>
      <c r="EJL134" s="3507"/>
      <c r="EJM134" s="3507"/>
      <c r="EJN134" s="3507"/>
      <c r="EJO134" s="3507"/>
      <c r="EJP134" s="3507"/>
      <c r="EJQ134" s="3507"/>
      <c r="EJR134" s="3507"/>
      <c r="EJS134" s="3507"/>
      <c r="EJT134" s="3507"/>
      <c r="EJU134" s="3507"/>
      <c r="EJV134" s="3507"/>
      <c r="EJW134" s="3507"/>
      <c r="EJX134" s="3507"/>
      <c r="EJY134" s="3507"/>
      <c r="EJZ134" s="3507"/>
      <c r="EKA134" s="3507"/>
      <c r="EKB134" s="3507"/>
      <c r="EKC134" s="3507"/>
      <c r="EKD134" s="3507"/>
      <c r="EKE134" s="3507"/>
      <c r="EKF134" s="3507"/>
      <c r="EKG134" s="3507"/>
      <c r="EKH134" s="3507"/>
      <c r="EKI134" s="3507"/>
      <c r="EKJ134" s="3507"/>
      <c r="EKK134" s="3507"/>
      <c r="EKL134" s="3507"/>
      <c r="EKM134" s="3507"/>
      <c r="EKN134" s="3507"/>
      <c r="EKO134" s="3507"/>
      <c r="EKP134" s="3507"/>
      <c r="EKQ134" s="3507"/>
      <c r="EKR134" s="3507"/>
      <c r="EKS134" s="3507"/>
      <c r="EKT134" s="3507"/>
      <c r="EKU134" s="3507"/>
      <c r="EKV134" s="3507"/>
      <c r="EKW134" s="3507"/>
      <c r="EKX134" s="3507"/>
      <c r="EKY134" s="3507"/>
      <c r="EKZ134" s="3507"/>
      <c r="ELA134" s="3507"/>
      <c r="ELB134" s="3507"/>
      <c r="ELC134" s="3507"/>
      <c r="ELD134" s="3507"/>
      <c r="ELE134" s="3507"/>
      <c r="ELF134" s="3507"/>
      <c r="ELG134" s="3507"/>
      <c r="ELH134" s="3507"/>
      <c r="ELI134" s="3507"/>
      <c r="ELJ134" s="3507"/>
      <c r="ELK134" s="3507"/>
      <c r="ELL134" s="3507"/>
      <c r="ELM134" s="3507"/>
      <c r="ELN134" s="3507"/>
      <c r="ELO134" s="3507"/>
      <c r="ELP134" s="3507"/>
      <c r="ELQ134" s="3507"/>
      <c r="ELR134" s="3507"/>
      <c r="ELS134" s="3507"/>
      <c r="ELT134" s="3507"/>
      <c r="ELU134" s="3507"/>
      <c r="ELV134" s="3507"/>
      <c r="ELW134" s="3507"/>
      <c r="ELX134" s="3507"/>
      <c r="ELY134" s="3507"/>
      <c r="ELZ134" s="3507"/>
      <c r="EMA134" s="3507"/>
      <c r="EMB134" s="3507"/>
      <c r="EMC134" s="3507"/>
      <c r="EMD134" s="3507"/>
      <c r="EME134" s="3507"/>
      <c r="EMF134" s="3507"/>
      <c r="EMG134" s="3507"/>
      <c r="EMH134" s="3507"/>
      <c r="EMI134" s="3507"/>
      <c r="EMJ134" s="3507"/>
      <c r="EMK134" s="3507"/>
      <c r="EML134" s="3507"/>
      <c r="EMM134" s="3507"/>
      <c r="EMN134" s="3507"/>
      <c r="EMO134" s="3507"/>
      <c r="EMP134" s="3507"/>
      <c r="EMQ134" s="3507"/>
      <c r="EMR134" s="3507"/>
      <c r="EMS134" s="3507"/>
      <c r="EMT134" s="3507"/>
      <c r="EMU134" s="3507"/>
      <c r="EMV134" s="3507"/>
      <c r="EMW134" s="3507"/>
      <c r="EMX134" s="3507"/>
      <c r="EMY134" s="3507"/>
      <c r="EMZ134" s="3507"/>
      <c r="ENA134" s="3507"/>
      <c r="ENB134" s="3507"/>
      <c r="ENC134" s="3507"/>
      <c r="END134" s="3507"/>
      <c r="ENE134" s="3507"/>
      <c r="ENF134" s="3507"/>
      <c r="ENG134" s="3507"/>
      <c r="ENH134" s="3507"/>
      <c r="ENI134" s="3507"/>
      <c r="ENJ134" s="3507"/>
      <c r="ENK134" s="3507"/>
      <c r="ENL134" s="3507"/>
      <c r="ENM134" s="3507"/>
      <c r="ENN134" s="3507"/>
      <c r="ENO134" s="3507"/>
      <c r="ENP134" s="3507"/>
      <c r="ENQ134" s="3507"/>
      <c r="ENR134" s="3507"/>
      <c r="ENS134" s="3507"/>
      <c r="ENT134" s="3507"/>
      <c r="ENU134" s="3507"/>
      <c r="ENV134" s="3507"/>
      <c r="ENW134" s="3507"/>
      <c r="ENX134" s="3507"/>
      <c r="ENY134" s="3507"/>
      <c r="ENZ134" s="3507"/>
      <c r="EOA134" s="3507"/>
      <c r="EOB134" s="3507"/>
      <c r="EOC134" s="3507"/>
      <c r="EOD134" s="3507"/>
      <c r="EOE134" s="3507"/>
      <c r="EOF134" s="3507"/>
      <c r="EOG134" s="3507"/>
      <c r="EOH134" s="3507"/>
      <c r="EOI134" s="3507"/>
      <c r="EOJ134" s="3507"/>
      <c r="EOK134" s="3507"/>
      <c r="EOL134" s="3507"/>
      <c r="EOM134" s="3507"/>
      <c r="EON134" s="3507"/>
      <c r="EOO134" s="3507"/>
      <c r="EOP134" s="3507"/>
      <c r="EOQ134" s="3507"/>
      <c r="EOR134" s="3507"/>
      <c r="EOS134" s="3507"/>
      <c r="EOT134" s="3507"/>
      <c r="EOU134" s="3507"/>
      <c r="EOV134" s="3507"/>
      <c r="EOW134" s="3507"/>
      <c r="EOX134" s="3507"/>
      <c r="EOY134" s="3507"/>
      <c r="EOZ134" s="3507"/>
      <c r="EPA134" s="3507"/>
      <c r="EPB134" s="3507"/>
      <c r="EPC134" s="3507"/>
      <c r="EPD134" s="3507"/>
      <c r="EPE134" s="3507"/>
      <c r="EPF134" s="3507"/>
      <c r="EPG134" s="3507"/>
      <c r="EPH134" s="3507"/>
      <c r="EPI134" s="3507"/>
      <c r="EPJ134" s="3507"/>
      <c r="EPK134" s="3507"/>
      <c r="EPL134" s="3507"/>
      <c r="EPM134" s="3507"/>
      <c r="EPN134" s="3507"/>
      <c r="EPO134" s="3507"/>
      <c r="EPP134" s="3507"/>
      <c r="EPQ134" s="3507"/>
      <c r="EPR134" s="3507"/>
      <c r="EPS134" s="3507"/>
      <c r="EPT134" s="3507"/>
      <c r="EPU134" s="3507"/>
      <c r="EPV134" s="3507"/>
      <c r="EPW134" s="3507"/>
      <c r="EPX134" s="3507"/>
      <c r="EPY134" s="3507"/>
      <c r="EPZ134" s="3507"/>
      <c r="EQA134" s="3507"/>
      <c r="EQB134" s="3507"/>
      <c r="EQC134" s="3507"/>
      <c r="EQD134" s="3507"/>
      <c r="EQE134" s="3507"/>
      <c r="EQF134" s="3507"/>
      <c r="EQG134" s="3507"/>
      <c r="EQH134" s="3507"/>
      <c r="EQI134" s="3507"/>
      <c r="EQJ134" s="3507"/>
      <c r="EQK134" s="3507"/>
      <c r="EQL134" s="3507"/>
      <c r="EQM134" s="3507"/>
      <c r="EQN134" s="3507"/>
      <c r="EQO134" s="3507"/>
      <c r="EQP134" s="3507"/>
      <c r="EQQ134" s="3507"/>
      <c r="EQR134" s="3507"/>
      <c r="EQS134" s="3507"/>
      <c r="EQT134" s="3507"/>
      <c r="EQU134" s="3507"/>
      <c r="EQV134" s="3507"/>
      <c r="EQW134" s="3507"/>
      <c r="EQX134" s="3507"/>
      <c r="EQY134" s="3507"/>
      <c r="EQZ134" s="3507"/>
      <c r="ERA134" s="3507"/>
      <c r="ERB134" s="3507"/>
      <c r="ERC134" s="3507"/>
      <c r="ERD134" s="3507"/>
      <c r="ERE134" s="3507"/>
      <c r="ERF134" s="3507"/>
      <c r="ERG134" s="3507"/>
      <c r="ERH134" s="3507"/>
      <c r="ERI134" s="3507"/>
      <c r="ERJ134" s="3507"/>
      <c r="ERK134" s="3507"/>
      <c r="ERL134" s="3507"/>
      <c r="ERM134" s="3507"/>
      <c r="ERN134" s="3507"/>
      <c r="ERO134" s="3507"/>
      <c r="ERP134" s="3507"/>
      <c r="ERQ134" s="3507"/>
      <c r="ERR134" s="3507"/>
      <c r="ERS134" s="3507"/>
      <c r="ERT134" s="3507"/>
      <c r="ERU134" s="3507"/>
      <c r="ERV134" s="3507"/>
      <c r="ERW134" s="3507"/>
      <c r="ERX134" s="3507"/>
      <c r="ERY134" s="3507"/>
      <c r="ERZ134" s="3507"/>
      <c r="ESA134" s="3507"/>
      <c r="ESB134" s="3507"/>
      <c r="ESC134" s="3507"/>
      <c r="ESD134" s="3507"/>
      <c r="ESE134" s="3507"/>
      <c r="ESF134" s="3507"/>
      <c r="ESG134" s="3507"/>
      <c r="ESH134" s="3507"/>
      <c r="ESI134" s="3507"/>
      <c r="ESJ134" s="3507"/>
      <c r="ESK134" s="3507"/>
      <c r="ESL134" s="3507"/>
      <c r="ESM134" s="3507"/>
      <c r="ESN134" s="3507"/>
      <c r="ESO134" s="3507"/>
      <c r="ESP134" s="3507"/>
      <c r="ESQ134" s="3507"/>
      <c r="ESR134" s="3507"/>
      <c r="ESS134" s="3507"/>
      <c r="EST134" s="3507"/>
      <c r="ESU134" s="3507"/>
      <c r="ESV134" s="3507"/>
      <c r="ESW134" s="3507"/>
      <c r="ESX134" s="3507"/>
      <c r="ESY134" s="3507"/>
      <c r="ESZ134" s="3507"/>
      <c r="ETA134" s="3507"/>
      <c r="ETB134" s="3507"/>
      <c r="ETC134" s="3507"/>
      <c r="ETD134" s="3507"/>
      <c r="ETE134" s="3507"/>
      <c r="ETF134" s="3507"/>
      <c r="ETG134" s="3507"/>
      <c r="ETH134" s="3507"/>
      <c r="ETI134" s="3507"/>
      <c r="ETJ134" s="3507"/>
      <c r="ETK134" s="3507"/>
      <c r="ETL134" s="3507"/>
      <c r="ETM134" s="3507"/>
      <c r="ETN134" s="3507"/>
      <c r="ETO134" s="3507"/>
      <c r="ETP134" s="3507"/>
      <c r="ETQ134" s="3507"/>
      <c r="ETR134" s="3507"/>
      <c r="ETS134" s="3507"/>
      <c r="ETT134" s="3507"/>
      <c r="ETU134" s="3507"/>
      <c r="ETV134" s="3507"/>
      <c r="ETW134" s="3507"/>
      <c r="ETX134" s="3507"/>
      <c r="ETY134" s="3507"/>
      <c r="ETZ134" s="3507"/>
      <c r="EUA134" s="3507"/>
      <c r="EUB134" s="3507"/>
      <c r="EUC134" s="3507"/>
      <c r="EUD134" s="3507"/>
      <c r="EUE134" s="3507"/>
      <c r="EUF134" s="3507"/>
      <c r="EUG134" s="3507"/>
      <c r="EUH134" s="3507"/>
      <c r="EUI134" s="3507"/>
      <c r="EUJ134" s="3507"/>
      <c r="EUK134" s="3507"/>
      <c r="EUL134" s="3507"/>
      <c r="EUM134" s="3507"/>
      <c r="EUN134" s="3507"/>
      <c r="EUO134" s="3507"/>
      <c r="EUP134" s="3507"/>
      <c r="EUQ134" s="3507"/>
      <c r="EUR134" s="3507"/>
      <c r="EUS134" s="3507"/>
      <c r="EUT134" s="3507"/>
      <c r="EUU134" s="3507"/>
      <c r="EUV134" s="3507"/>
      <c r="EUW134" s="3507"/>
      <c r="EUX134" s="3507"/>
      <c r="EUY134" s="3507"/>
      <c r="EUZ134" s="3507"/>
      <c r="EVA134" s="3507"/>
      <c r="EVB134" s="3507"/>
      <c r="EVC134" s="3507"/>
      <c r="EVD134" s="3507"/>
      <c r="EVE134" s="3507"/>
      <c r="EVF134" s="3507"/>
      <c r="EVG134" s="3507"/>
      <c r="EVH134" s="3507"/>
      <c r="EVI134" s="3507"/>
      <c r="EVJ134" s="3507"/>
      <c r="EVK134" s="3507"/>
      <c r="EVL134" s="3507"/>
      <c r="EVM134" s="3507"/>
      <c r="EVN134" s="3507"/>
      <c r="EVO134" s="3507"/>
      <c r="EVP134" s="3507"/>
      <c r="EVQ134" s="3507"/>
      <c r="EVR134" s="3507"/>
      <c r="EVS134" s="3507"/>
      <c r="EVT134" s="3507"/>
      <c r="EVU134" s="3507"/>
      <c r="EVV134" s="3507"/>
      <c r="EVW134" s="3507"/>
      <c r="EVX134" s="3507"/>
      <c r="EVY134" s="3507"/>
      <c r="EVZ134" s="3507"/>
      <c r="EWA134" s="3507"/>
      <c r="EWB134" s="3507"/>
      <c r="EWC134" s="3507"/>
      <c r="EWD134" s="3507"/>
      <c r="EWE134" s="3507"/>
      <c r="EWF134" s="3507"/>
      <c r="EWG134" s="3507"/>
      <c r="EWH134" s="3507"/>
      <c r="EWI134" s="3507"/>
      <c r="EWJ134" s="3507"/>
      <c r="EWK134" s="3507"/>
      <c r="EWL134" s="3507"/>
      <c r="EWM134" s="3507"/>
      <c r="EWN134" s="3507"/>
      <c r="EWO134" s="3507"/>
      <c r="EWP134" s="3507"/>
      <c r="EWQ134" s="3507"/>
      <c r="EWR134" s="3507"/>
      <c r="EWS134" s="3507"/>
      <c r="EWT134" s="3507"/>
      <c r="EWU134" s="3507"/>
      <c r="EWV134" s="3507"/>
      <c r="EWW134" s="3507"/>
      <c r="EWX134" s="3507"/>
      <c r="EWY134" s="3507"/>
      <c r="EWZ134" s="3507"/>
      <c r="EXA134" s="3507"/>
      <c r="EXB134" s="3507"/>
      <c r="EXC134" s="3507"/>
      <c r="EXD134" s="3507"/>
      <c r="EXE134" s="3507"/>
      <c r="EXF134" s="3507"/>
      <c r="EXG134" s="3507"/>
      <c r="EXH134" s="3507"/>
      <c r="EXI134" s="3507"/>
      <c r="EXJ134" s="3507"/>
      <c r="EXK134" s="3507"/>
      <c r="EXL134" s="3507"/>
      <c r="EXM134" s="3507"/>
      <c r="EXN134" s="3507"/>
      <c r="EXO134" s="3507"/>
      <c r="EXP134" s="3507"/>
      <c r="EXQ134" s="3507"/>
      <c r="EXR134" s="3507"/>
      <c r="EXS134" s="3507"/>
      <c r="EXT134" s="3507"/>
      <c r="EXU134" s="3507"/>
      <c r="EXV134" s="3507"/>
      <c r="EXW134" s="3507"/>
      <c r="EXX134" s="3507"/>
      <c r="EXY134" s="3507"/>
      <c r="EXZ134" s="3507"/>
      <c r="EYA134" s="3507"/>
      <c r="EYB134" s="3507"/>
      <c r="EYC134" s="3507"/>
      <c r="EYD134" s="3507"/>
      <c r="EYE134" s="3507"/>
      <c r="EYF134" s="3507"/>
      <c r="EYG134" s="3507"/>
      <c r="EYH134" s="3507"/>
      <c r="EYI134" s="3507"/>
      <c r="EYJ134" s="3507"/>
      <c r="EYK134" s="3507"/>
      <c r="EYL134" s="3507"/>
      <c r="EYM134" s="3507"/>
      <c r="EYN134" s="3507"/>
      <c r="EYO134" s="3507"/>
      <c r="EYP134" s="3507"/>
      <c r="EYQ134" s="3507"/>
      <c r="EYR134" s="3507"/>
      <c r="EYS134" s="3507"/>
      <c r="EYT134" s="3507"/>
      <c r="EYU134" s="3507"/>
      <c r="EYV134" s="3507"/>
      <c r="EYW134" s="3507"/>
      <c r="EYX134" s="3507"/>
      <c r="EYY134" s="3507"/>
      <c r="EYZ134" s="3507"/>
      <c r="EZA134" s="3507"/>
      <c r="EZB134" s="3507"/>
      <c r="EZC134" s="3507"/>
      <c r="EZD134" s="3507"/>
      <c r="EZE134" s="3507"/>
      <c r="EZF134" s="3507"/>
      <c r="EZG134" s="3507"/>
      <c r="EZH134" s="3507"/>
      <c r="EZI134" s="3507"/>
      <c r="EZJ134" s="3507"/>
      <c r="EZK134" s="3507"/>
      <c r="EZL134" s="3507"/>
      <c r="EZM134" s="3507"/>
      <c r="EZN134" s="3507"/>
      <c r="EZO134" s="3507"/>
      <c r="EZP134" s="3507"/>
      <c r="EZQ134" s="3507"/>
      <c r="EZR134" s="3507"/>
      <c r="EZS134" s="3507"/>
      <c r="EZT134" s="3507"/>
      <c r="EZU134" s="3507"/>
      <c r="EZV134" s="3507"/>
      <c r="EZW134" s="3507"/>
      <c r="EZX134" s="3507"/>
      <c r="EZY134" s="3507"/>
      <c r="EZZ134" s="3507"/>
      <c r="FAA134" s="3507"/>
      <c r="FAB134" s="3507"/>
      <c r="FAC134" s="3507"/>
      <c r="FAD134" s="3507"/>
      <c r="FAE134" s="3507"/>
      <c r="FAF134" s="3507"/>
      <c r="FAG134" s="3507"/>
      <c r="FAH134" s="3507"/>
      <c r="FAI134" s="3507"/>
      <c r="FAJ134" s="3507"/>
      <c r="FAK134" s="3507"/>
      <c r="FAL134" s="3507"/>
      <c r="FAM134" s="3507"/>
      <c r="FAN134" s="3507"/>
      <c r="FAO134" s="3507"/>
      <c r="FAP134" s="3507"/>
      <c r="FAQ134" s="3507"/>
      <c r="FAR134" s="3507"/>
      <c r="FAS134" s="3507"/>
      <c r="FAT134" s="3507"/>
      <c r="FAU134" s="3507"/>
      <c r="FAV134" s="3507"/>
      <c r="FAW134" s="3507"/>
      <c r="FAX134" s="3507"/>
      <c r="FAY134" s="3507"/>
      <c r="FAZ134" s="3507"/>
      <c r="FBA134" s="3507"/>
      <c r="FBB134" s="3507"/>
      <c r="FBC134" s="3507"/>
      <c r="FBD134" s="3507"/>
      <c r="FBE134" s="3507"/>
      <c r="FBF134" s="3507"/>
      <c r="FBG134" s="3507"/>
      <c r="FBH134" s="3507"/>
      <c r="FBI134" s="3507"/>
      <c r="FBJ134" s="3507"/>
      <c r="FBK134" s="3507"/>
      <c r="FBL134" s="3507"/>
      <c r="FBM134" s="3507"/>
      <c r="FBN134" s="3507"/>
      <c r="FBO134" s="3507"/>
      <c r="FBP134" s="3507"/>
      <c r="FBQ134" s="3507"/>
      <c r="FBR134" s="3507"/>
      <c r="FBS134" s="3507"/>
      <c r="FBT134" s="3507"/>
      <c r="FBU134" s="3507"/>
      <c r="FBV134" s="3507"/>
      <c r="FBW134" s="3507"/>
      <c r="FBX134" s="3507"/>
      <c r="FBY134" s="3507"/>
      <c r="FBZ134" s="3507"/>
      <c r="FCA134" s="3507"/>
      <c r="FCB134" s="3507"/>
      <c r="FCC134" s="3507"/>
      <c r="FCD134" s="3507"/>
      <c r="FCE134" s="3507"/>
      <c r="FCF134" s="3507"/>
      <c r="FCG134" s="3507"/>
      <c r="FCH134" s="3507"/>
      <c r="FCI134" s="3507"/>
      <c r="FCJ134" s="3507"/>
      <c r="FCK134" s="3507"/>
      <c r="FCL134" s="3507"/>
      <c r="FCM134" s="3507"/>
      <c r="FCN134" s="3507"/>
      <c r="FCO134" s="3507"/>
      <c r="FCP134" s="3507"/>
      <c r="FCQ134" s="3507"/>
      <c r="FCR134" s="3507"/>
      <c r="FCS134" s="3507"/>
      <c r="FCT134" s="3507"/>
      <c r="FCU134" s="3507"/>
      <c r="FCV134" s="3507"/>
      <c r="FCW134" s="3507"/>
      <c r="FCX134" s="3507"/>
      <c r="FCY134" s="3507"/>
      <c r="FCZ134" s="3507"/>
      <c r="FDA134" s="3507"/>
      <c r="FDB134" s="3507"/>
      <c r="FDC134" s="3507"/>
      <c r="FDD134" s="3507"/>
      <c r="FDE134" s="3507"/>
      <c r="FDF134" s="3507"/>
      <c r="FDG134" s="3507"/>
      <c r="FDH134" s="3507"/>
      <c r="FDI134" s="3507"/>
      <c r="FDJ134" s="3507"/>
      <c r="FDK134" s="3507"/>
      <c r="FDL134" s="3507"/>
      <c r="FDM134" s="3507"/>
      <c r="FDN134" s="3507"/>
      <c r="FDO134" s="3507"/>
      <c r="FDP134" s="3507"/>
      <c r="FDQ134" s="3507"/>
      <c r="FDR134" s="3507"/>
      <c r="FDS134" s="3507"/>
      <c r="FDT134" s="3507"/>
      <c r="FDU134" s="3507"/>
      <c r="FDV134" s="3507"/>
      <c r="FDW134" s="3507"/>
      <c r="FDX134" s="3507"/>
      <c r="FDY134" s="3507"/>
      <c r="FDZ134" s="3507"/>
      <c r="FEA134" s="3507"/>
      <c r="FEB134" s="3507"/>
      <c r="FEC134" s="3507"/>
      <c r="FED134" s="3507"/>
      <c r="FEE134" s="3507"/>
      <c r="FEF134" s="3507"/>
      <c r="FEG134" s="3507"/>
      <c r="FEH134" s="3507"/>
      <c r="FEI134" s="3507"/>
      <c r="FEJ134" s="3507"/>
      <c r="FEK134" s="3507"/>
      <c r="FEL134" s="3507"/>
      <c r="FEM134" s="3507"/>
      <c r="FEN134" s="3507"/>
      <c r="FEO134" s="3507"/>
      <c r="FEP134" s="3507"/>
      <c r="FEQ134" s="3507"/>
      <c r="FER134" s="3507"/>
      <c r="FES134" s="3507"/>
      <c r="FET134" s="3507"/>
      <c r="FEU134" s="3507"/>
      <c r="FEV134" s="3507"/>
      <c r="FEW134" s="3507"/>
      <c r="FEX134" s="3507"/>
      <c r="FEY134" s="3507"/>
      <c r="FEZ134" s="3507"/>
      <c r="FFA134" s="3507"/>
      <c r="FFB134" s="3507"/>
      <c r="FFC134" s="3507"/>
      <c r="FFD134" s="3507"/>
      <c r="FFE134" s="3507"/>
      <c r="FFF134" s="3507"/>
      <c r="FFG134" s="3507"/>
      <c r="FFH134" s="3507"/>
      <c r="FFI134" s="3507"/>
      <c r="FFJ134" s="3507"/>
      <c r="FFK134" s="3507"/>
      <c r="FFL134" s="3507"/>
      <c r="FFM134" s="3507"/>
      <c r="FFN134" s="3507"/>
      <c r="FFO134" s="3507"/>
      <c r="FFP134" s="3507"/>
      <c r="FFQ134" s="3507"/>
      <c r="FFR134" s="3507"/>
      <c r="FFS134" s="3507"/>
      <c r="FFT134" s="3507"/>
      <c r="FFU134" s="3507"/>
      <c r="FFV134" s="3507"/>
      <c r="FFW134" s="3507"/>
      <c r="FFX134" s="3507"/>
      <c r="FFY134" s="3507"/>
      <c r="FFZ134" s="3507"/>
      <c r="FGA134" s="3507"/>
      <c r="FGB134" s="3507"/>
      <c r="FGC134" s="3507"/>
      <c r="FGD134" s="3507"/>
      <c r="FGE134" s="3507"/>
      <c r="FGF134" s="3507"/>
      <c r="FGG134" s="3507"/>
      <c r="FGH134" s="3507"/>
      <c r="FGI134" s="3507"/>
      <c r="FGJ134" s="3507"/>
      <c r="FGK134" s="3507"/>
      <c r="FGL134" s="3507"/>
      <c r="FGM134" s="3507"/>
      <c r="FGN134" s="3507"/>
      <c r="FGO134" s="3507"/>
      <c r="FGP134" s="3507"/>
      <c r="FGQ134" s="3507"/>
      <c r="FGR134" s="3507"/>
      <c r="FGS134" s="3507"/>
      <c r="FGT134" s="3507"/>
      <c r="FGU134" s="3507"/>
      <c r="FGV134" s="3507"/>
      <c r="FGW134" s="3507"/>
      <c r="FGX134" s="3507"/>
      <c r="FGY134" s="3507"/>
      <c r="FGZ134" s="3507"/>
      <c r="FHA134" s="3507"/>
      <c r="FHB134" s="3507"/>
      <c r="FHC134" s="3507"/>
      <c r="FHD134" s="3507"/>
      <c r="FHE134" s="3507"/>
      <c r="FHF134" s="3507"/>
      <c r="FHG134" s="3507"/>
      <c r="FHH134" s="3507"/>
      <c r="FHI134" s="3507"/>
      <c r="FHJ134" s="3507"/>
      <c r="FHK134" s="3507"/>
      <c r="FHL134" s="3507"/>
      <c r="FHM134" s="3507"/>
      <c r="FHN134" s="3507"/>
      <c r="FHO134" s="3507"/>
      <c r="FHP134" s="3507"/>
      <c r="FHQ134" s="3507"/>
      <c r="FHR134" s="3507"/>
      <c r="FHS134" s="3507"/>
      <c r="FHT134" s="3507"/>
      <c r="FHU134" s="3507"/>
      <c r="FHV134" s="3507"/>
      <c r="FHW134" s="3507"/>
      <c r="FHX134" s="3507"/>
      <c r="FHY134" s="3507"/>
      <c r="FHZ134" s="3507"/>
      <c r="FIA134" s="3507"/>
      <c r="FIB134" s="3507"/>
      <c r="FIC134" s="3507"/>
      <c r="FID134" s="3507"/>
      <c r="FIE134" s="3507"/>
      <c r="FIF134" s="3507"/>
      <c r="FIG134" s="3507"/>
      <c r="FIH134" s="3507"/>
      <c r="FII134" s="3507"/>
      <c r="FIJ134" s="3507"/>
      <c r="FIK134" s="3507"/>
      <c r="FIL134" s="3507"/>
      <c r="FIM134" s="3507"/>
      <c r="FIN134" s="3507"/>
      <c r="FIO134" s="3507"/>
      <c r="FIP134" s="3507"/>
      <c r="FIQ134" s="3507"/>
      <c r="FIR134" s="3507"/>
      <c r="FIS134" s="3507"/>
      <c r="FIT134" s="3507"/>
      <c r="FIU134" s="3507"/>
      <c r="FIV134" s="3507"/>
      <c r="FIW134" s="3507"/>
      <c r="FIX134" s="3507"/>
      <c r="FIY134" s="3507"/>
      <c r="FIZ134" s="3507"/>
      <c r="FJA134" s="3507"/>
      <c r="FJB134" s="3507"/>
      <c r="FJC134" s="3507"/>
      <c r="FJD134" s="3507"/>
      <c r="FJE134" s="3507"/>
      <c r="FJF134" s="3507"/>
      <c r="FJG134" s="3507"/>
      <c r="FJH134" s="3507"/>
      <c r="FJI134" s="3507"/>
      <c r="FJJ134" s="3507"/>
      <c r="FJK134" s="3507"/>
      <c r="FJL134" s="3507"/>
      <c r="FJM134" s="3507"/>
      <c r="FJN134" s="3507"/>
      <c r="FJO134" s="3507"/>
      <c r="FJP134" s="3507"/>
      <c r="FJQ134" s="3507"/>
      <c r="FJR134" s="3507"/>
      <c r="FJS134" s="3507"/>
      <c r="FJT134" s="3507"/>
      <c r="FJU134" s="3507"/>
      <c r="FJV134" s="3507"/>
      <c r="FJW134" s="3507"/>
      <c r="FJX134" s="3507"/>
      <c r="FJY134" s="3507"/>
      <c r="FJZ134" s="3507"/>
      <c r="FKA134" s="3507"/>
      <c r="FKB134" s="3507"/>
      <c r="FKC134" s="3507"/>
      <c r="FKD134" s="3507"/>
      <c r="FKE134" s="3507"/>
      <c r="FKF134" s="3507"/>
      <c r="FKG134" s="3507"/>
      <c r="FKH134" s="3507"/>
      <c r="FKI134" s="3507"/>
      <c r="FKJ134" s="3507"/>
      <c r="FKK134" s="3507"/>
      <c r="FKL134" s="3507"/>
      <c r="FKM134" s="3507"/>
      <c r="FKN134" s="3507"/>
      <c r="FKO134" s="3507"/>
      <c r="FKP134" s="3507"/>
      <c r="FKQ134" s="3507"/>
      <c r="FKR134" s="3507"/>
      <c r="FKS134" s="3507"/>
      <c r="FKT134" s="3507"/>
      <c r="FKU134" s="3507"/>
      <c r="FKV134" s="3507"/>
      <c r="FKW134" s="3507"/>
      <c r="FKX134" s="3507"/>
      <c r="FKY134" s="3507"/>
      <c r="FKZ134" s="3507"/>
      <c r="FLA134" s="3507"/>
      <c r="FLB134" s="3507"/>
      <c r="FLC134" s="3507"/>
      <c r="FLD134" s="3507"/>
      <c r="FLE134" s="3507"/>
      <c r="FLF134" s="3507"/>
      <c r="FLG134" s="3507"/>
      <c r="FLH134" s="3507"/>
      <c r="FLI134" s="3507"/>
      <c r="FLJ134" s="3507"/>
      <c r="FLK134" s="3507"/>
      <c r="FLL134" s="3507"/>
      <c r="FLM134" s="3507"/>
      <c r="FLN134" s="3507"/>
      <c r="FLO134" s="3507"/>
      <c r="FLP134" s="3507"/>
      <c r="FLQ134" s="3507"/>
      <c r="FLR134" s="3507"/>
      <c r="FLS134" s="3507"/>
      <c r="FLT134" s="3507"/>
      <c r="FLU134" s="3507"/>
      <c r="FLV134" s="3507"/>
      <c r="FLW134" s="3507"/>
      <c r="FLX134" s="3507"/>
      <c r="FLY134" s="3507"/>
      <c r="FLZ134" s="3507"/>
      <c r="FMA134" s="3507"/>
      <c r="FMB134" s="3507"/>
      <c r="FMC134" s="3507"/>
      <c r="FMD134" s="3507"/>
      <c r="FME134" s="3507"/>
      <c r="FMF134" s="3507"/>
      <c r="FMG134" s="3507"/>
      <c r="FMH134" s="3507"/>
      <c r="FMI134" s="3507"/>
      <c r="FMJ134" s="3507"/>
      <c r="FMK134" s="3507"/>
      <c r="FML134" s="3507"/>
      <c r="FMM134" s="3507"/>
      <c r="FMN134" s="3507"/>
      <c r="FMO134" s="3507"/>
      <c r="FMP134" s="3507"/>
      <c r="FMQ134" s="3507"/>
      <c r="FMR134" s="3507"/>
      <c r="FMS134" s="3507"/>
      <c r="FMT134" s="3507"/>
      <c r="FMU134" s="3507"/>
      <c r="FMV134" s="3507"/>
      <c r="FMW134" s="3507"/>
      <c r="FMX134" s="3507"/>
      <c r="FMY134" s="3507"/>
      <c r="FMZ134" s="3507"/>
      <c r="FNA134" s="3507"/>
      <c r="FNB134" s="3507"/>
      <c r="FNC134" s="3507"/>
      <c r="FND134" s="3507"/>
      <c r="FNE134" s="3507"/>
      <c r="FNF134" s="3507"/>
      <c r="FNG134" s="3507"/>
      <c r="FNH134" s="3507"/>
      <c r="FNI134" s="3507"/>
      <c r="FNJ134" s="3507"/>
      <c r="FNK134" s="3507"/>
      <c r="FNL134" s="3507"/>
      <c r="FNM134" s="3507"/>
      <c r="FNN134" s="3507"/>
      <c r="FNO134" s="3507"/>
      <c r="FNP134" s="3507"/>
      <c r="FNQ134" s="3507"/>
      <c r="FNR134" s="3507"/>
      <c r="FNS134" s="3507"/>
      <c r="FNT134" s="3507"/>
      <c r="FNU134" s="3507"/>
      <c r="FNV134" s="3507"/>
      <c r="FNW134" s="3507"/>
      <c r="FNX134" s="3507"/>
      <c r="FNY134" s="3507"/>
      <c r="FNZ134" s="3507"/>
      <c r="FOA134" s="3507"/>
      <c r="FOB134" s="3507"/>
      <c r="FOC134" s="3507"/>
      <c r="FOD134" s="3507"/>
      <c r="FOE134" s="3507"/>
      <c r="FOF134" s="3507"/>
      <c r="FOG134" s="3507"/>
      <c r="FOH134" s="3507"/>
      <c r="FOI134" s="3507"/>
      <c r="FOJ134" s="3507"/>
      <c r="FOK134" s="3507"/>
      <c r="FOL134" s="3507"/>
      <c r="FOM134" s="3507"/>
      <c r="FON134" s="3507"/>
      <c r="FOO134" s="3507"/>
      <c r="FOP134" s="3507"/>
      <c r="FOQ134" s="3507"/>
      <c r="FOR134" s="3507"/>
      <c r="FOS134" s="3507"/>
      <c r="FOT134" s="3507"/>
      <c r="FOU134" s="3507"/>
      <c r="FOV134" s="3507"/>
      <c r="FOW134" s="3507"/>
      <c r="FOX134" s="3507"/>
      <c r="FOY134" s="3507"/>
      <c r="FOZ134" s="3507"/>
      <c r="FPA134" s="3507"/>
      <c r="FPB134" s="3507"/>
      <c r="FPC134" s="3507"/>
      <c r="FPD134" s="3507"/>
      <c r="FPE134" s="3507"/>
      <c r="FPF134" s="3507"/>
      <c r="FPG134" s="3507"/>
      <c r="FPH134" s="3507"/>
      <c r="FPI134" s="3507"/>
      <c r="FPJ134" s="3507"/>
      <c r="FPK134" s="3507"/>
      <c r="FPL134" s="3507"/>
      <c r="FPM134" s="3507"/>
      <c r="FPN134" s="3507"/>
      <c r="FPO134" s="3507"/>
      <c r="FPP134" s="3507"/>
      <c r="FPQ134" s="3507"/>
      <c r="FPR134" s="3507"/>
      <c r="FPS134" s="3507"/>
      <c r="FPT134" s="3507"/>
      <c r="FPU134" s="3507"/>
      <c r="FPV134" s="3507"/>
      <c r="FPW134" s="3507"/>
      <c r="FPX134" s="3507"/>
      <c r="FPY134" s="3507"/>
      <c r="FPZ134" s="3507"/>
      <c r="FQA134" s="3507"/>
      <c r="FQB134" s="3507"/>
      <c r="FQC134" s="3507"/>
      <c r="FQD134" s="3507"/>
      <c r="FQE134" s="3507"/>
      <c r="FQF134" s="3507"/>
      <c r="FQG134" s="3507"/>
      <c r="FQH134" s="3507"/>
      <c r="FQI134" s="3507"/>
      <c r="FQJ134" s="3507"/>
      <c r="FQK134" s="3507"/>
      <c r="FQL134" s="3507"/>
      <c r="FQM134" s="3507"/>
      <c r="FQN134" s="3507"/>
      <c r="FQO134" s="3507"/>
      <c r="FQP134" s="3507"/>
      <c r="FQQ134" s="3507"/>
      <c r="FQR134" s="3507"/>
      <c r="FQS134" s="3507"/>
      <c r="FQT134" s="3507"/>
      <c r="FQU134" s="3507"/>
      <c r="FQV134" s="3507"/>
      <c r="FQW134" s="3507"/>
      <c r="FQX134" s="3507"/>
      <c r="FQY134" s="3507"/>
      <c r="FQZ134" s="3507"/>
      <c r="FRA134" s="3507"/>
      <c r="FRB134" s="3507"/>
      <c r="FRC134" s="3507"/>
      <c r="FRD134" s="3507"/>
      <c r="FRE134" s="3507"/>
      <c r="FRF134" s="3507"/>
      <c r="FRG134" s="3507"/>
      <c r="FRH134" s="3507"/>
      <c r="FRI134" s="3507"/>
      <c r="FRJ134" s="3507"/>
      <c r="FRK134" s="3507"/>
      <c r="FRL134" s="3507"/>
      <c r="FRM134" s="3507"/>
      <c r="FRN134" s="3507"/>
      <c r="FRO134" s="3507"/>
      <c r="FRP134" s="3507"/>
      <c r="FRQ134" s="3507"/>
      <c r="FRR134" s="3507"/>
      <c r="FRS134" s="3507"/>
      <c r="FRT134" s="3507"/>
      <c r="FRU134" s="3507"/>
      <c r="FRV134" s="3507"/>
      <c r="FRW134" s="3507"/>
      <c r="FRX134" s="3507"/>
      <c r="FRY134" s="3507"/>
      <c r="FRZ134" s="3507"/>
      <c r="FSA134" s="3507"/>
      <c r="FSB134" s="3507"/>
      <c r="FSC134" s="3507"/>
      <c r="FSD134" s="3507"/>
      <c r="FSE134" s="3507"/>
      <c r="FSF134" s="3507"/>
      <c r="FSG134" s="3507"/>
      <c r="FSH134" s="3507"/>
      <c r="FSI134" s="3507"/>
      <c r="FSJ134" s="3507"/>
      <c r="FSK134" s="3507"/>
      <c r="FSL134" s="3507"/>
      <c r="FSM134" s="3507"/>
      <c r="FSN134" s="3507"/>
      <c r="FSO134" s="3507"/>
      <c r="FSP134" s="3507"/>
      <c r="FSQ134" s="3507"/>
      <c r="FSR134" s="3507"/>
      <c r="FSS134" s="3507"/>
      <c r="FST134" s="3507"/>
      <c r="FSU134" s="3507"/>
      <c r="FSV134" s="3507"/>
      <c r="FSW134" s="3507"/>
      <c r="FSX134" s="3507"/>
      <c r="FSY134" s="3507"/>
      <c r="FSZ134" s="3507"/>
      <c r="FTA134" s="3507"/>
      <c r="FTB134" s="3507"/>
      <c r="FTC134" s="3507"/>
      <c r="FTD134" s="3507"/>
      <c r="FTE134" s="3507"/>
      <c r="FTF134" s="3507"/>
      <c r="FTG134" s="3507"/>
      <c r="FTH134" s="3507"/>
      <c r="FTI134" s="3507"/>
      <c r="FTJ134" s="3507"/>
      <c r="FTK134" s="3507"/>
      <c r="FTL134" s="3507"/>
      <c r="FTM134" s="3507"/>
      <c r="FTN134" s="3507"/>
      <c r="FTO134" s="3507"/>
      <c r="FTP134" s="3507"/>
      <c r="FTQ134" s="3507"/>
      <c r="FTR134" s="3507"/>
      <c r="FTS134" s="3507"/>
      <c r="FTT134" s="3507"/>
      <c r="FTU134" s="3507"/>
      <c r="FTV134" s="3507"/>
      <c r="FTW134" s="3507"/>
      <c r="FTX134" s="3507"/>
      <c r="FTY134" s="3507"/>
      <c r="FTZ134" s="3507"/>
      <c r="FUA134" s="3507"/>
      <c r="FUB134" s="3507"/>
      <c r="FUC134" s="3507"/>
      <c r="FUD134" s="3507"/>
      <c r="FUE134" s="3507"/>
      <c r="FUF134" s="3507"/>
      <c r="FUG134" s="3507"/>
      <c r="FUH134" s="3507"/>
      <c r="FUI134" s="3507"/>
      <c r="FUJ134" s="3507"/>
      <c r="FUK134" s="3507"/>
      <c r="FUL134" s="3507"/>
      <c r="FUM134" s="3507"/>
      <c r="FUN134" s="3507"/>
      <c r="FUO134" s="3507"/>
      <c r="FUP134" s="3507"/>
      <c r="FUQ134" s="3507"/>
      <c r="FUR134" s="3507"/>
      <c r="FUS134" s="3507"/>
      <c r="FUT134" s="3507"/>
      <c r="FUU134" s="3507"/>
      <c r="FUV134" s="3507"/>
      <c r="FUW134" s="3507"/>
      <c r="FUX134" s="3507"/>
      <c r="FUY134" s="3507"/>
      <c r="FUZ134" s="3507"/>
      <c r="FVA134" s="3507"/>
      <c r="FVB134" s="3507"/>
      <c r="FVC134" s="3507"/>
      <c r="FVD134" s="3507"/>
      <c r="FVE134" s="3507"/>
      <c r="FVF134" s="3507"/>
      <c r="FVG134" s="3507"/>
      <c r="FVH134" s="3507"/>
      <c r="FVI134" s="3507"/>
      <c r="FVJ134" s="3507"/>
      <c r="FVK134" s="3507"/>
      <c r="FVL134" s="3507"/>
      <c r="FVM134" s="3507"/>
      <c r="FVN134" s="3507"/>
      <c r="FVO134" s="3507"/>
      <c r="FVP134" s="3507"/>
      <c r="FVQ134" s="3507"/>
      <c r="FVR134" s="3507"/>
      <c r="FVS134" s="3507"/>
      <c r="FVT134" s="3507"/>
      <c r="FVU134" s="3507"/>
      <c r="FVV134" s="3507"/>
      <c r="FVW134" s="3507"/>
      <c r="FVX134" s="3507"/>
      <c r="FVY134" s="3507"/>
      <c r="FVZ134" s="3507"/>
      <c r="FWA134" s="3507"/>
      <c r="FWB134" s="3507"/>
      <c r="FWC134" s="3507"/>
      <c r="FWD134" s="3507"/>
      <c r="FWE134" s="3507"/>
      <c r="FWF134" s="3507"/>
      <c r="FWG134" s="3507"/>
      <c r="FWH134" s="3507"/>
      <c r="FWI134" s="3507"/>
      <c r="FWJ134" s="3507"/>
      <c r="FWK134" s="3507"/>
      <c r="FWL134" s="3507"/>
      <c r="FWM134" s="3507"/>
      <c r="FWN134" s="3507"/>
      <c r="FWO134" s="3507"/>
      <c r="FWP134" s="3507"/>
      <c r="FWQ134" s="3507"/>
      <c r="FWR134" s="3507"/>
      <c r="FWS134" s="3507"/>
      <c r="FWT134" s="3507"/>
      <c r="FWU134" s="3507"/>
      <c r="FWV134" s="3507"/>
      <c r="FWW134" s="3507"/>
      <c r="FWX134" s="3507"/>
      <c r="FWY134" s="3507"/>
      <c r="FWZ134" s="3507"/>
      <c r="FXA134" s="3507"/>
      <c r="FXB134" s="3507"/>
      <c r="FXC134" s="3507"/>
      <c r="FXD134" s="3507"/>
      <c r="FXE134" s="3507"/>
      <c r="FXF134" s="3507"/>
      <c r="FXG134" s="3507"/>
      <c r="FXH134" s="3507"/>
      <c r="FXI134" s="3507"/>
      <c r="FXJ134" s="3507"/>
      <c r="FXK134" s="3507"/>
      <c r="FXL134" s="3507"/>
      <c r="FXM134" s="3507"/>
      <c r="FXN134" s="3507"/>
      <c r="FXO134" s="3507"/>
      <c r="FXP134" s="3507"/>
      <c r="FXQ134" s="3507"/>
      <c r="FXR134" s="3507"/>
      <c r="FXS134" s="3507"/>
      <c r="FXT134" s="3507"/>
      <c r="FXU134" s="3507"/>
      <c r="FXV134" s="3507"/>
      <c r="FXW134" s="3507"/>
      <c r="FXX134" s="3507"/>
      <c r="FXY134" s="3507"/>
      <c r="FXZ134" s="3507"/>
      <c r="FYA134" s="3507"/>
      <c r="FYB134" s="3507"/>
      <c r="FYC134" s="3507"/>
      <c r="FYD134" s="3507"/>
      <c r="FYE134" s="3507"/>
      <c r="FYF134" s="3507"/>
      <c r="FYG134" s="3507"/>
      <c r="FYH134" s="3507"/>
      <c r="FYI134" s="3507"/>
      <c r="FYJ134" s="3507"/>
      <c r="FYK134" s="3507"/>
      <c r="FYL134" s="3507"/>
      <c r="FYM134" s="3507"/>
      <c r="FYN134" s="3507"/>
      <c r="FYO134" s="3507"/>
      <c r="FYP134" s="3507"/>
      <c r="FYQ134" s="3507"/>
      <c r="FYR134" s="3507"/>
      <c r="FYS134" s="3507"/>
      <c r="FYT134" s="3507"/>
      <c r="FYU134" s="3507"/>
      <c r="FYV134" s="3507"/>
      <c r="FYW134" s="3507"/>
      <c r="FYX134" s="3507"/>
      <c r="FYY134" s="3507"/>
      <c r="FYZ134" s="3507"/>
      <c r="FZA134" s="3507"/>
      <c r="FZB134" s="3507"/>
      <c r="FZC134" s="3507"/>
      <c r="FZD134" s="3507"/>
      <c r="FZE134" s="3507"/>
      <c r="FZF134" s="3507"/>
      <c r="FZG134" s="3507"/>
      <c r="FZH134" s="3507"/>
      <c r="FZI134" s="3507"/>
      <c r="FZJ134" s="3507"/>
      <c r="FZK134" s="3507"/>
      <c r="FZL134" s="3507"/>
      <c r="FZM134" s="3507"/>
      <c r="FZN134" s="3507"/>
      <c r="FZO134" s="3507"/>
      <c r="FZP134" s="3507"/>
      <c r="FZQ134" s="3507"/>
      <c r="FZR134" s="3507"/>
      <c r="FZS134" s="3507"/>
      <c r="FZT134" s="3507"/>
      <c r="FZU134" s="3507"/>
      <c r="FZV134" s="3507"/>
      <c r="FZW134" s="3507"/>
      <c r="FZX134" s="3507"/>
      <c r="FZY134" s="3507"/>
      <c r="FZZ134" s="3507"/>
      <c r="GAA134" s="3507"/>
      <c r="GAB134" s="3507"/>
      <c r="GAC134" s="3507"/>
      <c r="GAD134" s="3507"/>
      <c r="GAE134" s="3507"/>
      <c r="GAF134" s="3507"/>
      <c r="GAG134" s="3507"/>
      <c r="GAH134" s="3507"/>
      <c r="GAI134" s="3507"/>
      <c r="GAJ134" s="3507"/>
      <c r="GAK134" s="3507"/>
      <c r="GAL134" s="3507"/>
      <c r="GAM134" s="3507"/>
      <c r="GAN134" s="3507"/>
      <c r="GAO134" s="3507"/>
      <c r="GAP134" s="3507"/>
      <c r="GAQ134" s="3507"/>
      <c r="GAR134" s="3507"/>
      <c r="GAS134" s="3507"/>
      <c r="GAT134" s="3507"/>
      <c r="GAU134" s="3507"/>
      <c r="GAV134" s="3507"/>
      <c r="GAW134" s="3507"/>
      <c r="GAX134" s="3507"/>
      <c r="GAY134" s="3507"/>
      <c r="GAZ134" s="3507"/>
      <c r="GBA134" s="3507"/>
      <c r="GBB134" s="3507"/>
      <c r="GBC134" s="3507"/>
      <c r="GBD134" s="3507"/>
      <c r="GBE134" s="3507"/>
      <c r="GBF134" s="3507"/>
      <c r="GBG134" s="3507"/>
      <c r="GBH134" s="3507"/>
      <c r="GBI134" s="3507"/>
      <c r="GBJ134" s="3507"/>
      <c r="GBK134" s="3507"/>
      <c r="GBL134" s="3507"/>
      <c r="GBM134" s="3507"/>
      <c r="GBN134" s="3507"/>
      <c r="GBO134" s="3507"/>
      <c r="GBP134" s="3507"/>
      <c r="GBQ134" s="3507"/>
      <c r="GBR134" s="3507"/>
      <c r="GBS134" s="3507"/>
      <c r="GBT134" s="3507"/>
      <c r="GBU134" s="3507"/>
      <c r="GBV134" s="3507"/>
      <c r="GBW134" s="3507"/>
      <c r="GBX134" s="3507"/>
      <c r="GBY134" s="3507"/>
      <c r="GBZ134" s="3507"/>
      <c r="GCA134" s="3507"/>
      <c r="GCB134" s="3507"/>
      <c r="GCC134" s="3507"/>
      <c r="GCD134" s="3507"/>
      <c r="GCE134" s="3507"/>
      <c r="GCF134" s="3507"/>
      <c r="GCG134" s="3507"/>
      <c r="GCH134" s="3507"/>
      <c r="GCI134" s="3507"/>
      <c r="GCJ134" s="3507"/>
      <c r="GCK134" s="3507"/>
      <c r="GCL134" s="3507"/>
      <c r="GCM134" s="3507"/>
      <c r="GCN134" s="3507"/>
      <c r="GCO134" s="3507"/>
      <c r="GCP134" s="3507"/>
      <c r="GCQ134" s="3507"/>
      <c r="GCR134" s="3507"/>
      <c r="GCS134" s="3507"/>
      <c r="GCT134" s="3507"/>
      <c r="GCU134" s="3507"/>
      <c r="GCV134" s="3507"/>
      <c r="GCW134" s="3507"/>
      <c r="GCX134" s="3507"/>
      <c r="GCY134" s="3507"/>
      <c r="GCZ134" s="3507"/>
      <c r="GDA134" s="3507"/>
      <c r="GDB134" s="3507"/>
      <c r="GDC134" s="3507"/>
      <c r="GDD134" s="3507"/>
      <c r="GDE134" s="3507"/>
      <c r="GDF134" s="3507"/>
      <c r="GDG134" s="3507"/>
      <c r="GDH134" s="3507"/>
      <c r="GDI134" s="3507"/>
      <c r="GDJ134" s="3507"/>
      <c r="GDK134" s="3507"/>
      <c r="GDL134" s="3507"/>
      <c r="GDM134" s="3507"/>
      <c r="GDN134" s="3507"/>
      <c r="GDO134" s="3507"/>
      <c r="GDP134" s="3507"/>
      <c r="GDQ134" s="3507"/>
      <c r="GDR134" s="3507"/>
      <c r="GDS134" s="3507"/>
      <c r="GDT134" s="3507"/>
      <c r="GDU134" s="3507"/>
      <c r="GDV134" s="3507"/>
      <c r="GDW134" s="3507"/>
      <c r="GDX134" s="3507"/>
      <c r="GDY134" s="3507"/>
      <c r="GDZ134" s="3507"/>
      <c r="GEA134" s="3507"/>
      <c r="GEB134" s="3507"/>
      <c r="GEC134" s="3507"/>
      <c r="GED134" s="3507"/>
      <c r="GEE134" s="3507"/>
      <c r="GEF134" s="3507"/>
      <c r="GEG134" s="3507"/>
      <c r="GEH134" s="3507"/>
      <c r="GEI134" s="3507"/>
      <c r="GEJ134" s="3507"/>
      <c r="GEK134" s="3507"/>
      <c r="GEL134" s="3507"/>
      <c r="GEM134" s="3507"/>
      <c r="GEN134" s="3507"/>
      <c r="GEO134" s="3507"/>
      <c r="GEP134" s="3507"/>
      <c r="GEQ134" s="3507"/>
      <c r="GER134" s="3507"/>
      <c r="GES134" s="3507"/>
      <c r="GET134" s="3507"/>
      <c r="GEU134" s="3507"/>
      <c r="GEV134" s="3507"/>
      <c r="GEW134" s="3507"/>
      <c r="GEX134" s="3507"/>
      <c r="GEY134" s="3507"/>
      <c r="GEZ134" s="3507"/>
      <c r="GFA134" s="3507"/>
      <c r="GFB134" s="3507"/>
      <c r="GFC134" s="3507"/>
      <c r="GFD134" s="3507"/>
      <c r="GFE134" s="3507"/>
      <c r="GFF134" s="3507"/>
      <c r="GFG134" s="3507"/>
      <c r="GFH134" s="3507"/>
      <c r="GFI134" s="3507"/>
      <c r="GFJ134" s="3507"/>
      <c r="GFK134" s="3507"/>
      <c r="GFL134" s="3507"/>
      <c r="GFM134" s="3507"/>
      <c r="GFN134" s="3507"/>
      <c r="GFO134" s="3507"/>
      <c r="GFP134" s="3507"/>
      <c r="GFQ134" s="3507"/>
      <c r="GFR134" s="3507"/>
      <c r="GFS134" s="3507"/>
      <c r="GFT134" s="3507"/>
      <c r="GFU134" s="3507"/>
      <c r="GFV134" s="3507"/>
      <c r="GFW134" s="3507"/>
      <c r="GFX134" s="3507"/>
      <c r="GFY134" s="3507"/>
      <c r="GFZ134" s="3507"/>
      <c r="GGA134" s="3507"/>
      <c r="GGB134" s="3507"/>
      <c r="GGC134" s="3507"/>
      <c r="GGD134" s="3507"/>
      <c r="GGE134" s="3507"/>
      <c r="GGF134" s="3507"/>
      <c r="GGG134" s="3507"/>
      <c r="GGH134" s="3507"/>
      <c r="GGI134" s="3507"/>
      <c r="GGJ134" s="3507"/>
      <c r="GGK134" s="3507"/>
      <c r="GGL134" s="3507"/>
      <c r="GGM134" s="3507"/>
      <c r="GGN134" s="3507"/>
      <c r="GGO134" s="3507"/>
      <c r="GGP134" s="3507"/>
      <c r="GGQ134" s="3507"/>
      <c r="GGR134" s="3507"/>
      <c r="GGS134" s="3507"/>
      <c r="GGT134" s="3507"/>
      <c r="GGU134" s="3507"/>
      <c r="GGV134" s="3507"/>
      <c r="GGW134" s="3507"/>
      <c r="GGX134" s="3507"/>
      <c r="GGY134" s="3507"/>
      <c r="GGZ134" s="3507"/>
      <c r="GHA134" s="3507"/>
      <c r="GHB134" s="3507"/>
      <c r="GHC134" s="3507"/>
      <c r="GHD134" s="3507"/>
      <c r="GHE134" s="3507"/>
      <c r="GHF134" s="3507"/>
      <c r="GHG134" s="3507"/>
      <c r="GHH134" s="3507"/>
      <c r="GHI134" s="3507"/>
      <c r="GHJ134" s="3507"/>
      <c r="GHK134" s="3507"/>
      <c r="GHL134" s="3507"/>
      <c r="GHM134" s="3507"/>
      <c r="GHN134" s="3507"/>
      <c r="GHO134" s="3507"/>
      <c r="GHP134" s="3507"/>
      <c r="GHQ134" s="3507"/>
      <c r="GHR134" s="3507"/>
      <c r="GHS134" s="3507"/>
      <c r="GHT134" s="3507"/>
      <c r="GHU134" s="3507"/>
      <c r="GHV134" s="3507"/>
      <c r="GHW134" s="3507"/>
      <c r="GHX134" s="3507"/>
      <c r="GHY134" s="3507"/>
      <c r="GHZ134" s="3507"/>
      <c r="GIA134" s="3507"/>
      <c r="GIB134" s="3507"/>
      <c r="GIC134" s="3507"/>
      <c r="GID134" s="3507"/>
      <c r="GIE134" s="3507"/>
      <c r="GIF134" s="3507"/>
      <c r="GIG134" s="3507"/>
      <c r="GIH134" s="3507"/>
      <c r="GII134" s="3507"/>
      <c r="GIJ134" s="3507"/>
      <c r="GIK134" s="3507"/>
      <c r="GIL134" s="3507"/>
      <c r="GIM134" s="3507"/>
      <c r="GIN134" s="3507"/>
      <c r="GIO134" s="3507"/>
      <c r="GIP134" s="3507"/>
      <c r="GIQ134" s="3507"/>
      <c r="GIR134" s="3507"/>
      <c r="GIS134" s="3507"/>
      <c r="GIT134" s="3507"/>
      <c r="GIU134" s="3507"/>
      <c r="GIV134" s="3507"/>
      <c r="GIW134" s="3507"/>
      <c r="GIX134" s="3507"/>
      <c r="GIY134" s="3507"/>
      <c r="GIZ134" s="3507"/>
      <c r="GJA134" s="3507"/>
      <c r="GJB134" s="3507"/>
      <c r="GJC134" s="3507"/>
      <c r="GJD134" s="3507"/>
      <c r="GJE134" s="3507"/>
      <c r="GJF134" s="3507"/>
      <c r="GJG134" s="3507"/>
      <c r="GJH134" s="3507"/>
      <c r="GJI134" s="3507"/>
      <c r="GJJ134" s="3507"/>
      <c r="GJK134" s="3507"/>
      <c r="GJL134" s="3507"/>
      <c r="GJM134" s="3507"/>
      <c r="GJN134" s="3507"/>
      <c r="GJO134" s="3507"/>
      <c r="GJP134" s="3507"/>
      <c r="GJQ134" s="3507"/>
      <c r="GJR134" s="3507"/>
      <c r="GJS134" s="3507"/>
      <c r="GJT134" s="3507"/>
      <c r="GJU134" s="3507"/>
      <c r="GJV134" s="3507"/>
      <c r="GJW134" s="3507"/>
      <c r="GJX134" s="3507"/>
      <c r="GJY134" s="3507"/>
      <c r="GJZ134" s="3507"/>
      <c r="GKA134" s="3507"/>
      <c r="GKB134" s="3507"/>
      <c r="GKC134" s="3507"/>
      <c r="GKD134" s="3507"/>
      <c r="GKE134" s="3507"/>
      <c r="GKF134" s="3507"/>
      <c r="GKG134" s="3507"/>
      <c r="GKH134" s="3507"/>
      <c r="GKI134" s="3507"/>
      <c r="GKJ134" s="3507"/>
      <c r="GKK134" s="3507"/>
      <c r="GKL134" s="3507"/>
      <c r="GKM134" s="3507"/>
      <c r="GKN134" s="3507"/>
      <c r="GKO134" s="3507"/>
      <c r="GKP134" s="3507"/>
      <c r="GKQ134" s="3507"/>
      <c r="GKR134" s="3507"/>
      <c r="GKS134" s="3507"/>
      <c r="GKT134" s="3507"/>
      <c r="GKU134" s="3507"/>
      <c r="GKV134" s="3507"/>
      <c r="GKW134" s="3507"/>
      <c r="GKX134" s="3507"/>
      <c r="GKY134" s="3507"/>
      <c r="GKZ134" s="3507"/>
      <c r="GLA134" s="3507"/>
      <c r="GLB134" s="3507"/>
      <c r="GLC134" s="3507"/>
      <c r="GLD134" s="3507"/>
      <c r="GLE134" s="3507"/>
      <c r="GLF134" s="3507"/>
      <c r="GLG134" s="3507"/>
      <c r="GLH134" s="3507"/>
      <c r="GLI134" s="3507"/>
      <c r="GLJ134" s="3507"/>
      <c r="GLK134" s="3507"/>
      <c r="GLL134" s="3507"/>
      <c r="GLM134" s="3507"/>
      <c r="GLN134" s="3507"/>
      <c r="GLO134" s="3507"/>
      <c r="GLP134" s="3507"/>
      <c r="GLQ134" s="3507"/>
      <c r="GLR134" s="3507"/>
      <c r="GLS134" s="3507"/>
      <c r="GLT134" s="3507"/>
      <c r="GLU134" s="3507"/>
      <c r="GLV134" s="3507"/>
      <c r="GLW134" s="3507"/>
      <c r="GLX134" s="3507"/>
      <c r="GLY134" s="3507"/>
      <c r="GLZ134" s="3507"/>
      <c r="GMA134" s="3507"/>
      <c r="GMB134" s="3507"/>
      <c r="GMC134" s="3507"/>
      <c r="GMD134" s="3507"/>
      <c r="GME134" s="3507"/>
      <c r="GMF134" s="3507"/>
      <c r="GMG134" s="3507"/>
      <c r="GMH134" s="3507"/>
      <c r="GMI134" s="3507"/>
      <c r="GMJ134" s="3507"/>
      <c r="GMK134" s="3507"/>
      <c r="GML134" s="3507"/>
      <c r="GMM134" s="3507"/>
      <c r="GMN134" s="3507"/>
      <c r="GMO134" s="3507"/>
      <c r="GMP134" s="3507"/>
      <c r="GMQ134" s="3507"/>
      <c r="GMR134" s="3507"/>
      <c r="GMS134" s="3507"/>
      <c r="GMT134" s="3507"/>
      <c r="GMU134" s="3507"/>
      <c r="GMV134" s="3507"/>
      <c r="GMW134" s="3507"/>
      <c r="GMX134" s="3507"/>
      <c r="GMY134" s="3507"/>
      <c r="GMZ134" s="3507"/>
      <c r="GNA134" s="3507"/>
      <c r="GNB134" s="3507"/>
      <c r="GNC134" s="3507"/>
      <c r="GND134" s="3507"/>
      <c r="GNE134" s="3507"/>
      <c r="GNF134" s="3507"/>
      <c r="GNG134" s="3507"/>
      <c r="GNH134" s="3507"/>
      <c r="GNI134" s="3507"/>
      <c r="GNJ134" s="3507"/>
      <c r="GNK134" s="3507"/>
      <c r="GNL134" s="3507"/>
      <c r="GNM134" s="3507"/>
      <c r="GNN134" s="3507"/>
      <c r="GNO134" s="3507"/>
      <c r="GNP134" s="3507"/>
      <c r="GNQ134" s="3507"/>
      <c r="GNR134" s="3507"/>
      <c r="GNS134" s="3507"/>
      <c r="GNT134" s="3507"/>
      <c r="GNU134" s="3507"/>
      <c r="GNV134" s="3507"/>
      <c r="GNW134" s="3507"/>
      <c r="GNX134" s="3507"/>
      <c r="GNY134" s="3507"/>
      <c r="GNZ134" s="3507"/>
      <c r="GOA134" s="3507"/>
      <c r="GOB134" s="3507"/>
      <c r="GOC134" s="3507"/>
      <c r="GOD134" s="3507"/>
      <c r="GOE134" s="3507"/>
      <c r="GOF134" s="3507"/>
      <c r="GOG134" s="3507"/>
      <c r="GOH134" s="3507"/>
      <c r="GOI134" s="3507"/>
      <c r="GOJ134" s="3507"/>
      <c r="GOK134" s="3507"/>
      <c r="GOL134" s="3507"/>
      <c r="GOM134" s="3507"/>
      <c r="GON134" s="3507"/>
      <c r="GOO134" s="3507"/>
      <c r="GOP134" s="3507"/>
      <c r="GOQ134" s="3507"/>
      <c r="GOR134" s="3507"/>
      <c r="GOS134" s="3507"/>
      <c r="GOT134" s="3507"/>
      <c r="GOU134" s="3507"/>
      <c r="GOV134" s="3507"/>
      <c r="GOW134" s="3507"/>
      <c r="GOX134" s="3507"/>
      <c r="GOY134" s="3507"/>
      <c r="GOZ134" s="3507"/>
      <c r="GPA134" s="3507"/>
      <c r="GPB134" s="3507"/>
      <c r="GPC134" s="3507"/>
      <c r="GPD134" s="3507"/>
      <c r="GPE134" s="3507"/>
      <c r="GPF134" s="3507"/>
      <c r="GPG134" s="3507"/>
      <c r="GPH134" s="3507"/>
      <c r="GPI134" s="3507"/>
      <c r="GPJ134" s="3507"/>
      <c r="GPK134" s="3507"/>
      <c r="GPL134" s="3507"/>
      <c r="GPM134" s="3507"/>
      <c r="GPN134" s="3507"/>
      <c r="GPO134" s="3507"/>
      <c r="GPP134" s="3507"/>
      <c r="GPQ134" s="3507"/>
      <c r="GPR134" s="3507"/>
      <c r="GPS134" s="3507"/>
      <c r="GPT134" s="3507"/>
      <c r="GPU134" s="3507"/>
      <c r="GPV134" s="3507"/>
      <c r="GPW134" s="3507"/>
      <c r="GPX134" s="3507"/>
      <c r="GPY134" s="3507"/>
      <c r="GPZ134" s="3507"/>
      <c r="GQA134" s="3507"/>
      <c r="GQB134" s="3507"/>
      <c r="GQC134" s="3507"/>
      <c r="GQD134" s="3507"/>
      <c r="GQE134" s="3507"/>
      <c r="GQF134" s="3507"/>
      <c r="GQG134" s="3507"/>
      <c r="GQH134" s="3507"/>
      <c r="GQI134" s="3507"/>
      <c r="GQJ134" s="3507"/>
      <c r="GQK134" s="3507"/>
      <c r="GQL134" s="3507"/>
      <c r="GQM134" s="3507"/>
      <c r="GQN134" s="3507"/>
      <c r="GQO134" s="3507"/>
      <c r="GQP134" s="3507"/>
      <c r="GQQ134" s="3507"/>
      <c r="GQR134" s="3507"/>
      <c r="GQS134" s="3507"/>
      <c r="GQT134" s="3507"/>
      <c r="GQU134" s="3507"/>
      <c r="GQV134" s="3507"/>
      <c r="GQW134" s="3507"/>
      <c r="GQX134" s="3507"/>
      <c r="GQY134" s="3507"/>
      <c r="GQZ134" s="3507"/>
      <c r="GRA134" s="3507"/>
      <c r="GRB134" s="3507"/>
      <c r="GRC134" s="3507"/>
      <c r="GRD134" s="3507"/>
      <c r="GRE134" s="3507"/>
      <c r="GRF134" s="3507"/>
      <c r="GRG134" s="3507"/>
      <c r="GRH134" s="3507"/>
      <c r="GRI134" s="3507"/>
      <c r="GRJ134" s="3507"/>
      <c r="GRK134" s="3507"/>
      <c r="GRL134" s="3507"/>
      <c r="GRM134" s="3507"/>
      <c r="GRN134" s="3507"/>
      <c r="GRO134" s="3507"/>
      <c r="GRP134" s="3507"/>
      <c r="GRQ134" s="3507"/>
      <c r="GRR134" s="3507"/>
      <c r="GRS134" s="3507"/>
      <c r="GRT134" s="3507"/>
      <c r="GRU134" s="3507"/>
      <c r="GRV134" s="3507"/>
      <c r="GRW134" s="3507"/>
      <c r="GRX134" s="3507"/>
      <c r="GRY134" s="3507"/>
      <c r="GRZ134" s="3507"/>
      <c r="GSA134" s="3507"/>
      <c r="GSB134" s="3507"/>
      <c r="GSC134" s="3507"/>
      <c r="GSD134" s="3507"/>
      <c r="GSE134" s="3507"/>
      <c r="GSF134" s="3507"/>
      <c r="GSG134" s="3507"/>
      <c r="GSH134" s="3507"/>
      <c r="GSI134" s="3507"/>
      <c r="GSJ134" s="3507"/>
      <c r="GSK134" s="3507"/>
      <c r="GSL134" s="3507"/>
      <c r="GSM134" s="3507"/>
      <c r="GSN134" s="3507"/>
      <c r="GSO134" s="3507"/>
      <c r="GSP134" s="3507"/>
      <c r="GSQ134" s="3507"/>
      <c r="GSR134" s="3507"/>
      <c r="GSS134" s="3507"/>
      <c r="GST134" s="3507"/>
      <c r="GSU134" s="3507"/>
      <c r="GSV134" s="3507"/>
      <c r="GSW134" s="3507"/>
      <c r="GSX134" s="3507"/>
      <c r="GSY134" s="3507"/>
      <c r="GSZ134" s="3507"/>
      <c r="GTA134" s="3507"/>
      <c r="GTB134" s="3507"/>
      <c r="GTC134" s="3507"/>
      <c r="GTD134" s="3507"/>
      <c r="GTE134" s="3507"/>
      <c r="GTF134" s="3507"/>
      <c r="GTG134" s="3507"/>
      <c r="GTH134" s="3507"/>
      <c r="GTI134" s="3507"/>
      <c r="GTJ134" s="3507"/>
      <c r="GTK134" s="3507"/>
      <c r="GTL134" s="3507"/>
      <c r="GTM134" s="3507"/>
      <c r="GTN134" s="3507"/>
      <c r="GTO134" s="3507"/>
      <c r="GTP134" s="3507"/>
      <c r="GTQ134" s="3507"/>
      <c r="GTR134" s="3507"/>
      <c r="GTS134" s="3507"/>
      <c r="GTT134" s="3507"/>
      <c r="GTU134" s="3507"/>
      <c r="GTV134" s="3507"/>
      <c r="GTW134" s="3507"/>
      <c r="GTX134" s="3507"/>
      <c r="GTY134" s="3507"/>
      <c r="GTZ134" s="3507"/>
      <c r="GUA134" s="3507"/>
      <c r="GUB134" s="3507"/>
      <c r="GUC134" s="3507"/>
      <c r="GUD134" s="3507"/>
      <c r="GUE134" s="3507"/>
      <c r="GUF134" s="3507"/>
      <c r="GUG134" s="3507"/>
      <c r="GUH134" s="3507"/>
      <c r="GUI134" s="3507"/>
      <c r="GUJ134" s="3507"/>
      <c r="GUK134" s="3507"/>
      <c r="GUL134" s="3507"/>
      <c r="GUM134" s="3507"/>
      <c r="GUN134" s="3507"/>
      <c r="GUO134" s="3507"/>
      <c r="GUP134" s="3507"/>
      <c r="GUQ134" s="3507"/>
      <c r="GUR134" s="3507"/>
      <c r="GUS134" s="3507"/>
      <c r="GUT134" s="3507"/>
      <c r="GUU134" s="3507"/>
      <c r="GUV134" s="3507"/>
      <c r="GUW134" s="3507"/>
      <c r="GUX134" s="3507"/>
      <c r="GUY134" s="3507"/>
      <c r="GUZ134" s="3507"/>
      <c r="GVA134" s="3507"/>
      <c r="GVB134" s="3507"/>
      <c r="GVC134" s="3507"/>
      <c r="GVD134" s="3507"/>
      <c r="GVE134" s="3507"/>
      <c r="GVF134" s="3507"/>
      <c r="GVG134" s="3507"/>
      <c r="GVH134" s="3507"/>
      <c r="GVI134" s="3507"/>
      <c r="GVJ134" s="3507"/>
      <c r="GVK134" s="3507"/>
      <c r="GVL134" s="3507"/>
      <c r="GVM134" s="3507"/>
      <c r="GVN134" s="3507"/>
      <c r="GVO134" s="3507"/>
      <c r="GVP134" s="3507"/>
      <c r="GVQ134" s="3507"/>
      <c r="GVR134" s="3507"/>
      <c r="GVS134" s="3507"/>
      <c r="GVT134" s="3507"/>
      <c r="GVU134" s="3507"/>
      <c r="GVV134" s="3507"/>
      <c r="GVW134" s="3507"/>
      <c r="GVX134" s="3507"/>
      <c r="GVY134" s="3507"/>
      <c r="GVZ134" s="3507"/>
      <c r="GWA134" s="3507"/>
      <c r="GWB134" s="3507"/>
      <c r="GWC134" s="3507"/>
      <c r="GWD134" s="3507"/>
      <c r="GWE134" s="3507"/>
      <c r="GWF134" s="3507"/>
      <c r="GWG134" s="3507"/>
      <c r="GWH134" s="3507"/>
      <c r="GWI134" s="3507"/>
      <c r="GWJ134" s="3507"/>
      <c r="GWK134" s="3507"/>
      <c r="GWL134" s="3507"/>
      <c r="GWM134" s="3507"/>
      <c r="GWN134" s="3507"/>
      <c r="GWO134" s="3507"/>
      <c r="GWP134" s="3507"/>
      <c r="GWQ134" s="3507"/>
      <c r="GWR134" s="3507"/>
      <c r="GWS134" s="3507"/>
      <c r="GWT134" s="3507"/>
      <c r="GWU134" s="3507"/>
      <c r="GWV134" s="3507"/>
      <c r="GWW134" s="3507"/>
      <c r="GWX134" s="3507"/>
      <c r="GWY134" s="3507"/>
      <c r="GWZ134" s="3507"/>
      <c r="GXA134" s="3507"/>
      <c r="GXB134" s="3507"/>
      <c r="GXC134" s="3507"/>
      <c r="GXD134" s="3507"/>
      <c r="GXE134" s="3507"/>
      <c r="GXF134" s="3507"/>
      <c r="GXG134" s="3507"/>
      <c r="GXH134" s="3507"/>
      <c r="GXI134" s="3507"/>
      <c r="GXJ134" s="3507"/>
      <c r="GXK134" s="3507"/>
      <c r="GXL134" s="3507"/>
      <c r="GXM134" s="3507"/>
      <c r="GXN134" s="3507"/>
      <c r="GXO134" s="3507"/>
      <c r="GXP134" s="3507"/>
      <c r="GXQ134" s="3507"/>
      <c r="GXR134" s="3507"/>
      <c r="GXS134" s="3507"/>
      <c r="GXT134" s="3507"/>
      <c r="GXU134" s="3507"/>
      <c r="GXV134" s="3507"/>
      <c r="GXW134" s="3507"/>
      <c r="GXX134" s="3507"/>
      <c r="GXY134" s="3507"/>
      <c r="GXZ134" s="3507"/>
      <c r="GYA134" s="3507"/>
      <c r="GYB134" s="3507"/>
      <c r="GYC134" s="3507"/>
      <c r="GYD134" s="3507"/>
      <c r="GYE134" s="3507"/>
      <c r="GYF134" s="3507"/>
      <c r="GYG134" s="3507"/>
      <c r="GYH134" s="3507"/>
      <c r="GYI134" s="3507"/>
      <c r="GYJ134" s="3507"/>
      <c r="GYK134" s="3507"/>
      <c r="GYL134" s="3507"/>
      <c r="GYM134" s="3507"/>
      <c r="GYN134" s="3507"/>
      <c r="GYO134" s="3507"/>
      <c r="GYP134" s="3507"/>
      <c r="GYQ134" s="3507"/>
      <c r="GYR134" s="3507"/>
      <c r="GYS134" s="3507"/>
      <c r="GYT134" s="3507"/>
      <c r="GYU134" s="3507"/>
      <c r="GYV134" s="3507"/>
      <c r="GYW134" s="3507"/>
      <c r="GYX134" s="3507"/>
      <c r="GYY134" s="3507"/>
      <c r="GYZ134" s="3507"/>
      <c r="GZA134" s="3507"/>
      <c r="GZB134" s="3507"/>
      <c r="GZC134" s="3507"/>
      <c r="GZD134" s="3507"/>
      <c r="GZE134" s="3507"/>
      <c r="GZF134" s="3507"/>
      <c r="GZG134" s="3507"/>
      <c r="GZH134" s="3507"/>
      <c r="GZI134" s="3507"/>
      <c r="GZJ134" s="3507"/>
      <c r="GZK134" s="3507"/>
      <c r="GZL134" s="3507"/>
      <c r="GZM134" s="3507"/>
      <c r="GZN134" s="3507"/>
      <c r="GZO134" s="3507"/>
      <c r="GZP134" s="3507"/>
      <c r="GZQ134" s="3507"/>
      <c r="GZR134" s="3507"/>
      <c r="GZS134" s="3507"/>
      <c r="GZT134" s="3507"/>
      <c r="GZU134" s="3507"/>
      <c r="GZV134" s="3507"/>
      <c r="GZW134" s="3507"/>
      <c r="GZX134" s="3507"/>
      <c r="GZY134" s="3507"/>
      <c r="GZZ134" s="3507"/>
      <c r="HAA134" s="3507"/>
      <c r="HAB134" s="3507"/>
      <c r="HAC134" s="3507"/>
      <c r="HAD134" s="3507"/>
      <c r="HAE134" s="3507"/>
      <c r="HAF134" s="3507"/>
      <c r="HAG134" s="3507"/>
      <c r="HAH134" s="3507"/>
      <c r="HAI134" s="3507"/>
      <c r="HAJ134" s="3507"/>
      <c r="HAK134" s="3507"/>
      <c r="HAL134" s="3507"/>
      <c r="HAM134" s="3507"/>
      <c r="HAN134" s="3507"/>
      <c r="HAO134" s="3507"/>
      <c r="HAP134" s="3507"/>
      <c r="HAQ134" s="3507"/>
      <c r="HAR134" s="3507"/>
      <c r="HAS134" s="3507"/>
      <c r="HAT134" s="3507"/>
      <c r="HAU134" s="3507"/>
      <c r="HAV134" s="3507"/>
      <c r="HAW134" s="3507"/>
      <c r="HAX134" s="3507"/>
      <c r="HAY134" s="3507"/>
      <c r="HAZ134" s="3507"/>
      <c r="HBA134" s="3507"/>
      <c r="HBB134" s="3507"/>
      <c r="HBC134" s="3507"/>
      <c r="HBD134" s="3507"/>
      <c r="HBE134" s="3507"/>
      <c r="HBF134" s="3507"/>
      <c r="HBG134" s="3507"/>
      <c r="HBH134" s="3507"/>
      <c r="HBI134" s="3507"/>
      <c r="HBJ134" s="3507"/>
      <c r="HBK134" s="3507"/>
      <c r="HBL134" s="3507"/>
      <c r="HBM134" s="3507"/>
      <c r="HBN134" s="3507"/>
      <c r="HBO134" s="3507"/>
      <c r="HBP134" s="3507"/>
      <c r="HBQ134" s="3507"/>
      <c r="HBR134" s="3507"/>
      <c r="HBS134" s="3507"/>
      <c r="HBT134" s="3507"/>
      <c r="HBU134" s="3507"/>
      <c r="HBV134" s="3507"/>
      <c r="HBW134" s="3507"/>
      <c r="HBX134" s="3507"/>
      <c r="HBY134" s="3507"/>
      <c r="HBZ134" s="3507"/>
      <c r="HCA134" s="3507"/>
      <c r="HCB134" s="3507"/>
      <c r="HCC134" s="3507"/>
      <c r="HCD134" s="3507"/>
      <c r="HCE134" s="3507"/>
      <c r="HCF134" s="3507"/>
      <c r="HCG134" s="3507"/>
      <c r="HCH134" s="3507"/>
      <c r="HCI134" s="3507"/>
      <c r="HCJ134" s="3507"/>
      <c r="HCK134" s="3507"/>
      <c r="HCL134" s="3507"/>
      <c r="HCM134" s="3507"/>
      <c r="HCN134" s="3507"/>
      <c r="HCO134" s="3507"/>
      <c r="HCP134" s="3507"/>
      <c r="HCQ134" s="3507"/>
      <c r="HCR134" s="3507"/>
      <c r="HCS134" s="3507"/>
      <c r="HCT134" s="3507"/>
      <c r="HCU134" s="3507"/>
      <c r="HCV134" s="3507"/>
      <c r="HCW134" s="3507"/>
      <c r="HCX134" s="3507"/>
      <c r="HCY134" s="3507"/>
      <c r="HCZ134" s="3507"/>
      <c r="HDA134" s="3507"/>
      <c r="HDB134" s="3507"/>
      <c r="HDC134" s="3507"/>
      <c r="HDD134" s="3507"/>
      <c r="HDE134" s="3507"/>
      <c r="HDF134" s="3507"/>
      <c r="HDG134" s="3507"/>
      <c r="HDH134" s="3507"/>
      <c r="HDI134" s="3507"/>
      <c r="HDJ134" s="3507"/>
      <c r="HDK134" s="3507"/>
      <c r="HDL134" s="3507"/>
      <c r="HDM134" s="3507"/>
      <c r="HDN134" s="3507"/>
      <c r="HDO134" s="3507"/>
      <c r="HDP134" s="3507"/>
      <c r="HDQ134" s="3507"/>
      <c r="HDR134" s="3507"/>
      <c r="HDS134" s="3507"/>
      <c r="HDT134" s="3507"/>
      <c r="HDU134" s="3507"/>
      <c r="HDV134" s="3507"/>
      <c r="HDW134" s="3507"/>
      <c r="HDX134" s="3507"/>
      <c r="HDY134" s="3507"/>
      <c r="HDZ134" s="3507"/>
      <c r="HEA134" s="3507"/>
      <c r="HEB134" s="3507"/>
      <c r="HEC134" s="3507"/>
      <c r="HED134" s="3507"/>
      <c r="HEE134" s="3507"/>
      <c r="HEF134" s="3507"/>
      <c r="HEG134" s="3507"/>
      <c r="HEH134" s="3507"/>
      <c r="HEI134" s="3507"/>
      <c r="HEJ134" s="3507"/>
      <c r="HEK134" s="3507"/>
      <c r="HEL134" s="3507"/>
      <c r="HEM134" s="3507"/>
      <c r="HEN134" s="3507"/>
      <c r="HEO134" s="3507"/>
      <c r="HEP134" s="3507"/>
      <c r="HEQ134" s="3507"/>
      <c r="HER134" s="3507"/>
      <c r="HES134" s="3507"/>
      <c r="HET134" s="3507"/>
      <c r="HEU134" s="3507"/>
      <c r="HEV134" s="3507"/>
      <c r="HEW134" s="3507"/>
      <c r="HEX134" s="3507"/>
      <c r="HEY134" s="3507"/>
      <c r="HEZ134" s="3507"/>
      <c r="HFA134" s="3507"/>
      <c r="HFB134" s="3507"/>
      <c r="HFC134" s="3507"/>
      <c r="HFD134" s="3507"/>
      <c r="HFE134" s="3507"/>
      <c r="HFF134" s="3507"/>
      <c r="HFG134" s="3507"/>
      <c r="HFH134" s="3507"/>
      <c r="HFI134" s="3507"/>
      <c r="HFJ134" s="3507"/>
      <c r="HFK134" s="3507"/>
      <c r="HFL134" s="3507"/>
      <c r="HFM134" s="3507"/>
      <c r="HFN134" s="3507"/>
      <c r="HFO134" s="3507"/>
      <c r="HFP134" s="3507"/>
      <c r="HFQ134" s="3507"/>
      <c r="HFR134" s="3507"/>
      <c r="HFS134" s="3507"/>
      <c r="HFT134" s="3507"/>
      <c r="HFU134" s="3507"/>
      <c r="HFV134" s="3507"/>
      <c r="HFW134" s="3507"/>
      <c r="HFX134" s="3507"/>
      <c r="HFY134" s="3507"/>
      <c r="HFZ134" s="3507"/>
      <c r="HGA134" s="3507"/>
      <c r="HGB134" s="3507"/>
      <c r="HGC134" s="3507"/>
      <c r="HGD134" s="3507"/>
      <c r="HGE134" s="3507"/>
      <c r="HGF134" s="3507"/>
      <c r="HGG134" s="3507"/>
      <c r="HGH134" s="3507"/>
      <c r="HGI134" s="3507"/>
      <c r="HGJ134" s="3507"/>
      <c r="HGK134" s="3507"/>
      <c r="HGL134" s="3507"/>
      <c r="HGM134" s="3507"/>
      <c r="HGN134" s="3507"/>
      <c r="HGO134" s="3507"/>
      <c r="HGP134" s="3507"/>
      <c r="HGQ134" s="3507"/>
      <c r="HGR134" s="3507"/>
      <c r="HGS134" s="3507"/>
      <c r="HGT134" s="3507"/>
      <c r="HGU134" s="3507"/>
      <c r="HGV134" s="3507"/>
      <c r="HGW134" s="3507"/>
      <c r="HGX134" s="3507"/>
      <c r="HGY134" s="3507"/>
      <c r="HGZ134" s="3507"/>
      <c r="HHA134" s="3507"/>
      <c r="HHB134" s="3507"/>
      <c r="HHC134" s="3507"/>
      <c r="HHD134" s="3507"/>
      <c r="HHE134" s="3507"/>
      <c r="HHF134" s="3507"/>
      <c r="HHG134" s="3507"/>
      <c r="HHH134" s="3507"/>
      <c r="HHI134" s="3507"/>
      <c r="HHJ134" s="3507"/>
      <c r="HHK134" s="3507"/>
      <c r="HHL134" s="3507"/>
      <c r="HHM134" s="3507"/>
      <c r="HHN134" s="3507"/>
      <c r="HHO134" s="3507"/>
      <c r="HHP134" s="3507"/>
      <c r="HHQ134" s="3507"/>
      <c r="HHR134" s="3507"/>
      <c r="HHS134" s="3507"/>
      <c r="HHT134" s="3507"/>
      <c r="HHU134" s="3507"/>
      <c r="HHV134" s="3507"/>
      <c r="HHW134" s="3507"/>
      <c r="HHX134" s="3507"/>
      <c r="HHY134" s="3507"/>
      <c r="HHZ134" s="3507"/>
      <c r="HIA134" s="3507"/>
      <c r="HIB134" s="3507"/>
      <c r="HIC134" s="3507"/>
      <c r="HID134" s="3507"/>
      <c r="HIE134" s="3507"/>
      <c r="HIF134" s="3507"/>
      <c r="HIG134" s="3507"/>
      <c r="HIH134" s="3507"/>
      <c r="HII134" s="3507"/>
      <c r="HIJ134" s="3507"/>
      <c r="HIK134" s="3507"/>
      <c r="HIL134" s="3507"/>
      <c r="HIM134" s="3507"/>
      <c r="HIN134" s="3507"/>
      <c r="HIO134" s="3507"/>
      <c r="HIP134" s="3507"/>
      <c r="HIQ134" s="3507"/>
      <c r="HIR134" s="3507"/>
      <c r="HIS134" s="3507"/>
      <c r="HIT134" s="3507"/>
      <c r="HIU134" s="3507"/>
      <c r="HIV134" s="3507"/>
      <c r="HIW134" s="3507"/>
      <c r="HIX134" s="3507"/>
      <c r="HIY134" s="3507"/>
      <c r="HIZ134" s="3507"/>
      <c r="HJA134" s="3507"/>
      <c r="HJB134" s="3507"/>
      <c r="HJC134" s="3507"/>
      <c r="HJD134" s="3507"/>
      <c r="HJE134" s="3507"/>
      <c r="HJF134" s="3507"/>
      <c r="HJG134" s="3507"/>
      <c r="HJH134" s="3507"/>
      <c r="HJI134" s="3507"/>
      <c r="HJJ134" s="3507"/>
      <c r="HJK134" s="3507"/>
      <c r="HJL134" s="3507"/>
      <c r="HJM134" s="3507"/>
      <c r="HJN134" s="3507"/>
      <c r="HJO134" s="3507"/>
      <c r="HJP134" s="3507"/>
      <c r="HJQ134" s="3507"/>
      <c r="HJR134" s="3507"/>
      <c r="HJS134" s="3507"/>
      <c r="HJT134" s="3507"/>
      <c r="HJU134" s="3507"/>
      <c r="HJV134" s="3507"/>
      <c r="HJW134" s="3507"/>
      <c r="HJX134" s="3507"/>
      <c r="HJY134" s="3507"/>
      <c r="HJZ134" s="3507"/>
      <c r="HKA134" s="3507"/>
      <c r="HKB134" s="3507"/>
      <c r="HKC134" s="3507"/>
      <c r="HKD134" s="3507"/>
      <c r="HKE134" s="3507"/>
      <c r="HKF134" s="3507"/>
      <c r="HKG134" s="3507"/>
      <c r="HKH134" s="3507"/>
      <c r="HKI134" s="3507"/>
      <c r="HKJ134" s="3507"/>
      <c r="HKK134" s="3507"/>
      <c r="HKL134" s="3507"/>
      <c r="HKM134" s="3507"/>
      <c r="HKN134" s="3507"/>
      <c r="HKO134" s="3507"/>
      <c r="HKP134" s="3507"/>
      <c r="HKQ134" s="3507"/>
      <c r="HKR134" s="3507"/>
      <c r="HKS134" s="3507"/>
      <c r="HKT134" s="3507"/>
      <c r="HKU134" s="3507"/>
      <c r="HKV134" s="3507"/>
      <c r="HKW134" s="3507"/>
      <c r="HKX134" s="3507"/>
      <c r="HKY134" s="3507"/>
      <c r="HKZ134" s="3507"/>
      <c r="HLA134" s="3507"/>
      <c r="HLB134" s="3507"/>
      <c r="HLC134" s="3507"/>
      <c r="HLD134" s="3507"/>
      <c r="HLE134" s="3507"/>
      <c r="HLF134" s="3507"/>
      <c r="HLG134" s="3507"/>
      <c r="HLH134" s="3507"/>
      <c r="HLI134" s="3507"/>
      <c r="HLJ134" s="3507"/>
      <c r="HLK134" s="3507"/>
      <c r="HLL134" s="3507"/>
      <c r="HLM134" s="3507"/>
      <c r="HLN134" s="3507"/>
      <c r="HLO134" s="3507"/>
      <c r="HLP134" s="3507"/>
      <c r="HLQ134" s="3507"/>
      <c r="HLR134" s="3507"/>
      <c r="HLS134" s="3507"/>
      <c r="HLT134" s="3507"/>
      <c r="HLU134" s="3507"/>
      <c r="HLV134" s="3507"/>
      <c r="HLW134" s="3507"/>
      <c r="HLX134" s="3507"/>
      <c r="HLY134" s="3507"/>
      <c r="HLZ134" s="3507"/>
      <c r="HMA134" s="3507"/>
      <c r="HMB134" s="3507"/>
      <c r="HMC134" s="3507"/>
      <c r="HMD134" s="3507"/>
      <c r="HME134" s="3507"/>
      <c r="HMF134" s="3507"/>
      <c r="HMG134" s="3507"/>
      <c r="HMH134" s="3507"/>
      <c r="HMI134" s="3507"/>
      <c r="HMJ134" s="3507"/>
      <c r="HMK134" s="3507"/>
      <c r="HML134" s="3507"/>
      <c r="HMM134" s="3507"/>
      <c r="HMN134" s="3507"/>
      <c r="HMO134" s="3507"/>
      <c r="HMP134" s="3507"/>
      <c r="HMQ134" s="3507"/>
      <c r="HMR134" s="3507"/>
      <c r="HMS134" s="3507"/>
      <c r="HMT134" s="3507"/>
      <c r="HMU134" s="3507"/>
      <c r="HMV134" s="3507"/>
      <c r="HMW134" s="3507"/>
      <c r="HMX134" s="3507"/>
      <c r="HMY134" s="3507"/>
      <c r="HMZ134" s="3507"/>
      <c r="HNA134" s="3507"/>
      <c r="HNB134" s="3507"/>
      <c r="HNC134" s="3507"/>
      <c r="HND134" s="3507"/>
      <c r="HNE134" s="3507"/>
      <c r="HNF134" s="3507"/>
      <c r="HNG134" s="3507"/>
      <c r="HNH134" s="3507"/>
      <c r="HNI134" s="3507"/>
      <c r="HNJ134" s="3507"/>
      <c r="HNK134" s="3507"/>
      <c r="HNL134" s="3507"/>
      <c r="HNM134" s="3507"/>
      <c r="HNN134" s="3507"/>
      <c r="HNO134" s="3507"/>
      <c r="HNP134" s="3507"/>
      <c r="HNQ134" s="3507"/>
      <c r="HNR134" s="3507"/>
      <c r="HNS134" s="3507"/>
      <c r="HNT134" s="3507"/>
      <c r="HNU134" s="3507"/>
      <c r="HNV134" s="3507"/>
      <c r="HNW134" s="3507"/>
      <c r="HNX134" s="3507"/>
      <c r="HNY134" s="3507"/>
      <c r="HNZ134" s="3507"/>
      <c r="HOA134" s="3507"/>
      <c r="HOB134" s="3507"/>
      <c r="HOC134" s="3507"/>
      <c r="HOD134" s="3507"/>
      <c r="HOE134" s="3507"/>
      <c r="HOF134" s="3507"/>
      <c r="HOG134" s="3507"/>
      <c r="HOH134" s="3507"/>
      <c r="HOI134" s="3507"/>
      <c r="HOJ134" s="3507"/>
      <c r="HOK134" s="3507"/>
      <c r="HOL134" s="3507"/>
      <c r="HOM134" s="3507"/>
      <c r="HON134" s="3507"/>
      <c r="HOO134" s="3507"/>
      <c r="HOP134" s="3507"/>
      <c r="HOQ134" s="3507"/>
      <c r="HOR134" s="3507"/>
      <c r="HOS134" s="3507"/>
      <c r="HOT134" s="3507"/>
      <c r="HOU134" s="3507"/>
      <c r="HOV134" s="3507"/>
      <c r="HOW134" s="3507"/>
      <c r="HOX134" s="3507"/>
      <c r="HOY134" s="3507"/>
      <c r="HOZ134" s="3507"/>
      <c r="HPA134" s="3507"/>
      <c r="HPB134" s="3507"/>
      <c r="HPC134" s="3507"/>
      <c r="HPD134" s="3507"/>
      <c r="HPE134" s="3507"/>
      <c r="HPF134" s="3507"/>
      <c r="HPG134" s="3507"/>
      <c r="HPH134" s="3507"/>
      <c r="HPI134" s="3507"/>
      <c r="HPJ134" s="3507"/>
      <c r="HPK134" s="3507"/>
      <c r="HPL134" s="3507"/>
      <c r="HPM134" s="3507"/>
      <c r="HPN134" s="3507"/>
      <c r="HPO134" s="3507"/>
      <c r="HPP134" s="3507"/>
      <c r="HPQ134" s="3507"/>
      <c r="HPR134" s="3507"/>
      <c r="HPS134" s="3507"/>
      <c r="HPT134" s="3507"/>
      <c r="HPU134" s="3507"/>
      <c r="HPV134" s="3507"/>
      <c r="HPW134" s="3507"/>
      <c r="HPX134" s="3507"/>
      <c r="HPY134" s="3507"/>
      <c r="HPZ134" s="3507"/>
      <c r="HQA134" s="3507"/>
      <c r="HQB134" s="3507"/>
      <c r="HQC134" s="3507"/>
      <c r="HQD134" s="3507"/>
      <c r="HQE134" s="3507"/>
      <c r="HQF134" s="3507"/>
      <c r="HQG134" s="3507"/>
      <c r="HQH134" s="3507"/>
      <c r="HQI134" s="3507"/>
      <c r="HQJ134" s="3507"/>
      <c r="HQK134" s="3507"/>
      <c r="HQL134" s="3507"/>
      <c r="HQM134" s="3507"/>
      <c r="HQN134" s="3507"/>
      <c r="HQO134" s="3507"/>
      <c r="HQP134" s="3507"/>
      <c r="HQQ134" s="3507"/>
      <c r="HQR134" s="3507"/>
      <c r="HQS134" s="3507"/>
      <c r="HQT134" s="3507"/>
      <c r="HQU134" s="3507"/>
      <c r="HQV134" s="3507"/>
      <c r="HQW134" s="3507"/>
      <c r="HQX134" s="3507"/>
      <c r="HQY134" s="3507"/>
      <c r="HQZ134" s="3507"/>
      <c r="HRA134" s="3507"/>
      <c r="HRB134" s="3507"/>
      <c r="HRC134" s="3507"/>
      <c r="HRD134" s="3507"/>
      <c r="HRE134" s="3507"/>
      <c r="HRF134" s="3507"/>
      <c r="HRG134" s="3507"/>
      <c r="HRH134" s="3507"/>
      <c r="HRI134" s="3507"/>
      <c r="HRJ134" s="3507"/>
      <c r="HRK134" s="3507"/>
      <c r="HRL134" s="3507"/>
      <c r="HRM134" s="3507"/>
      <c r="HRN134" s="3507"/>
      <c r="HRO134" s="3507"/>
      <c r="HRP134" s="3507"/>
      <c r="HRQ134" s="3507"/>
      <c r="HRR134" s="3507"/>
      <c r="HRS134" s="3507"/>
      <c r="HRT134" s="3507"/>
      <c r="HRU134" s="3507"/>
      <c r="HRV134" s="3507"/>
      <c r="HRW134" s="3507"/>
      <c r="HRX134" s="3507"/>
      <c r="HRY134" s="3507"/>
      <c r="HRZ134" s="3507"/>
      <c r="HSA134" s="3507"/>
      <c r="HSB134" s="3507"/>
      <c r="HSC134" s="3507"/>
      <c r="HSD134" s="3507"/>
      <c r="HSE134" s="3507"/>
      <c r="HSF134" s="3507"/>
      <c r="HSG134" s="3507"/>
      <c r="HSH134" s="3507"/>
      <c r="HSI134" s="3507"/>
      <c r="HSJ134" s="3507"/>
      <c r="HSK134" s="3507"/>
      <c r="HSL134" s="3507"/>
      <c r="HSM134" s="3507"/>
      <c r="HSN134" s="3507"/>
      <c r="HSO134" s="3507"/>
      <c r="HSP134" s="3507"/>
      <c r="HSQ134" s="3507"/>
      <c r="HSR134" s="3507"/>
      <c r="HSS134" s="3507"/>
      <c r="HST134" s="3507"/>
      <c r="HSU134" s="3507"/>
      <c r="HSV134" s="3507"/>
      <c r="HSW134" s="3507"/>
      <c r="HSX134" s="3507"/>
      <c r="HSY134" s="3507"/>
      <c r="HSZ134" s="3507"/>
      <c r="HTA134" s="3507"/>
      <c r="HTB134" s="3507"/>
      <c r="HTC134" s="3507"/>
      <c r="HTD134" s="3507"/>
      <c r="HTE134" s="3507"/>
      <c r="HTF134" s="3507"/>
      <c r="HTG134" s="3507"/>
      <c r="HTH134" s="3507"/>
      <c r="HTI134" s="3507"/>
      <c r="HTJ134" s="3507"/>
      <c r="HTK134" s="3507"/>
      <c r="HTL134" s="3507"/>
      <c r="HTM134" s="3507"/>
      <c r="HTN134" s="3507"/>
      <c r="HTO134" s="3507"/>
      <c r="HTP134" s="3507"/>
      <c r="HTQ134" s="3507"/>
      <c r="HTR134" s="3507"/>
      <c r="HTS134" s="3507"/>
      <c r="HTT134" s="3507"/>
      <c r="HTU134" s="3507"/>
      <c r="HTV134" s="3507"/>
      <c r="HTW134" s="3507"/>
      <c r="HTX134" s="3507"/>
      <c r="HTY134" s="3507"/>
      <c r="HTZ134" s="3507"/>
      <c r="HUA134" s="3507"/>
      <c r="HUB134" s="3507"/>
      <c r="HUC134" s="3507"/>
      <c r="HUD134" s="3507"/>
      <c r="HUE134" s="3507"/>
      <c r="HUF134" s="3507"/>
      <c r="HUG134" s="3507"/>
      <c r="HUH134" s="3507"/>
      <c r="HUI134" s="3507"/>
      <c r="HUJ134" s="3507"/>
      <c r="HUK134" s="3507"/>
      <c r="HUL134" s="3507"/>
      <c r="HUM134" s="3507"/>
      <c r="HUN134" s="3507"/>
      <c r="HUO134" s="3507"/>
      <c r="HUP134" s="3507"/>
      <c r="HUQ134" s="3507"/>
      <c r="HUR134" s="3507"/>
      <c r="HUS134" s="3507"/>
      <c r="HUT134" s="3507"/>
      <c r="HUU134" s="3507"/>
      <c r="HUV134" s="3507"/>
      <c r="HUW134" s="3507"/>
      <c r="HUX134" s="3507"/>
      <c r="HUY134" s="3507"/>
      <c r="HUZ134" s="3507"/>
      <c r="HVA134" s="3507"/>
      <c r="HVB134" s="3507"/>
      <c r="HVC134" s="3507"/>
      <c r="HVD134" s="3507"/>
      <c r="HVE134" s="3507"/>
      <c r="HVF134" s="3507"/>
      <c r="HVG134" s="3507"/>
      <c r="HVH134" s="3507"/>
      <c r="HVI134" s="3507"/>
      <c r="HVJ134" s="3507"/>
      <c r="HVK134" s="3507"/>
      <c r="HVL134" s="3507"/>
      <c r="HVM134" s="3507"/>
      <c r="HVN134" s="3507"/>
      <c r="HVO134" s="3507"/>
      <c r="HVP134" s="3507"/>
      <c r="HVQ134" s="3507"/>
      <c r="HVR134" s="3507"/>
      <c r="HVS134" s="3507"/>
      <c r="HVT134" s="3507"/>
      <c r="HVU134" s="3507"/>
      <c r="HVV134" s="3507"/>
      <c r="HVW134" s="3507"/>
      <c r="HVX134" s="3507"/>
      <c r="HVY134" s="3507"/>
      <c r="HVZ134" s="3507"/>
      <c r="HWA134" s="3507"/>
      <c r="HWB134" s="3507"/>
      <c r="HWC134" s="3507"/>
      <c r="HWD134" s="3507"/>
      <c r="HWE134" s="3507"/>
      <c r="HWF134" s="3507"/>
      <c r="HWG134" s="3507"/>
      <c r="HWH134" s="3507"/>
      <c r="HWI134" s="3507"/>
      <c r="HWJ134" s="3507"/>
      <c r="HWK134" s="3507"/>
      <c r="HWL134" s="3507"/>
      <c r="HWM134" s="3507"/>
      <c r="HWN134" s="3507"/>
      <c r="HWO134" s="3507"/>
      <c r="HWP134" s="3507"/>
      <c r="HWQ134" s="3507"/>
      <c r="HWR134" s="3507"/>
      <c r="HWS134" s="3507"/>
      <c r="HWT134" s="3507"/>
      <c r="HWU134" s="3507"/>
      <c r="HWV134" s="3507"/>
      <c r="HWW134" s="3507"/>
      <c r="HWX134" s="3507"/>
      <c r="HWY134" s="3507"/>
      <c r="HWZ134" s="3507"/>
      <c r="HXA134" s="3507"/>
      <c r="HXB134" s="3507"/>
      <c r="HXC134" s="3507"/>
      <c r="HXD134" s="3507"/>
      <c r="HXE134" s="3507"/>
      <c r="HXF134" s="3507"/>
      <c r="HXG134" s="3507"/>
      <c r="HXH134" s="3507"/>
      <c r="HXI134" s="3507"/>
      <c r="HXJ134" s="3507"/>
      <c r="HXK134" s="3507"/>
      <c r="HXL134" s="3507"/>
      <c r="HXM134" s="3507"/>
      <c r="HXN134" s="3507"/>
      <c r="HXO134" s="3507"/>
      <c r="HXP134" s="3507"/>
      <c r="HXQ134" s="3507"/>
      <c r="HXR134" s="3507"/>
      <c r="HXS134" s="3507"/>
      <c r="HXT134" s="3507"/>
      <c r="HXU134" s="3507"/>
      <c r="HXV134" s="3507"/>
      <c r="HXW134" s="3507"/>
      <c r="HXX134" s="3507"/>
      <c r="HXY134" s="3507"/>
      <c r="HXZ134" s="3507"/>
      <c r="HYA134" s="3507"/>
      <c r="HYB134" s="3507"/>
      <c r="HYC134" s="3507"/>
      <c r="HYD134" s="3507"/>
      <c r="HYE134" s="3507"/>
      <c r="HYF134" s="3507"/>
      <c r="HYG134" s="3507"/>
      <c r="HYH134" s="3507"/>
      <c r="HYI134" s="3507"/>
      <c r="HYJ134" s="3507"/>
      <c r="HYK134" s="3507"/>
      <c r="HYL134" s="3507"/>
      <c r="HYM134" s="3507"/>
      <c r="HYN134" s="3507"/>
      <c r="HYO134" s="3507"/>
      <c r="HYP134" s="3507"/>
      <c r="HYQ134" s="3507"/>
      <c r="HYR134" s="3507"/>
      <c r="HYS134" s="3507"/>
      <c r="HYT134" s="3507"/>
      <c r="HYU134" s="3507"/>
      <c r="HYV134" s="3507"/>
      <c r="HYW134" s="3507"/>
      <c r="HYX134" s="3507"/>
      <c r="HYY134" s="3507"/>
      <c r="HYZ134" s="3507"/>
      <c r="HZA134" s="3507"/>
      <c r="HZB134" s="3507"/>
      <c r="HZC134" s="3507"/>
      <c r="HZD134" s="3507"/>
      <c r="HZE134" s="3507"/>
      <c r="HZF134" s="3507"/>
      <c r="HZG134" s="3507"/>
      <c r="HZH134" s="3507"/>
      <c r="HZI134" s="3507"/>
      <c r="HZJ134" s="3507"/>
      <c r="HZK134" s="3507"/>
      <c r="HZL134" s="3507"/>
      <c r="HZM134" s="3507"/>
      <c r="HZN134" s="3507"/>
      <c r="HZO134" s="3507"/>
      <c r="HZP134" s="3507"/>
      <c r="HZQ134" s="3507"/>
      <c r="HZR134" s="3507"/>
      <c r="HZS134" s="3507"/>
      <c r="HZT134" s="3507"/>
      <c r="HZU134" s="3507"/>
      <c r="HZV134" s="3507"/>
      <c r="HZW134" s="3507"/>
      <c r="HZX134" s="3507"/>
      <c r="HZY134" s="3507"/>
      <c r="HZZ134" s="3507"/>
      <c r="IAA134" s="3507"/>
      <c r="IAB134" s="3507"/>
      <c r="IAC134" s="3507"/>
      <c r="IAD134" s="3507"/>
      <c r="IAE134" s="3507"/>
      <c r="IAF134" s="3507"/>
      <c r="IAG134" s="3507"/>
      <c r="IAH134" s="3507"/>
      <c r="IAI134" s="3507"/>
      <c r="IAJ134" s="3507"/>
      <c r="IAK134" s="3507"/>
      <c r="IAL134" s="3507"/>
      <c r="IAM134" s="3507"/>
      <c r="IAN134" s="3507"/>
      <c r="IAO134" s="3507"/>
      <c r="IAP134" s="3507"/>
      <c r="IAQ134" s="3507"/>
      <c r="IAR134" s="3507"/>
      <c r="IAS134" s="3507"/>
      <c r="IAT134" s="3507"/>
      <c r="IAU134" s="3507"/>
      <c r="IAV134" s="3507"/>
      <c r="IAW134" s="3507"/>
      <c r="IAX134" s="3507"/>
      <c r="IAY134" s="3507"/>
      <c r="IAZ134" s="3507"/>
      <c r="IBA134" s="3507"/>
      <c r="IBB134" s="3507"/>
      <c r="IBC134" s="3507"/>
      <c r="IBD134" s="3507"/>
      <c r="IBE134" s="3507"/>
      <c r="IBF134" s="3507"/>
      <c r="IBG134" s="3507"/>
      <c r="IBH134" s="3507"/>
      <c r="IBI134" s="3507"/>
      <c r="IBJ134" s="3507"/>
      <c r="IBK134" s="3507"/>
      <c r="IBL134" s="3507"/>
      <c r="IBM134" s="3507"/>
      <c r="IBN134" s="3507"/>
      <c r="IBO134" s="3507"/>
      <c r="IBP134" s="3507"/>
      <c r="IBQ134" s="3507"/>
      <c r="IBR134" s="3507"/>
      <c r="IBS134" s="3507"/>
      <c r="IBT134" s="3507"/>
      <c r="IBU134" s="3507"/>
      <c r="IBV134" s="3507"/>
      <c r="IBW134" s="3507"/>
      <c r="IBX134" s="3507"/>
      <c r="IBY134" s="3507"/>
      <c r="IBZ134" s="3507"/>
      <c r="ICA134" s="3507"/>
      <c r="ICB134" s="3507"/>
      <c r="ICC134" s="3507"/>
      <c r="ICD134" s="3507"/>
      <c r="ICE134" s="3507"/>
      <c r="ICF134" s="3507"/>
      <c r="ICG134" s="3507"/>
      <c r="ICH134" s="3507"/>
      <c r="ICI134" s="3507"/>
      <c r="ICJ134" s="3507"/>
      <c r="ICK134" s="3507"/>
      <c r="ICL134" s="3507"/>
      <c r="ICM134" s="3507"/>
      <c r="ICN134" s="3507"/>
      <c r="ICO134" s="3507"/>
      <c r="ICP134" s="3507"/>
      <c r="ICQ134" s="3507"/>
      <c r="ICR134" s="3507"/>
      <c r="ICS134" s="3507"/>
      <c r="ICT134" s="3507"/>
      <c r="ICU134" s="3507"/>
      <c r="ICV134" s="3507"/>
      <c r="ICW134" s="3507"/>
      <c r="ICX134" s="3507"/>
      <c r="ICY134" s="3507"/>
      <c r="ICZ134" s="3507"/>
      <c r="IDA134" s="3507"/>
      <c r="IDB134" s="3507"/>
      <c r="IDC134" s="3507"/>
      <c r="IDD134" s="3507"/>
      <c r="IDE134" s="3507"/>
      <c r="IDF134" s="3507"/>
      <c r="IDG134" s="3507"/>
      <c r="IDH134" s="3507"/>
      <c r="IDI134" s="3507"/>
      <c r="IDJ134" s="3507"/>
      <c r="IDK134" s="3507"/>
      <c r="IDL134" s="3507"/>
      <c r="IDM134" s="3507"/>
      <c r="IDN134" s="3507"/>
      <c r="IDO134" s="3507"/>
      <c r="IDP134" s="3507"/>
      <c r="IDQ134" s="3507"/>
      <c r="IDR134" s="3507"/>
      <c r="IDS134" s="3507"/>
      <c r="IDT134" s="3507"/>
      <c r="IDU134" s="3507"/>
      <c r="IDV134" s="3507"/>
      <c r="IDW134" s="3507"/>
      <c r="IDX134" s="3507"/>
      <c r="IDY134" s="3507"/>
      <c r="IDZ134" s="3507"/>
      <c r="IEA134" s="3507"/>
      <c r="IEB134" s="3507"/>
      <c r="IEC134" s="3507"/>
      <c r="IED134" s="3507"/>
      <c r="IEE134" s="3507"/>
      <c r="IEF134" s="3507"/>
      <c r="IEG134" s="3507"/>
      <c r="IEH134" s="3507"/>
      <c r="IEI134" s="3507"/>
      <c r="IEJ134" s="3507"/>
      <c r="IEK134" s="3507"/>
      <c r="IEL134" s="3507"/>
      <c r="IEM134" s="3507"/>
      <c r="IEN134" s="3507"/>
      <c r="IEO134" s="3507"/>
      <c r="IEP134" s="3507"/>
      <c r="IEQ134" s="3507"/>
      <c r="IER134" s="3507"/>
      <c r="IES134" s="3507"/>
      <c r="IET134" s="3507"/>
      <c r="IEU134" s="3507"/>
      <c r="IEV134" s="3507"/>
      <c r="IEW134" s="3507"/>
      <c r="IEX134" s="3507"/>
      <c r="IEY134" s="3507"/>
      <c r="IEZ134" s="3507"/>
      <c r="IFA134" s="3507"/>
      <c r="IFB134" s="3507"/>
      <c r="IFC134" s="3507"/>
      <c r="IFD134" s="3507"/>
      <c r="IFE134" s="3507"/>
      <c r="IFF134" s="3507"/>
      <c r="IFG134" s="3507"/>
      <c r="IFH134" s="3507"/>
      <c r="IFI134" s="3507"/>
      <c r="IFJ134" s="3507"/>
      <c r="IFK134" s="3507"/>
      <c r="IFL134" s="3507"/>
      <c r="IFM134" s="3507"/>
      <c r="IFN134" s="3507"/>
      <c r="IFO134" s="3507"/>
      <c r="IFP134" s="3507"/>
      <c r="IFQ134" s="3507"/>
      <c r="IFR134" s="3507"/>
      <c r="IFS134" s="3507"/>
      <c r="IFT134" s="3507"/>
      <c r="IFU134" s="3507"/>
      <c r="IFV134" s="3507"/>
      <c r="IFW134" s="3507"/>
      <c r="IFX134" s="3507"/>
      <c r="IFY134" s="3507"/>
      <c r="IFZ134" s="3507"/>
      <c r="IGA134" s="3507"/>
      <c r="IGB134" s="3507"/>
      <c r="IGC134" s="3507"/>
      <c r="IGD134" s="3507"/>
      <c r="IGE134" s="3507"/>
      <c r="IGF134" s="3507"/>
      <c r="IGG134" s="3507"/>
      <c r="IGH134" s="3507"/>
      <c r="IGI134" s="3507"/>
      <c r="IGJ134" s="3507"/>
      <c r="IGK134" s="3507"/>
      <c r="IGL134" s="3507"/>
      <c r="IGM134" s="3507"/>
      <c r="IGN134" s="3507"/>
      <c r="IGO134" s="3507"/>
      <c r="IGP134" s="3507"/>
      <c r="IGQ134" s="3507"/>
      <c r="IGR134" s="3507"/>
      <c r="IGS134" s="3507"/>
      <c r="IGT134" s="3507"/>
      <c r="IGU134" s="3507"/>
      <c r="IGV134" s="3507"/>
      <c r="IGW134" s="3507"/>
      <c r="IGX134" s="3507"/>
      <c r="IGY134" s="3507"/>
      <c r="IGZ134" s="3507"/>
      <c r="IHA134" s="3507"/>
      <c r="IHB134" s="3507"/>
      <c r="IHC134" s="3507"/>
      <c r="IHD134" s="3507"/>
      <c r="IHE134" s="3507"/>
      <c r="IHF134" s="3507"/>
      <c r="IHG134" s="3507"/>
      <c r="IHH134" s="3507"/>
      <c r="IHI134" s="3507"/>
      <c r="IHJ134" s="3507"/>
      <c r="IHK134" s="3507"/>
      <c r="IHL134" s="3507"/>
      <c r="IHM134" s="3507"/>
      <c r="IHN134" s="3507"/>
      <c r="IHO134" s="3507"/>
      <c r="IHP134" s="3507"/>
      <c r="IHQ134" s="3507"/>
      <c r="IHR134" s="3507"/>
      <c r="IHS134" s="3507"/>
      <c r="IHT134" s="3507"/>
      <c r="IHU134" s="3507"/>
      <c r="IHV134" s="3507"/>
      <c r="IHW134" s="3507"/>
      <c r="IHX134" s="3507"/>
      <c r="IHY134" s="3507"/>
      <c r="IHZ134" s="3507"/>
      <c r="IIA134" s="3507"/>
      <c r="IIB134" s="3507"/>
      <c r="IIC134" s="3507"/>
      <c r="IID134" s="3507"/>
      <c r="IIE134" s="3507"/>
      <c r="IIF134" s="3507"/>
      <c r="IIG134" s="3507"/>
      <c r="IIH134" s="3507"/>
      <c r="III134" s="3507"/>
      <c r="IIJ134" s="3507"/>
      <c r="IIK134" s="3507"/>
      <c r="IIL134" s="3507"/>
      <c r="IIM134" s="3507"/>
      <c r="IIN134" s="3507"/>
      <c r="IIO134" s="3507"/>
      <c r="IIP134" s="3507"/>
      <c r="IIQ134" s="3507"/>
      <c r="IIR134" s="3507"/>
      <c r="IIS134" s="3507"/>
      <c r="IIT134" s="3507"/>
      <c r="IIU134" s="3507"/>
      <c r="IIV134" s="3507"/>
      <c r="IIW134" s="3507"/>
      <c r="IIX134" s="3507"/>
      <c r="IIY134" s="3507"/>
      <c r="IIZ134" s="3507"/>
      <c r="IJA134" s="3507"/>
      <c r="IJB134" s="3507"/>
      <c r="IJC134" s="3507"/>
      <c r="IJD134" s="3507"/>
      <c r="IJE134" s="3507"/>
      <c r="IJF134" s="3507"/>
      <c r="IJG134" s="3507"/>
      <c r="IJH134" s="3507"/>
      <c r="IJI134" s="3507"/>
      <c r="IJJ134" s="3507"/>
      <c r="IJK134" s="3507"/>
      <c r="IJL134" s="3507"/>
      <c r="IJM134" s="3507"/>
      <c r="IJN134" s="3507"/>
      <c r="IJO134" s="3507"/>
      <c r="IJP134" s="3507"/>
      <c r="IJQ134" s="3507"/>
      <c r="IJR134" s="3507"/>
      <c r="IJS134" s="3507"/>
      <c r="IJT134" s="3507"/>
      <c r="IJU134" s="3507"/>
      <c r="IJV134" s="3507"/>
      <c r="IJW134" s="3507"/>
      <c r="IJX134" s="3507"/>
      <c r="IJY134" s="3507"/>
      <c r="IJZ134" s="3507"/>
      <c r="IKA134" s="3507"/>
      <c r="IKB134" s="3507"/>
      <c r="IKC134" s="3507"/>
      <c r="IKD134" s="3507"/>
      <c r="IKE134" s="3507"/>
      <c r="IKF134" s="3507"/>
      <c r="IKG134" s="3507"/>
      <c r="IKH134" s="3507"/>
      <c r="IKI134" s="3507"/>
      <c r="IKJ134" s="3507"/>
      <c r="IKK134" s="3507"/>
      <c r="IKL134" s="3507"/>
      <c r="IKM134" s="3507"/>
      <c r="IKN134" s="3507"/>
      <c r="IKO134" s="3507"/>
      <c r="IKP134" s="3507"/>
      <c r="IKQ134" s="3507"/>
      <c r="IKR134" s="3507"/>
      <c r="IKS134" s="3507"/>
      <c r="IKT134" s="3507"/>
      <c r="IKU134" s="3507"/>
      <c r="IKV134" s="3507"/>
      <c r="IKW134" s="3507"/>
      <c r="IKX134" s="3507"/>
      <c r="IKY134" s="3507"/>
      <c r="IKZ134" s="3507"/>
      <c r="ILA134" s="3507"/>
      <c r="ILB134" s="3507"/>
      <c r="ILC134" s="3507"/>
      <c r="ILD134" s="3507"/>
      <c r="ILE134" s="3507"/>
      <c r="ILF134" s="3507"/>
      <c r="ILG134" s="3507"/>
      <c r="ILH134" s="3507"/>
      <c r="ILI134" s="3507"/>
      <c r="ILJ134" s="3507"/>
      <c r="ILK134" s="3507"/>
      <c r="ILL134" s="3507"/>
      <c r="ILM134" s="3507"/>
      <c r="ILN134" s="3507"/>
      <c r="ILO134" s="3507"/>
      <c r="ILP134" s="3507"/>
      <c r="ILQ134" s="3507"/>
      <c r="ILR134" s="3507"/>
      <c r="ILS134" s="3507"/>
      <c r="ILT134" s="3507"/>
      <c r="ILU134" s="3507"/>
      <c r="ILV134" s="3507"/>
      <c r="ILW134" s="3507"/>
      <c r="ILX134" s="3507"/>
      <c r="ILY134" s="3507"/>
      <c r="ILZ134" s="3507"/>
      <c r="IMA134" s="3507"/>
      <c r="IMB134" s="3507"/>
      <c r="IMC134" s="3507"/>
      <c r="IMD134" s="3507"/>
      <c r="IME134" s="3507"/>
      <c r="IMF134" s="3507"/>
      <c r="IMG134" s="3507"/>
      <c r="IMH134" s="3507"/>
      <c r="IMI134" s="3507"/>
      <c r="IMJ134" s="3507"/>
      <c r="IMK134" s="3507"/>
      <c r="IML134" s="3507"/>
      <c r="IMM134" s="3507"/>
      <c r="IMN134" s="3507"/>
      <c r="IMO134" s="3507"/>
      <c r="IMP134" s="3507"/>
      <c r="IMQ134" s="3507"/>
      <c r="IMR134" s="3507"/>
      <c r="IMS134" s="3507"/>
      <c r="IMT134" s="3507"/>
      <c r="IMU134" s="3507"/>
      <c r="IMV134" s="3507"/>
      <c r="IMW134" s="3507"/>
      <c r="IMX134" s="3507"/>
      <c r="IMY134" s="3507"/>
      <c r="IMZ134" s="3507"/>
      <c r="INA134" s="3507"/>
      <c r="INB134" s="3507"/>
      <c r="INC134" s="3507"/>
      <c r="IND134" s="3507"/>
      <c r="INE134" s="3507"/>
      <c r="INF134" s="3507"/>
      <c r="ING134" s="3507"/>
      <c r="INH134" s="3507"/>
      <c r="INI134" s="3507"/>
      <c r="INJ134" s="3507"/>
      <c r="INK134" s="3507"/>
      <c r="INL134" s="3507"/>
      <c r="INM134" s="3507"/>
      <c r="INN134" s="3507"/>
      <c r="INO134" s="3507"/>
      <c r="INP134" s="3507"/>
      <c r="INQ134" s="3507"/>
      <c r="INR134" s="3507"/>
      <c r="INS134" s="3507"/>
      <c r="INT134" s="3507"/>
      <c r="INU134" s="3507"/>
      <c r="INV134" s="3507"/>
      <c r="INW134" s="3507"/>
      <c r="INX134" s="3507"/>
      <c r="INY134" s="3507"/>
      <c r="INZ134" s="3507"/>
      <c r="IOA134" s="3507"/>
      <c r="IOB134" s="3507"/>
      <c r="IOC134" s="3507"/>
      <c r="IOD134" s="3507"/>
      <c r="IOE134" s="3507"/>
      <c r="IOF134" s="3507"/>
      <c r="IOG134" s="3507"/>
      <c r="IOH134" s="3507"/>
      <c r="IOI134" s="3507"/>
      <c r="IOJ134" s="3507"/>
      <c r="IOK134" s="3507"/>
      <c r="IOL134" s="3507"/>
      <c r="IOM134" s="3507"/>
      <c r="ION134" s="3507"/>
      <c r="IOO134" s="3507"/>
      <c r="IOP134" s="3507"/>
      <c r="IOQ134" s="3507"/>
      <c r="IOR134" s="3507"/>
      <c r="IOS134" s="3507"/>
      <c r="IOT134" s="3507"/>
      <c r="IOU134" s="3507"/>
      <c r="IOV134" s="3507"/>
      <c r="IOW134" s="3507"/>
      <c r="IOX134" s="3507"/>
      <c r="IOY134" s="3507"/>
      <c r="IOZ134" s="3507"/>
      <c r="IPA134" s="3507"/>
      <c r="IPB134" s="3507"/>
      <c r="IPC134" s="3507"/>
      <c r="IPD134" s="3507"/>
      <c r="IPE134" s="3507"/>
      <c r="IPF134" s="3507"/>
      <c r="IPG134" s="3507"/>
      <c r="IPH134" s="3507"/>
      <c r="IPI134" s="3507"/>
      <c r="IPJ134" s="3507"/>
      <c r="IPK134" s="3507"/>
      <c r="IPL134" s="3507"/>
      <c r="IPM134" s="3507"/>
      <c r="IPN134" s="3507"/>
      <c r="IPO134" s="3507"/>
      <c r="IPP134" s="3507"/>
      <c r="IPQ134" s="3507"/>
      <c r="IPR134" s="3507"/>
      <c r="IPS134" s="3507"/>
      <c r="IPT134" s="3507"/>
      <c r="IPU134" s="3507"/>
      <c r="IPV134" s="3507"/>
      <c r="IPW134" s="3507"/>
      <c r="IPX134" s="3507"/>
      <c r="IPY134" s="3507"/>
      <c r="IPZ134" s="3507"/>
      <c r="IQA134" s="3507"/>
      <c r="IQB134" s="3507"/>
      <c r="IQC134" s="3507"/>
      <c r="IQD134" s="3507"/>
      <c r="IQE134" s="3507"/>
      <c r="IQF134" s="3507"/>
      <c r="IQG134" s="3507"/>
      <c r="IQH134" s="3507"/>
      <c r="IQI134" s="3507"/>
      <c r="IQJ134" s="3507"/>
      <c r="IQK134" s="3507"/>
      <c r="IQL134" s="3507"/>
      <c r="IQM134" s="3507"/>
      <c r="IQN134" s="3507"/>
      <c r="IQO134" s="3507"/>
      <c r="IQP134" s="3507"/>
      <c r="IQQ134" s="3507"/>
      <c r="IQR134" s="3507"/>
      <c r="IQS134" s="3507"/>
      <c r="IQT134" s="3507"/>
      <c r="IQU134" s="3507"/>
      <c r="IQV134" s="3507"/>
      <c r="IQW134" s="3507"/>
      <c r="IQX134" s="3507"/>
      <c r="IQY134" s="3507"/>
      <c r="IQZ134" s="3507"/>
      <c r="IRA134" s="3507"/>
      <c r="IRB134" s="3507"/>
      <c r="IRC134" s="3507"/>
      <c r="IRD134" s="3507"/>
      <c r="IRE134" s="3507"/>
      <c r="IRF134" s="3507"/>
      <c r="IRG134" s="3507"/>
      <c r="IRH134" s="3507"/>
      <c r="IRI134" s="3507"/>
      <c r="IRJ134" s="3507"/>
      <c r="IRK134" s="3507"/>
      <c r="IRL134" s="3507"/>
      <c r="IRM134" s="3507"/>
      <c r="IRN134" s="3507"/>
      <c r="IRO134" s="3507"/>
      <c r="IRP134" s="3507"/>
      <c r="IRQ134" s="3507"/>
      <c r="IRR134" s="3507"/>
      <c r="IRS134" s="3507"/>
      <c r="IRT134" s="3507"/>
      <c r="IRU134" s="3507"/>
      <c r="IRV134" s="3507"/>
      <c r="IRW134" s="3507"/>
      <c r="IRX134" s="3507"/>
      <c r="IRY134" s="3507"/>
      <c r="IRZ134" s="3507"/>
      <c r="ISA134" s="3507"/>
      <c r="ISB134" s="3507"/>
      <c r="ISC134" s="3507"/>
      <c r="ISD134" s="3507"/>
      <c r="ISE134" s="3507"/>
      <c r="ISF134" s="3507"/>
      <c r="ISG134" s="3507"/>
      <c r="ISH134" s="3507"/>
      <c r="ISI134" s="3507"/>
      <c r="ISJ134" s="3507"/>
      <c r="ISK134" s="3507"/>
      <c r="ISL134" s="3507"/>
      <c r="ISM134" s="3507"/>
      <c r="ISN134" s="3507"/>
      <c r="ISO134" s="3507"/>
      <c r="ISP134" s="3507"/>
      <c r="ISQ134" s="3507"/>
      <c r="ISR134" s="3507"/>
      <c r="ISS134" s="3507"/>
      <c r="IST134" s="3507"/>
      <c r="ISU134" s="3507"/>
      <c r="ISV134" s="3507"/>
      <c r="ISW134" s="3507"/>
      <c r="ISX134" s="3507"/>
      <c r="ISY134" s="3507"/>
      <c r="ISZ134" s="3507"/>
      <c r="ITA134" s="3507"/>
      <c r="ITB134" s="3507"/>
      <c r="ITC134" s="3507"/>
      <c r="ITD134" s="3507"/>
      <c r="ITE134" s="3507"/>
      <c r="ITF134" s="3507"/>
      <c r="ITG134" s="3507"/>
      <c r="ITH134" s="3507"/>
      <c r="ITI134" s="3507"/>
      <c r="ITJ134" s="3507"/>
      <c r="ITK134" s="3507"/>
      <c r="ITL134" s="3507"/>
      <c r="ITM134" s="3507"/>
      <c r="ITN134" s="3507"/>
      <c r="ITO134" s="3507"/>
      <c r="ITP134" s="3507"/>
      <c r="ITQ134" s="3507"/>
      <c r="ITR134" s="3507"/>
      <c r="ITS134" s="3507"/>
      <c r="ITT134" s="3507"/>
      <c r="ITU134" s="3507"/>
      <c r="ITV134" s="3507"/>
      <c r="ITW134" s="3507"/>
      <c r="ITX134" s="3507"/>
      <c r="ITY134" s="3507"/>
      <c r="ITZ134" s="3507"/>
      <c r="IUA134" s="3507"/>
      <c r="IUB134" s="3507"/>
      <c r="IUC134" s="3507"/>
      <c r="IUD134" s="3507"/>
      <c r="IUE134" s="3507"/>
      <c r="IUF134" s="3507"/>
      <c r="IUG134" s="3507"/>
      <c r="IUH134" s="3507"/>
      <c r="IUI134" s="3507"/>
      <c r="IUJ134" s="3507"/>
      <c r="IUK134" s="3507"/>
      <c r="IUL134" s="3507"/>
      <c r="IUM134" s="3507"/>
      <c r="IUN134" s="3507"/>
      <c r="IUO134" s="3507"/>
      <c r="IUP134" s="3507"/>
      <c r="IUQ134" s="3507"/>
      <c r="IUR134" s="3507"/>
      <c r="IUS134" s="3507"/>
      <c r="IUT134" s="3507"/>
      <c r="IUU134" s="3507"/>
      <c r="IUV134" s="3507"/>
      <c r="IUW134" s="3507"/>
      <c r="IUX134" s="3507"/>
      <c r="IUY134" s="3507"/>
      <c r="IUZ134" s="3507"/>
      <c r="IVA134" s="3507"/>
      <c r="IVB134" s="3507"/>
      <c r="IVC134" s="3507"/>
      <c r="IVD134" s="3507"/>
      <c r="IVE134" s="3507"/>
      <c r="IVF134" s="3507"/>
      <c r="IVG134" s="3507"/>
      <c r="IVH134" s="3507"/>
      <c r="IVI134" s="3507"/>
      <c r="IVJ134" s="3507"/>
      <c r="IVK134" s="3507"/>
      <c r="IVL134" s="3507"/>
      <c r="IVM134" s="3507"/>
      <c r="IVN134" s="3507"/>
      <c r="IVO134" s="3507"/>
      <c r="IVP134" s="3507"/>
      <c r="IVQ134" s="3507"/>
      <c r="IVR134" s="3507"/>
      <c r="IVS134" s="3507"/>
      <c r="IVT134" s="3507"/>
      <c r="IVU134" s="3507"/>
      <c r="IVV134" s="3507"/>
      <c r="IVW134" s="3507"/>
      <c r="IVX134" s="3507"/>
      <c r="IVY134" s="3507"/>
      <c r="IVZ134" s="3507"/>
      <c r="IWA134" s="3507"/>
      <c r="IWB134" s="3507"/>
      <c r="IWC134" s="3507"/>
      <c r="IWD134" s="3507"/>
      <c r="IWE134" s="3507"/>
      <c r="IWF134" s="3507"/>
      <c r="IWG134" s="3507"/>
      <c r="IWH134" s="3507"/>
      <c r="IWI134" s="3507"/>
      <c r="IWJ134" s="3507"/>
      <c r="IWK134" s="3507"/>
      <c r="IWL134" s="3507"/>
      <c r="IWM134" s="3507"/>
      <c r="IWN134" s="3507"/>
      <c r="IWO134" s="3507"/>
      <c r="IWP134" s="3507"/>
      <c r="IWQ134" s="3507"/>
      <c r="IWR134" s="3507"/>
      <c r="IWS134" s="3507"/>
      <c r="IWT134" s="3507"/>
      <c r="IWU134" s="3507"/>
      <c r="IWV134" s="3507"/>
      <c r="IWW134" s="3507"/>
      <c r="IWX134" s="3507"/>
      <c r="IWY134" s="3507"/>
      <c r="IWZ134" s="3507"/>
      <c r="IXA134" s="3507"/>
      <c r="IXB134" s="3507"/>
      <c r="IXC134" s="3507"/>
      <c r="IXD134" s="3507"/>
      <c r="IXE134" s="3507"/>
      <c r="IXF134" s="3507"/>
      <c r="IXG134" s="3507"/>
      <c r="IXH134" s="3507"/>
      <c r="IXI134" s="3507"/>
      <c r="IXJ134" s="3507"/>
      <c r="IXK134" s="3507"/>
      <c r="IXL134" s="3507"/>
      <c r="IXM134" s="3507"/>
      <c r="IXN134" s="3507"/>
      <c r="IXO134" s="3507"/>
      <c r="IXP134" s="3507"/>
      <c r="IXQ134" s="3507"/>
      <c r="IXR134" s="3507"/>
      <c r="IXS134" s="3507"/>
      <c r="IXT134" s="3507"/>
      <c r="IXU134" s="3507"/>
      <c r="IXV134" s="3507"/>
      <c r="IXW134" s="3507"/>
      <c r="IXX134" s="3507"/>
      <c r="IXY134" s="3507"/>
      <c r="IXZ134" s="3507"/>
      <c r="IYA134" s="3507"/>
      <c r="IYB134" s="3507"/>
      <c r="IYC134" s="3507"/>
      <c r="IYD134" s="3507"/>
      <c r="IYE134" s="3507"/>
      <c r="IYF134" s="3507"/>
      <c r="IYG134" s="3507"/>
      <c r="IYH134" s="3507"/>
      <c r="IYI134" s="3507"/>
      <c r="IYJ134" s="3507"/>
      <c r="IYK134" s="3507"/>
      <c r="IYL134" s="3507"/>
      <c r="IYM134" s="3507"/>
      <c r="IYN134" s="3507"/>
      <c r="IYO134" s="3507"/>
      <c r="IYP134" s="3507"/>
      <c r="IYQ134" s="3507"/>
      <c r="IYR134" s="3507"/>
      <c r="IYS134" s="3507"/>
      <c r="IYT134" s="3507"/>
      <c r="IYU134" s="3507"/>
      <c r="IYV134" s="3507"/>
      <c r="IYW134" s="3507"/>
      <c r="IYX134" s="3507"/>
      <c r="IYY134" s="3507"/>
      <c r="IYZ134" s="3507"/>
      <c r="IZA134" s="3507"/>
      <c r="IZB134" s="3507"/>
      <c r="IZC134" s="3507"/>
      <c r="IZD134" s="3507"/>
      <c r="IZE134" s="3507"/>
      <c r="IZF134" s="3507"/>
      <c r="IZG134" s="3507"/>
      <c r="IZH134" s="3507"/>
      <c r="IZI134" s="3507"/>
      <c r="IZJ134" s="3507"/>
      <c r="IZK134" s="3507"/>
      <c r="IZL134" s="3507"/>
      <c r="IZM134" s="3507"/>
      <c r="IZN134" s="3507"/>
      <c r="IZO134" s="3507"/>
      <c r="IZP134" s="3507"/>
      <c r="IZQ134" s="3507"/>
      <c r="IZR134" s="3507"/>
      <c r="IZS134" s="3507"/>
      <c r="IZT134" s="3507"/>
      <c r="IZU134" s="3507"/>
      <c r="IZV134" s="3507"/>
      <c r="IZW134" s="3507"/>
      <c r="IZX134" s="3507"/>
      <c r="IZY134" s="3507"/>
      <c r="IZZ134" s="3507"/>
      <c r="JAA134" s="3507"/>
      <c r="JAB134" s="3507"/>
      <c r="JAC134" s="3507"/>
      <c r="JAD134" s="3507"/>
      <c r="JAE134" s="3507"/>
      <c r="JAF134" s="3507"/>
      <c r="JAG134" s="3507"/>
      <c r="JAH134" s="3507"/>
      <c r="JAI134" s="3507"/>
      <c r="JAJ134" s="3507"/>
      <c r="JAK134" s="3507"/>
      <c r="JAL134" s="3507"/>
      <c r="JAM134" s="3507"/>
      <c r="JAN134" s="3507"/>
      <c r="JAO134" s="3507"/>
      <c r="JAP134" s="3507"/>
      <c r="JAQ134" s="3507"/>
      <c r="JAR134" s="3507"/>
      <c r="JAS134" s="3507"/>
      <c r="JAT134" s="3507"/>
      <c r="JAU134" s="3507"/>
      <c r="JAV134" s="3507"/>
      <c r="JAW134" s="3507"/>
      <c r="JAX134" s="3507"/>
      <c r="JAY134" s="3507"/>
      <c r="JAZ134" s="3507"/>
      <c r="JBA134" s="3507"/>
      <c r="JBB134" s="3507"/>
      <c r="JBC134" s="3507"/>
      <c r="JBD134" s="3507"/>
      <c r="JBE134" s="3507"/>
      <c r="JBF134" s="3507"/>
      <c r="JBG134" s="3507"/>
      <c r="JBH134" s="3507"/>
      <c r="JBI134" s="3507"/>
      <c r="JBJ134" s="3507"/>
      <c r="JBK134" s="3507"/>
      <c r="JBL134" s="3507"/>
      <c r="JBM134" s="3507"/>
      <c r="JBN134" s="3507"/>
      <c r="JBO134" s="3507"/>
      <c r="JBP134" s="3507"/>
      <c r="JBQ134" s="3507"/>
      <c r="JBR134" s="3507"/>
      <c r="JBS134" s="3507"/>
      <c r="JBT134" s="3507"/>
      <c r="JBU134" s="3507"/>
      <c r="JBV134" s="3507"/>
      <c r="JBW134" s="3507"/>
      <c r="JBX134" s="3507"/>
      <c r="JBY134" s="3507"/>
      <c r="JBZ134" s="3507"/>
      <c r="JCA134" s="3507"/>
      <c r="JCB134" s="3507"/>
      <c r="JCC134" s="3507"/>
      <c r="JCD134" s="3507"/>
      <c r="JCE134" s="3507"/>
      <c r="JCF134" s="3507"/>
      <c r="JCG134" s="3507"/>
      <c r="JCH134" s="3507"/>
      <c r="JCI134" s="3507"/>
      <c r="JCJ134" s="3507"/>
      <c r="JCK134" s="3507"/>
      <c r="JCL134" s="3507"/>
      <c r="JCM134" s="3507"/>
      <c r="JCN134" s="3507"/>
      <c r="JCO134" s="3507"/>
      <c r="JCP134" s="3507"/>
      <c r="JCQ134" s="3507"/>
      <c r="JCR134" s="3507"/>
      <c r="JCS134" s="3507"/>
      <c r="JCT134" s="3507"/>
      <c r="JCU134" s="3507"/>
      <c r="JCV134" s="3507"/>
      <c r="JCW134" s="3507"/>
      <c r="JCX134" s="3507"/>
      <c r="JCY134" s="3507"/>
      <c r="JCZ134" s="3507"/>
      <c r="JDA134" s="3507"/>
      <c r="JDB134" s="3507"/>
      <c r="JDC134" s="3507"/>
      <c r="JDD134" s="3507"/>
      <c r="JDE134" s="3507"/>
      <c r="JDF134" s="3507"/>
      <c r="JDG134" s="3507"/>
      <c r="JDH134" s="3507"/>
      <c r="JDI134" s="3507"/>
      <c r="JDJ134" s="3507"/>
      <c r="JDK134" s="3507"/>
      <c r="JDL134" s="3507"/>
      <c r="JDM134" s="3507"/>
      <c r="JDN134" s="3507"/>
      <c r="JDO134" s="3507"/>
      <c r="JDP134" s="3507"/>
      <c r="JDQ134" s="3507"/>
      <c r="JDR134" s="3507"/>
      <c r="JDS134" s="3507"/>
      <c r="JDT134" s="3507"/>
      <c r="JDU134" s="3507"/>
      <c r="JDV134" s="3507"/>
      <c r="JDW134" s="3507"/>
      <c r="JDX134" s="3507"/>
      <c r="JDY134" s="3507"/>
      <c r="JDZ134" s="3507"/>
      <c r="JEA134" s="3507"/>
      <c r="JEB134" s="3507"/>
      <c r="JEC134" s="3507"/>
      <c r="JED134" s="3507"/>
      <c r="JEE134" s="3507"/>
      <c r="JEF134" s="3507"/>
      <c r="JEG134" s="3507"/>
      <c r="JEH134" s="3507"/>
      <c r="JEI134" s="3507"/>
      <c r="JEJ134" s="3507"/>
      <c r="JEK134" s="3507"/>
      <c r="JEL134" s="3507"/>
      <c r="JEM134" s="3507"/>
      <c r="JEN134" s="3507"/>
      <c r="JEO134" s="3507"/>
      <c r="JEP134" s="3507"/>
      <c r="JEQ134" s="3507"/>
      <c r="JER134" s="3507"/>
      <c r="JES134" s="3507"/>
      <c r="JET134" s="3507"/>
      <c r="JEU134" s="3507"/>
      <c r="JEV134" s="3507"/>
      <c r="JEW134" s="3507"/>
      <c r="JEX134" s="3507"/>
      <c r="JEY134" s="3507"/>
      <c r="JEZ134" s="3507"/>
      <c r="JFA134" s="3507"/>
      <c r="JFB134" s="3507"/>
      <c r="JFC134" s="3507"/>
      <c r="JFD134" s="3507"/>
      <c r="JFE134" s="3507"/>
      <c r="JFF134" s="3507"/>
      <c r="JFG134" s="3507"/>
      <c r="JFH134" s="3507"/>
      <c r="JFI134" s="3507"/>
      <c r="JFJ134" s="3507"/>
      <c r="JFK134" s="3507"/>
      <c r="JFL134" s="3507"/>
      <c r="JFM134" s="3507"/>
      <c r="JFN134" s="3507"/>
      <c r="JFO134" s="3507"/>
      <c r="JFP134" s="3507"/>
      <c r="JFQ134" s="3507"/>
      <c r="JFR134" s="3507"/>
      <c r="JFS134" s="3507"/>
      <c r="JFT134" s="3507"/>
      <c r="JFU134" s="3507"/>
      <c r="JFV134" s="3507"/>
      <c r="JFW134" s="3507"/>
      <c r="JFX134" s="3507"/>
      <c r="JFY134" s="3507"/>
      <c r="JFZ134" s="3507"/>
      <c r="JGA134" s="3507"/>
      <c r="JGB134" s="3507"/>
      <c r="JGC134" s="3507"/>
      <c r="JGD134" s="3507"/>
      <c r="JGE134" s="3507"/>
      <c r="JGF134" s="3507"/>
      <c r="JGG134" s="3507"/>
      <c r="JGH134" s="3507"/>
      <c r="JGI134" s="3507"/>
      <c r="JGJ134" s="3507"/>
      <c r="JGK134" s="3507"/>
      <c r="JGL134" s="3507"/>
      <c r="JGM134" s="3507"/>
      <c r="JGN134" s="3507"/>
      <c r="JGO134" s="3507"/>
      <c r="JGP134" s="3507"/>
      <c r="JGQ134" s="3507"/>
      <c r="JGR134" s="3507"/>
      <c r="JGS134" s="3507"/>
      <c r="JGT134" s="3507"/>
      <c r="JGU134" s="3507"/>
      <c r="JGV134" s="3507"/>
      <c r="JGW134" s="3507"/>
      <c r="JGX134" s="3507"/>
      <c r="JGY134" s="3507"/>
      <c r="JGZ134" s="3507"/>
      <c r="JHA134" s="3507"/>
      <c r="JHB134" s="3507"/>
      <c r="JHC134" s="3507"/>
      <c r="JHD134" s="3507"/>
      <c r="JHE134" s="3507"/>
      <c r="JHF134" s="3507"/>
      <c r="JHG134" s="3507"/>
      <c r="JHH134" s="3507"/>
      <c r="JHI134" s="3507"/>
      <c r="JHJ134" s="3507"/>
      <c r="JHK134" s="3507"/>
      <c r="JHL134" s="3507"/>
      <c r="JHM134" s="3507"/>
      <c r="JHN134" s="3507"/>
      <c r="JHO134" s="3507"/>
      <c r="JHP134" s="3507"/>
      <c r="JHQ134" s="3507"/>
      <c r="JHR134" s="3507"/>
      <c r="JHS134" s="3507"/>
      <c r="JHT134" s="3507"/>
      <c r="JHU134" s="3507"/>
      <c r="JHV134" s="3507"/>
      <c r="JHW134" s="3507"/>
      <c r="JHX134" s="3507"/>
      <c r="JHY134" s="3507"/>
      <c r="JHZ134" s="3507"/>
      <c r="JIA134" s="3507"/>
      <c r="JIB134" s="3507"/>
      <c r="JIC134" s="3507"/>
      <c r="JID134" s="3507"/>
      <c r="JIE134" s="3507"/>
      <c r="JIF134" s="3507"/>
      <c r="JIG134" s="3507"/>
      <c r="JIH134" s="3507"/>
      <c r="JII134" s="3507"/>
      <c r="JIJ134" s="3507"/>
      <c r="JIK134" s="3507"/>
      <c r="JIL134" s="3507"/>
      <c r="JIM134" s="3507"/>
      <c r="JIN134" s="3507"/>
      <c r="JIO134" s="3507"/>
      <c r="JIP134" s="3507"/>
      <c r="JIQ134" s="3507"/>
      <c r="JIR134" s="3507"/>
      <c r="JIS134" s="3507"/>
      <c r="JIT134" s="3507"/>
      <c r="JIU134" s="3507"/>
      <c r="JIV134" s="3507"/>
      <c r="JIW134" s="3507"/>
      <c r="JIX134" s="3507"/>
      <c r="JIY134" s="3507"/>
      <c r="JIZ134" s="3507"/>
      <c r="JJA134" s="3507"/>
      <c r="JJB134" s="3507"/>
      <c r="JJC134" s="3507"/>
      <c r="JJD134" s="3507"/>
      <c r="JJE134" s="3507"/>
      <c r="JJF134" s="3507"/>
      <c r="JJG134" s="3507"/>
      <c r="JJH134" s="3507"/>
      <c r="JJI134" s="3507"/>
      <c r="JJJ134" s="3507"/>
      <c r="JJK134" s="3507"/>
      <c r="JJL134" s="3507"/>
      <c r="JJM134" s="3507"/>
      <c r="JJN134" s="3507"/>
      <c r="JJO134" s="3507"/>
      <c r="JJP134" s="3507"/>
      <c r="JJQ134" s="3507"/>
      <c r="JJR134" s="3507"/>
      <c r="JJS134" s="3507"/>
      <c r="JJT134" s="3507"/>
      <c r="JJU134" s="3507"/>
      <c r="JJV134" s="3507"/>
      <c r="JJW134" s="3507"/>
      <c r="JJX134" s="3507"/>
      <c r="JJY134" s="3507"/>
      <c r="JJZ134" s="3507"/>
      <c r="JKA134" s="3507"/>
      <c r="JKB134" s="3507"/>
      <c r="JKC134" s="3507"/>
      <c r="JKD134" s="3507"/>
      <c r="JKE134" s="3507"/>
      <c r="JKF134" s="3507"/>
      <c r="JKG134" s="3507"/>
      <c r="JKH134" s="3507"/>
      <c r="JKI134" s="3507"/>
      <c r="JKJ134" s="3507"/>
      <c r="JKK134" s="3507"/>
      <c r="JKL134" s="3507"/>
      <c r="JKM134" s="3507"/>
      <c r="JKN134" s="3507"/>
      <c r="JKO134" s="3507"/>
      <c r="JKP134" s="3507"/>
      <c r="JKQ134" s="3507"/>
      <c r="JKR134" s="3507"/>
      <c r="JKS134" s="3507"/>
      <c r="JKT134" s="3507"/>
      <c r="JKU134" s="3507"/>
      <c r="JKV134" s="3507"/>
      <c r="JKW134" s="3507"/>
      <c r="JKX134" s="3507"/>
      <c r="JKY134" s="3507"/>
      <c r="JKZ134" s="3507"/>
      <c r="JLA134" s="3507"/>
      <c r="JLB134" s="3507"/>
      <c r="JLC134" s="3507"/>
      <c r="JLD134" s="3507"/>
      <c r="JLE134" s="3507"/>
      <c r="JLF134" s="3507"/>
      <c r="JLG134" s="3507"/>
      <c r="JLH134" s="3507"/>
      <c r="JLI134" s="3507"/>
      <c r="JLJ134" s="3507"/>
      <c r="JLK134" s="3507"/>
      <c r="JLL134" s="3507"/>
      <c r="JLM134" s="3507"/>
      <c r="JLN134" s="3507"/>
      <c r="JLO134" s="3507"/>
      <c r="JLP134" s="3507"/>
      <c r="JLQ134" s="3507"/>
      <c r="JLR134" s="3507"/>
      <c r="JLS134" s="3507"/>
      <c r="JLT134" s="3507"/>
      <c r="JLU134" s="3507"/>
      <c r="JLV134" s="3507"/>
      <c r="JLW134" s="3507"/>
      <c r="JLX134" s="3507"/>
      <c r="JLY134" s="3507"/>
      <c r="JLZ134" s="3507"/>
      <c r="JMA134" s="3507"/>
      <c r="JMB134" s="3507"/>
      <c r="JMC134" s="3507"/>
      <c r="JMD134" s="3507"/>
      <c r="JME134" s="3507"/>
      <c r="JMF134" s="3507"/>
      <c r="JMG134" s="3507"/>
      <c r="JMH134" s="3507"/>
      <c r="JMI134" s="3507"/>
      <c r="JMJ134" s="3507"/>
      <c r="JMK134" s="3507"/>
      <c r="JML134" s="3507"/>
      <c r="JMM134" s="3507"/>
      <c r="JMN134" s="3507"/>
      <c r="JMO134" s="3507"/>
      <c r="JMP134" s="3507"/>
      <c r="JMQ134" s="3507"/>
      <c r="JMR134" s="3507"/>
      <c r="JMS134" s="3507"/>
      <c r="JMT134" s="3507"/>
      <c r="JMU134" s="3507"/>
      <c r="JMV134" s="3507"/>
      <c r="JMW134" s="3507"/>
      <c r="JMX134" s="3507"/>
      <c r="JMY134" s="3507"/>
      <c r="JMZ134" s="3507"/>
      <c r="JNA134" s="3507"/>
      <c r="JNB134" s="3507"/>
      <c r="JNC134" s="3507"/>
      <c r="JND134" s="3507"/>
      <c r="JNE134" s="3507"/>
      <c r="JNF134" s="3507"/>
      <c r="JNG134" s="3507"/>
      <c r="JNH134" s="3507"/>
      <c r="JNI134" s="3507"/>
      <c r="JNJ134" s="3507"/>
      <c r="JNK134" s="3507"/>
      <c r="JNL134" s="3507"/>
      <c r="JNM134" s="3507"/>
      <c r="JNN134" s="3507"/>
      <c r="JNO134" s="3507"/>
      <c r="JNP134" s="3507"/>
      <c r="JNQ134" s="3507"/>
      <c r="JNR134" s="3507"/>
      <c r="JNS134" s="3507"/>
      <c r="JNT134" s="3507"/>
      <c r="JNU134" s="3507"/>
      <c r="JNV134" s="3507"/>
      <c r="JNW134" s="3507"/>
      <c r="JNX134" s="3507"/>
      <c r="JNY134" s="3507"/>
      <c r="JNZ134" s="3507"/>
      <c r="JOA134" s="3507"/>
      <c r="JOB134" s="3507"/>
      <c r="JOC134" s="3507"/>
      <c r="JOD134" s="3507"/>
      <c r="JOE134" s="3507"/>
      <c r="JOF134" s="3507"/>
      <c r="JOG134" s="3507"/>
      <c r="JOH134" s="3507"/>
      <c r="JOI134" s="3507"/>
      <c r="JOJ134" s="3507"/>
      <c r="JOK134" s="3507"/>
      <c r="JOL134" s="3507"/>
      <c r="JOM134" s="3507"/>
      <c r="JON134" s="3507"/>
      <c r="JOO134" s="3507"/>
      <c r="JOP134" s="3507"/>
      <c r="JOQ134" s="3507"/>
      <c r="JOR134" s="3507"/>
      <c r="JOS134" s="3507"/>
      <c r="JOT134" s="3507"/>
      <c r="JOU134" s="3507"/>
      <c r="JOV134" s="3507"/>
      <c r="JOW134" s="3507"/>
      <c r="JOX134" s="3507"/>
      <c r="JOY134" s="3507"/>
      <c r="JOZ134" s="3507"/>
      <c r="JPA134" s="3507"/>
      <c r="JPB134" s="3507"/>
      <c r="JPC134" s="3507"/>
      <c r="JPD134" s="3507"/>
      <c r="JPE134" s="3507"/>
      <c r="JPF134" s="3507"/>
      <c r="JPG134" s="3507"/>
      <c r="JPH134" s="3507"/>
      <c r="JPI134" s="3507"/>
      <c r="JPJ134" s="3507"/>
      <c r="JPK134" s="3507"/>
      <c r="JPL134" s="3507"/>
      <c r="JPM134" s="3507"/>
      <c r="JPN134" s="3507"/>
      <c r="JPO134" s="3507"/>
      <c r="JPP134" s="3507"/>
      <c r="JPQ134" s="3507"/>
      <c r="JPR134" s="3507"/>
      <c r="JPS134" s="3507"/>
      <c r="JPT134" s="3507"/>
      <c r="JPU134" s="3507"/>
      <c r="JPV134" s="3507"/>
      <c r="JPW134" s="3507"/>
      <c r="JPX134" s="3507"/>
      <c r="JPY134" s="3507"/>
      <c r="JPZ134" s="3507"/>
      <c r="JQA134" s="3507"/>
      <c r="JQB134" s="3507"/>
      <c r="JQC134" s="3507"/>
      <c r="JQD134" s="3507"/>
      <c r="JQE134" s="3507"/>
      <c r="JQF134" s="3507"/>
      <c r="JQG134" s="3507"/>
      <c r="JQH134" s="3507"/>
      <c r="JQI134" s="3507"/>
      <c r="JQJ134" s="3507"/>
      <c r="JQK134" s="3507"/>
      <c r="JQL134" s="3507"/>
      <c r="JQM134" s="3507"/>
      <c r="JQN134" s="3507"/>
      <c r="JQO134" s="3507"/>
      <c r="JQP134" s="3507"/>
      <c r="JQQ134" s="3507"/>
      <c r="JQR134" s="3507"/>
      <c r="JQS134" s="3507"/>
      <c r="JQT134" s="3507"/>
      <c r="JQU134" s="3507"/>
      <c r="JQV134" s="3507"/>
      <c r="JQW134" s="3507"/>
      <c r="JQX134" s="3507"/>
      <c r="JQY134" s="3507"/>
      <c r="JQZ134" s="3507"/>
      <c r="JRA134" s="3507"/>
      <c r="JRB134" s="3507"/>
      <c r="JRC134" s="3507"/>
      <c r="JRD134" s="3507"/>
      <c r="JRE134" s="3507"/>
      <c r="JRF134" s="3507"/>
      <c r="JRG134" s="3507"/>
      <c r="JRH134" s="3507"/>
      <c r="JRI134" s="3507"/>
      <c r="JRJ134" s="3507"/>
      <c r="JRK134" s="3507"/>
      <c r="JRL134" s="3507"/>
      <c r="JRM134" s="3507"/>
      <c r="JRN134" s="3507"/>
      <c r="JRO134" s="3507"/>
      <c r="JRP134" s="3507"/>
      <c r="JRQ134" s="3507"/>
      <c r="JRR134" s="3507"/>
      <c r="JRS134" s="3507"/>
      <c r="JRT134" s="3507"/>
      <c r="JRU134" s="3507"/>
      <c r="JRV134" s="3507"/>
      <c r="JRW134" s="3507"/>
      <c r="JRX134" s="3507"/>
      <c r="JRY134" s="3507"/>
      <c r="JRZ134" s="3507"/>
      <c r="JSA134" s="3507"/>
      <c r="JSB134" s="3507"/>
      <c r="JSC134" s="3507"/>
      <c r="JSD134" s="3507"/>
      <c r="JSE134" s="3507"/>
      <c r="JSF134" s="3507"/>
      <c r="JSG134" s="3507"/>
      <c r="JSH134" s="3507"/>
      <c r="JSI134" s="3507"/>
      <c r="JSJ134" s="3507"/>
      <c r="JSK134" s="3507"/>
      <c r="JSL134" s="3507"/>
      <c r="JSM134" s="3507"/>
      <c r="JSN134" s="3507"/>
      <c r="JSO134" s="3507"/>
      <c r="JSP134" s="3507"/>
      <c r="JSQ134" s="3507"/>
      <c r="JSR134" s="3507"/>
      <c r="JSS134" s="3507"/>
      <c r="JST134" s="3507"/>
      <c r="JSU134" s="3507"/>
      <c r="JSV134" s="3507"/>
      <c r="JSW134" s="3507"/>
      <c r="JSX134" s="3507"/>
      <c r="JSY134" s="3507"/>
      <c r="JSZ134" s="3507"/>
      <c r="JTA134" s="3507"/>
      <c r="JTB134" s="3507"/>
      <c r="JTC134" s="3507"/>
      <c r="JTD134" s="3507"/>
      <c r="JTE134" s="3507"/>
      <c r="JTF134" s="3507"/>
      <c r="JTG134" s="3507"/>
      <c r="JTH134" s="3507"/>
      <c r="JTI134" s="3507"/>
      <c r="JTJ134" s="3507"/>
      <c r="JTK134" s="3507"/>
      <c r="JTL134" s="3507"/>
      <c r="JTM134" s="3507"/>
      <c r="JTN134" s="3507"/>
      <c r="JTO134" s="3507"/>
      <c r="JTP134" s="3507"/>
      <c r="JTQ134" s="3507"/>
      <c r="JTR134" s="3507"/>
      <c r="JTS134" s="3507"/>
      <c r="JTT134" s="3507"/>
      <c r="JTU134" s="3507"/>
      <c r="JTV134" s="3507"/>
      <c r="JTW134" s="3507"/>
      <c r="JTX134" s="3507"/>
      <c r="JTY134" s="3507"/>
      <c r="JTZ134" s="3507"/>
      <c r="JUA134" s="3507"/>
      <c r="JUB134" s="3507"/>
      <c r="JUC134" s="3507"/>
      <c r="JUD134" s="3507"/>
      <c r="JUE134" s="3507"/>
      <c r="JUF134" s="3507"/>
      <c r="JUG134" s="3507"/>
      <c r="JUH134" s="3507"/>
      <c r="JUI134" s="3507"/>
      <c r="JUJ134" s="3507"/>
      <c r="JUK134" s="3507"/>
      <c r="JUL134" s="3507"/>
      <c r="JUM134" s="3507"/>
      <c r="JUN134" s="3507"/>
      <c r="JUO134" s="3507"/>
      <c r="JUP134" s="3507"/>
      <c r="JUQ134" s="3507"/>
      <c r="JUR134" s="3507"/>
      <c r="JUS134" s="3507"/>
      <c r="JUT134" s="3507"/>
      <c r="JUU134" s="3507"/>
      <c r="JUV134" s="3507"/>
      <c r="JUW134" s="3507"/>
      <c r="JUX134" s="3507"/>
      <c r="JUY134" s="3507"/>
      <c r="JUZ134" s="3507"/>
      <c r="JVA134" s="3507"/>
      <c r="JVB134" s="3507"/>
      <c r="JVC134" s="3507"/>
      <c r="JVD134" s="3507"/>
      <c r="JVE134" s="3507"/>
      <c r="JVF134" s="3507"/>
      <c r="JVG134" s="3507"/>
      <c r="JVH134" s="3507"/>
      <c r="JVI134" s="3507"/>
      <c r="JVJ134" s="3507"/>
      <c r="JVK134" s="3507"/>
      <c r="JVL134" s="3507"/>
      <c r="JVM134" s="3507"/>
      <c r="JVN134" s="3507"/>
      <c r="JVO134" s="3507"/>
      <c r="JVP134" s="3507"/>
      <c r="JVQ134" s="3507"/>
      <c r="JVR134" s="3507"/>
      <c r="JVS134" s="3507"/>
      <c r="JVT134" s="3507"/>
      <c r="JVU134" s="3507"/>
      <c r="JVV134" s="3507"/>
      <c r="JVW134" s="3507"/>
      <c r="JVX134" s="3507"/>
      <c r="JVY134" s="3507"/>
      <c r="JVZ134" s="3507"/>
      <c r="JWA134" s="3507"/>
      <c r="JWB134" s="3507"/>
      <c r="JWC134" s="3507"/>
      <c r="JWD134" s="3507"/>
      <c r="JWE134" s="3507"/>
      <c r="JWF134" s="3507"/>
      <c r="JWG134" s="3507"/>
      <c r="JWH134" s="3507"/>
      <c r="JWI134" s="3507"/>
      <c r="JWJ134" s="3507"/>
      <c r="JWK134" s="3507"/>
      <c r="JWL134" s="3507"/>
      <c r="JWM134" s="3507"/>
      <c r="JWN134" s="3507"/>
      <c r="JWO134" s="3507"/>
      <c r="JWP134" s="3507"/>
      <c r="JWQ134" s="3507"/>
      <c r="JWR134" s="3507"/>
      <c r="JWS134" s="3507"/>
      <c r="JWT134" s="3507"/>
      <c r="JWU134" s="3507"/>
      <c r="JWV134" s="3507"/>
      <c r="JWW134" s="3507"/>
      <c r="JWX134" s="3507"/>
      <c r="JWY134" s="3507"/>
      <c r="JWZ134" s="3507"/>
      <c r="JXA134" s="3507"/>
      <c r="JXB134" s="3507"/>
      <c r="JXC134" s="3507"/>
      <c r="JXD134" s="3507"/>
      <c r="JXE134" s="3507"/>
      <c r="JXF134" s="3507"/>
      <c r="JXG134" s="3507"/>
      <c r="JXH134" s="3507"/>
      <c r="JXI134" s="3507"/>
      <c r="JXJ134" s="3507"/>
      <c r="JXK134" s="3507"/>
      <c r="JXL134" s="3507"/>
      <c r="JXM134" s="3507"/>
      <c r="JXN134" s="3507"/>
      <c r="JXO134" s="3507"/>
      <c r="JXP134" s="3507"/>
      <c r="JXQ134" s="3507"/>
      <c r="JXR134" s="3507"/>
      <c r="JXS134" s="3507"/>
      <c r="JXT134" s="3507"/>
      <c r="JXU134" s="3507"/>
      <c r="JXV134" s="3507"/>
      <c r="JXW134" s="3507"/>
      <c r="JXX134" s="3507"/>
      <c r="JXY134" s="3507"/>
      <c r="JXZ134" s="3507"/>
      <c r="JYA134" s="3507"/>
      <c r="JYB134" s="3507"/>
      <c r="JYC134" s="3507"/>
      <c r="JYD134" s="3507"/>
      <c r="JYE134" s="3507"/>
      <c r="JYF134" s="3507"/>
      <c r="JYG134" s="3507"/>
      <c r="JYH134" s="3507"/>
      <c r="JYI134" s="3507"/>
      <c r="JYJ134" s="3507"/>
      <c r="JYK134" s="3507"/>
      <c r="JYL134" s="3507"/>
      <c r="JYM134" s="3507"/>
      <c r="JYN134" s="3507"/>
      <c r="JYO134" s="3507"/>
      <c r="JYP134" s="3507"/>
      <c r="JYQ134" s="3507"/>
      <c r="JYR134" s="3507"/>
      <c r="JYS134" s="3507"/>
      <c r="JYT134" s="3507"/>
      <c r="JYU134" s="3507"/>
      <c r="JYV134" s="3507"/>
      <c r="JYW134" s="3507"/>
      <c r="JYX134" s="3507"/>
      <c r="JYY134" s="3507"/>
      <c r="JYZ134" s="3507"/>
      <c r="JZA134" s="3507"/>
      <c r="JZB134" s="3507"/>
      <c r="JZC134" s="3507"/>
      <c r="JZD134" s="3507"/>
      <c r="JZE134" s="3507"/>
      <c r="JZF134" s="3507"/>
      <c r="JZG134" s="3507"/>
      <c r="JZH134" s="3507"/>
      <c r="JZI134" s="3507"/>
      <c r="JZJ134" s="3507"/>
      <c r="JZK134" s="3507"/>
      <c r="JZL134" s="3507"/>
      <c r="JZM134" s="3507"/>
      <c r="JZN134" s="3507"/>
      <c r="JZO134" s="3507"/>
      <c r="JZP134" s="3507"/>
      <c r="JZQ134" s="3507"/>
      <c r="JZR134" s="3507"/>
      <c r="JZS134" s="3507"/>
      <c r="JZT134" s="3507"/>
      <c r="JZU134" s="3507"/>
      <c r="JZV134" s="3507"/>
      <c r="JZW134" s="3507"/>
      <c r="JZX134" s="3507"/>
      <c r="JZY134" s="3507"/>
      <c r="JZZ134" s="3507"/>
      <c r="KAA134" s="3507"/>
      <c r="KAB134" s="3507"/>
      <c r="KAC134" s="3507"/>
      <c r="KAD134" s="3507"/>
      <c r="KAE134" s="3507"/>
      <c r="KAF134" s="3507"/>
      <c r="KAG134" s="3507"/>
      <c r="KAH134" s="3507"/>
      <c r="KAI134" s="3507"/>
      <c r="KAJ134" s="3507"/>
      <c r="KAK134" s="3507"/>
      <c r="KAL134" s="3507"/>
      <c r="KAM134" s="3507"/>
      <c r="KAN134" s="3507"/>
      <c r="KAO134" s="3507"/>
      <c r="KAP134" s="3507"/>
      <c r="KAQ134" s="3507"/>
      <c r="KAR134" s="3507"/>
      <c r="KAS134" s="3507"/>
      <c r="KAT134" s="3507"/>
      <c r="KAU134" s="3507"/>
      <c r="KAV134" s="3507"/>
      <c r="KAW134" s="3507"/>
      <c r="KAX134" s="3507"/>
      <c r="KAY134" s="3507"/>
      <c r="KAZ134" s="3507"/>
      <c r="KBA134" s="3507"/>
      <c r="KBB134" s="3507"/>
      <c r="KBC134" s="3507"/>
      <c r="KBD134" s="3507"/>
      <c r="KBE134" s="3507"/>
      <c r="KBF134" s="3507"/>
      <c r="KBG134" s="3507"/>
      <c r="KBH134" s="3507"/>
      <c r="KBI134" s="3507"/>
      <c r="KBJ134" s="3507"/>
      <c r="KBK134" s="3507"/>
      <c r="KBL134" s="3507"/>
      <c r="KBM134" s="3507"/>
      <c r="KBN134" s="3507"/>
      <c r="KBO134" s="3507"/>
      <c r="KBP134" s="3507"/>
      <c r="KBQ134" s="3507"/>
      <c r="KBR134" s="3507"/>
      <c r="KBS134" s="3507"/>
      <c r="KBT134" s="3507"/>
      <c r="KBU134" s="3507"/>
      <c r="KBV134" s="3507"/>
      <c r="KBW134" s="3507"/>
      <c r="KBX134" s="3507"/>
      <c r="KBY134" s="3507"/>
      <c r="KBZ134" s="3507"/>
      <c r="KCA134" s="3507"/>
      <c r="KCB134" s="3507"/>
      <c r="KCC134" s="3507"/>
      <c r="KCD134" s="3507"/>
      <c r="KCE134" s="3507"/>
      <c r="KCF134" s="3507"/>
      <c r="KCG134" s="3507"/>
      <c r="KCH134" s="3507"/>
      <c r="KCI134" s="3507"/>
      <c r="KCJ134" s="3507"/>
      <c r="KCK134" s="3507"/>
      <c r="KCL134" s="3507"/>
      <c r="KCM134" s="3507"/>
      <c r="KCN134" s="3507"/>
      <c r="KCO134" s="3507"/>
      <c r="KCP134" s="3507"/>
      <c r="KCQ134" s="3507"/>
      <c r="KCR134" s="3507"/>
      <c r="KCS134" s="3507"/>
      <c r="KCT134" s="3507"/>
      <c r="KCU134" s="3507"/>
      <c r="KCV134" s="3507"/>
      <c r="KCW134" s="3507"/>
      <c r="KCX134" s="3507"/>
      <c r="KCY134" s="3507"/>
      <c r="KCZ134" s="3507"/>
      <c r="KDA134" s="3507"/>
      <c r="KDB134" s="3507"/>
      <c r="KDC134" s="3507"/>
      <c r="KDD134" s="3507"/>
      <c r="KDE134" s="3507"/>
      <c r="KDF134" s="3507"/>
      <c r="KDG134" s="3507"/>
      <c r="KDH134" s="3507"/>
      <c r="KDI134" s="3507"/>
      <c r="KDJ134" s="3507"/>
      <c r="KDK134" s="3507"/>
      <c r="KDL134" s="3507"/>
      <c r="KDM134" s="3507"/>
      <c r="KDN134" s="3507"/>
      <c r="KDO134" s="3507"/>
      <c r="KDP134" s="3507"/>
      <c r="KDQ134" s="3507"/>
      <c r="KDR134" s="3507"/>
      <c r="KDS134" s="3507"/>
      <c r="KDT134" s="3507"/>
      <c r="KDU134" s="3507"/>
      <c r="KDV134" s="3507"/>
      <c r="KDW134" s="3507"/>
      <c r="KDX134" s="3507"/>
      <c r="KDY134" s="3507"/>
      <c r="KDZ134" s="3507"/>
      <c r="KEA134" s="3507"/>
      <c r="KEB134" s="3507"/>
      <c r="KEC134" s="3507"/>
      <c r="KED134" s="3507"/>
      <c r="KEE134" s="3507"/>
      <c r="KEF134" s="3507"/>
      <c r="KEG134" s="3507"/>
      <c r="KEH134" s="3507"/>
      <c r="KEI134" s="3507"/>
      <c r="KEJ134" s="3507"/>
      <c r="KEK134" s="3507"/>
      <c r="KEL134" s="3507"/>
      <c r="KEM134" s="3507"/>
      <c r="KEN134" s="3507"/>
      <c r="KEO134" s="3507"/>
      <c r="KEP134" s="3507"/>
      <c r="KEQ134" s="3507"/>
      <c r="KER134" s="3507"/>
      <c r="KES134" s="3507"/>
      <c r="KET134" s="3507"/>
      <c r="KEU134" s="3507"/>
      <c r="KEV134" s="3507"/>
      <c r="KEW134" s="3507"/>
      <c r="KEX134" s="3507"/>
      <c r="KEY134" s="3507"/>
      <c r="KEZ134" s="3507"/>
      <c r="KFA134" s="3507"/>
      <c r="KFB134" s="3507"/>
      <c r="KFC134" s="3507"/>
      <c r="KFD134" s="3507"/>
      <c r="KFE134" s="3507"/>
      <c r="KFF134" s="3507"/>
      <c r="KFG134" s="3507"/>
      <c r="KFH134" s="3507"/>
      <c r="KFI134" s="3507"/>
      <c r="KFJ134" s="3507"/>
      <c r="KFK134" s="3507"/>
      <c r="KFL134" s="3507"/>
      <c r="KFM134" s="3507"/>
      <c r="KFN134" s="3507"/>
      <c r="KFO134" s="3507"/>
      <c r="KFP134" s="3507"/>
      <c r="KFQ134" s="3507"/>
      <c r="KFR134" s="3507"/>
      <c r="KFS134" s="3507"/>
      <c r="KFT134" s="3507"/>
      <c r="KFU134" s="3507"/>
      <c r="KFV134" s="3507"/>
      <c r="KFW134" s="3507"/>
      <c r="KFX134" s="3507"/>
      <c r="KFY134" s="3507"/>
      <c r="KFZ134" s="3507"/>
      <c r="KGA134" s="3507"/>
      <c r="KGB134" s="3507"/>
      <c r="KGC134" s="3507"/>
      <c r="KGD134" s="3507"/>
      <c r="KGE134" s="3507"/>
      <c r="KGF134" s="3507"/>
      <c r="KGG134" s="3507"/>
      <c r="KGH134" s="3507"/>
      <c r="KGI134" s="3507"/>
      <c r="KGJ134" s="3507"/>
      <c r="KGK134" s="3507"/>
      <c r="KGL134" s="3507"/>
      <c r="KGM134" s="3507"/>
      <c r="KGN134" s="3507"/>
      <c r="KGO134" s="3507"/>
      <c r="KGP134" s="3507"/>
      <c r="KGQ134" s="3507"/>
      <c r="KGR134" s="3507"/>
      <c r="KGS134" s="3507"/>
      <c r="KGT134" s="3507"/>
      <c r="KGU134" s="3507"/>
      <c r="KGV134" s="3507"/>
      <c r="KGW134" s="3507"/>
      <c r="KGX134" s="3507"/>
      <c r="KGY134" s="3507"/>
      <c r="KGZ134" s="3507"/>
      <c r="KHA134" s="3507"/>
      <c r="KHB134" s="3507"/>
      <c r="KHC134" s="3507"/>
      <c r="KHD134" s="3507"/>
      <c r="KHE134" s="3507"/>
      <c r="KHF134" s="3507"/>
      <c r="KHG134" s="3507"/>
      <c r="KHH134" s="3507"/>
      <c r="KHI134" s="3507"/>
      <c r="KHJ134" s="3507"/>
      <c r="KHK134" s="3507"/>
      <c r="KHL134" s="3507"/>
      <c r="KHM134" s="3507"/>
      <c r="KHN134" s="3507"/>
      <c r="KHO134" s="3507"/>
      <c r="KHP134" s="3507"/>
      <c r="KHQ134" s="3507"/>
      <c r="KHR134" s="3507"/>
      <c r="KHS134" s="3507"/>
      <c r="KHT134" s="3507"/>
      <c r="KHU134" s="3507"/>
      <c r="KHV134" s="3507"/>
      <c r="KHW134" s="3507"/>
      <c r="KHX134" s="3507"/>
      <c r="KHY134" s="3507"/>
      <c r="KHZ134" s="3507"/>
      <c r="KIA134" s="3507"/>
      <c r="KIB134" s="3507"/>
      <c r="KIC134" s="3507"/>
      <c r="KID134" s="3507"/>
      <c r="KIE134" s="3507"/>
      <c r="KIF134" s="3507"/>
      <c r="KIG134" s="3507"/>
      <c r="KIH134" s="3507"/>
      <c r="KII134" s="3507"/>
      <c r="KIJ134" s="3507"/>
      <c r="KIK134" s="3507"/>
      <c r="KIL134" s="3507"/>
      <c r="KIM134" s="3507"/>
      <c r="KIN134" s="3507"/>
      <c r="KIO134" s="3507"/>
      <c r="KIP134" s="3507"/>
      <c r="KIQ134" s="3507"/>
      <c r="KIR134" s="3507"/>
      <c r="KIS134" s="3507"/>
      <c r="KIT134" s="3507"/>
      <c r="KIU134" s="3507"/>
      <c r="KIV134" s="3507"/>
      <c r="KIW134" s="3507"/>
      <c r="KIX134" s="3507"/>
      <c r="KIY134" s="3507"/>
      <c r="KIZ134" s="3507"/>
      <c r="KJA134" s="3507"/>
      <c r="KJB134" s="3507"/>
      <c r="KJC134" s="3507"/>
      <c r="KJD134" s="3507"/>
      <c r="KJE134" s="3507"/>
      <c r="KJF134" s="3507"/>
      <c r="KJG134" s="3507"/>
      <c r="KJH134" s="3507"/>
      <c r="KJI134" s="3507"/>
      <c r="KJJ134" s="3507"/>
      <c r="KJK134" s="3507"/>
      <c r="KJL134" s="3507"/>
      <c r="KJM134" s="3507"/>
      <c r="KJN134" s="3507"/>
      <c r="KJO134" s="3507"/>
      <c r="KJP134" s="3507"/>
      <c r="KJQ134" s="3507"/>
      <c r="KJR134" s="3507"/>
      <c r="KJS134" s="3507"/>
      <c r="KJT134" s="3507"/>
      <c r="KJU134" s="3507"/>
      <c r="KJV134" s="3507"/>
      <c r="KJW134" s="3507"/>
      <c r="KJX134" s="3507"/>
      <c r="KJY134" s="3507"/>
      <c r="KJZ134" s="3507"/>
      <c r="KKA134" s="3507"/>
      <c r="KKB134" s="3507"/>
      <c r="KKC134" s="3507"/>
      <c r="KKD134" s="3507"/>
      <c r="KKE134" s="3507"/>
      <c r="KKF134" s="3507"/>
      <c r="KKG134" s="3507"/>
      <c r="KKH134" s="3507"/>
      <c r="KKI134" s="3507"/>
      <c r="KKJ134" s="3507"/>
      <c r="KKK134" s="3507"/>
      <c r="KKL134" s="3507"/>
      <c r="KKM134" s="3507"/>
      <c r="KKN134" s="3507"/>
      <c r="KKO134" s="3507"/>
      <c r="KKP134" s="3507"/>
      <c r="KKQ134" s="3507"/>
      <c r="KKR134" s="3507"/>
      <c r="KKS134" s="3507"/>
      <c r="KKT134" s="3507"/>
      <c r="KKU134" s="3507"/>
      <c r="KKV134" s="3507"/>
      <c r="KKW134" s="3507"/>
      <c r="KKX134" s="3507"/>
      <c r="KKY134" s="3507"/>
      <c r="KKZ134" s="3507"/>
      <c r="KLA134" s="3507"/>
      <c r="KLB134" s="3507"/>
      <c r="KLC134" s="3507"/>
      <c r="KLD134" s="3507"/>
      <c r="KLE134" s="3507"/>
      <c r="KLF134" s="3507"/>
      <c r="KLG134" s="3507"/>
      <c r="KLH134" s="3507"/>
      <c r="KLI134" s="3507"/>
      <c r="KLJ134" s="3507"/>
      <c r="KLK134" s="3507"/>
      <c r="KLL134" s="3507"/>
      <c r="KLM134" s="3507"/>
      <c r="KLN134" s="3507"/>
      <c r="KLO134" s="3507"/>
      <c r="KLP134" s="3507"/>
      <c r="KLQ134" s="3507"/>
      <c r="KLR134" s="3507"/>
      <c r="KLS134" s="3507"/>
      <c r="KLT134" s="3507"/>
      <c r="KLU134" s="3507"/>
      <c r="KLV134" s="3507"/>
      <c r="KLW134" s="3507"/>
      <c r="KLX134" s="3507"/>
      <c r="KLY134" s="3507"/>
      <c r="KLZ134" s="3507"/>
      <c r="KMA134" s="3507"/>
      <c r="KMB134" s="3507"/>
      <c r="KMC134" s="3507"/>
      <c r="KMD134" s="3507"/>
      <c r="KME134" s="3507"/>
      <c r="KMF134" s="3507"/>
      <c r="KMG134" s="3507"/>
      <c r="KMH134" s="3507"/>
      <c r="KMI134" s="3507"/>
      <c r="KMJ134" s="3507"/>
      <c r="KMK134" s="3507"/>
      <c r="KML134" s="3507"/>
      <c r="KMM134" s="3507"/>
      <c r="KMN134" s="3507"/>
      <c r="KMO134" s="3507"/>
      <c r="KMP134" s="3507"/>
      <c r="KMQ134" s="3507"/>
      <c r="KMR134" s="3507"/>
      <c r="KMS134" s="3507"/>
      <c r="KMT134" s="3507"/>
      <c r="KMU134" s="3507"/>
      <c r="KMV134" s="3507"/>
      <c r="KMW134" s="3507"/>
      <c r="KMX134" s="3507"/>
      <c r="KMY134" s="3507"/>
      <c r="KMZ134" s="3507"/>
      <c r="KNA134" s="3507"/>
      <c r="KNB134" s="3507"/>
      <c r="KNC134" s="3507"/>
      <c r="KND134" s="3507"/>
      <c r="KNE134" s="3507"/>
      <c r="KNF134" s="3507"/>
      <c r="KNG134" s="3507"/>
      <c r="KNH134" s="3507"/>
      <c r="KNI134" s="3507"/>
      <c r="KNJ134" s="3507"/>
      <c r="KNK134" s="3507"/>
      <c r="KNL134" s="3507"/>
      <c r="KNM134" s="3507"/>
      <c r="KNN134" s="3507"/>
      <c r="KNO134" s="3507"/>
      <c r="KNP134" s="3507"/>
      <c r="KNQ134" s="3507"/>
      <c r="KNR134" s="3507"/>
      <c r="KNS134" s="3507"/>
      <c r="KNT134" s="3507"/>
      <c r="KNU134" s="3507"/>
      <c r="KNV134" s="3507"/>
      <c r="KNW134" s="3507"/>
      <c r="KNX134" s="3507"/>
      <c r="KNY134" s="3507"/>
      <c r="KNZ134" s="3507"/>
      <c r="KOA134" s="3507"/>
      <c r="KOB134" s="3507"/>
      <c r="KOC134" s="3507"/>
      <c r="KOD134" s="3507"/>
      <c r="KOE134" s="3507"/>
      <c r="KOF134" s="3507"/>
      <c r="KOG134" s="3507"/>
      <c r="KOH134" s="3507"/>
      <c r="KOI134" s="3507"/>
      <c r="KOJ134" s="3507"/>
      <c r="KOK134" s="3507"/>
      <c r="KOL134" s="3507"/>
      <c r="KOM134" s="3507"/>
      <c r="KON134" s="3507"/>
      <c r="KOO134" s="3507"/>
      <c r="KOP134" s="3507"/>
      <c r="KOQ134" s="3507"/>
      <c r="KOR134" s="3507"/>
      <c r="KOS134" s="3507"/>
      <c r="KOT134" s="3507"/>
      <c r="KOU134" s="3507"/>
      <c r="KOV134" s="3507"/>
      <c r="KOW134" s="3507"/>
      <c r="KOX134" s="3507"/>
      <c r="KOY134" s="3507"/>
      <c r="KOZ134" s="3507"/>
      <c r="KPA134" s="3507"/>
      <c r="KPB134" s="3507"/>
      <c r="KPC134" s="3507"/>
      <c r="KPD134" s="3507"/>
      <c r="KPE134" s="3507"/>
      <c r="KPF134" s="3507"/>
      <c r="KPG134" s="3507"/>
      <c r="KPH134" s="3507"/>
      <c r="KPI134" s="3507"/>
      <c r="KPJ134" s="3507"/>
      <c r="KPK134" s="3507"/>
      <c r="KPL134" s="3507"/>
      <c r="KPM134" s="3507"/>
      <c r="KPN134" s="3507"/>
      <c r="KPO134" s="3507"/>
      <c r="KPP134" s="3507"/>
      <c r="KPQ134" s="3507"/>
      <c r="KPR134" s="3507"/>
      <c r="KPS134" s="3507"/>
      <c r="KPT134" s="3507"/>
      <c r="KPU134" s="3507"/>
      <c r="KPV134" s="3507"/>
      <c r="KPW134" s="3507"/>
      <c r="KPX134" s="3507"/>
      <c r="KPY134" s="3507"/>
      <c r="KPZ134" s="3507"/>
      <c r="KQA134" s="3507"/>
      <c r="KQB134" s="3507"/>
      <c r="KQC134" s="3507"/>
      <c r="KQD134" s="3507"/>
      <c r="KQE134" s="3507"/>
      <c r="KQF134" s="3507"/>
      <c r="KQG134" s="3507"/>
      <c r="KQH134" s="3507"/>
      <c r="KQI134" s="3507"/>
      <c r="KQJ134" s="3507"/>
      <c r="KQK134" s="3507"/>
      <c r="KQL134" s="3507"/>
      <c r="KQM134" s="3507"/>
      <c r="KQN134" s="3507"/>
      <c r="KQO134" s="3507"/>
      <c r="KQP134" s="3507"/>
      <c r="KQQ134" s="3507"/>
      <c r="KQR134" s="3507"/>
      <c r="KQS134" s="3507"/>
      <c r="KQT134" s="3507"/>
      <c r="KQU134" s="3507"/>
      <c r="KQV134" s="3507"/>
      <c r="KQW134" s="3507"/>
      <c r="KQX134" s="3507"/>
      <c r="KQY134" s="3507"/>
      <c r="KQZ134" s="3507"/>
      <c r="KRA134" s="3507"/>
      <c r="KRB134" s="3507"/>
      <c r="KRC134" s="3507"/>
      <c r="KRD134" s="3507"/>
      <c r="KRE134" s="3507"/>
      <c r="KRF134" s="3507"/>
      <c r="KRG134" s="3507"/>
      <c r="KRH134" s="3507"/>
      <c r="KRI134" s="3507"/>
      <c r="KRJ134" s="3507"/>
      <c r="KRK134" s="3507"/>
      <c r="KRL134" s="3507"/>
      <c r="KRM134" s="3507"/>
      <c r="KRN134" s="3507"/>
      <c r="KRO134" s="3507"/>
      <c r="KRP134" s="3507"/>
      <c r="KRQ134" s="3507"/>
      <c r="KRR134" s="3507"/>
      <c r="KRS134" s="3507"/>
      <c r="KRT134" s="3507"/>
      <c r="KRU134" s="3507"/>
      <c r="KRV134" s="3507"/>
      <c r="KRW134" s="3507"/>
      <c r="KRX134" s="3507"/>
      <c r="KRY134" s="3507"/>
      <c r="KRZ134" s="3507"/>
      <c r="KSA134" s="3507"/>
      <c r="KSB134" s="3507"/>
      <c r="KSC134" s="3507"/>
      <c r="KSD134" s="3507"/>
      <c r="KSE134" s="3507"/>
      <c r="KSF134" s="3507"/>
      <c r="KSG134" s="3507"/>
      <c r="KSH134" s="3507"/>
      <c r="KSI134" s="3507"/>
      <c r="KSJ134" s="3507"/>
      <c r="KSK134" s="3507"/>
      <c r="KSL134" s="3507"/>
      <c r="KSM134" s="3507"/>
      <c r="KSN134" s="3507"/>
      <c r="KSO134" s="3507"/>
      <c r="KSP134" s="3507"/>
      <c r="KSQ134" s="3507"/>
      <c r="KSR134" s="3507"/>
      <c r="KSS134" s="3507"/>
      <c r="KST134" s="3507"/>
      <c r="KSU134" s="3507"/>
      <c r="KSV134" s="3507"/>
      <c r="KSW134" s="3507"/>
      <c r="KSX134" s="3507"/>
      <c r="KSY134" s="3507"/>
      <c r="KSZ134" s="3507"/>
      <c r="KTA134" s="3507"/>
      <c r="KTB134" s="3507"/>
      <c r="KTC134" s="3507"/>
      <c r="KTD134" s="3507"/>
      <c r="KTE134" s="3507"/>
      <c r="KTF134" s="3507"/>
      <c r="KTG134" s="3507"/>
      <c r="KTH134" s="3507"/>
      <c r="KTI134" s="3507"/>
      <c r="KTJ134" s="3507"/>
      <c r="KTK134" s="3507"/>
      <c r="KTL134" s="3507"/>
      <c r="KTM134" s="3507"/>
      <c r="KTN134" s="3507"/>
      <c r="KTO134" s="3507"/>
      <c r="KTP134" s="3507"/>
      <c r="KTQ134" s="3507"/>
      <c r="KTR134" s="3507"/>
      <c r="KTS134" s="3507"/>
      <c r="KTT134" s="3507"/>
      <c r="KTU134" s="3507"/>
      <c r="KTV134" s="3507"/>
      <c r="KTW134" s="3507"/>
      <c r="KTX134" s="3507"/>
      <c r="KTY134" s="3507"/>
      <c r="KTZ134" s="3507"/>
      <c r="KUA134" s="3507"/>
      <c r="KUB134" s="3507"/>
      <c r="KUC134" s="3507"/>
      <c r="KUD134" s="3507"/>
      <c r="KUE134" s="3507"/>
      <c r="KUF134" s="3507"/>
      <c r="KUG134" s="3507"/>
      <c r="KUH134" s="3507"/>
      <c r="KUI134" s="3507"/>
      <c r="KUJ134" s="3507"/>
      <c r="KUK134" s="3507"/>
      <c r="KUL134" s="3507"/>
      <c r="KUM134" s="3507"/>
      <c r="KUN134" s="3507"/>
      <c r="KUO134" s="3507"/>
      <c r="KUP134" s="3507"/>
      <c r="KUQ134" s="3507"/>
      <c r="KUR134" s="3507"/>
      <c r="KUS134" s="3507"/>
      <c r="KUT134" s="3507"/>
      <c r="KUU134" s="3507"/>
      <c r="KUV134" s="3507"/>
      <c r="KUW134" s="3507"/>
      <c r="KUX134" s="3507"/>
      <c r="KUY134" s="3507"/>
      <c r="KUZ134" s="3507"/>
      <c r="KVA134" s="3507"/>
      <c r="KVB134" s="3507"/>
      <c r="KVC134" s="3507"/>
      <c r="KVD134" s="3507"/>
      <c r="KVE134" s="3507"/>
      <c r="KVF134" s="3507"/>
      <c r="KVG134" s="3507"/>
      <c r="KVH134" s="3507"/>
      <c r="KVI134" s="3507"/>
      <c r="KVJ134" s="3507"/>
      <c r="KVK134" s="3507"/>
      <c r="KVL134" s="3507"/>
      <c r="KVM134" s="3507"/>
      <c r="KVN134" s="3507"/>
      <c r="KVO134" s="3507"/>
      <c r="KVP134" s="3507"/>
      <c r="KVQ134" s="3507"/>
      <c r="KVR134" s="3507"/>
      <c r="KVS134" s="3507"/>
      <c r="KVT134" s="3507"/>
      <c r="KVU134" s="3507"/>
      <c r="KVV134" s="3507"/>
      <c r="KVW134" s="3507"/>
      <c r="KVX134" s="3507"/>
      <c r="KVY134" s="3507"/>
      <c r="KVZ134" s="3507"/>
      <c r="KWA134" s="3507"/>
      <c r="KWB134" s="3507"/>
      <c r="KWC134" s="3507"/>
      <c r="KWD134" s="3507"/>
      <c r="KWE134" s="3507"/>
      <c r="KWF134" s="3507"/>
      <c r="KWG134" s="3507"/>
      <c r="KWH134" s="3507"/>
      <c r="KWI134" s="3507"/>
      <c r="KWJ134" s="3507"/>
      <c r="KWK134" s="3507"/>
      <c r="KWL134" s="3507"/>
      <c r="KWM134" s="3507"/>
      <c r="KWN134" s="3507"/>
      <c r="KWO134" s="3507"/>
      <c r="KWP134" s="3507"/>
      <c r="KWQ134" s="3507"/>
      <c r="KWR134" s="3507"/>
      <c r="KWS134" s="3507"/>
      <c r="KWT134" s="3507"/>
      <c r="KWU134" s="3507"/>
      <c r="KWV134" s="3507"/>
      <c r="KWW134" s="3507"/>
      <c r="KWX134" s="3507"/>
      <c r="KWY134" s="3507"/>
      <c r="KWZ134" s="3507"/>
      <c r="KXA134" s="3507"/>
      <c r="KXB134" s="3507"/>
      <c r="KXC134" s="3507"/>
      <c r="KXD134" s="3507"/>
      <c r="KXE134" s="3507"/>
      <c r="KXF134" s="3507"/>
      <c r="KXG134" s="3507"/>
      <c r="KXH134" s="3507"/>
      <c r="KXI134" s="3507"/>
      <c r="KXJ134" s="3507"/>
      <c r="KXK134" s="3507"/>
      <c r="KXL134" s="3507"/>
      <c r="KXM134" s="3507"/>
      <c r="KXN134" s="3507"/>
      <c r="KXO134" s="3507"/>
      <c r="KXP134" s="3507"/>
      <c r="KXQ134" s="3507"/>
      <c r="KXR134" s="3507"/>
      <c r="KXS134" s="3507"/>
      <c r="KXT134" s="3507"/>
      <c r="KXU134" s="3507"/>
      <c r="KXV134" s="3507"/>
      <c r="KXW134" s="3507"/>
      <c r="KXX134" s="3507"/>
      <c r="KXY134" s="3507"/>
      <c r="KXZ134" s="3507"/>
      <c r="KYA134" s="3507"/>
      <c r="KYB134" s="3507"/>
      <c r="KYC134" s="3507"/>
      <c r="KYD134" s="3507"/>
      <c r="KYE134" s="3507"/>
      <c r="KYF134" s="3507"/>
      <c r="KYG134" s="3507"/>
      <c r="KYH134" s="3507"/>
      <c r="KYI134" s="3507"/>
      <c r="KYJ134" s="3507"/>
      <c r="KYK134" s="3507"/>
      <c r="KYL134" s="3507"/>
      <c r="KYM134" s="3507"/>
      <c r="KYN134" s="3507"/>
      <c r="KYO134" s="3507"/>
      <c r="KYP134" s="3507"/>
      <c r="KYQ134" s="3507"/>
      <c r="KYR134" s="3507"/>
      <c r="KYS134" s="3507"/>
      <c r="KYT134" s="3507"/>
      <c r="KYU134" s="3507"/>
      <c r="KYV134" s="3507"/>
      <c r="KYW134" s="3507"/>
      <c r="KYX134" s="3507"/>
      <c r="KYY134" s="3507"/>
      <c r="KYZ134" s="3507"/>
      <c r="KZA134" s="3507"/>
      <c r="KZB134" s="3507"/>
      <c r="KZC134" s="3507"/>
      <c r="KZD134" s="3507"/>
      <c r="KZE134" s="3507"/>
      <c r="KZF134" s="3507"/>
      <c r="KZG134" s="3507"/>
      <c r="KZH134" s="3507"/>
      <c r="KZI134" s="3507"/>
      <c r="KZJ134" s="3507"/>
      <c r="KZK134" s="3507"/>
      <c r="KZL134" s="3507"/>
      <c r="KZM134" s="3507"/>
      <c r="KZN134" s="3507"/>
      <c r="KZO134" s="3507"/>
      <c r="KZP134" s="3507"/>
      <c r="KZQ134" s="3507"/>
      <c r="KZR134" s="3507"/>
      <c r="KZS134" s="3507"/>
      <c r="KZT134" s="3507"/>
      <c r="KZU134" s="3507"/>
      <c r="KZV134" s="3507"/>
      <c r="KZW134" s="3507"/>
      <c r="KZX134" s="3507"/>
      <c r="KZY134" s="3507"/>
      <c r="KZZ134" s="3507"/>
      <c r="LAA134" s="3507"/>
      <c r="LAB134" s="3507"/>
      <c r="LAC134" s="3507"/>
      <c r="LAD134" s="3507"/>
      <c r="LAE134" s="3507"/>
      <c r="LAF134" s="3507"/>
      <c r="LAG134" s="3507"/>
      <c r="LAH134" s="3507"/>
      <c r="LAI134" s="3507"/>
      <c r="LAJ134" s="3507"/>
      <c r="LAK134" s="3507"/>
      <c r="LAL134" s="3507"/>
      <c r="LAM134" s="3507"/>
      <c r="LAN134" s="3507"/>
      <c r="LAO134" s="3507"/>
      <c r="LAP134" s="3507"/>
      <c r="LAQ134" s="3507"/>
      <c r="LAR134" s="3507"/>
      <c r="LAS134" s="3507"/>
      <c r="LAT134" s="3507"/>
      <c r="LAU134" s="3507"/>
      <c r="LAV134" s="3507"/>
      <c r="LAW134" s="3507"/>
      <c r="LAX134" s="3507"/>
      <c r="LAY134" s="3507"/>
      <c r="LAZ134" s="3507"/>
      <c r="LBA134" s="3507"/>
      <c r="LBB134" s="3507"/>
      <c r="LBC134" s="3507"/>
      <c r="LBD134" s="3507"/>
      <c r="LBE134" s="3507"/>
      <c r="LBF134" s="3507"/>
      <c r="LBG134" s="3507"/>
      <c r="LBH134" s="3507"/>
      <c r="LBI134" s="3507"/>
      <c r="LBJ134" s="3507"/>
      <c r="LBK134" s="3507"/>
      <c r="LBL134" s="3507"/>
      <c r="LBM134" s="3507"/>
      <c r="LBN134" s="3507"/>
      <c r="LBO134" s="3507"/>
      <c r="LBP134" s="3507"/>
      <c r="LBQ134" s="3507"/>
      <c r="LBR134" s="3507"/>
      <c r="LBS134" s="3507"/>
      <c r="LBT134" s="3507"/>
      <c r="LBU134" s="3507"/>
      <c r="LBV134" s="3507"/>
      <c r="LBW134" s="3507"/>
      <c r="LBX134" s="3507"/>
      <c r="LBY134" s="3507"/>
      <c r="LBZ134" s="3507"/>
      <c r="LCA134" s="3507"/>
      <c r="LCB134" s="3507"/>
      <c r="LCC134" s="3507"/>
      <c r="LCD134" s="3507"/>
      <c r="LCE134" s="3507"/>
      <c r="LCF134" s="3507"/>
      <c r="LCG134" s="3507"/>
      <c r="LCH134" s="3507"/>
      <c r="LCI134" s="3507"/>
      <c r="LCJ134" s="3507"/>
      <c r="LCK134" s="3507"/>
      <c r="LCL134" s="3507"/>
      <c r="LCM134" s="3507"/>
      <c r="LCN134" s="3507"/>
      <c r="LCO134" s="3507"/>
      <c r="LCP134" s="3507"/>
      <c r="LCQ134" s="3507"/>
      <c r="LCR134" s="3507"/>
      <c r="LCS134" s="3507"/>
      <c r="LCT134" s="3507"/>
      <c r="LCU134" s="3507"/>
      <c r="LCV134" s="3507"/>
      <c r="LCW134" s="3507"/>
      <c r="LCX134" s="3507"/>
      <c r="LCY134" s="3507"/>
      <c r="LCZ134" s="3507"/>
      <c r="LDA134" s="3507"/>
      <c r="LDB134" s="3507"/>
      <c r="LDC134" s="3507"/>
      <c r="LDD134" s="3507"/>
      <c r="LDE134" s="3507"/>
      <c r="LDF134" s="3507"/>
      <c r="LDG134" s="3507"/>
      <c r="LDH134" s="3507"/>
      <c r="LDI134" s="3507"/>
      <c r="LDJ134" s="3507"/>
      <c r="LDK134" s="3507"/>
      <c r="LDL134" s="3507"/>
      <c r="LDM134" s="3507"/>
      <c r="LDN134" s="3507"/>
      <c r="LDO134" s="3507"/>
      <c r="LDP134" s="3507"/>
      <c r="LDQ134" s="3507"/>
      <c r="LDR134" s="3507"/>
      <c r="LDS134" s="3507"/>
      <c r="LDT134" s="3507"/>
      <c r="LDU134" s="3507"/>
      <c r="LDV134" s="3507"/>
      <c r="LDW134" s="3507"/>
      <c r="LDX134" s="3507"/>
      <c r="LDY134" s="3507"/>
      <c r="LDZ134" s="3507"/>
      <c r="LEA134" s="3507"/>
      <c r="LEB134" s="3507"/>
      <c r="LEC134" s="3507"/>
      <c r="LED134" s="3507"/>
      <c r="LEE134" s="3507"/>
      <c r="LEF134" s="3507"/>
      <c r="LEG134" s="3507"/>
      <c r="LEH134" s="3507"/>
      <c r="LEI134" s="3507"/>
      <c r="LEJ134" s="3507"/>
      <c r="LEK134" s="3507"/>
      <c r="LEL134" s="3507"/>
      <c r="LEM134" s="3507"/>
      <c r="LEN134" s="3507"/>
      <c r="LEO134" s="3507"/>
      <c r="LEP134" s="3507"/>
      <c r="LEQ134" s="3507"/>
      <c r="LER134" s="3507"/>
      <c r="LES134" s="3507"/>
      <c r="LET134" s="3507"/>
      <c r="LEU134" s="3507"/>
      <c r="LEV134" s="3507"/>
      <c r="LEW134" s="3507"/>
      <c r="LEX134" s="3507"/>
      <c r="LEY134" s="3507"/>
      <c r="LEZ134" s="3507"/>
      <c r="LFA134" s="3507"/>
      <c r="LFB134" s="3507"/>
      <c r="LFC134" s="3507"/>
      <c r="LFD134" s="3507"/>
      <c r="LFE134" s="3507"/>
      <c r="LFF134" s="3507"/>
      <c r="LFG134" s="3507"/>
      <c r="LFH134" s="3507"/>
      <c r="LFI134" s="3507"/>
      <c r="LFJ134" s="3507"/>
      <c r="LFK134" s="3507"/>
      <c r="LFL134" s="3507"/>
      <c r="LFM134" s="3507"/>
      <c r="LFN134" s="3507"/>
      <c r="LFO134" s="3507"/>
      <c r="LFP134" s="3507"/>
      <c r="LFQ134" s="3507"/>
      <c r="LFR134" s="3507"/>
      <c r="LFS134" s="3507"/>
      <c r="LFT134" s="3507"/>
      <c r="LFU134" s="3507"/>
      <c r="LFV134" s="3507"/>
      <c r="LFW134" s="3507"/>
      <c r="LFX134" s="3507"/>
      <c r="LFY134" s="3507"/>
      <c r="LFZ134" s="3507"/>
      <c r="LGA134" s="3507"/>
      <c r="LGB134" s="3507"/>
      <c r="LGC134" s="3507"/>
      <c r="LGD134" s="3507"/>
      <c r="LGE134" s="3507"/>
      <c r="LGF134" s="3507"/>
      <c r="LGG134" s="3507"/>
      <c r="LGH134" s="3507"/>
      <c r="LGI134" s="3507"/>
      <c r="LGJ134" s="3507"/>
      <c r="LGK134" s="3507"/>
      <c r="LGL134" s="3507"/>
      <c r="LGM134" s="3507"/>
      <c r="LGN134" s="3507"/>
      <c r="LGO134" s="3507"/>
      <c r="LGP134" s="3507"/>
      <c r="LGQ134" s="3507"/>
      <c r="LGR134" s="3507"/>
      <c r="LGS134" s="3507"/>
      <c r="LGT134" s="3507"/>
      <c r="LGU134" s="3507"/>
      <c r="LGV134" s="3507"/>
      <c r="LGW134" s="3507"/>
      <c r="LGX134" s="3507"/>
      <c r="LGY134" s="3507"/>
      <c r="LGZ134" s="3507"/>
      <c r="LHA134" s="3507"/>
      <c r="LHB134" s="3507"/>
      <c r="LHC134" s="3507"/>
      <c r="LHD134" s="3507"/>
      <c r="LHE134" s="3507"/>
      <c r="LHF134" s="3507"/>
      <c r="LHG134" s="3507"/>
      <c r="LHH134" s="3507"/>
      <c r="LHI134" s="3507"/>
      <c r="LHJ134" s="3507"/>
      <c r="LHK134" s="3507"/>
      <c r="LHL134" s="3507"/>
      <c r="LHM134" s="3507"/>
      <c r="LHN134" s="3507"/>
      <c r="LHO134" s="3507"/>
      <c r="LHP134" s="3507"/>
      <c r="LHQ134" s="3507"/>
      <c r="LHR134" s="3507"/>
      <c r="LHS134" s="3507"/>
      <c r="LHT134" s="3507"/>
      <c r="LHU134" s="3507"/>
      <c r="LHV134" s="3507"/>
      <c r="LHW134" s="3507"/>
      <c r="LHX134" s="3507"/>
      <c r="LHY134" s="3507"/>
      <c r="LHZ134" s="3507"/>
      <c r="LIA134" s="3507"/>
      <c r="LIB134" s="3507"/>
      <c r="LIC134" s="3507"/>
      <c r="LID134" s="3507"/>
      <c r="LIE134" s="3507"/>
      <c r="LIF134" s="3507"/>
      <c r="LIG134" s="3507"/>
      <c r="LIH134" s="3507"/>
      <c r="LII134" s="3507"/>
      <c r="LIJ134" s="3507"/>
      <c r="LIK134" s="3507"/>
      <c r="LIL134" s="3507"/>
      <c r="LIM134" s="3507"/>
      <c r="LIN134" s="3507"/>
      <c r="LIO134" s="3507"/>
      <c r="LIP134" s="3507"/>
      <c r="LIQ134" s="3507"/>
      <c r="LIR134" s="3507"/>
      <c r="LIS134" s="3507"/>
      <c r="LIT134" s="3507"/>
      <c r="LIU134" s="3507"/>
      <c r="LIV134" s="3507"/>
      <c r="LIW134" s="3507"/>
      <c r="LIX134" s="3507"/>
      <c r="LIY134" s="3507"/>
      <c r="LIZ134" s="3507"/>
      <c r="LJA134" s="3507"/>
      <c r="LJB134" s="3507"/>
      <c r="LJC134" s="3507"/>
      <c r="LJD134" s="3507"/>
      <c r="LJE134" s="3507"/>
      <c r="LJF134" s="3507"/>
      <c r="LJG134" s="3507"/>
      <c r="LJH134" s="3507"/>
      <c r="LJI134" s="3507"/>
      <c r="LJJ134" s="3507"/>
      <c r="LJK134" s="3507"/>
      <c r="LJL134" s="3507"/>
      <c r="LJM134" s="3507"/>
      <c r="LJN134" s="3507"/>
      <c r="LJO134" s="3507"/>
      <c r="LJP134" s="3507"/>
      <c r="LJQ134" s="3507"/>
      <c r="LJR134" s="3507"/>
      <c r="LJS134" s="3507"/>
      <c r="LJT134" s="3507"/>
      <c r="LJU134" s="3507"/>
      <c r="LJV134" s="3507"/>
      <c r="LJW134" s="3507"/>
      <c r="LJX134" s="3507"/>
      <c r="LJY134" s="3507"/>
      <c r="LJZ134" s="3507"/>
      <c r="LKA134" s="3507"/>
      <c r="LKB134" s="3507"/>
      <c r="LKC134" s="3507"/>
      <c r="LKD134" s="3507"/>
      <c r="LKE134" s="3507"/>
      <c r="LKF134" s="3507"/>
      <c r="LKG134" s="3507"/>
      <c r="LKH134" s="3507"/>
      <c r="LKI134" s="3507"/>
      <c r="LKJ134" s="3507"/>
      <c r="LKK134" s="3507"/>
      <c r="LKL134" s="3507"/>
      <c r="LKM134" s="3507"/>
      <c r="LKN134" s="3507"/>
      <c r="LKO134" s="3507"/>
      <c r="LKP134" s="3507"/>
      <c r="LKQ134" s="3507"/>
      <c r="LKR134" s="3507"/>
      <c r="LKS134" s="3507"/>
      <c r="LKT134" s="3507"/>
      <c r="LKU134" s="3507"/>
      <c r="LKV134" s="3507"/>
      <c r="LKW134" s="3507"/>
      <c r="LKX134" s="3507"/>
      <c r="LKY134" s="3507"/>
      <c r="LKZ134" s="3507"/>
      <c r="LLA134" s="3507"/>
      <c r="LLB134" s="3507"/>
      <c r="LLC134" s="3507"/>
      <c r="LLD134" s="3507"/>
      <c r="LLE134" s="3507"/>
      <c r="LLF134" s="3507"/>
      <c r="LLG134" s="3507"/>
      <c r="LLH134" s="3507"/>
      <c r="LLI134" s="3507"/>
      <c r="LLJ134" s="3507"/>
      <c r="LLK134" s="3507"/>
      <c r="LLL134" s="3507"/>
      <c r="LLM134" s="3507"/>
      <c r="LLN134" s="3507"/>
      <c r="LLO134" s="3507"/>
      <c r="LLP134" s="3507"/>
      <c r="LLQ134" s="3507"/>
      <c r="LLR134" s="3507"/>
      <c r="LLS134" s="3507"/>
      <c r="LLT134" s="3507"/>
      <c r="LLU134" s="3507"/>
      <c r="LLV134" s="3507"/>
      <c r="LLW134" s="3507"/>
      <c r="LLX134" s="3507"/>
      <c r="LLY134" s="3507"/>
      <c r="LLZ134" s="3507"/>
      <c r="LMA134" s="3507"/>
      <c r="LMB134" s="3507"/>
      <c r="LMC134" s="3507"/>
      <c r="LMD134" s="3507"/>
      <c r="LME134" s="3507"/>
      <c r="LMF134" s="3507"/>
      <c r="LMG134" s="3507"/>
      <c r="LMH134" s="3507"/>
      <c r="LMI134" s="3507"/>
      <c r="LMJ134" s="3507"/>
      <c r="LMK134" s="3507"/>
      <c r="LML134" s="3507"/>
      <c r="LMM134" s="3507"/>
      <c r="LMN134" s="3507"/>
      <c r="LMO134" s="3507"/>
      <c r="LMP134" s="3507"/>
      <c r="LMQ134" s="3507"/>
      <c r="LMR134" s="3507"/>
      <c r="LMS134" s="3507"/>
      <c r="LMT134" s="3507"/>
      <c r="LMU134" s="3507"/>
      <c r="LMV134" s="3507"/>
      <c r="LMW134" s="3507"/>
      <c r="LMX134" s="3507"/>
      <c r="LMY134" s="3507"/>
      <c r="LMZ134" s="3507"/>
      <c r="LNA134" s="3507"/>
      <c r="LNB134" s="3507"/>
      <c r="LNC134" s="3507"/>
      <c r="LND134" s="3507"/>
      <c r="LNE134" s="3507"/>
      <c r="LNF134" s="3507"/>
      <c r="LNG134" s="3507"/>
      <c r="LNH134" s="3507"/>
      <c r="LNI134" s="3507"/>
      <c r="LNJ134" s="3507"/>
      <c r="LNK134" s="3507"/>
      <c r="LNL134" s="3507"/>
      <c r="LNM134" s="3507"/>
      <c r="LNN134" s="3507"/>
      <c r="LNO134" s="3507"/>
      <c r="LNP134" s="3507"/>
      <c r="LNQ134" s="3507"/>
      <c r="LNR134" s="3507"/>
      <c r="LNS134" s="3507"/>
      <c r="LNT134" s="3507"/>
      <c r="LNU134" s="3507"/>
      <c r="LNV134" s="3507"/>
      <c r="LNW134" s="3507"/>
      <c r="LNX134" s="3507"/>
      <c r="LNY134" s="3507"/>
      <c r="LNZ134" s="3507"/>
      <c r="LOA134" s="3507"/>
      <c r="LOB134" s="3507"/>
      <c r="LOC134" s="3507"/>
      <c r="LOD134" s="3507"/>
      <c r="LOE134" s="3507"/>
      <c r="LOF134" s="3507"/>
      <c r="LOG134" s="3507"/>
      <c r="LOH134" s="3507"/>
      <c r="LOI134" s="3507"/>
      <c r="LOJ134" s="3507"/>
      <c r="LOK134" s="3507"/>
      <c r="LOL134" s="3507"/>
      <c r="LOM134" s="3507"/>
      <c r="LON134" s="3507"/>
      <c r="LOO134" s="3507"/>
      <c r="LOP134" s="3507"/>
      <c r="LOQ134" s="3507"/>
      <c r="LOR134" s="3507"/>
      <c r="LOS134" s="3507"/>
      <c r="LOT134" s="3507"/>
      <c r="LOU134" s="3507"/>
      <c r="LOV134" s="3507"/>
      <c r="LOW134" s="3507"/>
      <c r="LOX134" s="3507"/>
      <c r="LOY134" s="3507"/>
      <c r="LOZ134" s="3507"/>
      <c r="LPA134" s="3507"/>
      <c r="LPB134" s="3507"/>
      <c r="LPC134" s="3507"/>
      <c r="LPD134" s="3507"/>
      <c r="LPE134" s="3507"/>
      <c r="LPF134" s="3507"/>
      <c r="LPG134" s="3507"/>
      <c r="LPH134" s="3507"/>
      <c r="LPI134" s="3507"/>
      <c r="LPJ134" s="3507"/>
      <c r="LPK134" s="3507"/>
      <c r="LPL134" s="3507"/>
      <c r="LPM134" s="3507"/>
      <c r="LPN134" s="3507"/>
      <c r="LPO134" s="3507"/>
      <c r="LPP134" s="3507"/>
      <c r="LPQ134" s="3507"/>
      <c r="LPR134" s="3507"/>
      <c r="LPS134" s="3507"/>
      <c r="LPT134" s="3507"/>
      <c r="LPU134" s="3507"/>
      <c r="LPV134" s="3507"/>
      <c r="LPW134" s="3507"/>
      <c r="LPX134" s="3507"/>
      <c r="LPY134" s="3507"/>
      <c r="LPZ134" s="3507"/>
      <c r="LQA134" s="3507"/>
      <c r="LQB134" s="3507"/>
      <c r="LQC134" s="3507"/>
      <c r="LQD134" s="3507"/>
      <c r="LQE134" s="3507"/>
      <c r="LQF134" s="3507"/>
      <c r="LQG134" s="3507"/>
      <c r="LQH134" s="3507"/>
      <c r="LQI134" s="3507"/>
      <c r="LQJ134" s="3507"/>
      <c r="LQK134" s="3507"/>
      <c r="LQL134" s="3507"/>
      <c r="LQM134" s="3507"/>
      <c r="LQN134" s="3507"/>
      <c r="LQO134" s="3507"/>
      <c r="LQP134" s="3507"/>
      <c r="LQQ134" s="3507"/>
      <c r="LQR134" s="3507"/>
      <c r="LQS134" s="3507"/>
      <c r="LQT134" s="3507"/>
      <c r="LQU134" s="3507"/>
      <c r="LQV134" s="3507"/>
      <c r="LQW134" s="3507"/>
      <c r="LQX134" s="3507"/>
      <c r="LQY134" s="3507"/>
      <c r="LQZ134" s="3507"/>
      <c r="LRA134" s="3507"/>
      <c r="LRB134" s="3507"/>
      <c r="LRC134" s="3507"/>
      <c r="LRD134" s="3507"/>
      <c r="LRE134" s="3507"/>
      <c r="LRF134" s="3507"/>
      <c r="LRG134" s="3507"/>
      <c r="LRH134" s="3507"/>
      <c r="LRI134" s="3507"/>
      <c r="LRJ134" s="3507"/>
      <c r="LRK134" s="3507"/>
      <c r="LRL134" s="3507"/>
      <c r="LRM134" s="3507"/>
      <c r="LRN134" s="3507"/>
      <c r="LRO134" s="3507"/>
      <c r="LRP134" s="3507"/>
      <c r="LRQ134" s="3507"/>
      <c r="LRR134" s="3507"/>
      <c r="LRS134" s="3507"/>
      <c r="LRT134" s="3507"/>
      <c r="LRU134" s="3507"/>
      <c r="LRV134" s="3507"/>
      <c r="LRW134" s="3507"/>
      <c r="LRX134" s="3507"/>
      <c r="LRY134" s="3507"/>
      <c r="LRZ134" s="3507"/>
      <c r="LSA134" s="3507"/>
      <c r="LSB134" s="3507"/>
      <c r="LSC134" s="3507"/>
      <c r="LSD134" s="3507"/>
      <c r="LSE134" s="3507"/>
      <c r="LSF134" s="3507"/>
      <c r="LSG134" s="3507"/>
      <c r="LSH134" s="3507"/>
      <c r="LSI134" s="3507"/>
      <c r="LSJ134" s="3507"/>
      <c r="LSK134" s="3507"/>
      <c r="LSL134" s="3507"/>
      <c r="LSM134" s="3507"/>
      <c r="LSN134" s="3507"/>
      <c r="LSO134" s="3507"/>
      <c r="LSP134" s="3507"/>
      <c r="LSQ134" s="3507"/>
      <c r="LSR134" s="3507"/>
      <c r="LSS134" s="3507"/>
      <c r="LST134" s="3507"/>
      <c r="LSU134" s="3507"/>
      <c r="LSV134" s="3507"/>
      <c r="LSW134" s="3507"/>
      <c r="LSX134" s="3507"/>
      <c r="LSY134" s="3507"/>
      <c r="LSZ134" s="3507"/>
      <c r="LTA134" s="3507"/>
      <c r="LTB134" s="3507"/>
      <c r="LTC134" s="3507"/>
      <c r="LTD134" s="3507"/>
      <c r="LTE134" s="3507"/>
      <c r="LTF134" s="3507"/>
      <c r="LTG134" s="3507"/>
      <c r="LTH134" s="3507"/>
      <c r="LTI134" s="3507"/>
      <c r="LTJ134" s="3507"/>
      <c r="LTK134" s="3507"/>
      <c r="LTL134" s="3507"/>
      <c r="LTM134" s="3507"/>
      <c r="LTN134" s="3507"/>
      <c r="LTO134" s="3507"/>
      <c r="LTP134" s="3507"/>
      <c r="LTQ134" s="3507"/>
      <c r="LTR134" s="3507"/>
      <c r="LTS134" s="3507"/>
      <c r="LTT134" s="3507"/>
      <c r="LTU134" s="3507"/>
      <c r="LTV134" s="3507"/>
      <c r="LTW134" s="3507"/>
      <c r="LTX134" s="3507"/>
      <c r="LTY134" s="3507"/>
      <c r="LTZ134" s="3507"/>
      <c r="LUA134" s="3507"/>
      <c r="LUB134" s="3507"/>
      <c r="LUC134" s="3507"/>
      <c r="LUD134" s="3507"/>
      <c r="LUE134" s="3507"/>
      <c r="LUF134" s="3507"/>
      <c r="LUG134" s="3507"/>
      <c r="LUH134" s="3507"/>
      <c r="LUI134" s="3507"/>
      <c r="LUJ134" s="3507"/>
      <c r="LUK134" s="3507"/>
      <c r="LUL134" s="3507"/>
      <c r="LUM134" s="3507"/>
      <c r="LUN134" s="3507"/>
      <c r="LUO134" s="3507"/>
      <c r="LUP134" s="3507"/>
      <c r="LUQ134" s="3507"/>
      <c r="LUR134" s="3507"/>
      <c r="LUS134" s="3507"/>
      <c r="LUT134" s="3507"/>
      <c r="LUU134" s="3507"/>
      <c r="LUV134" s="3507"/>
      <c r="LUW134" s="3507"/>
      <c r="LUX134" s="3507"/>
      <c r="LUY134" s="3507"/>
      <c r="LUZ134" s="3507"/>
      <c r="LVA134" s="3507"/>
      <c r="LVB134" s="3507"/>
      <c r="LVC134" s="3507"/>
      <c r="LVD134" s="3507"/>
      <c r="LVE134" s="3507"/>
      <c r="LVF134" s="3507"/>
      <c r="LVG134" s="3507"/>
      <c r="LVH134" s="3507"/>
      <c r="LVI134" s="3507"/>
      <c r="LVJ134" s="3507"/>
      <c r="LVK134" s="3507"/>
      <c r="LVL134" s="3507"/>
      <c r="LVM134" s="3507"/>
      <c r="LVN134" s="3507"/>
      <c r="LVO134" s="3507"/>
      <c r="LVP134" s="3507"/>
      <c r="LVQ134" s="3507"/>
      <c r="LVR134" s="3507"/>
      <c r="LVS134" s="3507"/>
      <c r="LVT134" s="3507"/>
      <c r="LVU134" s="3507"/>
      <c r="LVV134" s="3507"/>
      <c r="LVW134" s="3507"/>
      <c r="LVX134" s="3507"/>
      <c r="LVY134" s="3507"/>
      <c r="LVZ134" s="3507"/>
      <c r="LWA134" s="3507"/>
      <c r="LWB134" s="3507"/>
      <c r="LWC134" s="3507"/>
      <c r="LWD134" s="3507"/>
      <c r="LWE134" s="3507"/>
      <c r="LWF134" s="3507"/>
      <c r="LWG134" s="3507"/>
      <c r="LWH134" s="3507"/>
      <c r="LWI134" s="3507"/>
      <c r="LWJ134" s="3507"/>
      <c r="LWK134" s="3507"/>
      <c r="LWL134" s="3507"/>
      <c r="LWM134" s="3507"/>
      <c r="LWN134" s="3507"/>
      <c r="LWO134" s="3507"/>
      <c r="LWP134" s="3507"/>
      <c r="LWQ134" s="3507"/>
      <c r="LWR134" s="3507"/>
      <c r="LWS134" s="3507"/>
      <c r="LWT134" s="3507"/>
      <c r="LWU134" s="3507"/>
      <c r="LWV134" s="3507"/>
      <c r="LWW134" s="3507"/>
      <c r="LWX134" s="3507"/>
      <c r="LWY134" s="3507"/>
      <c r="LWZ134" s="3507"/>
      <c r="LXA134" s="3507"/>
      <c r="LXB134" s="3507"/>
      <c r="LXC134" s="3507"/>
      <c r="LXD134" s="3507"/>
      <c r="LXE134" s="3507"/>
      <c r="LXF134" s="3507"/>
      <c r="LXG134" s="3507"/>
      <c r="LXH134" s="3507"/>
      <c r="LXI134" s="3507"/>
      <c r="LXJ134" s="3507"/>
      <c r="LXK134" s="3507"/>
      <c r="LXL134" s="3507"/>
      <c r="LXM134" s="3507"/>
      <c r="LXN134" s="3507"/>
      <c r="LXO134" s="3507"/>
      <c r="LXP134" s="3507"/>
      <c r="LXQ134" s="3507"/>
      <c r="LXR134" s="3507"/>
      <c r="LXS134" s="3507"/>
      <c r="LXT134" s="3507"/>
      <c r="LXU134" s="3507"/>
      <c r="LXV134" s="3507"/>
      <c r="LXW134" s="3507"/>
      <c r="LXX134" s="3507"/>
      <c r="LXY134" s="3507"/>
      <c r="LXZ134" s="3507"/>
      <c r="LYA134" s="3507"/>
      <c r="LYB134" s="3507"/>
      <c r="LYC134" s="3507"/>
      <c r="LYD134" s="3507"/>
      <c r="LYE134" s="3507"/>
      <c r="LYF134" s="3507"/>
      <c r="LYG134" s="3507"/>
      <c r="LYH134" s="3507"/>
      <c r="LYI134" s="3507"/>
      <c r="LYJ134" s="3507"/>
      <c r="LYK134" s="3507"/>
      <c r="LYL134" s="3507"/>
      <c r="LYM134" s="3507"/>
      <c r="LYN134" s="3507"/>
      <c r="LYO134" s="3507"/>
      <c r="LYP134" s="3507"/>
      <c r="LYQ134" s="3507"/>
      <c r="LYR134" s="3507"/>
      <c r="LYS134" s="3507"/>
      <c r="LYT134" s="3507"/>
      <c r="LYU134" s="3507"/>
      <c r="LYV134" s="3507"/>
      <c r="LYW134" s="3507"/>
      <c r="LYX134" s="3507"/>
      <c r="LYY134" s="3507"/>
      <c r="LYZ134" s="3507"/>
      <c r="LZA134" s="3507"/>
      <c r="LZB134" s="3507"/>
      <c r="LZC134" s="3507"/>
      <c r="LZD134" s="3507"/>
      <c r="LZE134" s="3507"/>
      <c r="LZF134" s="3507"/>
      <c r="LZG134" s="3507"/>
      <c r="LZH134" s="3507"/>
      <c r="LZI134" s="3507"/>
      <c r="LZJ134" s="3507"/>
      <c r="LZK134" s="3507"/>
      <c r="LZL134" s="3507"/>
      <c r="LZM134" s="3507"/>
      <c r="LZN134" s="3507"/>
      <c r="LZO134" s="3507"/>
      <c r="LZP134" s="3507"/>
      <c r="LZQ134" s="3507"/>
      <c r="LZR134" s="3507"/>
      <c r="LZS134" s="3507"/>
      <c r="LZT134" s="3507"/>
      <c r="LZU134" s="3507"/>
      <c r="LZV134" s="3507"/>
      <c r="LZW134" s="3507"/>
      <c r="LZX134" s="3507"/>
      <c r="LZY134" s="3507"/>
      <c r="LZZ134" s="3507"/>
      <c r="MAA134" s="3507"/>
      <c r="MAB134" s="3507"/>
      <c r="MAC134" s="3507"/>
      <c r="MAD134" s="3507"/>
      <c r="MAE134" s="3507"/>
      <c r="MAF134" s="3507"/>
      <c r="MAG134" s="3507"/>
      <c r="MAH134" s="3507"/>
      <c r="MAI134" s="3507"/>
      <c r="MAJ134" s="3507"/>
      <c r="MAK134" s="3507"/>
      <c r="MAL134" s="3507"/>
      <c r="MAM134" s="3507"/>
      <c r="MAN134" s="3507"/>
      <c r="MAO134" s="3507"/>
      <c r="MAP134" s="3507"/>
      <c r="MAQ134" s="3507"/>
      <c r="MAR134" s="3507"/>
      <c r="MAS134" s="3507"/>
      <c r="MAT134" s="3507"/>
      <c r="MAU134" s="3507"/>
      <c r="MAV134" s="3507"/>
      <c r="MAW134" s="3507"/>
      <c r="MAX134" s="3507"/>
      <c r="MAY134" s="3507"/>
      <c r="MAZ134" s="3507"/>
      <c r="MBA134" s="3507"/>
      <c r="MBB134" s="3507"/>
      <c r="MBC134" s="3507"/>
      <c r="MBD134" s="3507"/>
      <c r="MBE134" s="3507"/>
      <c r="MBF134" s="3507"/>
      <c r="MBG134" s="3507"/>
      <c r="MBH134" s="3507"/>
      <c r="MBI134" s="3507"/>
      <c r="MBJ134" s="3507"/>
      <c r="MBK134" s="3507"/>
      <c r="MBL134" s="3507"/>
      <c r="MBM134" s="3507"/>
      <c r="MBN134" s="3507"/>
      <c r="MBO134" s="3507"/>
      <c r="MBP134" s="3507"/>
      <c r="MBQ134" s="3507"/>
      <c r="MBR134" s="3507"/>
      <c r="MBS134" s="3507"/>
      <c r="MBT134" s="3507"/>
      <c r="MBU134" s="3507"/>
      <c r="MBV134" s="3507"/>
      <c r="MBW134" s="3507"/>
      <c r="MBX134" s="3507"/>
      <c r="MBY134" s="3507"/>
      <c r="MBZ134" s="3507"/>
      <c r="MCA134" s="3507"/>
      <c r="MCB134" s="3507"/>
      <c r="MCC134" s="3507"/>
      <c r="MCD134" s="3507"/>
      <c r="MCE134" s="3507"/>
      <c r="MCF134" s="3507"/>
      <c r="MCG134" s="3507"/>
      <c r="MCH134" s="3507"/>
      <c r="MCI134" s="3507"/>
      <c r="MCJ134" s="3507"/>
      <c r="MCK134" s="3507"/>
      <c r="MCL134" s="3507"/>
      <c r="MCM134" s="3507"/>
      <c r="MCN134" s="3507"/>
      <c r="MCO134" s="3507"/>
      <c r="MCP134" s="3507"/>
      <c r="MCQ134" s="3507"/>
      <c r="MCR134" s="3507"/>
      <c r="MCS134" s="3507"/>
      <c r="MCT134" s="3507"/>
      <c r="MCU134" s="3507"/>
      <c r="MCV134" s="3507"/>
      <c r="MCW134" s="3507"/>
      <c r="MCX134" s="3507"/>
      <c r="MCY134" s="3507"/>
      <c r="MCZ134" s="3507"/>
      <c r="MDA134" s="3507"/>
      <c r="MDB134" s="3507"/>
      <c r="MDC134" s="3507"/>
      <c r="MDD134" s="3507"/>
      <c r="MDE134" s="3507"/>
      <c r="MDF134" s="3507"/>
      <c r="MDG134" s="3507"/>
      <c r="MDH134" s="3507"/>
      <c r="MDI134" s="3507"/>
      <c r="MDJ134" s="3507"/>
      <c r="MDK134" s="3507"/>
      <c r="MDL134" s="3507"/>
      <c r="MDM134" s="3507"/>
      <c r="MDN134" s="3507"/>
      <c r="MDO134" s="3507"/>
      <c r="MDP134" s="3507"/>
      <c r="MDQ134" s="3507"/>
      <c r="MDR134" s="3507"/>
      <c r="MDS134" s="3507"/>
      <c r="MDT134" s="3507"/>
      <c r="MDU134" s="3507"/>
      <c r="MDV134" s="3507"/>
      <c r="MDW134" s="3507"/>
      <c r="MDX134" s="3507"/>
      <c r="MDY134" s="3507"/>
      <c r="MDZ134" s="3507"/>
      <c r="MEA134" s="3507"/>
      <c r="MEB134" s="3507"/>
      <c r="MEC134" s="3507"/>
      <c r="MED134" s="3507"/>
      <c r="MEE134" s="3507"/>
      <c r="MEF134" s="3507"/>
      <c r="MEG134" s="3507"/>
      <c r="MEH134" s="3507"/>
      <c r="MEI134" s="3507"/>
      <c r="MEJ134" s="3507"/>
      <c r="MEK134" s="3507"/>
      <c r="MEL134" s="3507"/>
      <c r="MEM134" s="3507"/>
      <c r="MEN134" s="3507"/>
      <c r="MEO134" s="3507"/>
      <c r="MEP134" s="3507"/>
      <c r="MEQ134" s="3507"/>
      <c r="MER134" s="3507"/>
      <c r="MES134" s="3507"/>
      <c r="MET134" s="3507"/>
      <c r="MEU134" s="3507"/>
      <c r="MEV134" s="3507"/>
      <c r="MEW134" s="3507"/>
      <c r="MEX134" s="3507"/>
      <c r="MEY134" s="3507"/>
      <c r="MEZ134" s="3507"/>
      <c r="MFA134" s="3507"/>
      <c r="MFB134" s="3507"/>
      <c r="MFC134" s="3507"/>
      <c r="MFD134" s="3507"/>
      <c r="MFE134" s="3507"/>
      <c r="MFF134" s="3507"/>
      <c r="MFG134" s="3507"/>
      <c r="MFH134" s="3507"/>
      <c r="MFI134" s="3507"/>
      <c r="MFJ134" s="3507"/>
      <c r="MFK134" s="3507"/>
      <c r="MFL134" s="3507"/>
      <c r="MFM134" s="3507"/>
      <c r="MFN134" s="3507"/>
      <c r="MFO134" s="3507"/>
      <c r="MFP134" s="3507"/>
      <c r="MFQ134" s="3507"/>
      <c r="MFR134" s="3507"/>
      <c r="MFS134" s="3507"/>
      <c r="MFT134" s="3507"/>
      <c r="MFU134" s="3507"/>
      <c r="MFV134" s="3507"/>
      <c r="MFW134" s="3507"/>
      <c r="MFX134" s="3507"/>
      <c r="MFY134" s="3507"/>
      <c r="MFZ134" s="3507"/>
      <c r="MGA134" s="3507"/>
      <c r="MGB134" s="3507"/>
      <c r="MGC134" s="3507"/>
      <c r="MGD134" s="3507"/>
      <c r="MGE134" s="3507"/>
      <c r="MGF134" s="3507"/>
      <c r="MGG134" s="3507"/>
      <c r="MGH134" s="3507"/>
      <c r="MGI134" s="3507"/>
      <c r="MGJ134" s="3507"/>
      <c r="MGK134" s="3507"/>
      <c r="MGL134" s="3507"/>
      <c r="MGM134" s="3507"/>
      <c r="MGN134" s="3507"/>
      <c r="MGO134" s="3507"/>
      <c r="MGP134" s="3507"/>
      <c r="MGQ134" s="3507"/>
      <c r="MGR134" s="3507"/>
      <c r="MGS134" s="3507"/>
      <c r="MGT134" s="3507"/>
      <c r="MGU134" s="3507"/>
      <c r="MGV134" s="3507"/>
      <c r="MGW134" s="3507"/>
      <c r="MGX134" s="3507"/>
      <c r="MGY134" s="3507"/>
      <c r="MGZ134" s="3507"/>
      <c r="MHA134" s="3507"/>
      <c r="MHB134" s="3507"/>
      <c r="MHC134" s="3507"/>
      <c r="MHD134" s="3507"/>
      <c r="MHE134" s="3507"/>
      <c r="MHF134" s="3507"/>
      <c r="MHG134" s="3507"/>
      <c r="MHH134" s="3507"/>
      <c r="MHI134" s="3507"/>
      <c r="MHJ134" s="3507"/>
      <c r="MHK134" s="3507"/>
      <c r="MHL134" s="3507"/>
      <c r="MHM134" s="3507"/>
      <c r="MHN134" s="3507"/>
      <c r="MHO134" s="3507"/>
      <c r="MHP134" s="3507"/>
      <c r="MHQ134" s="3507"/>
      <c r="MHR134" s="3507"/>
      <c r="MHS134" s="3507"/>
      <c r="MHT134" s="3507"/>
      <c r="MHU134" s="3507"/>
      <c r="MHV134" s="3507"/>
      <c r="MHW134" s="3507"/>
      <c r="MHX134" s="3507"/>
      <c r="MHY134" s="3507"/>
      <c r="MHZ134" s="3507"/>
      <c r="MIA134" s="3507"/>
      <c r="MIB134" s="3507"/>
      <c r="MIC134" s="3507"/>
      <c r="MID134" s="3507"/>
      <c r="MIE134" s="3507"/>
      <c r="MIF134" s="3507"/>
      <c r="MIG134" s="3507"/>
      <c r="MIH134" s="3507"/>
      <c r="MII134" s="3507"/>
      <c r="MIJ134" s="3507"/>
      <c r="MIK134" s="3507"/>
      <c r="MIL134" s="3507"/>
      <c r="MIM134" s="3507"/>
      <c r="MIN134" s="3507"/>
      <c r="MIO134" s="3507"/>
      <c r="MIP134" s="3507"/>
      <c r="MIQ134" s="3507"/>
      <c r="MIR134" s="3507"/>
      <c r="MIS134" s="3507"/>
      <c r="MIT134" s="3507"/>
      <c r="MIU134" s="3507"/>
      <c r="MIV134" s="3507"/>
      <c r="MIW134" s="3507"/>
      <c r="MIX134" s="3507"/>
      <c r="MIY134" s="3507"/>
      <c r="MIZ134" s="3507"/>
      <c r="MJA134" s="3507"/>
      <c r="MJB134" s="3507"/>
      <c r="MJC134" s="3507"/>
      <c r="MJD134" s="3507"/>
      <c r="MJE134" s="3507"/>
      <c r="MJF134" s="3507"/>
      <c r="MJG134" s="3507"/>
      <c r="MJH134" s="3507"/>
      <c r="MJI134" s="3507"/>
      <c r="MJJ134" s="3507"/>
      <c r="MJK134" s="3507"/>
      <c r="MJL134" s="3507"/>
      <c r="MJM134" s="3507"/>
      <c r="MJN134" s="3507"/>
      <c r="MJO134" s="3507"/>
      <c r="MJP134" s="3507"/>
      <c r="MJQ134" s="3507"/>
      <c r="MJR134" s="3507"/>
      <c r="MJS134" s="3507"/>
      <c r="MJT134" s="3507"/>
      <c r="MJU134" s="3507"/>
      <c r="MJV134" s="3507"/>
      <c r="MJW134" s="3507"/>
      <c r="MJX134" s="3507"/>
      <c r="MJY134" s="3507"/>
      <c r="MJZ134" s="3507"/>
      <c r="MKA134" s="3507"/>
      <c r="MKB134" s="3507"/>
      <c r="MKC134" s="3507"/>
      <c r="MKD134" s="3507"/>
      <c r="MKE134" s="3507"/>
      <c r="MKF134" s="3507"/>
      <c r="MKG134" s="3507"/>
      <c r="MKH134" s="3507"/>
      <c r="MKI134" s="3507"/>
      <c r="MKJ134" s="3507"/>
      <c r="MKK134" s="3507"/>
      <c r="MKL134" s="3507"/>
      <c r="MKM134" s="3507"/>
      <c r="MKN134" s="3507"/>
      <c r="MKO134" s="3507"/>
      <c r="MKP134" s="3507"/>
      <c r="MKQ134" s="3507"/>
      <c r="MKR134" s="3507"/>
      <c r="MKS134" s="3507"/>
      <c r="MKT134" s="3507"/>
      <c r="MKU134" s="3507"/>
      <c r="MKV134" s="3507"/>
      <c r="MKW134" s="3507"/>
      <c r="MKX134" s="3507"/>
      <c r="MKY134" s="3507"/>
      <c r="MKZ134" s="3507"/>
      <c r="MLA134" s="3507"/>
      <c r="MLB134" s="3507"/>
      <c r="MLC134" s="3507"/>
      <c r="MLD134" s="3507"/>
      <c r="MLE134" s="3507"/>
      <c r="MLF134" s="3507"/>
      <c r="MLG134" s="3507"/>
      <c r="MLH134" s="3507"/>
      <c r="MLI134" s="3507"/>
      <c r="MLJ134" s="3507"/>
      <c r="MLK134" s="3507"/>
      <c r="MLL134" s="3507"/>
      <c r="MLM134" s="3507"/>
      <c r="MLN134" s="3507"/>
      <c r="MLO134" s="3507"/>
      <c r="MLP134" s="3507"/>
      <c r="MLQ134" s="3507"/>
      <c r="MLR134" s="3507"/>
      <c r="MLS134" s="3507"/>
      <c r="MLT134" s="3507"/>
      <c r="MLU134" s="3507"/>
      <c r="MLV134" s="3507"/>
      <c r="MLW134" s="3507"/>
      <c r="MLX134" s="3507"/>
      <c r="MLY134" s="3507"/>
      <c r="MLZ134" s="3507"/>
      <c r="MMA134" s="3507"/>
      <c r="MMB134" s="3507"/>
      <c r="MMC134" s="3507"/>
      <c r="MMD134" s="3507"/>
      <c r="MME134" s="3507"/>
      <c r="MMF134" s="3507"/>
      <c r="MMG134" s="3507"/>
      <c r="MMH134" s="3507"/>
      <c r="MMI134" s="3507"/>
      <c r="MMJ134" s="3507"/>
      <c r="MMK134" s="3507"/>
      <c r="MML134" s="3507"/>
      <c r="MMM134" s="3507"/>
      <c r="MMN134" s="3507"/>
      <c r="MMO134" s="3507"/>
      <c r="MMP134" s="3507"/>
      <c r="MMQ134" s="3507"/>
      <c r="MMR134" s="3507"/>
      <c r="MMS134" s="3507"/>
      <c r="MMT134" s="3507"/>
      <c r="MMU134" s="3507"/>
      <c r="MMV134" s="3507"/>
      <c r="MMW134" s="3507"/>
      <c r="MMX134" s="3507"/>
      <c r="MMY134" s="3507"/>
      <c r="MMZ134" s="3507"/>
      <c r="MNA134" s="3507"/>
      <c r="MNB134" s="3507"/>
      <c r="MNC134" s="3507"/>
      <c r="MND134" s="3507"/>
      <c r="MNE134" s="3507"/>
      <c r="MNF134" s="3507"/>
      <c r="MNG134" s="3507"/>
      <c r="MNH134" s="3507"/>
      <c r="MNI134" s="3507"/>
      <c r="MNJ134" s="3507"/>
      <c r="MNK134" s="3507"/>
      <c r="MNL134" s="3507"/>
      <c r="MNM134" s="3507"/>
      <c r="MNN134" s="3507"/>
      <c r="MNO134" s="3507"/>
      <c r="MNP134" s="3507"/>
      <c r="MNQ134" s="3507"/>
      <c r="MNR134" s="3507"/>
      <c r="MNS134" s="3507"/>
      <c r="MNT134" s="3507"/>
      <c r="MNU134" s="3507"/>
      <c r="MNV134" s="3507"/>
      <c r="MNW134" s="3507"/>
      <c r="MNX134" s="3507"/>
      <c r="MNY134" s="3507"/>
      <c r="MNZ134" s="3507"/>
      <c r="MOA134" s="3507"/>
      <c r="MOB134" s="3507"/>
      <c r="MOC134" s="3507"/>
      <c r="MOD134" s="3507"/>
      <c r="MOE134" s="3507"/>
      <c r="MOF134" s="3507"/>
      <c r="MOG134" s="3507"/>
      <c r="MOH134" s="3507"/>
      <c r="MOI134" s="3507"/>
      <c r="MOJ134" s="3507"/>
      <c r="MOK134" s="3507"/>
      <c r="MOL134" s="3507"/>
      <c r="MOM134" s="3507"/>
      <c r="MON134" s="3507"/>
      <c r="MOO134" s="3507"/>
      <c r="MOP134" s="3507"/>
      <c r="MOQ134" s="3507"/>
      <c r="MOR134" s="3507"/>
      <c r="MOS134" s="3507"/>
      <c r="MOT134" s="3507"/>
      <c r="MOU134" s="3507"/>
      <c r="MOV134" s="3507"/>
      <c r="MOW134" s="3507"/>
      <c r="MOX134" s="3507"/>
      <c r="MOY134" s="3507"/>
      <c r="MOZ134" s="3507"/>
      <c r="MPA134" s="3507"/>
      <c r="MPB134" s="3507"/>
      <c r="MPC134" s="3507"/>
      <c r="MPD134" s="3507"/>
      <c r="MPE134" s="3507"/>
      <c r="MPF134" s="3507"/>
      <c r="MPG134" s="3507"/>
      <c r="MPH134" s="3507"/>
      <c r="MPI134" s="3507"/>
      <c r="MPJ134" s="3507"/>
      <c r="MPK134" s="3507"/>
      <c r="MPL134" s="3507"/>
      <c r="MPM134" s="3507"/>
      <c r="MPN134" s="3507"/>
      <c r="MPO134" s="3507"/>
      <c r="MPP134" s="3507"/>
      <c r="MPQ134" s="3507"/>
      <c r="MPR134" s="3507"/>
      <c r="MPS134" s="3507"/>
      <c r="MPT134" s="3507"/>
      <c r="MPU134" s="3507"/>
      <c r="MPV134" s="3507"/>
      <c r="MPW134" s="3507"/>
      <c r="MPX134" s="3507"/>
      <c r="MPY134" s="3507"/>
      <c r="MPZ134" s="3507"/>
      <c r="MQA134" s="3507"/>
      <c r="MQB134" s="3507"/>
      <c r="MQC134" s="3507"/>
      <c r="MQD134" s="3507"/>
      <c r="MQE134" s="3507"/>
      <c r="MQF134" s="3507"/>
      <c r="MQG134" s="3507"/>
      <c r="MQH134" s="3507"/>
      <c r="MQI134" s="3507"/>
      <c r="MQJ134" s="3507"/>
      <c r="MQK134" s="3507"/>
      <c r="MQL134" s="3507"/>
      <c r="MQM134" s="3507"/>
      <c r="MQN134" s="3507"/>
      <c r="MQO134" s="3507"/>
      <c r="MQP134" s="3507"/>
      <c r="MQQ134" s="3507"/>
      <c r="MQR134" s="3507"/>
      <c r="MQS134" s="3507"/>
      <c r="MQT134" s="3507"/>
      <c r="MQU134" s="3507"/>
      <c r="MQV134" s="3507"/>
      <c r="MQW134" s="3507"/>
      <c r="MQX134" s="3507"/>
      <c r="MQY134" s="3507"/>
      <c r="MQZ134" s="3507"/>
      <c r="MRA134" s="3507"/>
      <c r="MRB134" s="3507"/>
      <c r="MRC134" s="3507"/>
      <c r="MRD134" s="3507"/>
      <c r="MRE134" s="3507"/>
      <c r="MRF134" s="3507"/>
      <c r="MRG134" s="3507"/>
      <c r="MRH134" s="3507"/>
      <c r="MRI134" s="3507"/>
      <c r="MRJ134" s="3507"/>
      <c r="MRK134" s="3507"/>
      <c r="MRL134" s="3507"/>
      <c r="MRM134" s="3507"/>
      <c r="MRN134" s="3507"/>
      <c r="MRO134" s="3507"/>
      <c r="MRP134" s="3507"/>
      <c r="MRQ134" s="3507"/>
      <c r="MRR134" s="3507"/>
      <c r="MRS134" s="3507"/>
      <c r="MRT134" s="3507"/>
      <c r="MRU134" s="3507"/>
      <c r="MRV134" s="3507"/>
      <c r="MRW134" s="3507"/>
      <c r="MRX134" s="3507"/>
      <c r="MRY134" s="3507"/>
      <c r="MRZ134" s="3507"/>
      <c r="MSA134" s="3507"/>
      <c r="MSB134" s="3507"/>
      <c r="MSC134" s="3507"/>
      <c r="MSD134" s="3507"/>
      <c r="MSE134" s="3507"/>
      <c r="MSF134" s="3507"/>
      <c r="MSG134" s="3507"/>
      <c r="MSH134" s="3507"/>
      <c r="MSI134" s="3507"/>
      <c r="MSJ134" s="3507"/>
      <c r="MSK134" s="3507"/>
      <c r="MSL134" s="3507"/>
      <c r="MSM134" s="3507"/>
      <c r="MSN134" s="3507"/>
      <c r="MSO134" s="3507"/>
      <c r="MSP134" s="3507"/>
      <c r="MSQ134" s="3507"/>
      <c r="MSR134" s="3507"/>
      <c r="MSS134" s="3507"/>
      <c r="MST134" s="3507"/>
      <c r="MSU134" s="3507"/>
      <c r="MSV134" s="3507"/>
      <c r="MSW134" s="3507"/>
      <c r="MSX134" s="3507"/>
      <c r="MSY134" s="3507"/>
      <c r="MSZ134" s="3507"/>
      <c r="MTA134" s="3507"/>
      <c r="MTB134" s="3507"/>
      <c r="MTC134" s="3507"/>
      <c r="MTD134" s="3507"/>
      <c r="MTE134" s="3507"/>
      <c r="MTF134" s="3507"/>
      <c r="MTG134" s="3507"/>
      <c r="MTH134" s="3507"/>
      <c r="MTI134" s="3507"/>
      <c r="MTJ134" s="3507"/>
      <c r="MTK134" s="3507"/>
      <c r="MTL134" s="3507"/>
      <c r="MTM134" s="3507"/>
      <c r="MTN134" s="3507"/>
      <c r="MTO134" s="3507"/>
      <c r="MTP134" s="3507"/>
      <c r="MTQ134" s="3507"/>
      <c r="MTR134" s="3507"/>
      <c r="MTS134" s="3507"/>
      <c r="MTT134" s="3507"/>
      <c r="MTU134" s="3507"/>
      <c r="MTV134" s="3507"/>
      <c r="MTW134" s="3507"/>
      <c r="MTX134" s="3507"/>
      <c r="MTY134" s="3507"/>
      <c r="MTZ134" s="3507"/>
      <c r="MUA134" s="3507"/>
      <c r="MUB134" s="3507"/>
      <c r="MUC134" s="3507"/>
      <c r="MUD134" s="3507"/>
      <c r="MUE134" s="3507"/>
      <c r="MUF134" s="3507"/>
      <c r="MUG134" s="3507"/>
      <c r="MUH134" s="3507"/>
      <c r="MUI134" s="3507"/>
      <c r="MUJ134" s="3507"/>
      <c r="MUK134" s="3507"/>
      <c r="MUL134" s="3507"/>
      <c r="MUM134" s="3507"/>
      <c r="MUN134" s="3507"/>
      <c r="MUO134" s="3507"/>
      <c r="MUP134" s="3507"/>
      <c r="MUQ134" s="3507"/>
      <c r="MUR134" s="3507"/>
      <c r="MUS134" s="3507"/>
      <c r="MUT134" s="3507"/>
      <c r="MUU134" s="3507"/>
      <c r="MUV134" s="3507"/>
      <c r="MUW134" s="3507"/>
      <c r="MUX134" s="3507"/>
      <c r="MUY134" s="3507"/>
      <c r="MUZ134" s="3507"/>
      <c r="MVA134" s="3507"/>
      <c r="MVB134" s="3507"/>
      <c r="MVC134" s="3507"/>
      <c r="MVD134" s="3507"/>
      <c r="MVE134" s="3507"/>
      <c r="MVF134" s="3507"/>
      <c r="MVG134" s="3507"/>
      <c r="MVH134" s="3507"/>
      <c r="MVI134" s="3507"/>
      <c r="MVJ134" s="3507"/>
      <c r="MVK134" s="3507"/>
      <c r="MVL134" s="3507"/>
      <c r="MVM134" s="3507"/>
      <c r="MVN134" s="3507"/>
      <c r="MVO134" s="3507"/>
      <c r="MVP134" s="3507"/>
      <c r="MVQ134" s="3507"/>
      <c r="MVR134" s="3507"/>
      <c r="MVS134" s="3507"/>
      <c r="MVT134" s="3507"/>
      <c r="MVU134" s="3507"/>
      <c r="MVV134" s="3507"/>
      <c r="MVW134" s="3507"/>
      <c r="MVX134" s="3507"/>
      <c r="MVY134" s="3507"/>
      <c r="MVZ134" s="3507"/>
      <c r="MWA134" s="3507"/>
      <c r="MWB134" s="3507"/>
      <c r="MWC134" s="3507"/>
      <c r="MWD134" s="3507"/>
      <c r="MWE134" s="3507"/>
      <c r="MWF134" s="3507"/>
      <c r="MWG134" s="3507"/>
      <c r="MWH134" s="3507"/>
      <c r="MWI134" s="3507"/>
      <c r="MWJ134" s="3507"/>
      <c r="MWK134" s="3507"/>
      <c r="MWL134" s="3507"/>
      <c r="MWM134" s="3507"/>
      <c r="MWN134" s="3507"/>
      <c r="MWO134" s="3507"/>
      <c r="MWP134" s="3507"/>
      <c r="MWQ134" s="3507"/>
      <c r="MWR134" s="3507"/>
      <c r="MWS134" s="3507"/>
      <c r="MWT134" s="3507"/>
      <c r="MWU134" s="3507"/>
      <c r="MWV134" s="3507"/>
      <c r="MWW134" s="3507"/>
      <c r="MWX134" s="3507"/>
      <c r="MWY134" s="3507"/>
      <c r="MWZ134" s="3507"/>
      <c r="MXA134" s="3507"/>
      <c r="MXB134" s="3507"/>
      <c r="MXC134" s="3507"/>
      <c r="MXD134" s="3507"/>
      <c r="MXE134" s="3507"/>
      <c r="MXF134" s="3507"/>
      <c r="MXG134" s="3507"/>
      <c r="MXH134" s="3507"/>
      <c r="MXI134" s="3507"/>
      <c r="MXJ134" s="3507"/>
      <c r="MXK134" s="3507"/>
      <c r="MXL134" s="3507"/>
      <c r="MXM134" s="3507"/>
      <c r="MXN134" s="3507"/>
      <c r="MXO134" s="3507"/>
      <c r="MXP134" s="3507"/>
      <c r="MXQ134" s="3507"/>
      <c r="MXR134" s="3507"/>
      <c r="MXS134" s="3507"/>
      <c r="MXT134" s="3507"/>
      <c r="MXU134" s="3507"/>
      <c r="MXV134" s="3507"/>
      <c r="MXW134" s="3507"/>
      <c r="MXX134" s="3507"/>
      <c r="MXY134" s="3507"/>
      <c r="MXZ134" s="3507"/>
      <c r="MYA134" s="3507"/>
      <c r="MYB134" s="3507"/>
      <c r="MYC134" s="3507"/>
      <c r="MYD134" s="3507"/>
      <c r="MYE134" s="3507"/>
      <c r="MYF134" s="3507"/>
      <c r="MYG134" s="3507"/>
      <c r="MYH134" s="3507"/>
      <c r="MYI134" s="3507"/>
      <c r="MYJ134" s="3507"/>
      <c r="MYK134" s="3507"/>
      <c r="MYL134" s="3507"/>
      <c r="MYM134" s="3507"/>
      <c r="MYN134" s="3507"/>
      <c r="MYO134" s="3507"/>
      <c r="MYP134" s="3507"/>
      <c r="MYQ134" s="3507"/>
      <c r="MYR134" s="3507"/>
      <c r="MYS134" s="3507"/>
      <c r="MYT134" s="3507"/>
      <c r="MYU134" s="3507"/>
      <c r="MYV134" s="3507"/>
      <c r="MYW134" s="3507"/>
      <c r="MYX134" s="3507"/>
      <c r="MYY134" s="3507"/>
      <c r="MYZ134" s="3507"/>
      <c r="MZA134" s="3507"/>
      <c r="MZB134" s="3507"/>
      <c r="MZC134" s="3507"/>
      <c r="MZD134" s="3507"/>
      <c r="MZE134" s="3507"/>
      <c r="MZF134" s="3507"/>
      <c r="MZG134" s="3507"/>
      <c r="MZH134" s="3507"/>
      <c r="MZI134" s="3507"/>
      <c r="MZJ134" s="3507"/>
      <c r="MZK134" s="3507"/>
      <c r="MZL134" s="3507"/>
      <c r="MZM134" s="3507"/>
      <c r="MZN134" s="3507"/>
      <c r="MZO134" s="3507"/>
      <c r="MZP134" s="3507"/>
      <c r="MZQ134" s="3507"/>
      <c r="MZR134" s="3507"/>
      <c r="MZS134" s="3507"/>
      <c r="MZT134" s="3507"/>
      <c r="MZU134" s="3507"/>
      <c r="MZV134" s="3507"/>
      <c r="MZW134" s="3507"/>
      <c r="MZX134" s="3507"/>
      <c r="MZY134" s="3507"/>
      <c r="MZZ134" s="3507"/>
      <c r="NAA134" s="3507"/>
      <c r="NAB134" s="3507"/>
      <c r="NAC134" s="3507"/>
      <c r="NAD134" s="3507"/>
      <c r="NAE134" s="3507"/>
      <c r="NAF134" s="3507"/>
      <c r="NAG134" s="3507"/>
      <c r="NAH134" s="3507"/>
      <c r="NAI134" s="3507"/>
      <c r="NAJ134" s="3507"/>
      <c r="NAK134" s="3507"/>
      <c r="NAL134" s="3507"/>
      <c r="NAM134" s="3507"/>
      <c r="NAN134" s="3507"/>
      <c r="NAO134" s="3507"/>
      <c r="NAP134" s="3507"/>
      <c r="NAQ134" s="3507"/>
      <c r="NAR134" s="3507"/>
      <c r="NAS134" s="3507"/>
      <c r="NAT134" s="3507"/>
      <c r="NAU134" s="3507"/>
      <c r="NAV134" s="3507"/>
      <c r="NAW134" s="3507"/>
      <c r="NAX134" s="3507"/>
      <c r="NAY134" s="3507"/>
      <c r="NAZ134" s="3507"/>
      <c r="NBA134" s="3507"/>
      <c r="NBB134" s="3507"/>
      <c r="NBC134" s="3507"/>
      <c r="NBD134" s="3507"/>
      <c r="NBE134" s="3507"/>
      <c r="NBF134" s="3507"/>
      <c r="NBG134" s="3507"/>
      <c r="NBH134" s="3507"/>
      <c r="NBI134" s="3507"/>
      <c r="NBJ134" s="3507"/>
      <c r="NBK134" s="3507"/>
      <c r="NBL134" s="3507"/>
      <c r="NBM134" s="3507"/>
      <c r="NBN134" s="3507"/>
      <c r="NBO134" s="3507"/>
      <c r="NBP134" s="3507"/>
      <c r="NBQ134" s="3507"/>
      <c r="NBR134" s="3507"/>
      <c r="NBS134" s="3507"/>
      <c r="NBT134" s="3507"/>
      <c r="NBU134" s="3507"/>
      <c r="NBV134" s="3507"/>
      <c r="NBW134" s="3507"/>
      <c r="NBX134" s="3507"/>
      <c r="NBY134" s="3507"/>
      <c r="NBZ134" s="3507"/>
      <c r="NCA134" s="3507"/>
      <c r="NCB134" s="3507"/>
      <c r="NCC134" s="3507"/>
      <c r="NCD134" s="3507"/>
      <c r="NCE134" s="3507"/>
      <c r="NCF134" s="3507"/>
      <c r="NCG134" s="3507"/>
      <c r="NCH134" s="3507"/>
      <c r="NCI134" s="3507"/>
      <c r="NCJ134" s="3507"/>
      <c r="NCK134" s="3507"/>
      <c r="NCL134" s="3507"/>
      <c r="NCM134" s="3507"/>
      <c r="NCN134" s="3507"/>
      <c r="NCO134" s="3507"/>
      <c r="NCP134" s="3507"/>
      <c r="NCQ134" s="3507"/>
      <c r="NCR134" s="3507"/>
      <c r="NCS134" s="3507"/>
      <c r="NCT134" s="3507"/>
      <c r="NCU134" s="3507"/>
      <c r="NCV134" s="3507"/>
      <c r="NCW134" s="3507"/>
      <c r="NCX134" s="3507"/>
      <c r="NCY134" s="3507"/>
      <c r="NCZ134" s="3507"/>
      <c r="NDA134" s="3507"/>
      <c r="NDB134" s="3507"/>
      <c r="NDC134" s="3507"/>
      <c r="NDD134" s="3507"/>
      <c r="NDE134" s="3507"/>
      <c r="NDF134" s="3507"/>
      <c r="NDG134" s="3507"/>
      <c r="NDH134" s="3507"/>
      <c r="NDI134" s="3507"/>
      <c r="NDJ134" s="3507"/>
      <c r="NDK134" s="3507"/>
      <c r="NDL134" s="3507"/>
      <c r="NDM134" s="3507"/>
      <c r="NDN134" s="3507"/>
      <c r="NDO134" s="3507"/>
      <c r="NDP134" s="3507"/>
      <c r="NDQ134" s="3507"/>
      <c r="NDR134" s="3507"/>
      <c r="NDS134" s="3507"/>
      <c r="NDT134" s="3507"/>
      <c r="NDU134" s="3507"/>
      <c r="NDV134" s="3507"/>
      <c r="NDW134" s="3507"/>
      <c r="NDX134" s="3507"/>
      <c r="NDY134" s="3507"/>
      <c r="NDZ134" s="3507"/>
      <c r="NEA134" s="3507"/>
      <c r="NEB134" s="3507"/>
      <c r="NEC134" s="3507"/>
      <c r="NED134" s="3507"/>
      <c r="NEE134" s="3507"/>
      <c r="NEF134" s="3507"/>
      <c r="NEG134" s="3507"/>
      <c r="NEH134" s="3507"/>
      <c r="NEI134" s="3507"/>
      <c r="NEJ134" s="3507"/>
      <c r="NEK134" s="3507"/>
      <c r="NEL134" s="3507"/>
      <c r="NEM134" s="3507"/>
      <c r="NEN134" s="3507"/>
      <c r="NEO134" s="3507"/>
      <c r="NEP134" s="3507"/>
      <c r="NEQ134" s="3507"/>
      <c r="NER134" s="3507"/>
      <c r="NES134" s="3507"/>
      <c r="NET134" s="3507"/>
      <c r="NEU134" s="3507"/>
      <c r="NEV134" s="3507"/>
      <c r="NEW134" s="3507"/>
      <c r="NEX134" s="3507"/>
      <c r="NEY134" s="3507"/>
      <c r="NEZ134" s="3507"/>
      <c r="NFA134" s="3507"/>
      <c r="NFB134" s="3507"/>
      <c r="NFC134" s="3507"/>
      <c r="NFD134" s="3507"/>
      <c r="NFE134" s="3507"/>
      <c r="NFF134" s="3507"/>
      <c r="NFG134" s="3507"/>
      <c r="NFH134" s="3507"/>
      <c r="NFI134" s="3507"/>
      <c r="NFJ134" s="3507"/>
      <c r="NFK134" s="3507"/>
      <c r="NFL134" s="3507"/>
      <c r="NFM134" s="3507"/>
      <c r="NFN134" s="3507"/>
      <c r="NFO134" s="3507"/>
      <c r="NFP134" s="3507"/>
      <c r="NFQ134" s="3507"/>
      <c r="NFR134" s="3507"/>
      <c r="NFS134" s="3507"/>
      <c r="NFT134" s="3507"/>
      <c r="NFU134" s="3507"/>
      <c r="NFV134" s="3507"/>
      <c r="NFW134" s="3507"/>
      <c r="NFX134" s="3507"/>
      <c r="NFY134" s="3507"/>
      <c r="NFZ134" s="3507"/>
      <c r="NGA134" s="3507"/>
      <c r="NGB134" s="3507"/>
      <c r="NGC134" s="3507"/>
      <c r="NGD134" s="3507"/>
      <c r="NGE134" s="3507"/>
      <c r="NGF134" s="3507"/>
      <c r="NGG134" s="3507"/>
      <c r="NGH134" s="3507"/>
      <c r="NGI134" s="3507"/>
      <c r="NGJ134" s="3507"/>
      <c r="NGK134" s="3507"/>
      <c r="NGL134" s="3507"/>
      <c r="NGM134" s="3507"/>
      <c r="NGN134" s="3507"/>
      <c r="NGO134" s="3507"/>
      <c r="NGP134" s="3507"/>
      <c r="NGQ134" s="3507"/>
      <c r="NGR134" s="3507"/>
      <c r="NGS134" s="3507"/>
      <c r="NGT134" s="3507"/>
      <c r="NGU134" s="3507"/>
      <c r="NGV134" s="3507"/>
      <c r="NGW134" s="3507"/>
      <c r="NGX134" s="3507"/>
      <c r="NGY134" s="3507"/>
      <c r="NGZ134" s="3507"/>
      <c r="NHA134" s="3507"/>
      <c r="NHB134" s="3507"/>
      <c r="NHC134" s="3507"/>
      <c r="NHD134" s="3507"/>
      <c r="NHE134" s="3507"/>
      <c r="NHF134" s="3507"/>
      <c r="NHG134" s="3507"/>
      <c r="NHH134" s="3507"/>
      <c r="NHI134" s="3507"/>
      <c r="NHJ134" s="3507"/>
      <c r="NHK134" s="3507"/>
      <c r="NHL134" s="3507"/>
      <c r="NHM134" s="3507"/>
      <c r="NHN134" s="3507"/>
      <c r="NHO134" s="3507"/>
      <c r="NHP134" s="3507"/>
      <c r="NHQ134" s="3507"/>
      <c r="NHR134" s="3507"/>
      <c r="NHS134" s="3507"/>
      <c r="NHT134" s="3507"/>
      <c r="NHU134" s="3507"/>
      <c r="NHV134" s="3507"/>
      <c r="NHW134" s="3507"/>
      <c r="NHX134" s="3507"/>
      <c r="NHY134" s="3507"/>
      <c r="NHZ134" s="3507"/>
      <c r="NIA134" s="3507"/>
      <c r="NIB134" s="3507"/>
      <c r="NIC134" s="3507"/>
      <c r="NID134" s="3507"/>
      <c r="NIE134" s="3507"/>
      <c r="NIF134" s="3507"/>
      <c r="NIG134" s="3507"/>
      <c r="NIH134" s="3507"/>
      <c r="NII134" s="3507"/>
      <c r="NIJ134" s="3507"/>
      <c r="NIK134" s="3507"/>
      <c r="NIL134" s="3507"/>
      <c r="NIM134" s="3507"/>
      <c r="NIN134" s="3507"/>
      <c r="NIO134" s="3507"/>
      <c r="NIP134" s="3507"/>
      <c r="NIQ134" s="3507"/>
      <c r="NIR134" s="3507"/>
      <c r="NIS134" s="3507"/>
      <c r="NIT134" s="3507"/>
      <c r="NIU134" s="3507"/>
      <c r="NIV134" s="3507"/>
      <c r="NIW134" s="3507"/>
      <c r="NIX134" s="3507"/>
      <c r="NIY134" s="3507"/>
      <c r="NIZ134" s="3507"/>
      <c r="NJA134" s="3507"/>
      <c r="NJB134" s="3507"/>
      <c r="NJC134" s="3507"/>
      <c r="NJD134" s="3507"/>
      <c r="NJE134" s="3507"/>
      <c r="NJF134" s="3507"/>
      <c r="NJG134" s="3507"/>
      <c r="NJH134" s="3507"/>
      <c r="NJI134" s="3507"/>
      <c r="NJJ134" s="3507"/>
      <c r="NJK134" s="3507"/>
      <c r="NJL134" s="3507"/>
      <c r="NJM134" s="3507"/>
      <c r="NJN134" s="3507"/>
      <c r="NJO134" s="3507"/>
      <c r="NJP134" s="3507"/>
      <c r="NJQ134" s="3507"/>
      <c r="NJR134" s="3507"/>
      <c r="NJS134" s="3507"/>
      <c r="NJT134" s="3507"/>
      <c r="NJU134" s="3507"/>
      <c r="NJV134" s="3507"/>
      <c r="NJW134" s="3507"/>
      <c r="NJX134" s="3507"/>
      <c r="NJY134" s="3507"/>
      <c r="NJZ134" s="3507"/>
      <c r="NKA134" s="3507"/>
      <c r="NKB134" s="3507"/>
      <c r="NKC134" s="3507"/>
      <c r="NKD134" s="3507"/>
      <c r="NKE134" s="3507"/>
      <c r="NKF134" s="3507"/>
      <c r="NKG134" s="3507"/>
      <c r="NKH134" s="3507"/>
      <c r="NKI134" s="3507"/>
      <c r="NKJ134" s="3507"/>
      <c r="NKK134" s="3507"/>
      <c r="NKL134" s="3507"/>
      <c r="NKM134" s="3507"/>
      <c r="NKN134" s="3507"/>
      <c r="NKO134" s="3507"/>
      <c r="NKP134" s="3507"/>
      <c r="NKQ134" s="3507"/>
      <c r="NKR134" s="3507"/>
      <c r="NKS134" s="3507"/>
      <c r="NKT134" s="3507"/>
      <c r="NKU134" s="3507"/>
      <c r="NKV134" s="3507"/>
      <c r="NKW134" s="3507"/>
      <c r="NKX134" s="3507"/>
      <c r="NKY134" s="3507"/>
      <c r="NKZ134" s="3507"/>
      <c r="NLA134" s="3507"/>
      <c r="NLB134" s="3507"/>
      <c r="NLC134" s="3507"/>
      <c r="NLD134" s="3507"/>
      <c r="NLE134" s="3507"/>
      <c r="NLF134" s="3507"/>
      <c r="NLG134" s="3507"/>
      <c r="NLH134" s="3507"/>
      <c r="NLI134" s="3507"/>
      <c r="NLJ134" s="3507"/>
      <c r="NLK134" s="3507"/>
      <c r="NLL134" s="3507"/>
      <c r="NLM134" s="3507"/>
      <c r="NLN134" s="3507"/>
      <c r="NLO134" s="3507"/>
      <c r="NLP134" s="3507"/>
      <c r="NLQ134" s="3507"/>
      <c r="NLR134" s="3507"/>
      <c r="NLS134" s="3507"/>
      <c r="NLT134" s="3507"/>
      <c r="NLU134" s="3507"/>
      <c r="NLV134" s="3507"/>
      <c r="NLW134" s="3507"/>
      <c r="NLX134" s="3507"/>
      <c r="NLY134" s="3507"/>
      <c r="NLZ134" s="3507"/>
      <c r="NMA134" s="3507"/>
      <c r="NMB134" s="3507"/>
      <c r="NMC134" s="3507"/>
      <c r="NMD134" s="3507"/>
      <c r="NME134" s="3507"/>
      <c r="NMF134" s="3507"/>
      <c r="NMG134" s="3507"/>
      <c r="NMH134" s="3507"/>
      <c r="NMI134" s="3507"/>
      <c r="NMJ134" s="3507"/>
      <c r="NMK134" s="3507"/>
      <c r="NML134" s="3507"/>
      <c r="NMM134" s="3507"/>
      <c r="NMN134" s="3507"/>
      <c r="NMO134" s="3507"/>
      <c r="NMP134" s="3507"/>
      <c r="NMQ134" s="3507"/>
      <c r="NMR134" s="3507"/>
      <c r="NMS134" s="3507"/>
      <c r="NMT134" s="3507"/>
      <c r="NMU134" s="3507"/>
      <c r="NMV134" s="3507"/>
      <c r="NMW134" s="3507"/>
      <c r="NMX134" s="3507"/>
      <c r="NMY134" s="3507"/>
      <c r="NMZ134" s="3507"/>
      <c r="NNA134" s="3507"/>
      <c r="NNB134" s="3507"/>
      <c r="NNC134" s="3507"/>
      <c r="NND134" s="3507"/>
      <c r="NNE134" s="3507"/>
      <c r="NNF134" s="3507"/>
      <c r="NNG134" s="3507"/>
      <c r="NNH134" s="3507"/>
      <c r="NNI134" s="3507"/>
      <c r="NNJ134" s="3507"/>
      <c r="NNK134" s="3507"/>
      <c r="NNL134" s="3507"/>
      <c r="NNM134" s="3507"/>
      <c r="NNN134" s="3507"/>
      <c r="NNO134" s="3507"/>
      <c r="NNP134" s="3507"/>
      <c r="NNQ134" s="3507"/>
      <c r="NNR134" s="3507"/>
      <c r="NNS134" s="3507"/>
      <c r="NNT134" s="3507"/>
      <c r="NNU134" s="3507"/>
      <c r="NNV134" s="3507"/>
      <c r="NNW134" s="3507"/>
      <c r="NNX134" s="3507"/>
      <c r="NNY134" s="3507"/>
      <c r="NNZ134" s="3507"/>
      <c r="NOA134" s="3507"/>
      <c r="NOB134" s="3507"/>
      <c r="NOC134" s="3507"/>
      <c r="NOD134" s="3507"/>
      <c r="NOE134" s="3507"/>
      <c r="NOF134" s="3507"/>
      <c r="NOG134" s="3507"/>
      <c r="NOH134" s="3507"/>
      <c r="NOI134" s="3507"/>
      <c r="NOJ134" s="3507"/>
      <c r="NOK134" s="3507"/>
      <c r="NOL134" s="3507"/>
      <c r="NOM134" s="3507"/>
      <c r="NON134" s="3507"/>
      <c r="NOO134" s="3507"/>
      <c r="NOP134" s="3507"/>
      <c r="NOQ134" s="3507"/>
      <c r="NOR134" s="3507"/>
      <c r="NOS134" s="3507"/>
      <c r="NOT134" s="3507"/>
      <c r="NOU134" s="3507"/>
      <c r="NOV134" s="3507"/>
      <c r="NOW134" s="3507"/>
      <c r="NOX134" s="3507"/>
      <c r="NOY134" s="3507"/>
      <c r="NOZ134" s="3507"/>
      <c r="NPA134" s="3507"/>
      <c r="NPB134" s="3507"/>
      <c r="NPC134" s="3507"/>
      <c r="NPD134" s="3507"/>
      <c r="NPE134" s="3507"/>
      <c r="NPF134" s="3507"/>
      <c r="NPG134" s="3507"/>
      <c r="NPH134" s="3507"/>
      <c r="NPI134" s="3507"/>
      <c r="NPJ134" s="3507"/>
      <c r="NPK134" s="3507"/>
      <c r="NPL134" s="3507"/>
      <c r="NPM134" s="3507"/>
      <c r="NPN134" s="3507"/>
      <c r="NPO134" s="3507"/>
      <c r="NPP134" s="3507"/>
      <c r="NPQ134" s="3507"/>
      <c r="NPR134" s="3507"/>
      <c r="NPS134" s="3507"/>
      <c r="NPT134" s="3507"/>
      <c r="NPU134" s="3507"/>
      <c r="NPV134" s="3507"/>
      <c r="NPW134" s="3507"/>
      <c r="NPX134" s="3507"/>
      <c r="NPY134" s="3507"/>
      <c r="NPZ134" s="3507"/>
      <c r="NQA134" s="3507"/>
      <c r="NQB134" s="3507"/>
      <c r="NQC134" s="3507"/>
      <c r="NQD134" s="3507"/>
      <c r="NQE134" s="3507"/>
      <c r="NQF134" s="3507"/>
      <c r="NQG134" s="3507"/>
      <c r="NQH134" s="3507"/>
      <c r="NQI134" s="3507"/>
      <c r="NQJ134" s="3507"/>
      <c r="NQK134" s="3507"/>
      <c r="NQL134" s="3507"/>
      <c r="NQM134" s="3507"/>
      <c r="NQN134" s="3507"/>
      <c r="NQO134" s="3507"/>
      <c r="NQP134" s="3507"/>
      <c r="NQQ134" s="3507"/>
      <c r="NQR134" s="3507"/>
      <c r="NQS134" s="3507"/>
      <c r="NQT134" s="3507"/>
      <c r="NQU134" s="3507"/>
      <c r="NQV134" s="3507"/>
      <c r="NQW134" s="3507"/>
      <c r="NQX134" s="3507"/>
      <c r="NQY134" s="3507"/>
      <c r="NQZ134" s="3507"/>
      <c r="NRA134" s="3507"/>
      <c r="NRB134" s="3507"/>
      <c r="NRC134" s="3507"/>
      <c r="NRD134" s="3507"/>
      <c r="NRE134" s="3507"/>
      <c r="NRF134" s="3507"/>
      <c r="NRG134" s="3507"/>
      <c r="NRH134" s="3507"/>
      <c r="NRI134" s="3507"/>
      <c r="NRJ134" s="3507"/>
      <c r="NRK134" s="3507"/>
      <c r="NRL134" s="3507"/>
      <c r="NRM134" s="3507"/>
      <c r="NRN134" s="3507"/>
      <c r="NRO134" s="3507"/>
      <c r="NRP134" s="3507"/>
      <c r="NRQ134" s="3507"/>
      <c r="NRR134" s="3507"/>
      <c r="NRS134" s="3507"/>
      <c r="NRT134" s="3507"/>
      <c r="NRU134" s="3507"/>
      <c r="NRV134" s="3507"/>
      <c r="NRW134" s="3507"/>
      <c r="NRX134" s="3507"/>
      <c r="NRY134" s="3507"/>
      <c r="NRZ134" s="3507"/>
      <c r="NSA134" s="3507"/>
      <c r="NSB134" s="3507"/>
      <c r="NSC134" s="3507"/>
      <c r="NSD134" s="3507"/>
      <c r="NSE134" s="3507"/>
      <c r="NSF134" s="3507"/>
      <c r="NSG134" s="3507"/>
      <c r="NSH134" s="3507"/>
      <c r="NSI134" s="3507"/>
      <c r="NSJ134" s="3507"/>
      <c r="NSK134" s="3507"/>
      <c r="NSL134" s="3507"/>
      <c r="NSM134" s="3507"/>
      <c r="NSN134" s="3507"/>
      <c r="NSO134" s="3507"/>
      <c r="NSP134" s="3507"/>
      <c r="NSQ134" s="3507"/>
      <c r="NSR134" s="3507"/>
      <c r="NSS134" s="3507"/>
      <c r="NST134" s="3507"/>
      <c r="NSU134" s="3507"/>
      <c r="NSV134" s="3507"/>
      <c r="NSW134" s="3507"/>
      <c r="NSX134" s="3507"/>
      <c r="NSY134" s="3507"/>
      <c r="NSZ134" s="3507"/>
      <c r="NTA134" s="3507"/>
      <c r="NTB134" s="3507"/>
      <c r="NTC134" s="3507"/>
      <c r="NTD134" s="3507"/>
      <c r="NTE134" s="3507"/>
      <c r="NTF134" s="3507"/>
      <c r="NTG134" s="3507"/>
      <c r="NTH134" s="3507"/>
      <c r="NTI134" s="3507"/>
      <c r="NTJ134" s="3507"/>
      <c r="NTK134" s="3507"/>
      <c r="NTL134" s="3507"/>
      <c r="NTM134" s="3507"/>
      <c r="NTN134" s="3507"/>
      <c r="NTO134" s="3507"/>
      <c r="NTP134" s="3507"/>
      <c r="NTQ134" s="3507"/>
      <c r="NTR134" s="3507"/>
      <c r="NTS134" s="3507"/>
      <c r="NTT134" s="3507"/>
      <c r="NTU134" s="3507"/>
      <c r="NTV134" s="3507"/>
      <c r="NTW134" s="3507"/>
      <c r="NTX134" s="3507"/>
      <c r="NTY134" s="3507"/>
      <c r="NTZ134" s="3507"/>
      <c r="NUA134" s="3507"/>
      <c r="NUB134" s="3507"/>
      <c r="NUC134" s="3507"/>
      <c r="NUD134" s="3507"/>
      <c r="NUE134" s="3507"/>
      <c r="NUF134" s="3507"/>
      <c r="NUG134" s="3507"/>
      <c r="NUH134" s="3507"/>
      <c r="NUI134" s="3507"/>
      <c r="NUJ134" s="3507"/>
      <c r="NUK134" s="3507"/>
      <c r="NUL134" s="3507"/>
      <c r="NUM134" s="3507"/>
      <c r="NUN134" s="3507"/>
      <c r="NUO134" s="3507"/>
      <c r="NUP134" s="3507"/>
      <c r="NUQ134" s="3507"/>
      <c r="NUR134" s="3507"/>
      <c r="NUS134" s="3507"/>
      <c r="NUT134" s="3507"/>
      <c r="NUU134" s="3507"/>
      <c r="NUV134" s="3507"/>
      <c r="NUW134" s="3507"/>
      <c r="NUX134" s="3507"/>
      <c r="NUY134" s="3507"/>
      <c r="NUZ134" s="3507"/>
      <c r="NVA134" s="3507"/>
      <c r="NVB134" s="3507"/>
      <c r="NVC134" s="3507"/>
      <c r="NVD134" s="3507"/>
      <c r="NVE134" s="3507"/>
      <c r="NVF134" s="3507"/>
      <c r="NVG134" s="3507"/>
      <c r="NVH134" s="3507"/>
      <c r="NVI134" s="3507"/>
      <c r="NVJ134" s="3507"/>
      <c r="NVK134" s="3507"/>
      <c r="NVL134" s="3507"/>
      <c r="NVM134" s="3507"/>
      <c r="NVN134" s="3507"/>
      <c r="NVO134" s="3507"/>
      <c r="NVP134" s="3507"/>
      <c r="NVQ134" s="3507"/>
      <c r="NVR134" s="3507"/>
      <c r="NVS134" s="3507"/>
      <c r="NVT134" s="3507"/>
      <c r="NVU134" s="3507"/>
      <c r="NVV134" s="3507"/>
      <c r="NVW134" s="3507"/>
      <c r="NVX134" s="3507"/>
      <c r="NVY134" s="3507"/>
      <c r="NVZ134" s="3507"/>
      <c r="NWA134" s="3507"/>
      <c r="NWB134" s="3507"/>
      <c r="NWC134" s="3507"/>
      <c r="NWD134" s="3507"/>
      <c r="NWE134" s="3507"/>
      <c r="NWF134" s="3507"/>
      <c r="NWG134" s="3507"/>
      <c r="NWH134" s="3507"/>
      <c r="NWI134" s="3507"/>
      <c r="NWJ134" s="3507"/>
      <c r="NWK134" s="3507"/>
      <c r="NWL134" s="3507"/>
      <c r="NWM134" s="3507"/>
      <c r="NWN134" s="3507"/>
      <c r="NWO134" s="3507"/>
      <c r="NWP134" s="3507"/>
      <c r="NWQ134" s="3507"/>
      <c r="NWR134" s="3507"/>
      <c r="NWS134" s="3507"/>
      <c r="NWT134" s="3507"/>
      <c r="NWU134" s="3507"/>
      <c r="NWV134" s="3507"/>
      <c r="NWW134" s="3507"/>
      <c r="NWX134" s="3507"/>
      <c r="NWY134" s="3507"/>
      <c r="NWZ134" s="3507"/>
      <c r="NXA134" s="3507"/>
      <c r="NXB134" s="3507"/>
      <c r="NXC134" s="3507"/>
      <c r="NXD134" s="3507"/>
      <c r="NXE134" s="3507"/>
      <c r="NXF134" s="3507"/>
      <c r="NXG134" s="3507"/>
      <c r="NXH134" s="3507"/>
      <c r="NXI134" s="3507"/>
      <c r="NXJ134" s="3507"/>
      <c r="NXK134" s="3507"/>
      <c r="NXL134" s="3507"/>
      <c r="NXM134" s="3507"/>
      <c r="NXN134" s="3507"/>
      <c r="NXO134" s="3507"/>
      <c r="NXP134" s="3507"/>
      <c r="NXQ134" s="3507"/>
      <c r="NXR134" s="3507"/>
      <c r="NXS134" s="3507"/>
      <c r="NXT134" s="3507"/>
      <c r="NXU134" s="3507"/>
      <c r="NXV134" s="3507"/>
      <c r="NXW134" s="3507"/>
      <c r="NXX134" s="3507"/>
      <c r="NXY134" s="3507"/>
      <c r="NXZ134" s="3507"/>
      <c r="NYA134" s="3507"/>
      <c r="NYB134" s="3507"/>
      <c r="NYC134" s="3507"/>
      <c r="NYD134" s="3507"/>
      <c r="NYE134" s="3507"/>
      <c r="NYF134" s="3507"/>
      <c r="NYG134" s="3507"/>
      <c r="NYH134" s="3507"/>
      <c r="NYI134" s="3507"/>
      <c r="NYJ134" s="3507"/>
      <c r="NYK134" s="3507"/>
      <c r="NYL134" s="3507"/>
      <c r="NYM134" s="3507"/>
      <c r="NYN134" s="3507"/>
      <c r="NYO134" s="3507"/>
      <c r="NYP134" s="3507"/>
      <c r="NYQ134" s="3507"/>
      <c r="NYR134" s="3507"/>
      <c r="NYS134" s="3507"/>
      <c r="NYT134" s="3507"/>
      <c r="NYU134" s="3507"/>
      <c r="NYV134" s="3507"/>
      <c r="NYW134" s="3507"/>
      <c r="NYX134" s="3507"/>
      <c r="NYY134" s="3507"/>
      <c r="NYZ134" s="3507"/>
      <c r="NZA134" s="3507"/>
      <c r="NZB134" s="3507"/>
      <c r="NZC134" s="3507"/>
      <c r="NZD134" s="3507"/>
      <c r="NZE134" s="3507"/>
      <c r="NZF134" s="3507"/>
      <c r="NZG134" s="3507"/>
      <c r="NZH134" s="3507"/>
      <c r="NZI134" s="3507"/>
      <c r="NZJ134" s="3507"/>
      <c r="NZK134" s="3507"/>
      <c r="NZL134" s="3507"/>
      <c r="NZM134" s="3507"/>
      <c r="NZN134" s="3507"/>
      <c r="NZO134" s="3507"/>
      <c r="NZP134" s="3507"/>
      <c r="NZQ134" s="3507"/>
      <c r="NZR134" s="3507"/>
      <c r="NZS134" s="3507"/>
      <c r="NZT134" s="3507"/>
      <c r="NZU134" s="3507"/>
      <c r="NZV134" s="3507"/>
      <c r="NZW134" s="3507"/>
      <c r="NZX134" s="3507"/>
      <c r="NZY134" s="3507"/>
      <c r="NZZ134" s="3507"/>
      <c r="OAA134" s="3507"/>
      <c r="OAB134" s="3507"/>
      <c r="OAC134" s="3507"/>
      <c r="OAD134" s="3507"/>
      <c r="OAE134" s="3507"/>
      <c r="OAF134" s="3507"/>
      <c r="OAG134" s="3507"/>
      <c r="OAH134" s="3507"/>
      <c r="OAI134" s="3507"/>
      <c r="OAJ134" s="3507"/>
      <c r="OAK134" s="3507"/>
      <c r="OAL134" s="3507"/>
      <c r="OAM134" s="3507"/>
      <c r="OAN134" s="3507"/>
      <c r="OAO134" s="3507"/>
      <c r="OAP134" s="3507"/>
      <c r="OAQ134" s="3507"/>
      <c r="OAR134" s="3507"/>
      <c r="OAS134" s="3507"/>
      <c r="OAT134" s="3507"/>
      <c r="OAU134" s="3507"/>
      <c r="OAV134" s="3507"/>
      <c r="OAW134" s="3507"/>
      <c r="OAX134" s="3507"/>
      <c r="OAY134" s="3507"/>
      <c r="OAZ134" s="3507"/>
      <c r="OBA134" s="3507"/>
      <c r="OBB134" s="3507"/>
      <c r="OBC134" s="3507"/>
      <c r="OBD134" s="3507"/>
      <c r="OBE134" s="3507"/>
      <c r="OBF134" s="3507"/>
      <c r="OBG134" s="3507"/>
      <c r="OBH134" s="3507"/>
      <c r="OBI134" s="3507"/>
      <c r="OBJ134" s="3507"/>
      <c r="OBK134" s="3507"/>
      <c r="OBL134" s="3507"/>
      <c r="OBM134" s="3507"/>
      <c r="OBN134" s="3507"/>
      <c r="OBO134" s="3507"/>
      <c r="OBP134" s="3507"/>
      <c r="OBQ134" s="3507"/>
      <c r="OBR134" s="3507"/>
      <c r="OBS134" s="3507"/>
      <c r="OBT134" s="3507"/>
      <c r="OBU134" s="3507"/>
      <c r="OBV134" s="3507"/>
      <c r="OBW134" s="3507"/>
      <c r="OBX134" s="3507"/>
      <c r="OBY134" s="3507"/>
      <c r="OBZ134" s="3507"/>
      <c r="OCA134" s="3507"/>
      <c r="OCB134" s="3507"/>
      <c r="OCC134" s="3507"/>
      <c r="OCD134" s="3507"/>
      <c r="OCE134" s="3507"/>
      <c r="OCF134" s="3507"/>
      <c r="OCG134" s="3507"/>
      <c r="OCH134" s="3507"/>
      <c r="OCI134" s="3507"/>
      <c r="OCJ134" s="3507"/>
      <c r="OCK134" s="3507"/>
      <c r="OCL134" s="3507"/>
      <c r="OCM134" s="3507"/>
      <c r="OCN134" s="3507"/>
      <c r="OCO134" s="3507"/>
      <c r="OCP134" s="3507"/>
      <c r="OCQ134" s="3507"/>
      <c r="OCR134" s="3507"/>
      <c r="OCS134" s="3507"/>
      <c r="OCT134" s="3507"/>
      <c r="OCU134" s="3507"/>
      <c r="OCV134" s="3507"/>
      <c r="OCW134" s="3507"/>
      <c r="OCX134" s="3507"/>
      <c r="OCY134" s="3507"/>
      <c r="OCZ134" s="3507"/>
      <c r="ODA134" s="3507"/>
      <c r="ODB134" s="3507"/>
      <c r="ODC134" s="3507"/>
      <c r="ODD134" s="3507"/>
      <c r="ODE134" s="3507"/>
      <c r="ODF134" s="3507"/>
      <c r="ODG134" s="3507"/>
      <c r="ODH134" s="3507"/>
      <c r="ODI134" s="3507"/>
      <c r="ODJ134" s="3507"/>
      <c r="ODK134" s="3507"/>
      <c r="ODL134" s="3507"/>
      <c r="ODM134" s="3507"/>
      <c r="ODN134" s="3507"/>
      <c r="ODO134" s="3507"/>
      <c r="ODP134" s="3507"/>
      <c r="ODQ134" s="3507"/>
      <c r="ODR134" s="3507"/>
      <c r="ODS134" s="3507"/>
      <c r="ODT134" s="3507"/>
      <c r="ODU134" s="3507"/>
      <c r="ODV134" s="3507"/>
      <c r="ODW134" s="3507"/>
      <c r="ODX134" s="3507"/>
      <c r="ODY134" s="3507"/>
      <c r="ODZ134" s="3507"/>
      <c r="OEA134" s="3507"/>
      <c r="OEB134" s="3507"/>
      <c r="OEC134" s="3507"/>
      <c r="OED134" s="3507"/>
      <c r="OEE134" s="3507"/>
      <c r="OEF134" s="3507"/>
      <c r="OEG134" s="3507"/>
      <c r="OEH134" s="3507"/>
      <c r="OEI134" s="3507"/>
      <c r="OEJ134" s="3507"/>
      <c r="OEK134" s="3507"/>
      <c r="OEL134" s="3507"/>
      <c r="OEM134" s="3507"/>
      <c r="OEN134" s="3507"/>
      <c r="OEO134" s="3507"/>
      <c r="OEP134" s="3507"/>
      <c r="OEQ134" s="3507"/>
      <c r="OER134" s="3507"/>
      <c r="OES134" s="3507"/>
      <c r="OET134" s="3507"/>
      <c r="OEU134" s="3507"/>
      <c r="OEV134" s="3507"/>
      <c r="OEW134" s="3507"/>
      <c r="OEX134" s="3507"/>
      <c r="OEY134" s="3507"/>
      <c r="OEZ134" s="3507"/>
      <c r="OFA134" s="3507"/>
      <c r="OFB134" s="3507"/>
      <c r="OFC134" s="3507"/>
      <c r="OFD134" s="3507"/>
      <c r="OFE134" s="3507"/>
      <c r="OFF134" s="3507"/>
      <c r="OFG134" s="3507"/>
      <c r="OFH134" s="3507"/>
      <c r="OFI134" s="3507"/>
      <c r="OFJ134" s="3507"/>
      <c r="OFK134" s="3507"/>
      <c r="OFL134" s="3507"/>
      <c r="OFM134" s="3507"/>
      <c r="OFN134" s="3507"/>
      <c r="OFO134" s="3507"/>
      <c r="OFP134" s="3507"/>
      <c r="OFQ134" s="3507"/>
      <c r="OFR134" s="3507"/>
      <c r="OFS134" s="3507"/>
      <c r="OFT134" s="3507"/>
      <c r="OFU134" s="3507"/>
      <c r="OFV134" s="3507"/>
      <c r="OFW134" s="3507"/>
      <c r="OFX134" s="3507"/>
      <c r="OFY134" s="3507"/>
      <c r="OFZ134" s="3507"/>
      <c r="OGA134" s="3507"/>
      <c r="OGB134" s="3507"/>
      <c r="OGC134" s="3507"/>
      <c r="OGD134" s="3507"/>
      <c r="OGE134" s="3507"/>
      <c r="OGF134" s="3507"/>
      <c r="OGG134" s="3507"/>
      <c r="OGH134" s="3507"/>
      <c r="OGI134" s="3507"/>
      <c r="OGJ134" s="3507"/>
      <c r="OGK134" s="3507"/>
      <c r="OGL134" s="3507"/>
      <c r="OGM134" s="3507"/>
      <c r="OGN134" s="3507"/>
      <c r="OGO134" s="3507"/>
      <c r="OGP134" s="3507"/>
      <c r="OGQ134" s="3507"/>
      <c r="OGR134" s="3507"/>
      <c r="OGS134" s="3507"/>
      <c r="OGT134" s="3507"/>
      <c r="OGU134" s="3507"/>
      <c r="OGV134" s="3507"/>
      <c r="OGW134" s="3507"/>
      <c r="OGX134" s="3507"/>
      <c r="OGY134" s="3507"/>
      <c r="OGZ134" s="3507"/>
      <c r="OHA134" s="3507"/>
      <c r="OHB134" s="3507"/>
      <c r="OHC134" s="3507"/>
      <c r="OHD134" s="3507"/>
      <c r="OHE134" s="3507"/>
      <c r="OHF134" s="3507"/>
      <c r="OHG134" s="3507"/>
      <c r="OHH134" s="3507"/>
      <c r="OHI134" s="3507"/>
      <c r="OHJ134" s="3507"/>
      <c r="OHK134" s="3507"/>
      <c r="OHL134" s="3507"/>
      <c r="OHM134" s="3507"/>
      <c r="OHN134" s="3507"/>
      <c r="OHO134" s="3507"/>
      <c r="OHP134" s="3507"/>
      <c r="OHQ134" s="3507"/>
      <c r="OHR134" s="3507"/>
      <c r="OHS134" s="3507"/>
      <c r="OHT134" s="3507"/>
      <c r="OHU134" s="3507"/>
      <c r="OHV134" s="3507"/>
      <c r="OHW134" s="3507"/>
      <c r="OHX134" s="3507"/>
      <c r="OHY134" s="3507"/>
      <c r="OHZ134" s="3507"/>
      <c r="OIA134" s="3507"/>
      <c r="OIB134" s="3507"/>
      <c r="OIC134" s="3507"/>
      <c r="OID134" s="3507"/>
      <c r="OIE134" s="3507"/>
      <c r="OIF134" s="3507"/>
      <c r="OIG134" s="3507"/>
      <c r="OIH134" s="3507"/>
      <c r="OII134" s="3507"/>
      <c r="OIJ134" s="3507"/>
      <c r="OIK134" s="3507"/>
      <c r="OIL134" s="3507"/>
      <c r="OIM134" s="3507"/>
      <c r="OIN134" s="3507"/>
      <c r="OIO134" s="3507"/>
      <c r="OIP134" s="3507"/>
      <c r="OIQ134" s="3507"/>
      <c r="OIR134" s="3507"/>
      <c r="OIS134" s="3507"/>
      <c r="OIT134" s="3507"/>
      <c r="OIU134" s="3507"/>
      <c r="OIV134" s="3507"/>
      <c r="OIW134" s="3507"/>
      <c r="OIX134" s="3507"/>
      <c r="OIY134" s="3507"/>
      <c r="OIZ134" s="3507"/>
      <c r="OJA134" s="3507"/>
      <c r="OJB134" s="3507"/>
      <c r="OJC134" s="3507"/>
      <c r="OJD134" s="3507"/>
      <c r="OJE134" s="3507"/>
      <c r="OJF134" s="3507"/>
      <c r="OJG134" s="3507"/>
      <c r="OJH134" s="3507"/>
      <c r="OJI134" s="3507"/>
      <c r="OJJ134" s="3507"/>
      <c r="OJK134" s="3507"/>
      <c r="OJL134" s="3507"/>
      <c r="OJM134" s="3507"/>
      <c r="OJN134" s="3507"/>
      <c r="OJO134" s="3507"/>
      <c r="OJP134" s="3507"/>
      <c r="OJQ134" s="3507"/>
      <c r="OJR134" s="3507"/>
      <c r="OJS134" s="3507"/>
      <c r="OJT134" s="3507"/>
      <c r="OJU134" s="3507"/>
      <c r="OJV134" s="3507"/>
      <c r="OJW134" s="3507"/>
      <c r="OJX134" s="3507"/>
      <c r="OJY134" s="3507"/>
      <c r="OJZ134" s="3507"/>
      <c r="OKA134" s="3507"/>
      <c r="OKB134" s="3507"/>
      <c r="OKC134" s="3507"/>
      <c r="OKD134" s="3507"/>
      <c r="OKE134" s="3507"/>
      <c r="OKF134" s="3507"/>
      <c r="OKG134" s="3507"/>
      <c r="OKH134" s="3507"/>
      <c r="OKI134" s="3507"/>
      <c r="OKJ134" s="3507"/>
      <c r="OKK134" s="3507"/>
      <c r="OKL134" s="3507"/>
      <c r="OKM134" s="3507"/>
      <c r="OKN134" s="3507"/>
      <c r="OKO134" s="3507"/>
      <c r="OKP134" s="3507"/>
      <c r="OKQ134" s="3507"/>
      <c r="OKR134" s="3507"/>
      <c r="OKS134" s="3507"/>
      <c r="OKT134" s="3507"/>
      <c r="OKU134" s="3507"/>
      <c r="OKV134" s="3507"/>
      <c r="OKW134" s="3507"/>
      <c r="OKX134" s="3507"/>
      <c r="OKY134" s="3507"/>
      <c r="OKZ134" s="3507"/>
      <c r="OLA134" s="3507"/>
      <c r="OLB134" s="3507"/>
      <c r="OLC134" s="3507"/>
      <c r="OLD134" s="3507"/>
      <c r="OLE134" s="3507"/>
      <c r="OLF134" s="3507"/>
      <c r="OLG134" s="3507"/>
      <c r="OLH134" s="3507"/>
      <c r="OLI134" s="3507"/>
      <c r="OLJ134" s="3507"/>
      <c r="OLK134" s="3507"/>
      <c r="OLL134" s="3507"/>
      <c r="OLM134" s="3507"/>
      <c r="OLN134" s="3507"/>
      <c r="OLO134" s="3507"/>
      <c r="OLP134" s="3507"/>
      <c r="OLQ134" s="3507"/>
      <c r="OLR134" s="3507"/>
      <c r="OLS134" s="3507"/>
      <c r="OLT134" s="3507"/>
      <c r="OLU134" s="3507"/>
      <c r="OLV134" s="3507"/>
      <c r="OLW134" s="3507"/>
      <c r="OLX134" s="3507"/>
      <c r="OLY134" s="3507"/>
      <c r="OLZ134" s="3507"/>
      <c r="OMA134" s="3507"/>
      <c r="OMB134" s="3507"/>
      <c r="OMC134" s="3507"/>
      <c r="OMD134" s="3507"/>
      <c r="OME134" s="3507"/>
      <c r="OMF134" s="3507"/>
      <c r="OMG134" s="3507"/>
      <c r="OMH134" s="3507"/>
      <c r="OMI134" s="3507"/>
      <c r="OMJ134" s="3507"/>
      <c r="OMK134" s="3507"/>
      <c r="OML134" s="3507"/>
      <c r="OMM134" s="3507"/>
      <c r="OMN134" s="3507"/>
      <c r="OMO134" s="3507"/>
      <c r="OMP134" s="3507"/>
      <c r="OMQ134" s="3507"/>
      <c r="OMR134" s="3507"/>
      <c r="OMS134" s="3507"/>
      <c r="OMT134" s="3507"/>
      <c r="OMU134" s="3507"/>
      <c r="OMV134" s="3507"/>
      <c r="OMW134" s="3507"/>
      <c r="OMX134" s="3507"/>
      <c r="OMY134" s="3507"/>
      <c r="OMZ134" s="3507"/>
      <c r="ONA134" s="3507"/>
      <c r="ONB134" s="3507"/>
      <c r="ONC134" s="3507"/>
      <c r="OND134" s="3507"/>
      <c r="ONE134" s="3507"/>
      <c r="ONF134" s="3507"/>
      <c r="ONG134" s="3507"/>
      <c r="ONH134" s="3507"/>
      <c r="ONI134" s="3507"/>
      <c r="ONJ134" s="3507"/>
      <c r="ONK134" s="3507"/>
      <c r="ONL134" s="3507"/>
      <c r="ONM134" s="3507"/>
      <c r="ONN134" s="3507"/>
      <c r="ONO134" s="3507"/>
      <c r="ONP134" s="3507"/>
      <c r="ONQ134" s="3507"/>
      <c r="ONR134" s="3507"/>
      <c r="ONS134" s="3507"/>
      <c r="ONT134" s="3507"/>
      <c r="ONU134" s="3507"/>
      <c r="ONV134" s="3507"/>
      <c r="ONW134" s="3507"/>
      <c r="ONX134" s="3507"/>
      <c r="ONY134" s="3507"/>
      <c r="ONZ134" s="3507"/>
      <c r="OOA134" s="3507"/>
      <c r="OOB134" s="3507"/>
      <c r="OOC134" s="3507"/>
      <c r="OOD134" s="3507"/>
      <c r="OOE134" s="3507"/>
      <c r="OOF134" s="3507"/>
      <c r="OOG134" s="3507"/>
      <c r="OOH134" s="3507"/>
      <c r="OOI134" s="3507"/>
      <c r="OOJ134" s="3507"/>
      <c r="OOK134" s="3507"/>
      <c r="OOL134" s="3507"/>
      <c r="OOM134" s="3507"/>
      <c r="OON134" s="3507"/>
      <c r="OOO134" s="3507"/>
      <c r="OOP134" s="3507"/>
      <c r="OOQ134" s="3507"/>
      <c r="OOR134" s="3507"/>
      <c r="OOS134" s="3507"/>
      <c r="OOT134" s="3507"/>
      <c r="OOU134" s="3507"/>
      <c r="OOV134" s="3507"/>
      <c r="OOW134" s="3507"/>
      <c r="OOX134" s="3507"/>
      <c r="OOY134" s="3507"/>
      <c r="OOZ134" s="3507"/>
      <c r="OPA134" s="3507"/>
      <c r="OPB134" s="3507"/>
      <c r="OPC134" s="3507"/>
      <c r="OPD134" s="3507"/>
      <c r="OPE134" s="3507"/>
      <c r="OPF134" s="3507"/>
      <c r="OPG134" s="3507"/>
      <c r="OPH134" s="3507"/>
      <c r="OPI134" s="3507"/>
      <c r="OPJ134" s="3507"/>
      <c r="OPK134" s="3507"/>
      <c r="OPL134" s="3507"/>
      <c r="OPM134" s="3507"/>
      <c r="OPN134" s="3507"/>
      <c r="OPO134" s="3507"/>
      <c r="OPP134" s="3507"/>
      <c r="OPQ134" s="3507"/>
      <c r="OPR134" s="3507"/>
      <c r="OPS134" s="3507"/>
      <c r="OPT134" s="3507"/>
      <c r="OPU134" s="3507"/>
      <c r="OPV134" s="3507"/>
      <c r="OPW134" s="3507"/>
      <c r="OPX134" s="3507"/>
      <c r="OPY134" s="3507"/>
      <c r="OPZ134" s="3507"/>
      <c r="OQA134" s="3507"/>
      <c r="OQB134" s="3507"/>
      <c r="OQC134" s="3507"/>
      <c r="OQD134" s="3507"/>
      <c r="OQE134" s="3507"/>
      <c r="OQF134" s="3507"/>
      <c r="OQG134" s="3507"/>
      <c r="OQH134" s="3507"/>
      <c r="OQI134" s="3507"/>
      <c r="OQJ134" s="3507"/>
      <c r="OQK134" s="3507"/>
      <c r="OQL134" s="3507"/>
      <c r="OQM134" s="3507"/>
      <c r="OQN134" s="3507"/>
      <c r="OQO134" s="3507"/>
      <c r="OQP134" s="3507"/>
      <c r="OQQ134" s="3507"/>
      <c r="OQR134" s="3507"/>
      <c r="OQS134" s="3507"/>
      <c r="OQT134" s="3507"/>
      <c r="OQU134" s="3507"/>
      <c r="OQV134" s="3507"/>
      <c r="OQW134" s="3507"/>
      <c r="OQX134" s="3507"/>
      <c r="OQY134" s="3507"/>
      <c r="OQZ134" s="3507"/>
      <c r="ORA134" s="3507"/>
      <c r="ORB134" s="3507"/>
      <c r="ORC134" s="3507"/>
      <c r="ORD134" s="3507"/>
      <c r="ORE134" s="3507"/>
      <c r="ORF134" s="3507"/>
      <c r="ORG134" s="3507"/>
      <c r="ORH134" s="3507"/>
      <c r="ORI134" s="3507"/>
      <c r="ORJ134" s="3507"/>
      <c r="ORK134" s="3507"/>
      <c r="ORL134" s="3507"/>
      <c r="ORM134" s="3507"/>
      <c r="ORN134" s="3507"/>
      <c r="ORO134" s="3507"/>
      <c r="ORP134" s="3507"/>
      <c r="ORQ134" s="3507"/>
      <c r="ORR134" s="3507"/>
      <c r="ORS134" s="3507"/>
      <c r="ORT134" s="3507"/>
      <c r="ORU134" s="3507"/>
      <c r="ORV134" s="3507"/>
      <c r="ORW134" s="3507"/>
      <c r="ORX134" s="3507"/>
      <c r="ORY134" s="3507"/>
      <c r="ORZ134" s="3507"/>
      <c r="OSA134" s="3507"/>
      <c r="OSB134" s="3507"/>
      <c r="OSC134" s="3507"/>
      <c r="OSD134" s="3507"/>
      <c r="OSE134" s="3507"/>
      <c r="OSF134" s="3507"/>
      <c r="OSG134" s="3507"/>
      <c r="OSH134" s="3507"/>
      <c r="OSI134" s="3507"/>
      <c r="OSJ134" s="3507"/>
      <c r="OSK134" s="3507"/>
      <c r="OSL134" s="3507"/>
      <c r="OSM134" s="3507"/>
      <c r="OSN134" s="3507"/>
      <c r="OSO134" s="3507"/>
      <c r="OSP134" s="3507"/>
      <c r="OSQ134" s="3507"/>
      <c r="OSR134" s="3507"/>
      <c r="OSS134" s="3507"/>
      <c r="OST134" s="3507"/>
      <c r="OSU134" s="3507"/>
      <c r="OSV134" s="3507"/>
      <c r="OSW134" s="3507"/>
      <c r="OSX134" s="3507"/>
      <c r="OSY134" s="3507"/>
      <c r="OSZ134" s="3507"/>
      <c r="OTA134" s="3507"/>
      <c r="OTB134" s="3507"/>
      <c r="OTC134" s="3507"/>
      <c r="OTD134" s="3507"/>
      <c r="OTE134" s="3507"/>
      <c r="OTF134" s="3507"/>
      <c r="OTG134" s="3507"/>
      <c r="OTH134" s="3507"/>
      <c r="OTI134" s="3507"/>
      <c r="OTJ134" s="3507"/>
      <c r="OTK134" s="3507"/>
      <c r="OTL134" s="3507"/>
      <c r="OTM134" s="3507"/>
      <c r="OTN134" s="3507"/>
      <c r="OTO134" s="3507"/>
      <c r="OTP134" s="3507"/>
      <c r="OTQ134" s="3507"/>
      <c r="OTR134" s="3507"/>
      <c r="OTS134" s="3507"/>
      <c r="OTT134" s="3507"/>
      <c r="OTU134" s="3507"/>
      <c r="OTV134" s="3507"/>
      <c r="OTW134" s="3507"/>
      <c r="OTX134" s="3507"/>
      <c r="OTY134" s="3507"/>
      <c r="OTZ134" s="3507"/>
      <c r="OUA134" s="3507"/>
      <c r="OUB134" s="3507"/>
      <c r="OUC134" s="3507"/>
      <c r="OUD134" s="3507"/>
      <c r="OUE134" s="3507"/>
      <c r="OUF134" s="3507"/>
      <c r="OUG134" s="3507"/>
      <c r="OUH134" s="3507"/>
      <c r="OUI134" s="3507"/>
      <c r="OUJ134" s="3507"/>
      <c r="OUK134" s="3507"/>
      <c r="OUL134" s="3507"/>
      <c r="OUM134" s="3507"/>
      <c r="OUN134" s="3507"/>
      <c r="OUO134" s="3507"/>
      <c r="OUP134" s="3507"/>
      <c r="OUQ134" s="3507"/>
      <c r="OUR134" s="3507"/>
      <c r="OUS134" s="3507"/>
      <c r="OUT134" s="3507"/>
      <c r="OUU134" s="3507"/>
      <c r="OUV134" s="3507"/>
      <c r="OUW134" s="3507"/>
      <c r="OUX134" s="3507"/>
      <c r="OUY134" s="3507"/>
      <c r="OUZ134" s="3507"/>
      <c r="OVA134" s="3507"/>
      <c r="OVB134" s="3507"/>
      <c r="OVC134" s="3507"/>
      <c r="OVD134" s="3507"/>
      <c r="OVE134" s="3507"/>
      <c r="OVF134" s="3507"/>
      <c r="OVG134" s="3507"/>
      <c r="OVH134" s="3507"/>
      <c r="OVI134" s="3507"/>
      <c r="OVJ134" s="3507"/>
      <c r="OVK134" s="3507"/>
      <c r="OVL134" s="3507"/>
      <c r="OVM134" s="3507"/>
      <c r="OVN134" s="3507"/>
      <c r="OVO134" s="3507"/>
      <c r="OVP134" s="3507"/>
      <c r="OVQ134" s="3507"/>
      <c r="OVR134" s="3507"/>
      <c r="OVS134" s="3507"/>
      <c r="OVT134" s="3507"/>
      <c r="OVU134" s="3507"/>
      <c r="OVV134" s="3507"/>
      <c r="OVW134" s="3507"/>
      <c r="OVX134" s="3507"/>
      <c r="OVY134" s="3507"/>
      <c r="OVZ134" s="3507"/>
      <c r="OWA134" s="3507"/>
      <c r="OWB134" s="3507"/>
      <c r="OWC134" s="3507"/>
      <c r="OWD134" s="3507"/>
      <c r="OWE134" s="3507"/>
      <c r="OWF134" s="3507"/>
      <c r="OWG134" s="3507"/>
      <c r="OWH134" s="3507"/>
      <c r="OWI134" s="3507"/>
      <c r="OWJ134" s="3507"/>
      <c r="OWK134" s="3507"/>
      <c r="OWL134" s="3507"/>
      <c r="OWM134" s="3507"/>
      <c r="OWN134" s="3507"/>
      <c r="OWO134" s="3507"/>
      <c r="OWP134" s="3507"/>
      <c r="OWQ134" s="3507"/>
      <c r="OWR134" s="3507"/>
      <c r="OWS134" s="3507"/>
      <c r="OWT134" s="3507"/>
      <c r="OWU134" s="3507"/>
      <c r="OWV134" s="3507"/>
      <c r="OWW134" s="3507"/>
      <c r="OWX134" s="3507"/>
      <c r="OWY134" s="3507"/>
      <c r="OWZ134" s="3507"/>
      <c r="OXA134" s="3507"/>
      <c r="OXB134" s="3507"/>
      <c r="OXC134" s="3507"/>
      <c r="OXD134" s="3507"/>
      <c r="OXE134" s="3507"/>
      <c r="OXF134" s="3507"/>
      <c r="OXG134" s="3507"/>
      <c r="OXH134" s="3507"/>
      <c r="OXI134" s="3507"/>
      <c r="OXJ134" s="3507"/>
      <c r="OXK134" s="3507"/>
      <c r="OXL134" s="3507"/>
      <c r="OXM134" s="3507"/>
      <c r="OXN134" s="3507"/>
      <c r="OXO134" s="3507"/>
      <c r="OXP134" s="3507"/>
      <c r="OXQ134" s="3507"/>
      <c r="OXR134" s="3507"/>
      <c r="OXS134" s="3507"/>
      <c r="OXT134" s="3507"/>
      <c r="OXU134" s="3507"/>
      <c r="OXV134" s="3507"/>
      <c r="OXW134" s="3507"/>
      <c r="OXX134" s="3507"/>
      <c r="OXY134" s="3507"/>
      <c r="OXZ134" s="3507"/>
      <c r="OYA134" s="3507"/>
      <c r="OYB134" s="3507"/>
      <c r="OYC134" s="3507"/>
      <c r="OYD134" s="3507"/>
      <c r="OYE134" s="3507"/>
      <c r="OYF134" s="3507"/>
      <c r="OYG134" s="3507"/>
      <c r="OYH134" s="3507"/>
      <c r="OYI134" s="3507"/>
      <c r="OYJ134" s="3507"/>
      <c r="OYK134" s="3507"/>
      <c r="OYL134" s="3507"/>
      <c r="OYM134" s="3507"/>
      <c r="OYN134" s="3507"/>
      <c r="OYO134" s="3507"/>
      <c r="OYP134" s="3507"/>
      <c r="OYQ134" s="3507"/>
      <c r="OYR134" s="3507"/>
      <c r="OYS134" s="3507"/>
      <c r="OYT134" s="3507"/>
      <c r="OYU134" s="3507"/>
      <c r="OYV134" s="3507"/>
      <c r="OYW134" s="3507"/>
      <c r="OYX134" s="3507"/>
      <c r="OYY134" s="3507"/>
      <c r="OYZ134" s="3507"/>
      <c r="OZA134" s="3507"/>
      <c r="OZB134" s="3507"/>
      <c r="OZC134" s="3507"/>
      <c r="OZD134" s="3507"/>
      <c r="OZE134" s="3507"/>
      <c r="OZF134" s="3507"/>
      <c r="OZG134" s="3507"/>
      <c r="OZH134" s="3507"/>
      <c r="OZI134" s="3507"/>
      <c r="OZJ134" s="3507"/>
      <c r="OZK134" s="3507"/>
      <c r="OZL134" s="3507"/>
      <c r="OZM134" s="3507"/>
      <c r="OZN134" s="3507"/>
      <c r="OZO134" s="3507"/>
      <c r="OZP134" s="3507"/>
      <c r="OZQ134" s="3507"/>
      <c r="OZR134" s="3507"/>
      <c r="OZS134" s="3507"/>
      <c r="OZT134" s="3507"/>
      <c r="OZU134" s="3507"/>
      <c r="OZV134" s="3507"/>
      <c r="OZW134" s="3507"/>
      <c r="OZX134" s="3507"/>
      <c r="OZY134" s="3507"/>
      <c r="OZZ134" s="3507"/>
      <c r="PAA134" s="3507"/>
      <c r="PAB134" s="3507"/>
      <c r="PAC134" s="3507"/>
      <c r="PAD134" s="3507"/>
      <c r="PAE134" s="3507"/>
      <c r="PAF134" s="3507"/>
      <c r="PAG134" s="3507"/>
      <c r="PAH134" s="3507"/>
      <c r="PAI134" s="3507"/>
      <c r="PAJ134" s="3507"/>
      <c r="PAK134" s="3507"/>
      <c r="PAL134" s="3507"/>
      <c r="PAM134" s="3507"/>
      <c r="PAN134" s="3507"/>
      <c r="PAO134" s="3507"/>
      <c r="PAP134" s="3507"/>
      <c r="PAQ134" s="3507"/>
      <c r="PAR134" s="3507"/>
      <c r="PAS134" s="3507"/>
      <c r="PAT134" s="3507"/>
      <c r="PAU134" s="3507"/>
      <c r="PAV134" s="3507"/>
      <c r="PAW134" s="3507"/>
      <c r="PAX134" s="3507"/>
      <c r="PAY134" s="3507"/>
      <c r="PAZ134" s="3507"/>
      <c r="PBA134" s="3507"/>
      <c r="PBB134" s="3507"/>
      <c r="PBC134" s="3507"/>
      <c r="PBD134" s="3507"/>
      <c r="PBE134" s="3507"/>
      <c r="PBF134" s="3507"/>
      <c r="PBG134" s="3507"/>
      <c r="PBH134" s="3507"/>
      <c r="PBI134" s="3507"/>
      <c r="PBJ134" s="3507"/>
      <c r="PBK134" s="3507"/>
      <c r="PBL134" s="3507"/>
      <c r="PBM134" s="3507"/>
      <c r="PBN134" s="3507"/>
      <c r="PBO134" s="3507"/>
      <c r="PBP134" s="3507"/>
      <c r="PBQ134" s="3507"/>
      <c r="PBR134" s="3507"/>
      <c r="PBS134" s="3507"/>
      <c r="PBT134" s="3507"/>
      <c r="PBU134" s="3507"/>
      <c r="PBV134" s="3507"/>
      <c r="PBW134" s="3507"/>
      <c r="PBX134" s="3507"/>
      <c r="PBY134" s="3507"/>
      <c r="PBZ134" s="3507"/>
      <c r="PCA134" s="3507"/>
      <c r="PCB134" s="3507"/>
      <c r="PCC134" s="3507"/>
      <c r="PCD134" s="3507"/>
      <c r="PCE134" s="3507"/>
      <c r="PCF134" s="3507"/>
      <c r="PCG134" s="3507"/>
      <c r="PCH134" s="3507"/>
      <c r="PCI134" s="3507"/>
      <c r="PCJ134" s="3507"/>
      <c r="PCK134" s="3507"/>
      <c r="PCL134" s="3507"/>
      <c r="PCM134" s="3507"/>
      <c r="PCN134" s="3507"/>
      <c r="PCO134" s="3507"/>
      <c r="PCP134" s="3507"/>
      <c r="PCQ134" s="3507"/>
      <c r="PCR134" s="3507"/>
      <c r="PCS134" s="3507"/>
      <c r="PCT134" s="3507"/>
      <c r="PCU134" s="3507"/>
      <c r="PCV134" s="3507"/>
      <c r="PCW134" s="3507"/>
      <c r="PCX134" s="3507"/>
      <c r="PCY134" s="3507"/>
      <c r="PCZ134" s="3507"/>
      <c r="PDA134" s="3507"/>
      <c r="PDB134" s="3507"/>
      <c r="PDC134" s="3507"/>
      <c r="PDD134" s="3507"/>
      <c r="PDE134" s="3507"/>
      <c r="PDF134" s="3507"/>
      <c r="PDG134" s="3507"/>
      <c r="PDH134" s="3507"/>
      <c r="PDI134" s="3507"/>
      <c r="PDJ134" s="3507"/>
      <c r="PDK134" s="3507"/>
      <c r="PDL134" s="3507"/>
      <c r="PDM134" s="3507"/>
      <c r="PDN134" s="3507"/>
      <c r="PDO134" s="3507"/>
      <c r="PDP134" s="3507"/>
      <c r="PDQ134" s="3507"/>
      <c r="PDR134" s="3507"/>
      <c r="PDS134" s="3507"/>
      <c r="PDT134" s="3507"/>
      <c r="PDU134" s="3507"/>
      <c r="PDV134" s="3507"/>
      <c r="PDW134" s="3507"/>
      <c r="PDX134" s="3507"/>
      <c r="PDY134" s="3507"/>
      <c r="PDZ134" s="3507"/>
      <c r="PEA134" s="3507"/>
      <c r="PEB134" s="3507"/>
      <c r="PEC134" s="3507"/>
      <c r="PED134" s="3507"/>
      <c r="PEE134" s="3507"/>
      <c r="PEF134" s="3507"/>
      <c r="PEG134" s="3507"/>
      <c r="PEH134" s="3507"/>
      <c r="PEI134" s="3507"/>
      <c r="PEJ134" s="3507"/>
      <c r="PEK134" s="3507"/>
      <c r="PEL134" s="3507"/>
      <c r="PEM134" s="3507"/>
      <c r="PEN134" s="3507"/>
      <c r="PEO134" s="3507"/>
      <c r="PEP134" s="3507"/>
      <c r="PEQ134" s="3507"/>
      <c r="PER134" s="3507"/>
      <c r="PES134" s="3507"/>
      <c r="PET134" s="3507"/>
      <c r="PEU134" s="3507"/>
      <c r="PEV134" s="3507"/>
      <c r="PEW134" s="3507"/>
      <c r="PEX134" s="3507"/>
      <c r="PEY134" s="3507"/>
      <c r="PEZ134" s="3507"/>
      <c r="PFA134" s="3507"/>
      <c r="PFB134" s="3507"/>
      <c r="PFC134" s="3507"/>
      <c r="PFD134" s="3507"/>
      <c r="PFE134" s="3507"/>
      <c r="PFF134" s="3507"/>
      <c r="PFG134" s="3507"/>
      <c r="PFH134" s="3507"/>
      <c r="PFI134" s="3507"/>
      <c r="PFJ134" s="3507"/>
      <c r="PFK134" s="3507"/>
      <c r="PFL134" s="3507"/>
      <c r="PFM134" s="3507"/>
      <c r="PFN134" s="3507"/>
      <c r="PFO134" s="3507"/>
      <c r="PFP134" s="3507"/>
      <c r="PFQ134" s="3507"/>
      <c r="PFR134" s="3507"/>
      <c r="PFS134" s="3507"/>
      <c r="PFT134" s="3507"/>
      <c r="PFU134" s="3507"/>
      <c r="PFV134" s="3507"/>
      <c r="PFW134" s="3507"/>
      <c r="PFX134" s="3507"/>
      <c r="PFY134" s="3507"/>
      <c r="PFZ134" s="3507"/>
      <c r="PGA134" s="3507"/>
      <c r="PGB134" s="3507"/>
      <c r="PGC134" s="3507"/>
      <c r="PGD134" s="3507"/>
      <c r="PGE134" s="3507"/>
      <c r="PGF134" s="3507"/>
      <c r="PGG134" s="3507"/>
      <c r="PGH134" s="3507"/>
      <c r="PGI134" s="3507"/>
      <c r="PGJ134" s="3507"/>
      <c r="PGK134" s="3507"/>
      <c r="PGL134" s="3507"/>
      <c r="PGM134" s="3507"/>
      <c r="PGN134" s="3507"/>
      <c r="PGO134" s="3507"/>
      <c r="PGP134" s="3507"/>
      <c r="PGQ134" s="3507"/>
      <c r="PGR134" s="3507"/>
      <c r="PGS134" s="3507"/>
      <c r="PGT134" s="3507"/>
      <c r="PGU134" s="3507"/>
      <c r="PGV134" s="3507"/>
      <c r="PGW134" s="3507"/>
      <c r="PGX134" s="3507"/>
      <c r="PGY134" s="3507"/>
      <c r="PGZ134" s="3507"/>
      <c r="PHA134" s="3507"/>
      <c r="PHB134" s="3507"/>
      <c r="PHC134" s="3507"/>
      <c r="PHD134" s="3507"/>
      <c r="PHE134" s="3507"/>
      <c r="PHF134" s="3507"/>
      <c r="PHG134" s="3507"/>
      <c r="PHH134" s="3507"/>
      <c r="PHI134" s="3507"/>
      <c r="PHJ134" s="3507"/>
      <c r="PHK134" s="3507"/>
      <c r="PHL134" s="3507"/>
      <c r="PHM134" s="3507"/>
      <c r="PHN134" s="3507"/>
      <c r="PHO134" s="3507"/>
      <c r="PHP134" s="3507"/>
      <c r="PHQ134" s="3507"/>
      <c r="PHR134" s="3507"/>
      <c r="PHS134" s="3507"/>
      <c r="PHT134" s="3507"/>
      <c r="PHU134" s="3507"/>
      <c r="PHV134" s="3507"/>
      <c r="PHW134" s="3507"/>
      <c r="PHX134" s="3507"/>
      <c r="PHY134" s="3507"/>
      <c r="PHZ134" s="3507"/>
      <c r="PIA134" s="3507"/>
      <c r="PIB134" s="3507"/>
      <c r="PIC134" s="3507"/>
      <c r="PID134" s="3507"/>
      <c r="PIE134" s="3507"/>
      <c r="PIF134" s="3507"/>
      <c r="PIG134" s="3507"/>
      <c r="PIH134" s="3507"/>
      <c r="PII134" s="3507"/>
      <c r="PIJ134" s="3507"/>
      <c r="PIK134" s="3507"/>
      <c r="PIL134" s="3507"/>
      <c r="PIM134" s="3507"/>
      <c r="PIN134" s="3507"/>
      <c r="PIO134" s="3507"/>
      <c r="PIP134" s="3507"/>
      <c r="PIQ134" s="3507"/>
      <c r="PIR134" s="3507"/>
      <c r="PIS134" s="3507"/>
      <c r="PIT134" s="3507"/>
      <c r="PIU134" s="3507"/>
      <c r="PIV134" s="3507"/>
      <c r="PIW134" s="3507"/>
      <c r="PIX134" s="3507"/>
      <c r="PIY134" s="3507"/>
      <c r="PIZ134" s="3507"/>
      <c r="PJA134" s="3507"/>
      <c r="PJB134" s="3507"/>
      <c r="PJC134" s="3507"/>
      <c r="PJD134" s="3507"/>
      <c r="PJE134" s="3507"/>
      <c r="PJF134" s="3507"/>
      <c r="PJG134" s="3507"/>
      <c r="PJH134" s="3507"/>
      <c r="PJI134" s="3507"/>
      <c r="PJJ134" s="3507"/>
      <c r="PJK134" s="3507"/>
      <c r="PJL134" s="3507"/>
      <c r="PJM134" s="3507"/>
      <c r="PJN134" s="3507"/>
      <c r="PJO134" s="3507"/>
      <c r="PJP134" s="3507"/>
      <c r="PJQ134" s="3507"/>
      <c r="PJR134" s="3507"/>
      <c r="PJS134" s="3507"/>
      <c r="PJT134" s="3507"/>
      <c r="PJU134" s="3507"/>
      <c r="PJV134" s="3507"/>
      <c r="PJW134" s="3507"/>
      <c r="PJX134" s="3507"/>
      <c r="PJY134" s="3507"/>
      <c r="PJZ134" s="3507"/>
      <c r="PKA134" s="3507"/>
      <c r="PKB134" s="3507"/>
      <c r="PKC134" s="3507"/>
      <c r="PKD134" s="3507"/>
      <c r="PKE134" s="3507"/>
      <c r="PKF134" s="3507"/>
      <c r="PKG134" s="3507"/>
      <c r="PKH134" s="3507"/>
      <c r="PKI134" s="3507"/>
      <c r="PKJ134" s="3507"/>
      <c r="PKK134" s="3507"/>
      <c r="PKL134" s="3507"/>
      <c r="PKM134" s="3507"/>
      <c r="PKN134" s="3507"/>
      <c r="PKO134" s="3507"/>
      <c r="PKP134" s="3507"/>
      <c r="PKQ134" s="3507"/>
      <c r="PKR134" s="3507"/>
      <c r="PKS134" s="3507"/>
      <c r="PKT134" s="3507"/>
      <c r="PKU134" s="3507"/>
      <c r="PKV134" s="3507"/>
      <c r="PKW134" s="3507"/>
      <c r="PKX134" s="3507"/>
      <c r="PKY134" s="3507"/>
      <c r="PKZ134" s="3507"/>
      <c r="PLA134" s="3507"/>
      <c r="PLB134" s="3507"/>
      <c r="PLC134" s="3507"/>
      <c r="PLD134" s="3507"/>
      <c r="PLE134" s="3507"/>
      <c r="PLF134" s="3507"/>
      <c r="PLG134" s="3507"/>
      <c r="PLH134" s="3507"/>
      <c r="PLI134" s="3507"/>
      <c r="PLJ134" s="3507"/>
      <c r="PLK134" s="3507"/>
      <c r="PLL134" s="3507"/>
      <c r="PLM134" s="3507"/>
      <c r="PLN134" s="3507"/>
      <c r="PLO134" s="3507"/>
      <c r="PLP134" s="3507"/>
      <c r="PLQ134" s="3507"/>
      <c r="PLR134" s="3507"/>
      <c r="PLS134" s="3507"/>
      <c r="PLT134" s="3507"/>
      <c r="PLU134" s="3507"/>
      <c r="PLV134" s="3507"/>
      <c r="PLW134" s="3507"/>
      <c r="PLX134" s="3507"/>
      <c r="PLY134" s="3507"/>
      <c r="PLZ134" s="3507"/>
      <c r="PMA134" s="3507"/>
      <c r="PMB134" s="3507"/>
      <c r="PMC134" s="3507"/>
      <c r="PMD134" s="3507"/>
      <c r="PME134" s="3507"/>
      <c r="PMF134" s="3507"/>
      <c r="PMG134" s="3507"/>
      <c r="PMH134" s="3507"/>
      <c r="PMI134" s="3507"/>
      <c r="PMJ134" s="3507"/>
      <c r="PMK134" s="3507"/>
      <c r="PML134" s="3507"/>
      <c r="PMM134" s="3507"/>
      <c r="PMN134" s="3507"/>
      <c r="PMO134" s="3507"/>
      <c r="PMP134" s="3507"/>
      <c r="PMQ134" s="3507"/>
      <c r="PMR134" s="3507"/>
      <c r="PMS134" s="3507"/>
      <c r="PMT134" s="3507"/>
      <c r="PMU134" s="3507"/>
      <c r="PMV134" s="3507"/>
      <c r="PMW134" s="3507"/>
      <c r="PMX134" s="3507"/>
      <c r="PMY134" s="3507"/>
      <c r="PMZ134" s="3507"/>
      <c r="PNA134" s="3507"/>
      <c r="PNB134" s="3507"/>
      <c r="PNC134" s="3507"/>
      <c r="PND134" s="3507"/>
      <c r="PNE134" s="3507"/>
      <c r="PNF134" s="3507"/>
      <c r="PNG134" s="3507"/>
      <c r="PNH134" s="3507"/>
      <c r="PNI134" s="3507"/>
      <c r="PNJ134" s="3507"/>
      <c r="PNK134" s="3507"/>
      <c r="PNL134" s="3507"/>
      <c r="PNM134" s="3507"/>
      <c r="PNN134" s="3507"/>
      <c r="PNO134" s="3507"/>
      <c r="PNP134" s="3507"/>
      <c r="PNQ134" s="3507"/>
      <c r="PNR134" s="3507"/>
      <c r="PNS134" s="3507"/>
      <c r="PNT134" s="3507"/>
      <c r="PNU134" s="3507"/>
      <c r="PNV134" s="3507"/>
      <c r="PNW134" s="3507"/>
      <c r="PNX134" s="3507"/>
      <c r="PNY134" s="3507"/>
      <c r="PNZ134" s="3507"/>
      <c r="POA134" s="3507"/>
      <c r="POB134" s="3507"/>
      <c r="POC134" s="3507"/>
      <c r="POD134" s="3507"/>
      <c r="POE134" s="3507"/>
      <c r="POF134" s="3507"/>
      <c r="POG134" s="3507"/>
      <c r="POH134" s="3507"/>
      <c r="POI134" s="3507"/>
      <c r="POJ134" s="3507"/>
      <c r="POK134" s="3507"/>
      <c r="POL134" s="3507"/>
      <c r="POM134" s="3507"/>
      <c r="PON134" s="3507"/>
      <c r="POO134" s="3507"/>
      <c r="POP134" s="3507"/>
      <c r="POQ134" s="3507"/>
      <c r="POR134" s="3507"/>
      <c r="POS134" s="3507"/>
      <c r="POT134" s="3507"/>
      <c r="POU134" s="3507"/>
      <c r="POV134" s="3507"/>
      <c r="POW134" s="3507"/>
      <c r="POX134" s="3507"/>
      <c r="POY134" s="3507"/>
      <c r="POZ134" s="3507"/>
      <c r="PPA134" s="3507"/>
      <c r="PPB134" s="3507"/>
      <c r="PPC134" s="3507"/>
      <c r="PPD134" s="3507"/>
      <c r="PPE134" s="3507"/>
      <c r="PPF134" s="3507"/>
      <c r="PPG134" s="3507"/>
      <c r="PPH134" s="3507"/>
      <c r="PPI134" s="3507"/>
      <c r="PPJ134" s="3507"/>
      <c r="PPK134" s="3507"/>
      <c r="PPL134" s="3507"/>
      <c r="PPM134" s="3507"/>
      <c r="PPN134" s="3507"/>
      <c r="PPO134" s="3507"/>
      <c r="PPP134" s="3507"/>
      <c r="PPQ134" s="3507"/>
      <c r="PPR134" s="3507"/>
      <c r="PPS134" s="3507"/>
      <c r="PPT134" s="3507"/>
      <c r="PPU134" s="3507"/>
      <c r="PPV134" s="3507"/>
      <c r="PPW134" s="3507"/>
      <c r="PPX134" s="3507"/>
      <c r="PPY134" s="3507"/>
      <c r="PPZ134" s="3507"/>
      <c r="PQA134" s="3507"/>
      <c r="PQB134" s="3507"/>
      <c r="PQC134" s="3507"/>
      <c r="PQD134" s="3507"/>
      <c r="PQE134" s="3507"/>
      <c r="PQF134" s="3507"/>
      <c r="PQG134" s="3507"/>
      <c r="PQH134" s="3507"/>
      <c r="PQI134" s="3507"/>
      <c r="PQJ134" s="3507"/>
      <c r="PQK134" s="3507"/>
      <c r="PQL134" s="3507"/>
      <c r="PQM134" s="3507"/>
      <c r="PQN134" s="3507"/>
      <c r="PQO134" s="3507"/>
      <c r="PQP134" s="3507"/>
      <c r="PQQ134" s="3507"/>
      <c r="PQR134" s="3507"/>
      <c r="PQS134" s="3507"/>
      <c r="PQT134" s="3507"/>
      <c r="PQU134" s="3507"/>
      <c r="PQV134" s="3507"/>
      <c r="PQW134" s="3507"/>
      <c r="PQX134" s="3507"/>
      <c r="PQY134" s="3507"/>
      <c r="PQZ134" s="3507"/>
      <c r="PRA134" s="3507"/>
      <c r="PRB134" s="3507"/>
      <c r="PRC134" s="3507"/>
      <c r="PRD134" s="3507"/>
      <c r="PRE134" s="3507"/>
      <c r="PRF134" s="3507"/>
      <c r="PRG134" s="3507"/>
      <c r="PRH134" s="3507"/>
      <c r="PRI134" s="3507"/>
      <c r="PRJ134" s="3507"/>
      <c r="PRK134" s="3507"/>
      <c r="PRL134" s="3507"/>
      <c r="PRM134" s="3507"/>
      <c r="PRN134" s="3507"/>
      <c r="PRO134" s="3507"/>
      <c r="PRP134" s="3507"/>
      <c r="PRQ134" s="3507"/>
      <c r="PRR134" s="3507"/>
      <c r="PRS134" s="3507"/>
      <c r="PRT134" s="3507"/>
      <c r="PRU134" s="3507"/>
      <c r="PRV134" s="3507"/>
      <c r="PRW134" s="3507"/>
      <c r="PRX134" s="3507"/>
      <c r="PRY134" s="3507"/>
      <c r="PRZ134" s="3507"/>
      <c r="PSA134" s="3507"/>
      <c r="PSB134" s="3507"/>
      <c r="PSC134" s="3507"/>
      <c r="PSD134" s="3507"/>
      <c r="PSE134" s="3507"/>
      <c r="PSF134" s="3507"/>
      <c r="PSG134" s="3507"/>
      <c r="PSH134" s="3507"/>
      <c r="PSI134" s="3507"/>
      <c r="PSJ134" s="3507"/>
      <c r="PSK134" s="3507"/>
      <c r="PSL134" s="3507"/>
      <c r="PSM134" s="3507"/>
      <c r="PSN134" s="3507"/>
      <c r="PSO134" s="3507"/>
      <c r="PSP134" s="3507"/>
      <c r="PSQ134" s="3507"/>
      <c r="PSR134" s="3507"/>
      <c r="PSS134" s="3507"/>
      <c r="PST134" s="3507"/>
      <c r="PSU134" s="3507"/>
      <c r="PSV134" s="3507"/>
      <c r="PSW134" s="3507"/>
      <c r="PSX134" s="3507"/>
      <c r="PSY134" s="3507"/>
      <c r="PSZ134" s="3507"/>
      <c r="PTA134" s="3507"/>
      <c r="PTB134" s="3507"/>
      <c r="PTC134" s="3507"/>
      <c r="PTD134" s="3507"/>
      <c r="PTE134" s="3507"/>
      <c r="PTF134" s="3507"/>
      <c r="PTG134" s="3507"/>
      <c r="PTH134" s="3507"/>
      <c r="PTI134" s="3507"/>
      <c r="PTJ134" s="3507"/>
      <c r="PTK134" s="3507"/>
      <c r="PTL134" s="3507"/>
      <c r="PTM134" s="3507"/>
      <c r="PTN134" s="3507"/>
      <c r="PTO134" s="3507"/>
      <c r="PTP134" s="3507"/>
      <c r="PTQ134" s="3507"/>
      <c r="PTR134" s="3507"/>
      <c r="PTS134" s="3507"/>
      <c r="PTT134" s="3507"/>
      <c r="PTU134" s="3507"/>
      <c r="PTV134" s="3507"/>
      <c r="PTW134" s="3507"/>
      <c r="PTX134" s="3507"/>
      <c r="PTY134" s="3507"/>
      <c r="PTZ134" s="3507"/>
      <c r="PUA134" s="3507"/>
      <c r="PUB134" s="3507"/>
      <c r="PUC134" s="3507"/>
      <c r="PUD134" s="3507"/>
      <c r="PUE134" s="3507"/>
      <c r="PUF134" s="3507"/>
      <c r="PUG134" s="3507"/>
      <c r="PUH134" s="3507"/>
      <c r="PUI134" s="3507"/>
      <c r="PUJ134" s="3507"/>
      <c r="PUK134" s="3507"/>
      <c r="PUL134" s="3507"/>
      <c r="PUM134" s="3507"/>
      <c r="PUN134" s="3507"/>
      <c r="PUO134" s="3507"/>
      <c r="PUP134" s="3507"/>
      <c r="PUQ134" s="3507"/>
      <c r="PUR134" s="3507"/>
      <c r="PUS134" s="3507"/>
      <c r="PUT134" s="3507"/>
      <c r="PUU134" s="3507"/>
      <c r="PUV134" s="3507"/>
      <c r="PUW134" s="3507"/>
      <c r="PUX134" s="3507"/>
      <c r="PUY134" s="3507"/>
      <c r="PUZ134" s="3507"/>
      <c r="PVA134" s="3507"/>
      <c r="PVB134" s="3507"/>
      <c r="PVC134" s="3507"/>
      <c r="PVD134" s="3507"/>
      <c r="PVE134" s="3507"/>
      <c r="PVF134" s="3507"/>
      <c r="PVG134" s="3507"/>
      <c r="PVH134" s="3507"/>
      <c r="PVI134" s="3507"/>
      <c r="PVJ134" s="3507"/>
      <c r="PVK134" s="3507"/>
      <c r="PVL134" s="3507"/>
      <c r="PVM134" s="3507"/>
      <c r="PVN134" s="3507"/>
      <c r="PVO134" s="3507"/>
      <c r="PVP134" s="3507"/>
      <c r="PVQ134" s="3507"/>
      <c r="PVR134" s="3507"/>
      <c r="PVS134" s="3507"/>
      <c r="PVT134" s="3507"/>
      <c r="PVU134" s="3507"/>
      <c r="PVV134" s="3507"/>
      <c r="PVW134" s="3507"/>
      <c r="PVX134" s="3507"/>
      <c r="PVY134" s="3507"/>
      <c r="PVZ134" s="3507"/>
      <c r="PWA134" s="3507"/>
      <c r="PWB134" s="3507"/>
      <c r="PWC134" s="3507"/>
      <c r="PWD134" s="3507"/>
      <c r="PWE134" s="3507"/>
      <c r="PWF134" s="3507"/>
      <c r="PWG134" s="3507"/>
      <c r="PWH134" s="3507"/>
      <c r="PWI134" s="3507"/>
      <c r="PWJ134" s="3507"/>
      <c r="PWK134" s="3507"/>
      <c r="PWL134" s="3507"/>
      <c r="PWM134" s="3507"/>
      <c r="PWN134" s="3507"/>
      <c r="PWO134" s="3507"/>
      <c r="PWP134" s="3507"/>
      <c r="PWQ134" s="3507"/>
      <c r="PWR134" s="3507"/>
      <c r="PWS134" s="3507"/>
      <c r="PWT134" s="3507"/>
      <c r="PWU134" s="3507"/>
      <c r="PWV134" s="3507"/>
      <c r="PWW134" s="3507"/>
      <c r="PWX134" s="3507"/>
      <c r="PWY134" s="3507"/>
      <c r="PWZ134" s="3507"/>
      <c r="PXA134" s="3507"/>
      <c r="PXB134" s="3507"/>
      <c r="PXC134" s="3507"/>
      <c r="PXD134" s="3507"/>
      <c r="PXE134" s="3507"/>
      <c r="PXF134" s="3507"/>
      <c r="PXG134" s="3507"/>
      <c r="PXH134" s="3507"/>
      <c r="PXI134" s="3507"/>
      <c r="PXJ134" s="3507"/>
      <c r="PXK134" s="3507"/>
      <c r="PXL134" s="3507"/>
      <c r="PXM134" s="3507"/>
      <c r="PXN134" s="3507"/>
      <c r="PXO134" s="3507"/>
      <c r="PXP134" s="3507"/>
      <c r="PXQ134" s="3507"/>
      <c r="PXR134" s="3507"/>
      <c r="PXS134" s="3507"/>
      <c r="PXT134" s="3507"/>
      <c r="PXU134" s="3507"/>
      <c r="PXV134" s="3507"/>
      <c r="PXW134" s="3507"/>
      <c r="PXX134" s="3507"/>
      <c r="PXY134" s="3507"/>
      <c r="PXZ134" s="3507"/>
      <c r="PYA134" s="3507"/>
      <c r="PYB134" s="3507"/>
      <c r="PYC134" s="3507"/>
      <c r="PYD134" s="3507"/>
      <c r="PYE134" s="3507"/>
      <c r="PYF134" s="3507"/>
      <c r="PYG134" s="3507"/>
      <c r="PYH134" s="3507"/>
      <c r="PYI134" s="3507"/>
      <c r="PYJ134" s="3507"/>
      <c r="PYK134" s="3507"/>
      <c r="PYL134" s="3507"/>
      <c r="PYM134" s="3507"/>
      <c r="PYN134" s="3507"/>
      <c r="PYO134" s="3507"/>
      <c r="PYP134" s="3507"/>
      <c r="PYQ134" s="3507"/>
      <c r="PYR134" s="3507"/>
      <c r="PYS134" s="3507"/>
      <c r="PYT134" s="3507"/>
      <c r="PYU134" s="3507"/>
      <c r="PYV134" s="3507"/>
      <c r="PYW134" s="3507"/>
      <c r="PYX134" s="3507"/>
      <c r="PYY134" s="3507"/>
      <c r="PYZ134" s="3507"/>
      <c r="PZA134" s="3507"/>
      <c r="PZB134" s="3507"/>
      <c r="PZC134" s="3507"/>
      <c r="PZD134" s="3507"/>
      <c r="PZE134" s="3507"/>
      <c r="PZF134" s="3507"/>
      <c r="PZG134" s="3507"/>
      <c r="PZH134" s="3507"/>
      <c r="PZI134" s="3507"/>
      <c r="PZJ134" s="3507"/>
      <c r="PZK134" s="3507"/>
      <c r="PZL134" s="3507"/>
      <c r="PZM134" s="3507"/>
      <c r="PZN134" s="3507"/>
      <c r="PZO134" s="3507"/>
      <c r="PZP134" s="3507"/>
      <c r="PZQ134" s="3507"/>
      <c r="PZR134" s="3507"/>
      <c r="PZS134" s="3507"/>
      <c r="PZT134" s="3507"/>
      <c r="PZU134" s="3507"/>
      <c r="PZV134" s="3507"/>
      <c r="PZW134" s="3507"/>
      <c r="PZX134" s="3507"/>
      <c r="PZY134" s="3507"/>
      <c r="PZZ134" s="3507"/>
      <c r="QAA134" s="3507"/>
      <c r="QAB134" s="3507"/>
      <c r="QAC134" s="3507"/>
      <c r="QAD134" s="3507"/>
      <c r="QAE134" s="3507"/>
      <c r="QAF134" s="3507"/>
      <c r="QAG134" s="3507"/>
      <c r="QAH134" s="3507"/>
      <c r="QAI134" s="3507"/>
      <c r="QAJ134" s="3507"/>
      <c r="QAK134" s="3507"/>
      <c r="QAL134" s="3507"/>
      <c r="QAM134" s="3507"/>
      <c r="QAN134" s="3507"/>
      <c r="QAO134" s="3507"/>
      <c r="QAP134" s="3507"/>
      <c r="QAQ134" s="3507"/>
      <c r="QAR134" s="3507"/>
      <c r="QAS134" s="3507"/>
      <c r="QAT134" s="3507"/>
      <c r="QAU134" s="3507"/>
      <c r="QAV134" s="3507"/>
      <c r="QAW134" s="3507"/>
      <c r="QAX134" s="3507"/>
      <c r="QAY134" s="3507"/>
      <c r="QAZ134" s="3507"/>
      <c r="QBA134" s="3507"/>
      <c r="QBB134" s="3507"/>
      <c r="QBC134" s="3507"/>
      <c r="QBD134" s="3507"/>
      <c r="QBE134" s="3507"/>
      <c r="QBF134" s="3507"/>
      <c r="QBG134" s="3507"/>
      <c r="QBH134" s="3507"/>
      <c r="QBI134" s="3507"/>
      <c r="QBJ134" s="3507"/>
      <c r="QBK134" s="3507"/>
      <c r="QBL134" s="3507"/>
      <c r="QBM134" s="3507"/>
      <c r="QBN134" s="3507"/>
      <c r="QBO134" s="3507"/>
      <c r="QBP134" s="3507"/>
      <c r="QBQ134" s="3507"/>
      <c r="QBR134" s="3507"/>
      <c r="QBS134" s="3507"/>
      <c r="QBT134" s="3507"/>
      <c r="QBU134" s="3507"/>
      <c r="QBV134" s="3507"/>
      <c r="QBW134" s="3507"/>
      <c r="QBX134" s="3507"/>
      <c r="QBY134" s="3507"/>
      <c r="QBZ134" s="3507"/>
      <c r="QCA134" s="3507"/>
      <c r="QCB134" s="3507"/>
      <c r="QCC134" s="3507"/>
      <c r="QCD134" s="3507"/>
      <c r="QCE134" s="3507"/>
      <c r="QCF134" s="3507"/>
      <c r="QCG134" s="3507"/>
      <c r="QCH134" s="3507"/>
      <c r="QCI134" s="3507"/>
      <c r="QCJ134" s="3507"/>
      <c r="QCK134" s="3507"/>
      <c r="QCL134" s="3507"/>
      <c r="QCM134" s="3507"/>
      <c r="QCN134" s="3507"/>
      <c r="QCO134" s="3507"/>
      <c r="QCP134" s="3507"/>
      <c r="QCQ134" s="3507"/>
      <c r="QCR134" s="3507"/>
      <c r="QCS134" s="3507"/>
      <c r="QCT134" s="3507"/>
      <c r="QCU134" s="3507"/>
      <c r="QCV134" s="3507"/>
      <c r="QCW134" s="3507"/>
      <c r="QCX134" s="3507"/>
      <c r="QCY134" s="3507"/>
      <c r="QCZ134" s="3507"/>
      <c r="QDA134" s="3507"/>
      <c r="QDB134" s="3507"/>
      <c r="QDC134" s="3507"/>
      <c r="QDD134" s="3507"/>
      <c r="QDE134" s="3507"/>
      <c r="QDF134" s="3507"/>
      <c r="QDG134" s="3507"/>
      <c r="QDH134" s="3507"/>
      <c r="QDI134" s="3507"/>
      <c r="QDJ134" s="3507"/>
      <c r="QDK134" s="3507"/>
      <c r="QDL134" s="3507"/>
      <c r="QDM134" s="3507"/>
      <c r="QDN134" s="3507"/>
      <c r="QDO134" s="3507"/>
      <c r="QDP134" s="3507"/>
      <c r="QDQ134" s="3507"/>
      <c r="QDR134" s="3507"/>
      <c r="QDS134" s="3507"/>
      <c r="QDT134" s="3507"/>
      <c r="QDU134" s="3507"/>
      <c r="QDV134" s="3507"/>
      <c r="QDW134" s="3507"/>
      <c r="QDX134" s="3507"/>
      <c r="QDY134" s="3507"/>
      <c r="QDZ134" s="3507"/>
      <c r="QEA134" s="3507"/>
      <c r="QEB134" s="3507"/>
      <c r="QEC134" s="3507"/>
      <c r="QED134" s="3507"/>
      <c r="QEE134" s="3507"/>
      <c r="QEF134" s="3507"/>
      <c r="QEG134" s="3507"/>
      <c r="QEH134" s="3507"/>
      <c r="QEI134" s="3507"/>
      <c r="QEJ134" s="3507"/>
      <c r="QEK134" s="3507"/>
      <c r="QEL134" s="3507"/>
      <c r="QEM134" s="3507"/>
      <c r="QEN134" s="3507"/>
      <c r="QEO134" s="3507"/>
      <c r="QEP134" s="3507"/>
      <c r="QEQ134" s="3507"/>
      <c r="QER134" s="3507"/>
      <c r="QES134" s="3507"/>
      <c r="QET134" s="3507"/>
      <c r="QEU134" s="3507"/>
      <c r="QEV134" s="3507"/>
      <c r="QEW134" s="3507"/>
      <c r="QEX134" s="3507"/>
      <c r="QEY134" s="3507"/>
      <c r="QEZ134" s="3507"/>
      <c r="QFA134" s="3507"/>
      <c r="QFB134" s="3507"/>
      <c r="QFC134" s="3507"/>
      <c r="QFD134" s="3507"/>
      <c r="QFE134" s="3507"/>
      <c r="QFF134" s="3507"/>
      <c r="QFG134" s="3507"/>
      <c r="QFH134" s="3507"/>
      <c r="QFI134" s="3507"/>
      <c r="QFJ134" s="3507"/>
      <c r="QFK134" s="3507"/>
      <c r="QFL134" s="3507"/>
      <c r="QFM134" s="3507"/>
      <c r="QFN134" s="3507"/>
      <c r="QFO134" s="3507"/>
      <c r="QFP134" s="3507"/>
      <c r="QFQ134" s="3507"/>
      <c r="QFR134" s="3507"/>
      <c r="QFS134" s="3507"/>
      <c r="QFT134" s="3507"/>
      <c r="QFU134" s="3507"/>
      <c r="QFV134" s="3507"/>
      <c r="QFW134" s="3507"/>
      <c r="QFX134" s="3507"/>
      <c r="QFY134" s="3507"/>
      <c r="QFZ134" s="3507"/>
      <c r="QGA134" s="3507"/>
      <c r="QGB134" s="3507"/>
      <c r="QGC134" s="3507"/>
      <c r="QGD134" s="3507"/>
      <c r="QGE134" s="3507"/>
      <c r="QGF134" s="3507"/>
      <c r="QGG134" s="3507"/>
      <c r="QGH134" s="3507"/>
      <c r="QGI134" s="3507"/>
      <c r="QGJ134" s="3507"/>
      <c r="QGK134" s="3507"/>
      <c r="QGL134" s="3507"/>
      <c r="QGM134" s="3507"/>
      <c r="QGN134" s="3507"/>
      <c r="QGO134" s="3507"/>
      <c r="QGP134" s="3507"/>
      <c r="QGQ134" s="3507"/>
      <c r="QGR134" s="3507"/>
      <c r="QGS134" s="3507"/>
      <c r="QGT134" s="3507"/>
      <c r="QGU134" s="3507"/>
      <c r="QGV134" s="3507"/>
      <c r="QGW134" s="3507"/>
      <c r="QGX134" s="3507"/>
      <c r="QGY134" s="3507"/>
      <c r="QGZ134" s="3507"/>
      <c r="QHA134" s="3507"/>
      <c r="QHB134" s="3507"/>
      <c r="QHC134" s="3507"/>
      <c r="QHD134" s="3507"/>
      <c r="QHE134" s="3507"/>
      <c r="QHF134" s="3507"/>
      <c r="QHG134" s="3507"/>
      <c r="QHH134" s="3507"/>
      <c r="QHI134" s="3507"/>
      <c r="QHJ134" s="3507"/>
      <c r="QHK134" s="3507"/>
      <c r="QHL134" s="3507"/>
      <c r="QHM134" s="3507"/>
      <c r="QHN134" s="3507"/>
      <c r="QHO134" s="3507"/>
      <c r="QHP134" s="3507"/>
      <c r="QHQ134" s="3507"/>
      <c r="QHR134" s="3507"/>
      <c r="QHS134" s="3507"/>
      <c r="QHT134" s="3507"/>
      <c r="QHU134" s="3507"/>
      <c r="QHV134" s="3507"/>
      <c r="QHW134" s="3507"/>
      <c r="QHX134" s="3507"/>
      <c r="QHY134" s="3507"/>
      <c r="QHZ134" s="3507"/>
      <c r="QIA134" s="3507"/>
      <c r="QIB134" s="3507"/>
      <c r="QIC134" s="3507"/>
      <c r="QID134" s="3507"/>
      <c r="QIE134" s="3507"/>
      <c r="QIF134" s="3507"/>
      <c r="QIG134" s="3507"/>
      <c r="QIH134" s="3507"/>
      <c r="QII134" s="3507"/>
      <c r="QIJ134" s="3507"/>
      <c r="QIK134" s="3507"/>
      <c r="QIL134" s="3507"/>
      <c r="QIM134" s="3507"/>
      <c r="QIN134" s="3507"/>
      <c r="QIO134" s="3507"/>
      <c r="QIP134" s="3507"/>
      <c r="QIQ134" s="3507"/>
      <c r="QIR134" s="3507"/>
      <c r="QIS134" s="3507"/>
      <c r="QIT134" s="3507"/>
      <c r="QIU134" s="3507"/>
      <c r="QIV134" s="3507"/>
      <c r="QIW134" s="3507"/>
      <c r="QIX134" s="3507"/>
      <c r="QIY134" s="3507"/>
      <c r="QIZ134" s="3507"/>
      <c r="QJA134" s="3507"/>
      <c r="QJB134" s="3507"/>
      <c r="QJC134" s="3507"/>
      <c r="QJD134" s="3507"/>
      <c r="QJE134" s="3507"/>
      <c r="QJF134" s="3507"/>
      <c r="QJG134" s="3507"/>
      <c r="QJH134" s="3507"/>
      <c r="QJI134" s="3507"/>
      <c r="QJJ134" s="3507"/>
      <c r="QJK134" s="3507"/>
      <c r="QJL134" s="3507"/>
      <c r="QJM134" s="3507"/>
      <c r="QJN134" s="3507"/>
      <c r="QJO134" s="3507"/>
      <c r="QJP134" s="3507"/>
      <c r="QJQ134" s="3507"/>
      <c r="QJR134" s="3507"/>
      <c r="QJS134" s="3507"/>
      <c r="QJT134" s="3507"/>
      <c r="QJU134" s="3507"/>
      <c r="QJV134" s="3507"/>
      <c r="QJW134" s="3507"/>
      <c r="QJX134" s="3507"/>
      <c r="QJY134" s="3507"/>
      <c r="QJZ134" s="3507"/>
      <c r="QKA134" s="3507"/>
      <c r="QKB134" s="3507"/>
      <c r="QKC134" s="3507"/>
      <c r="QKD134" s="3507"/>
      <c r="QKE134" s="3507"/>
      <c r="QKF134" s="3507"/>
      <c r="QKG134" s="3507"/>
      <c r="QKH134" s="3507"/>
      <c r="QKI134" s="3507"/>
      <c r="QKJ134" s="3507"/>
      <c r="QKK134" s="3507"/>
      <c r="QKL134" s="3507"/>
      <c r="QKM134" s="3507"/>
      <c r="QKN134" s="3507"/>
      <c r="QKO134" s="3507"/>
      <c r="QKP134" s="3507"/>
      <c r="QKQ134" s="3507"/>
      <c r="QKR134" s="3507"/>
      <c r="QKS134" s="3507"/>
      <c r="QKT134" s="3507"/>
      <c r="QKU134" s="3507"/>
      <c r="QKV134" s="3507"/>
      <c r="QKW134" s="3507"/>
      <c r="QKX134" s="3507"/>
      <c r="QKY134" s="3507"/>
      <c r="QKZ134" s="3507"/>
      <c r="QLA134" s="3507"/>
      <c r="QLB134" s="3507"/>
      <c r="QLC134" s="3507"/>
      <c r="QLD134" s="3507"/>
      <c r="QLE134" s="3507"/>
      <c r="QLF134" s="3507"/>
      <c r="QLG134" s="3507"/>
      <c r="QLH134" s="3507"/>
      <c r="QLI134" s="3507"/>
      <c r="QLJ134" s="3507"/>
      <c r="QLK134" s="3507"/>
      <c r="QLL134" s="3507"/>
      <c r="QLM134" s="3507"/>
      <c r="QLN134" s="3507"/>
      <c r="QLO134" s="3507"/>
      <c r="QLP134" s="3507"/>
      <c r="QLQ134" s="3507"/>
      <c r="QLR134" s="3507"/>
      <c r="QLS134" s="3507"/>
      <c r="QLT134" s="3507"/>
      <c r="QLU134" s="3507"/>
      <c r="QLV134" s="3507"/>
      <c r="QLW134" s="3507"/>
      <c r="QLX134" s="3507"/>
      <c r="QLY134" s="3507"/>
      <c r="QLZ134" s="3507"/>
      <c r="QMA134" s="3507"/>
      <c r="QMB134" s="3507"/>
      <c r="QMC134" s="3507"/>
      <c r="QMD134" s="3507"/>
      <c r="QME134" s="3507"/>
      <c r="QMF134" s="3507"/>
      <c r="QMG134" s="3507"/>
      <c r="QMH134" s="3507"/>
      <c r="QMI134" s="3507"/>
      <c r="QMJ134" s="3507"/>
      <c r="QMK134" s="3507"/>
      <c r="QML134" s="3507"/>
      <c r="QMM134" s="3507"/>
      <c r="QMN134" s="3507"/>
      <c r="QMO134" s="3507"/>
      <c r="QMP134" s="3507"/>
      <c r="QMQ134" s="3507"/>
      <c r="QMR134" s="3507"/>
      <c r="QMS134" s="3507"/>
      <c r="QMT134" s="3507"/>
      <c r="QMU134" s="3507"/>
      <c r="QMV134" s="3507"/>
      <c r="QMW134" s="3507"/>
      <c r="QMX134" s="3507"/>
      <c r="QMY134" s="3507"/>
      <c r="QMZ134" s="3507"/>
      <c r="QNA134" s="3507"/>
      <c r="QNB134" s="3507"/>
      <c r="QNC134" s="3507"/>
      <c r="QND134" s="3507"/>
      <c r="QNE134" s="3507"/>
      <c r="QNF134" s="3507"/>
      <c r="QNG134" s="3507"/>
      <c r="QNH134" s="3507"/>
      <c r="QNI134" s="3507"/>
      <c r="QNJ134" s="3507"/>
      <c r="QNK134" s="3507"/>
      <c r="QNL134" s="3507"/>
      <c r="QNM134" s="3507"/>
      <c r="QNN134" s="3507"/>
      <c r="QNO134" s="3507"/>
      <c r="QNP134" s="3507"/>
      <c r="QNQ134" s="3507"/>
      <c r="QNR134" s="3507"/>
      <c r="QNS134" s="3507"/>
      <c r="QNT134" s="3507"/>
      <c r="QNU134" s="3507"/>
      <c r="QNV134" s="3507"/>
      <c r="QNW134" s="3507"/>
      <c r="QNX134" s="3507"/>
      <c r="QNY134" s="3507"/>
      <c r="QNZ134" s="3507"/>
      <c r="QOA134" s="3507"/>
      <c r="QOB134" s="3507"/>
      <c r="QOC134" s="3507"/>
      <c r="QOD134" s="3507"/>
      <c r="QOE134" s="3507"/>
      <c r="QOF134" s="3507"/>
      <c r="QOG134" s="3507"/>
      <c r="QOH134" s="3507"/>
      <c r="QOI134" s="3507"/>
      <c r="QOJ134" s="3507"/>
      <c r="QOK134" s="3507"/>
      <c r="QOL134" s="3507"/>
      <c r="QOM134" s="3507"/>
      <c r="QON134" s="3507"/>
      <c r="QOO134" s="3507"/>
      <c r="QOP134" s="3507"/>
      <c r="QOQ134" s="3507"/>
      <c r="QOR134" s="3507"/>
      <c r="QOS134" s="3507"/>
      <c r="QOT134" s="3507"/>
      <c r="QOU134" s="3507"/>
      <c r="QOV134" s="3507"/>
      <c r="QOW134" s="3507"/>
      <c r="QOX134" s="3507"/>
      <c r="QOY134" s="3507"/>
      <c r="QOZ134" s="3507"/>
      <c r="QPA134" s="3507"/>
      <c r="QPB134" s="3507"/>
      <c r="QPC134" s="3507"/>
      <c r="QPD134" s="3507"/>
      <c r="QPE134" s="3507"/>
      <c r="QPF134" s="3507"/>
      <c r="QPG134" s="3507"/>
      <c r="QPH134" s="3507"/>
      <c r="QPI134" s="3507"/>
      <c r="QPJ134" s="3507"/>
      <c r="QPK134" s="3507"/>
      <c r="QPL134" s="3507"/>
      <c r="QPM134" s="3507"/>
      <c r="QPN134" s="3507"/>
      <c r="QPO134" s="3507"/>
      <c r="QPP134" s="3507"/>
      <c r="QPQ134" s="3507"/>
      <c r="QPR134" s="3507"/>
      <c r="QPS134" s="3507"/>
      <c r="QPT134" s="3507"/>
      <c r="QPU134" s="3507"/>
      <c r="QPV134" s="3507"/>
      <c r="QPW134" s="3507"/>
      <c r="QPX134" s="3507"/>
      <c r="QPY134" s="3507"/>
      <c r="QPZ134" s="3507"/>
      <c r="QQA134" s="3507"/>
      <c r="QQB134" s="3507"/>
      <c r="QQC134" s="3507"/>
      <c r="QQD134" s="3507"/>
      <c r="QQE134" s="3507"/>
      <c r="QQF134" s="3507"/>
      <c r="QQG134" s="3507"/>
      <c r="QQH134" s="3507"/>
      <c r="QQI134" s="3507"/>
      <c r="QQJ134" s="3507"/>
      <c r="QQK134" s="3507"/>
      <c r="QQL134" s="3507"/>
      <c r="QQM134" s="3507"/>
      <c r="QQN134" s="3507"/>
      <c r="QQO134" s="3507"/>
      <c r="QQP134" s="3507"/>
      <c r="QQQ134" s="3507"/>
      <c r="QQR134" s="3507"/>
      <c r="QQS134" s="3507"/>
      <c r="QQT134" s="3507"/>
      <c r="QQU134" s="3507"/>
      <c r="QQV134" s="3507"/>
      <c r="QQW134" s="3507"/>
      <c r="QQX134" s="3507"/>
      <c r="QQY134" s="3507"/>
      <c r="QQZ134" s="3507"/>
      <c r="QRA134" s="3507"/>
      <c r="QRB134" s="3507"/>
      <c r="QRC134" s="3507"/>
      <c r="QRD134" s="3507"/>
      <c r="QRE134" s="3507"/>
      <c r="QRF134" s="3507"/>
      <c r="QRG134" s="3507"/>
      <c r="QRH134" s="3507"/>
      <c r="QRI134" s="3507"/>
      <c r="QRJ134" s="3507"/>
      <c r="QRK134" s="3507"/>
      <c r="QRL134" s="3507"/>
      <c r="QRM134" s="3507"/>
      <c r="QRN134" s="3507"/>
      <c r="QRO134" s="3507"/>
      <c r="QRP134" s="3507"/>
      <c r="QRQ134" s="3507"/>
      <c r="QRR134" s="3507"/>
      <c r="QRS134" s="3507"/>
      <c r="QRT134" s="3507"/>
      <c r="QRU134" s="3507"/>
      <c r="QRV134" s="3507"/>
      <c r="QRW134" s="3507"/>
      <c r="QRX134" s="3507"/>
      <c r="QRY134" s="3507"/>
      <c r="QRZ134" s="3507"/>
      <c r="QSA134" s="3507"/>
      <c r="QSB134" s="3507"/>
      <c r="QSC134" s="3507"/>
      <c r="QSD134" s="3507"/>
      <c r="QSE134" s="3507"/>
      <c r="QSF134" s="3507"/>
      <c r="QSG134" s="3507"/>
      <c r="QSH134" s="3507"/>
      <c r="QSI134" s="3507"/>
      <c r="QSJ134" s="3507"/>
      <c r="QSK134" s="3507"/>
      <c r="QSL134" s="3507"/>
      <c r="QSM134" s="3507"/>
      <c r="QSN134" s="3507"/>
      <c r="QSO134" s="3507"/>
      <c r="QSP134" s="3507"/>
      <c r="QSQ134" s="3507"/>
      <c r="QSR134" s="3507"/>
      <c r="QSS134" s="3507"/>
      <c r="QST134" s="3507"/>
      <c r="QSU134" s="3507"/>
      <c r="QSV134" s="3507"/>
      <c r="QSW134" s="3507"/>
      <c r="QSX134" s="3507"/>
      <c r="QSY134" s="3507"/>
      <c r="QSZ134" s="3507"/>
      <c r="QTA134" s="3507"/>
      <c r="QTB134" s="3507"/>
      <c r="QTC134" s="3507"/>
      <c r="QTD134" s="3507"/>
      <c r="QTE134" s="3507"/>
      <c r="QTF134" s="3507"/>
      <c r="QTG134" s="3507"/>
      <c r="QTH134" s="3507"/>
      <c r="QTI134" s="3507"/>
      <c r="QTJ134" s="3507"/>
      <c r="QTK134" s="3507"/>
      <c r="QTL134" s="3507"/>
      <c r="QTM134" s="3507"/>
      <c r="QTN134" s="3507"/>
      <c r="QTO134" s="3507"/>
      <c r="QTP134" s="3507"/>
      <c r="QTQ134" s="3507"/>
      <c r="QTR134" s="3507"/>
      <c r="QTS134" s="3507"/>
      <c r="QTT134" s="3507"/>
      <c r="QTU134" s="3507"/>
      <c r="QTV134" s="3507"/>
      <c r="QTW134" s="3507"/>
      <c r="QTX134" s="3507"/>
      <c r="QTY134" s="3507"/>
      <c r="QTZ134" s="3507"/>
      <c r="QUA134" s="3507"/>
      <c r="QUB134" s="3507"/>
      <c r="QUC134" s="3507"/>
      <c r="QUD134" s="3507"/>
      <c r="QUE134" s="3507"/>
      <c r="QUF134" s="3507"/>
      <c r="QUG134" s="3507"/>
      <c r="QUH134" s="3507"/>
      <c r="QUI134" s="3507"/>
      <c r="QUJ134" s="3507"/>
      <c r="QUK134" s="3507"/>
      <c r="QUL134" s="3507"/>
      <c r="QUM134" s="3507"/>
      <c r="QUN134" s="3507"/>
      <c r="QUO134" s="3507"/>
      <c r="QUP134" s="3507"/>
      <c r="QUQ134" s="3507"/>
      <c r="QUR134" s="3507"/>
      <c r="QUS134" s="3507"/>
      <c r="QUT134" s="3507"/>
      <c r="QUU134" s="3507"/>
      <c r="QUV134" s="3507"/>
      <c r="QUW134" s="3507"/>
      <c r="QUX134" s="3507"/>
      <c r="QUY134" s="3507"/>
      <c r="QUZ134" s="3507"/>
      <c r="QVA134" s="3507"/>
      <c r="QVB134" s="3507"/>
      <c r="QVC134" s="3507"/>
      <c r="QVD134" s="3507"/>
      <c r="QVE134" s="3507"/>
      <c r="QVF134" s="3507"/>
      <c r="QVG134" s="3507"/>
      <c r="QVH134" s="3507"/>
      <c r="QVI134" s="3507"/>
      <c r="QVJ134" s="3507"/>
      <c r="QVK134" s="3507"/>
      <c r="QVL134" s="3507"/>
      <c r="QVM134" s="3507"/>
      <c r="QVN134" s="3507"/>
      <c r="QVO134" s="3507"/>
      <c r="QVP134" s="3507"/>
      <c r="QVQ134" s="3507"/>
      <c r="QVR134" s="3507"/>
      <c r="QVS134" s="3507"/>
      <c r="QVT134" s="3507"/>
      <c r="QVU134" s="3507"/>
      <c r="QVV134" s="3507"/>
      <c r="QVW134" s="3507"/>
      <c r="QVX134" s="3507"/>
      <c r="QVY134" s="3507"/>
      <c r="QVZ134" s="3507"/>
      <c r="QWA134" s="3507"/>
      <c r="QWB134" s="3507"/>
      <c r="QWC134" s="3507"/>
      <c r="QWD134" s="3507"/>
      <c r="QWE134" s="3507"/>
      <c r="QWF134" s="3507"/>
      <c r="QWG134" s="3507"/>
      <c r="QWH134" s="3507"/>
      <c r="QWI134" s="3507"/>
      <c r="QWJ134" s="3507"/>
      <c r="QWK134" s="3507"/>
      <c r="QWL134" s="3507"/>
      <c r="QWM134" s="3507"/>
      <c r="QWN134" s="3507"/>
      <c r="QWO134" s="3507"/>
      <c r="QWP134" s="3507"/>
      <c r="QWQ134" s="3507"/>
      <c r="QWR134" s="3507"/>
      <c r="QWS134" s="3507"/>
      <c r="QWT134" s="3507"/>
      <c r="QWU134" s="3507"/>
      <c r="QWV134" s="3507"/>
      <c r="QWW134" s="3507"/>
      <c r="QWX134" s="3507"/>
      <c r="QWY134" s="3507"/>
      <c r="QWZ134" s="3507"/>
      <c r="QXA134" s="3507"/>
      <c r="QXB134" s="3507"/>
      <c r="QXC134" s="3507"/>
      <c r="QXD134" s="3507"/>
      <c r="QXE134" s="3507"/>
      <c r="QXF134" s="3507"/>
      <c r="QXG134" s="3507"/>
      <c r="QXH134" s="3507"/>
      <c r="QXI134" s="3507"/>
      <c r="QXJ134" s="3507"/>
      <c r="QXK134" s="3507"/>
      <c r="QXL134" s="3507"/>
      <c r="QXM134" s="3507"/>
      <c r="QXN134" s="3507"/>
      <c r="QXO134" s="3507"/>
      <c r="QXP134" s="3507"/>
      <c r="QXQ134" s="3507"/>
      <c r="QXR134" s="3507"/>
      <c r="QXS134" s="3507"/>
      <c r="QXT134" s="3507"/>
      <c r="QXU134" s="3507"/>
      <c r="QXV134" s="3507"/>
      <c r="QXW134" s="3507"/>
      <c r="QXX134" s="3507"/>
      <c r="QXY134" s="3507"/>
      <c r="QXZ134" s="3507"/>
      <c r="QYA134" s="3507"/>
      <c r="QYB134" s="3507"/>
      <c r="QYC134" s="3507"/>
      <c r="QYD134" s="3507"/>
      <c r="QYE134" s="3507"/>
      <c r="QYF134" s="3507"/>
      <c r="QYG134" s="3507"/>
      <c r="QYH134" s="3507"/>
      <c r="QYI134" s="3507"/>
      <c r="QYJ134" s="3507"/>
      <c r="QYK134" s="3507"/>
      <c r="QYL134" s="3507"/>
      <c r="QYM134" s="3507"/>
      <c r="QYN134" s="3507"/>
      <c r="QYO134" s="3507"/>
      <c r="QYP134" s="3507"/>
      <c r="QYQ134" s="3507"/>
      <c r="QYR134" s="3507"/>
      <c r="QYS134" s="3507"/>
      <c r="QYT134" s="3507"/>
      <c r="QYU134" s="3507"/>
      <c r="QYV134" s="3507"/>
      <c r="QYW134" s="3507"/>
      <c r="QYX134" s="3507"/>
      <c r="QYY134" s="3507"/>
      <c r="QYZ134" s="3507"/>
      <c r="QZA134" s="3507"/>
      <c r="QZB134" s="3507"/>
      <c r="QZC134" s="3507"/>
      <c r="QZD134" s="3507"/>
      <c r="QZE134" s="3507"/>
      <c r="QZF134" s="3507"/>
      <c r="QZG134" s="3507"/>
      <c r="QZH134" s="3507"/>
      <c r="QZI134" s="3507"/>
      <c r="QZJ134" s="3507"/>
      <c r="QZK134" s="3507"/>
      <c r="QZL134" s="3507"/>
      <c r="QZM134" s="3507"/>
      <c r="QZN134" s="3507"/>
      <c r="QZO134" s="3507"/>
      <c r="QZP134" s="3507"/>
      <c r="QZQ134" s="3507"/>
      <c r="QZR134" s="3507"/>
      <c r="QZS134" s="3507"/>
      <c r="QZT134" s="3507"/>
      <c r="QZU134" s="3507"/>
      <c r="QZV134" s="3507"/>
      <c r="QZW134" s="3507"/>
      <c r="QZX134" s="3507"/>
      <c r="QZY134" s="3507"/>
      <c r="QZZ134" s="3507"/>
      <c r="RAA134" s="3507"/>
      <c r="RAB134" s="3507"/>
      <c r="RAC134" s="3507"/>
      <c r="RAD134" s="3507"/>
      <c r="RAE134" s="3507"/>
      <c r="RAF134" s="3507"/>
      <c r="RAG134" s="3507"/>
      <c r="RAH134" s="3507"/>
      <c r="RAI134" s="3507"/>
      <c r="RAJ134" s="3507"/>
      <c r="RAK134" s="3507"/>
      <c r="RAL134" s="3507"/>
      <c r="RAM134" s="3507"/>
      <c r="RAN134" s="3507"/>
      <c r="RAO134" s="3507"/>
      <c r="RAP134" s="3507"/>
      <c r="RAQ134" s="3507"/>
      <c r="RAR134" s="3507"/>
      <c r="RAS134" s="3507"/>
      <c r="RAT134" s="3507"/>
      <c r="RAU134" s="3507"/>
      <c r="RAV134" s="3507"/>
      <c r="RAW134" s="3507"/>
      <c r="RAX134" s="3507"/>
      <c r="RAY134" s="3507"/>
      <c r="RAZ134" s="3507"/>
      <c r="RBA134" s="3507"/>
      <c r="RBB134" s="3507"/>
      <c r="RBC134" s="3507"/>
      <c r="RBD134" s="3507"/>
      <c r="RBE134" s="3507"/>
      <c r="RBF134" s="3507"/>
      <c r="RBG134" s="3507"/>
      <c r="RBH134" s="3507"/>
      <c r="RBI134" s="3507"/>
      <c r="RBJ134" s="3507"/>
      <c r="RBK134" s="3507"/>
      <c r="RBL134" s="3507"/>
      <c r="RBM134" s="3507"/>
      <c r="RBN134" s="3507"/>
      <c r="RBO134" s="3507"/>
      <c r="RBP134" s="3507"/>
      <c r="RBQ134" s="3507"/>
      <c r="RBR134" s="3507"/>
      <c r="RBS134" s="3507"/>
      <c r="RBT134" s="3507"/>
      <c r="RBU134" s="3507"/>
      <c r="RBV134" s="3507"/>
      <c r="RBW134" s="3507"/>
      <c r="RBX134" s="3507"/>
      <c r="RBY134" s="3507"/>
      <c r="RBZ134" s="3507"/>
      <c r="RCA134" s="3507"/>
      <c r="RCB134" s="3507"/>
      <c r="RCC134" s="3507"/>
      <c r="RCD134" s="3507"/>
      <c r="RCE134" s="3507"/>
      <c r="RCF134" s="3507"/>
      <c r="RCG134" s="3507"/>
      <c r="RCH134" s="3507"/>
      <c r="RCI134" s="3507"/>
      <c r="RCJ134" s="3507"/>
      <c r="RCK134" s="3507"/>
      <c r="RCL134" s="3507"/>
      <c r="RCM134" s="3507"/>
      <c r="RCN134" s="3507"/>
      <c r="RCO134" s="3507"/>
      <c r="RCP134" s="3507"/>
      <c r="RCQ134" s="3507"/>
      <c r="RCR134" s="3507"/>
      <c r="RCS134" s="3507"/>
      <c r="RCT134" s="3507"/>
      <c r="RCU134" s="3507"/>
      <c r="RCV134" s="3507"/>
      <c r="RCW134" s="3507"/>
      <c r="RCX134" s="3507"/>
      <c r="RCY134" s="3507"/>
      <c r="RCZ134" s="3507"/>
      <c r="RDA134" s="3507"/>
      <c r="RDB134" s="3507"/>
      <c r="RDC134" s="3507"/>
      <c r="RDD134" s="3507"/>
      <c r="RDE134" s="3507"/>
      <c r="RDF134" s="3507"/>
      <c r="RDG134" s="3507"/>
      <c r="RDH134" s="3507"/>
      <c r="RDI134" s="3507"/>
      <c r="RDJ134" s="3507"/>
      <c r="RDK134" s="3507"/>
      <c r="RDL134" s="3507"/>
      <c r="RDM134" s="3507"/>
      <c r="RDN134" s="3507"/>
      <c r="RDO134" s="3507"/>
      <c r="RDP134" s="3507"/>
      <c r="RDQ134" s="3507"/>
      <c r="RDR134" s="3507"/>
      <c r="RDS134" s="3507"/>
      <c r="RDT134" s="3507"/>
      <c r="RDU134" s="3507"/>
      <c r="RDV134" s="3507"/>
      <c r="RDW134" s="3507"/>
      <c r="RDX134" s="3507"/>
      <c r="RDY134" s="3507"/>
      <c r="RDZ134" s="3507"/>
      <c r="REA134" s="3507"/>
      <c r="REB134" s="3507"/>
      <c r="REC134" s="3507"/>
      <c r="RED134" s="3507"/>
      <c r="REE134" s="3507"/>
      <c r="REF134" s="3507"/>
      <c r="REG134" s="3507"/>
      <c r="REH134" s="3507"/>
      <c r="REI134" s="3507"/>
      <c r="REJ134" s="3507"/>
      <c r="REK134" s="3507"/>
      <c r="REL134" s="3507"/>
      <c r="REM134" s="3507"/>
      <c r="REN134" s="3507"/>
      <c r="REO134" s="3507"/>
      <c r="REP134" s="3507"/>
      <c r="REQ134" s="3507"/>
      <c r="RER134" s="3507"/>
      <c r="RES134" s="3507"/>
      <c r="RET134" s="3507"/>
      <c r="REU134" s="3507"/>
      <c r="REV134" s="3507"/>
      <c r="REW134" s="3507"/>
      <c r="REX134" s="3507"/>
      <c r="REY134" s="3507"/>
      <c r="REZ134" s="3507"/>
      <c r="RFA134" s="3507"/>
      <c r="RFB134" s="3507"/>
      <c r="RFC134" s="3507"/>
      <c r="RFD134" s="3507"/>
      <c r="RFE134" s="3507"/>
      <c r="RFF134" s="3507"/>
      <c r="RFG134" s="3507"/>
      <c r="RFH134" s="3507"/>
      <c r="RFI134" s="3507"/>
      <c r="RFJ134" s="3507"/>
      <c r="RFK134" s="3507"/>
      <c r="RFL134" s="3507"/>
      <c r="RFM134" s="3507"/>
      <c r="RFN134" s="3507"/>
      <c r="RFO134" s="3507"/>
      <c r="RFP134" s="3507"/>
      <c r="RFQ134" s="3507"/>
      <c r="RFR134" s="3507"/>
      <c r="RFS134" s="3507"/>
      <c r="RFT134" s="3507"/>
      <c r="RFU134" s="3507"/>
      <c r="RFV134" s="3507"/>
      <c r="RFW134" s="3507"/>
      <c r="RFX134" s="3507"/>
      <c r="RFY134" s="3507"/>
      <c r="RFZ134" s="3507"/>
      <c r="RGA134" s="3507"/>
      <c r="RGB134" s="3507"/>
      <c r="RGC134" s="3507"/>
      <c r="RGD134" s="3507"/>
      <c r="RGE134" s="3507"/>
      <c r="RGF134" s="3507"/>
      <c r="RGG134" s="3507"/>
      <c r="RGH134" s="3507"/>
      <c r="RGI134" s="3507"/>
      <c r="RGJ134" s="3507"/>
      <c r="RGK134" s="3507"/>
      <c r="RGL134" s="3507"/>
      <c r="RGM134" s="3507"/>
      <c r="RGN134" s="3507"/>
      <c r="RGO134" s="3507"/>
      <c r="RGP134" s="3507"/>
      <c r="RGQ134" s="3507"/>
      <c r="RGR134" s="3507"/>
      <c r="RGS134" s="3507"/>
      <c r="RGT134" s="3507"/>
      <c r="RGU134" s="3507"/>
      <c r="RGV134" s="3507"/>
      <c r="RGW134" s="3507"/>
      <c r="RGX134" s="3507"/>
      <c r="RGY134" s="3507"/>
      <c r="RGZ134" s="3507"/>
      <c r="RHA134" s="3507"/>
      <c r="RHB134" s="3507"/>
      <c r="RHC134" s="3507"/>
      <c r="RHD134" s="3507"/>
      <c r="RHE134" s="3507"/>
      <c r="RHF134" s="3507"/>
      <c r="RHG134" s="3507"/>
      <c r="RHH134" s="3507"/>
      <c r="RHI134" s="3507"/>
      <c r="RHJ134" s="3507"/>
      <c r="RHK134" s="3507"/>
      <c r="RHL134" s="3507"/>
      <c r="RHM134" s="3507"/>
      <c r="RHN134" s="3507"/>
      <c r="RHO134" s="3507"/>
      <c r="RHP134" s="3507"/>
      <c r="RHQ134" s="3507"/>
      <c r="RHR134" s="3507"/>
      <c r="RHS134" s="3507"/>
      <c r="RHT134" s="3507"/>
      <c r="RHU134" s="3507"/>
      <c r="RHV134" s="3507"/>
      <c r="RHW134" s="3507"/>
      <c r="RHX134" s="3507"/>
      <c r="RHY134" s="3507"/>
      <c r="RHZ134" s="3507"/>
      <c r="RIA134" s="3507"/>
      <c r="RIB134" s="3507"/>
      <c r="RIC134" s="3507"/>
      <c r="RID134" s="3507"/>
      <c r="RIE134" s="3507"/>
      <c r="RIF134" s="3507"/>
      <c r="RIG134" s="3507"/>
      <c r="RIH134" s="3507"/>
      <c r="RII134" s="3507"/>
      <c r="RIJ134" s="3507"/>
      <c r="RIK134" s="3507"/>
      <c r="RIL134" s="3507"/>
      <c r="RIM134" s="3507"/>
      <c r="RIN134" s="3507"/>
      <c r="RIO134" s="3507"/>
      <c r="RIP134" s="3507"/>
      <c r="RIQ134" s="3507"/>
      <c r="RIR134" s="3507"/>
      <c r="RIS134" s="3507"/>
      <c r="RIT134" s="3507"/>
      <c r="RIU134" s="3507"/>
      <c r="RIV134" s="3507"/>
      <c r="RIW134" s="3507"/>
      <c r="RIX134" s="3507"/>
      <c r="RIY134" s="3507"/>
      <c r="RIZ134" s="3507"/>
      <c r="RJA134" s="3507"/>
      <c r="RJB134" s="3507"/>
      <c r="RJC134" s="3507"/>
      <c r="RJD134" s="3507"/>
      <c r="RJE134" s="3507"/>
      <c r="RJF134" s="3507"/>
      <c r="RJG134" s="3507"/>
      <c r="RJH134" s="3507"/>
      <c r="RJI134" s="3507"/>
      <c r="RJJ134" s="3507"/>
      <c r="RJK134" s="3507"/>
      <c r="RJL134" s="3507"/>
      <c r="RJM134" s="3507"/>
      <c r="RJN134" s="3507"/>
      <c r="RJO134" s="3507"/>
      <c r="RJP134" s="3507"/>
      <c r="RJQ134" s="3507"/>
      <c r="RJR134" s="3507"/>
      <c r="RJS134" s="3507"/>
      <c r="RJT134" s="3507"/>
      <c r="RJU134" s="3507"/>
      <c r="RJV134" s="3507"/>
      <c r="RJW134" s="3507"/>
      <c r="RJX134" s="3507"/>
      <c r="RJY134" s="3507"/>
      <c r="RJZ134" s="3507"/>
      <c r="RKA134" s="3507"/>
      <c r="RKB134" s="3507"/>
      <c r="RKC134" s="3507"/>
      <c r="RKD134" s="3507"/>
      <c r="RKE134" s="3507"/>
      <c r="RKF134" s="3507"/>
      <c r="RKG134" s="3507"/>
      <c r="RKH134" s="3507"/>
      <c r="RKI134" s="3507"/>
      <c r="RKJ134" s="3507"/>
      <c r="RKK134" s="3507"/>
      <c r="RKL134" s="3507"/>
      <c r="RKM134" s="3507"/>
      <c r="RKN134" s="3507"/>
      <c r="RKO134" s="3507"/>
      <c r="RKP134" s="3507"/>
      <c r="RKQ134" s="3507"/>
      <c r="RKR134" s="3507"/>
      <c r="RKS134" s="3507"/>
      <c r="RKT134" s="3507"/>
      <c r="RKU134" s="3507"/>
      <c r="RKV134" s="3507"/>
      <c r="RKW134" s="3507"/>
      <c r="RKX134" s="3507"/>
      <c r="RKY134" s="3507"/>
      <c r="RKZ134" s="3507"/>
      <c r="RLA134" s="3507"/>
      <c r="RLB134" s="3507"/>
      <c r="RLC134" s="3507"/>
      <c r="RLD134" s="3507"/>
      <c r="RLE134" s="3507"/>
      <c r="RLF134" s="3507"/>
      <c r="RLG134" s="3507"/>
      <c r="RLH134" s="3507"/>
      <c r="RLI134" s="3507"/>
      <c r="RLJ134" s="3507"/>
      <c r="RLK134" s="3507"/>
      <c r="RLL134" s="3507"/>
      <c r="RLM134" s="3507"/>
      <c r="RLN134" s="3507"/>
      <c r="RLO134" s="3507"/>
      <c r="RLP134" s="3507"/>
      <c r="RLQ134" s="3507"/>
      <c r="RLR134" s="3507"/>
      <c r="RLS134" s="3507"/>
      <c r="RLT134" s="3507"/>
      <c r="RLU134" s="3507"/>
      <c r="RLV134" s="3507"/>
      <c r="RLW134" s="3507"/>
      <c r="RLX134" s="3507"/>
      <c r="RLY134" s="3507"/>
      <c r="RLZ134" s="3507"/>
      <c r="RMA134" s="3507"/>
      <c r="RMB134" s="3507"/>
      <c r="RMC134" s="3507"/>
      <c r="RMD134" s="3507"/>
      <c r="RME134" s="3507"/>
      <c r="RMF134" s="3507"/>
      <c r="RMG134" s="3507"/>
      <c r="RMH134" s="3507"/>
      <c r="RMI134" s="3507"/>
      <c r="RMJ134" s="3507"/>
      <c r="RMK134" s="3507"/>
      <c r="RML134" s="3507"/>
      <c r="RMM134" s="3507"/>
      <c r="RMN134" s="3507"/>
      <c r="RMO134" s="3507"/>
      <c r="RMP134" s="3507"/>
      <c r="RMQ134" s="3507"/>
      <c r="RMR134" s="3507"/>
      <c r="RMS134" s="3507"/>
      <c r="RMT134" s="3507"/>
      <c r="RMU134" s="3507"/>
      <c r="RMV134" s="3507"/>
      <c r="RMW134" s="3507"/>
      <c r="RMX134" s="3507"/>
      <c r="RMY134" s="3507"/>
      <c r="RMZ134" s="3507"/>
      <c r="RNA134" s="3507"/>
      <c r="RNB134" s="3507"/>
      <c r="RNC134" s="3507"/>
      <c r="RND134" s="3507"/>
      <c r="RNE134" s="3507"/>
      <c r="RNF134" s="3507"/>
      <c r="RNG134" s="3507"/>
      <c r="RNH134" s="3507"/>
      <c r="RNI134" s="3507"/>
      <c r="RNJ134" s="3507"/>
      <c r="RNK134" s="3507"/>
      <c r="RNL134" s="3507"/>
      <c r="RNM134" s="3507"/>
      <c r="RNN134" s="3507"/>
      <c r="RNO134" s="3507"/>
      <c r="RNP134" s="3507"/>
      <c r="RNQ134" s="3507"/>
      <c r="RNR134" s="3507"/>
      <c r="RNS134" s="3507"/>
      <c r="RNT134" s="3507"/>
      <c r="RNU134" s="3507"/>
      <c r="RNV134" s="3507"/>
      <c r="RNW134" s="3507"/>
      <c r="RNX134" s="3507"/>
      <c r="RNY134" s="3507"/>
      <c r="RNZ134" s="3507"/>
      <c r="ROA134" s="3507"/>
      <c r="ROB134" s="3507"/>
      <c r="ROC134" s="3507"/>
      <c r="ROD134" s="3507"/>
      <c r="ROE134" s="3507"/>
      <c r="ROF134" s="3507"/>
      <c r="ROG134" s="3507"/>
      <c r="ROH134" s="3507"/>
      <c r="ROI134" s="3507"/>
      <c r="ROJ134" s="3507"/>
      <c r="ROK134" s="3507"/>
      <c r="ROL134" s="3507"/>
      <c r="ROM134" s="3507"/>
      <c r="RON134" s="3507"/>
      <c r="ROO134" s="3507"/>
      <c r="ROP134" s="3507"/>
      <c r="ROQ134" s="3507"/>
      <c r="ROR134" s="3507"/>
      <c r="ROS134" s="3507"/>
      <c r="ROT134" s="3507"/>
      <c r="ROU134" s="3507"/>
      <c r="ROV134" s="3507"/>
      <c r="ROW134" s="3507"/>
      <c r="ROX134" s="3507"/>
      <c r="ROY134" s="3507"/>
      <c r="ROZ134" s="3507"/>
      <c r="RPA134" s="3507"/>
      <c r="RPB134" s="3507"/>
      <c r="RPC134" s="3507"/>
      <c r="RPD134" s="3507"/>
      <c r="RPE134" s="3507"/>
      <c r="RPF134" s="3507"/>
      <c r="RPG134" s="3507"/>
      <c r="RPH134" s="3507"/>
      <c r="RPI134" s="3507"/>
      <c r="RPJ134" s="3507"/>
      <c r="RPK134" s="3507"/>
      <c r="RPL134" s="3507"/>
      <c r="RPM134" s="3507"/>
      <c r="RPN134" s="3507"/>
      <c r="RPO134" s="3507"/>
      <c r="RPP134" s="3507"/>
      <c r="RPQ134" s="3507"/>
      <c r="RPR134" s="3507"/>
      <c r="RPS134" s="3507"/>
      <c r="RPT134" s="3507"/>
      <c r="RPU134" s="3507"/>
      <c r="RPV134" s="3507"/>
      <c r="RPW134" s="3507"/>
      <c r="RPX134" s="3507"/>
      <c r="RPY134" s="3507"/>
      <c r="RPZ134" s="3507"/>
      <c r="RQA134" s="3507"/>
      <c r="RQB134" s="3507"/>
      <c r="RQC134" s="3507"/>
      <c r="RQD134" s="3507"/>
      <c r="RQE134" s="3507"/>
      <c r="RQF134" s="3507"/>
      <c r="RQG134" s="3507"/>
      <c r="RQH134" s="3507"/>
      <c r="RQI134" s="3507"/>
      <c r="RQJ134" s="3507"/>
      <c r="RQK134" s="3507"/>
      <c r="RQL134" s="3507"/>
      <c r="RQM134" s="3507"/>
      <c r="RQN134" s="3507"/>
      <c r="RQO134" s="3507"/>
      <c r="RQP134" s="3507"/>
      <c r="RQQ134" s="3507"/>
      <c r="RQR134" s="3507"/>
      <c r="RQS134" s="3507"/>
      <c r="RQT134" s="3507"/>
      <c r="RQU134" s="3507"/>
      <c r="RQV134" s="3507"/>
      <c r="RQW134" s="3507"/>
      <c r="RQX134" s="3507"/>
      <c r="RQY134" s="3507"/>
      <c r="RQZ134" s="3507"/>
      <c r="RRA134" s="3507"/>
      <c r="RRB134" s="3507"/>
      <c r="RRC134" s="3507"/>
      <c r="RRD134" s="3507"/>
      <c r="RRE134" s="3507"/>
      <c r="RRF134" s="3507"/>
      <c r="RRG134" s="3507"/>
      <c r="RRH134" s="3507"/>
      <c r="RRI134" s="3507"/>
      <c r="RRJ134" s="3507"/>
      <c r="RRK134" s="3507"/>
      <c r="RRL134" s="3507"/>
      <c r="RRM134" s="3507"/>
      <c r="RRN134" s="3507"/>
      <c r="RRO134" s="3507"/>
      <c r="RRP134" s="3507"/>
      <c r="RRQ134" s="3507"/>
      <c r="RRR134" s="3507"/>
      <c r="RRS134" s="3507"/>
      <c r="RRT134" s="3507"/>
      <c r="RRU134" s="3507"/>
      <c r="RRV134" s="3507"/>
      <c r="RRW134" s="3507"/>
      <c r="RRX134" s="3507"/>
      <c r="RRY134" s="3507"/>
      <c r="RRZ134" s="3507"/>
      <c r="RSA134" s="3507"/>
      <c r="RSB134" s="3507"/>
      <c r="RSC134" s="3507"/>
      <c r="RSD134" s="3507"/>
      <c r="RSE134" s="3507"/>
      <c r="RSF134" s="3507"/>
      <c r="RSG134" s="3507"/>
      <c r="RSH134" s="3507"/>
      <c r="RSI134" s="3507"/>
      <c r="RSJ134" s="3507"/>
      <c r="RSK134" s="3507"/>
      <c r="RSL134" s="3507"/>
      <c r="RSM134" s="3507"/>
      <c r="RSN134" s="3507"/>
      <c r="RSO134" s="3507"/>
      <c r="RSP134" s="3507"/>
      <c r="RSQ134" s="3507"/>
      <c r="RSR134" s="3507"/>
      <c r="RSS134" s="3507"/>
      <c r="RST134" s="3507"/>
      <c r="RSU134" s="3507"/>
      <c r="RSV134" s="3507"/>
      <c r="RSW134" s="3507"/>
      <c r="RSX134" s="3507"/>
      <c r="RSY134" s="3507"/>
      <c r="RSZ134" s="3507"/>
      <c r="RTA134" s="3507"/>
      <c r="RTB134" s="3507"/>
      <c r="RTC134" s="3507"/>
      <c r="RTD134" s="3507"/>
      <c r="RTE134" s="3507"/>
      <c r="RTF134" s="3507"/>
      <c r="RTG134" s="3507"/>
      <c r="RTH134" s="3507"/>
      <c r="RTI134" s="3507"/>
      <c r="RTJ134" s="3507"/>
      <c r="RTK134" s="3507"/>
      <c r="RTL134" s="3507"/>
      <c r="RTM134" s="3507"/>
      <c r="RTN134" s="3507"/>
      <c r="RTO134" s="3507"/>
      <c r="RTP134" s="3507"/>
      <c r="RTQ134" s="3507"/>
      <c r="RTR134" s="3507"/>
      <c r="RTS134" s="3507"/>
      <c r="RTT134" s="3507"/>
      <c r="RTU134" s="3507"/>
      <c r="RTV134" s="3507"/>
      <c r="RTW134" s="3507"/>
      <c r="RTX134" s="3507"/>
      <c r="RTY134" s="3507"/>
      <c r="RTZ134" s="3507"/>
      <c r="RUA134" s="3507"/>
      <c r="RUB134" s="3507"/>
      <c r="RUC134" s="3507"/>
      <c r="RUD134" s="3507"/>
      <c r="RUE134" s="3507"/>
      <c r="RUF134" s="3507"/>
      <c r="RUG134" s="3507"/>
      <c r="RUH134" s="3507"/>
      <c r="RUI134" s="3507"/>
      <c r="RUJ134" s="3507"/>
      <c r="RUK134" s="3507"/>
      <c r="RUL134" s="3507"/>
      <c r="RUM134" s="3507"/>
      <c r="RUN134" s="3507"/>
      <c r="RUO134" s="3507"/>
      <c r="RUP134" s="3507"/>
      <c r="RUQ134" s="3507"/>
      <c r="RUR134" s="3507"/>
      <c r="RUS134" s="3507"/>
      <c r="RUT134" s="3507"/>
      <c r="RUU134" s="3507"/>
      <c r="RUV134" s="3507"/>
      <c r="RUW134" s="3507"/>
      <c r="RUX134" s="3507"/>
      <c r="RUY134" s="3507"/>
      <c r="RUZ134" s="3507"/>
      <c r="RVA134" s="3507"/>
      <c r="RVB134" s="3507"/>
      <c r="RVC134" s="3507"/>
      <c r="RVD134" s="3507"/>
      <c r="RVE134" s="3507"/>
      <c r="RVF134" s="3507"/>
      <c r="RVG134" s="3507"/>
      <c r="RVH134" s="3507"/>
      <c r="RVI134" s="3507"/>
      <c r="RVJ134" s="3507"/>
      <c r="RVK134" s="3507"/>
      <c r="RVL134" s="3507"/>
      <c r="RVM134" s="3507"/>
      <c r="RVN134" s="3507"/>
      <c r="RVO134" s="3507"/>
      <c r="RVP134" s="3507"/>
      <c r="RVQ134" s="3507"/>
      <c r="RVR134" s="3507"/>
      <c r="RVS134" s="3507"/>
      <c r="RVT134" s="3507"/>
      <c r="RVU134" s="3507"/>
      <c r="RVV134" s="3507"/>
      <c r="RVW134" s="3507"/>
      <c r="RVX134" s="3507"/>
      <c r="RVY134" s="3507"/>
      <c r="RVZ134" s="3507"/>
      <c r="RWA134" s="3507"/>
      <c r="RWB134" s="3507"/>
      <c r="RWC134" s="3507"/>
      <c r="RWD134" s="3507"/>
      <c r="RWE134" s="3507"/>
      <c r="RWF134" s="3507"/>
      <c r="RWG134" s="3507"/>
      <c r="RWH134" s="3507"/>
      <c r="RWI134" s="3507"/>
      <c r="RWJ134" s="3507"/>
      <c r="RWK134" s="3507"/>
      <c r="RWL134" s="3507"/>
      <c r="RWM134" s="3507"/>
      <c r="RWN134" s="3507"/>
      <c r="RWO134" s="3507"/>
      <c r="RWP134" s="3507"/>
      <c r="RWQ134" s="3507"/>
      <c r="RWR134" s="3507"/>
      <c r="RWS134" s="3507"/>
      <c r="RWT134" s="3507"/>
      <c r="RWU134" s="3507"/>
      <c r="RWV134" s="3507"/>
      <c r="RWW134" s="3507"/>
      <c r="RWX134" s="3507"/>
      <c r="RWY134" s="3507"/>
      <c r="RWZ134" s="3507"/>
      <c r="RXA134" s="3507"/>
      <c r="RXB134" s="3507"/>
      <c r="RXC134" s="3507"/>
      <c r="RXD134" s="3507"/>
      <c r="RXE134" s="3507"/>
      <c r="RXF134" s="3507"/>
      <c r="RXG134" s="3507"/>
      <c r="RXH134" s="3507"/>
      <c r="RXI134" s="3507"/>
      <c r="RXJ134" s="3507"/>
      <c r="RXK134" s="3507"/>
      <c r="RXL134" s="3507"/>
      <c r="RXM134" s="3507"/>
      <c r="RXN134" s="3507"/>
      <c r="RXO134" s="3507"/>
      <c r="RXP134" s="3507"/>
      <c r="RXQ134" s="3507"/>
      <c r="RXR134" s="3507"/>
      <c r="RXS134" s="3507"/>
      <c r="RXT134" s="3507"/>
      <c r="RXU134" s="3507"/>
      <c r="RXV134" s="3507"/>
      <c r="RXW134" s="3507"/>
      <c r="RXX134" s="3507"/>
      <c r="RXY134" s="3507"/>
      <c r="RXZ134" s="3507"/>
      <c r="RYA134" s="3507"/>
      <c r="RYB134" s="3507"/>
      <c r="RYC134" s="3507"/>
      <c r="RYD134" s="3507"/>
      <c r="RYE134" s="3507"/>
      <c r="RYF134" s="3507"/>
      <c r="RYG134" s="3507"/>
      <c r="RYH134" s="3507"/>
      <c r="RYI134" s="3507"/>
      <c r="RYJ134" s="3507"/>
      <c r="RYK134" s="3507"/>
      <c r="RYL134" s="3507"/>
      <c r="RYM134" s="3507"/>
      <c r="RYN134" s="3507"/>
      <c r="RYO134" s="3507"/>
      <c r="RYP134" s="3507"/>
      <c r="RYQ134" s="3507"/>
      <c r="RYR134" s="3507"/>
      <c r="RYS134" s="3507"/>
      <c r="RYT134" s="3507"/>
      <c r="RYU134" s="3507"/>
      <c r="RYV134" s="3507"/>
      <c r="RYW134" s="3507"/>
      <c r="RYX134" s="3507"/>
      <c r="RYY134" s="3507"/>
      <c r="RYZ134" s="3507"/>
      <c r="RZA134" s="3507"/>
      <c r="RZB134" s="3507"/>
      <c r="RZC134" s="3507"/>
      <c r="RZD134" s="3507"/>
      <c r="RZE134" s="3507"/>
      <c r="RZF134" s="3507"/>
      <c r="RZG134" s="3507"/>
      <c r="RZH134" s="3507"/>
      <c r="RZI134" s="3507"/>
      <c r="RZJ134" s="3507"/>
      <c r="RZK134" s="3507"/>
      <c r="RZL134" s="3507"/>
      <c r="RZM134" s="3507"/>
      <c r="RZN134" s="3507"/>
      <c r="RZO134" s="3507"/>
      <c r="RZP134" s="3507"/>
      <c r="RZQ134" s="3507"/>
      <c r="RZR134" s="3507"/>
      <c r="RZS134" s="3507"/>
      <c r="RZT134" s="3507"/>
      <c r="RZU134" s="3507"/>
      <c r="RZV134" s="3507"/>
      <c r="RZW134" s="3507"/>
      <c r="RZX134" s="3507"/>
      <c r="RZY134" s="3507"/>
      <c r="RZZ134" s="3507"/>
      <c r="SAA134" s="3507"/>
      <c r="SAB134" s="3507"/>
      <c r="SAC134" s="3507"/>
      <c r="SAD134" s="3507"/>
      <c r="SAE134" s="3507"/>
      <c r="SAF134" s="3507"/>
      <c r="SAG134" s="3507"/>
      <c r="SAH134" s="3507"/>
      <c r="SAI134" s="3507"/>
      <c r="SAJ134" s="3507"/>
      <c r="SAK134" s="3507"/>
      <c r="SAL134" s="3507"/>
      <c r="SAM134" s="3507"/>
      <c r="SAN134" s="3507"/>
      <c r="SAO134" s="3507"/>
      <c r="SAP134" s="3507"/>
      <c r="SAQ134" s="3507"/>
      <c r="SAR134" s="3507"/>
      <c r="SAS134" s="3507"/>
      <c r="SAT134" s="3507"/>
      <c r="SAU134" s="3507"/>
      <c r="SAV134" s="3507"/>
      <c r="SAW134" s="3507"/>
      <c r="SAX134" s="3507"/>
      <c r="SAY134" s="3507"/>
      <c r="SAZ134" s="3507"/>
      <c r="SBA134" s="3507"/>
      <c r="SBB134" s="3507"/>
      <c r="SBC134" s="3507"/>
      <c r="SBD134" s="3507"/>
      <c r="SBE134" s="3507"/>
      <c r="SBF134" s="3507"/>
      <c r="SBG134" s="3507"/>
      <c r="SBH134" s="3507"/>
      <c r="SBI134" s="3507"/>
      <c r="SBJ134" s="3507"/>
      <c r="SBK134" s="3507"/>
      <c r="SBL134" s="3507"/>
      <c r="SBM134" s="3507"/>
      <c r="SBN134" s="3507"/>
      <c r="SBO134" s="3507"/>
      <c r="SBP134" s="3507"/>
      <c r="SBQ134" s="3507"/>
      <c r="SBR134" s="3507"/>
      <c r="SBS134" s="3507"/>
      <c r="SBT134" s="3507"/>
      <c r="SBU134" s="3507"/>
      <c r="SBV134" s="3507"/>
      <c r="SBW134" s="3507"/>
      <c r="SBX134" s="3507"/>
      <c r="SBY134" s="3507"/>
      <c r="SBZ134" s="3507"/>
      <c r="SCA134" s="3507"/>
      <c r="SCB134" s="3507"/>
      <c r="SCC134" s="3507"/>
      <c r="SCD134" s="3507"/>
      <c r="SCE134" s="3507"/>
      <c r="SCF134" s="3507"/>
      <c r="SCG134" s="3507"/>
      <c r="SCH134" s="3507"/>
      <c r="SCI134" s="3507"/>
      <c r="SCJ134" s="3507"/>
      <c r="SCK134" s="3507"/>
      <c r="SCL134" s="3507"/>
      <c r="SCM134" s="3507"/>
      <c r="SCN134" s="3507"/>
      <c r="SCO134" s="3507"/>
      <c r="SCP134" s="3507"/>
      <c r="SCQ134" s="3507"/>
      <c r="SCR134" s="3507"/>
      <c r="SCS134" s="3507"/>
      <c r="SCT134" s="3507"/>
      <c r="SCU134" s="3507"/>
      <c r="SCV134" s="3507"/>
      <c r="SCW134" s="3507"/>
      <c r="SCX134" s="3507"/>
      <c r="SCY134" s="3507"/>
      <c r="SCZ134" s="3507"/>
      <c r="SDA134" s="3507"/>
      <c r="SDB134" s="3507"/>
      <c r="SDC134" s="3507"/>
      <c r="SDD134" s="3507"/>
      <c r="SDE134" s="3507"/>
      <c r="SDF134" s="3507"/>
      <c r="SDG134" s="3507"/>
      <c r="SDH134" s="3507"/>
      <c r="SDI134" s="3507"/>
      <c r="SDJ134" s="3507"/>
      <c r="SDK134" s="3507"/>
      <c r="SDL134" s="3507"/>
      <c r="SDM134" s="3507"/>
      <c r="SDN134" s="3507"/>
      <c r="SDO134" s="3507"/>
      <c r="SDP134" s="3507"/>
      <c r="SDQ134" s="3507"/>
      <c r="SDR134" s="3507"/>
      <c r="SDS134" s="3507"/>
      <c r="SDT134" s="3507"/>
      <c r="SDU134" s="3507"/>
      <c r="SDV134" s="3507"/>
      <c r="SDW134" s="3507"/>
      <c r="SDX134" s="3507"/>
      <c r="SDY134" s="3507"/>
      <c r="SDZ134" s="3507"/>
      <c r="SEA134" s="3507"/>
      <c r="SEB134" s="3507"/>
      <c r="SEC134" s="3507"/>
      <c r="SED134" s="3507"/>
      <c r="SEE134" s="3507"/>
      <c r="SEF134" s="3507"/>
      <c r="SEG134" s="3507"/>
      <c r="SEH134" s="3507"/>
      <c r="SEI134" s="3507"/>
      <c r="SEJ134" s="3507"/>
      <c r="SEK134" s="3507"/>
      <c r="SEL134" s="3507"/>
      <c r="SEM134" s="3507"/>
      <c r="SEN134" s="3507"/>
      <c r="SEO134" s="3507"/>
      <c r="SEP134" s="3507"/>
      <c r="SEQ134" s="3507"/>
      <c r="SER134" s="3507"/>
      <c r="SES134" s="3507"/>
      <c r="SET134" s="3507"/>
      <c r="SEU134" s="3507"/>
      <c r="SEV134" s="3507"/>
      <c r="SEW134" s="3507"/>
      <c r="SEX134" s="3507"/>
      <c r="SEY134" s="3507"/>
      <c r="SEZ134" s="3507"/>
      <c r="SFA134" s="3507"/>
      <c r="SFB134" s="3507"/>
      <c r="SFC134" s="3507"/>
      <c r="SFD134" s="3507"/>
      <c r="SFE134" s="3507"/>
      <c r="SFF134" s="3507"/>
      <c r="SFG134" s="3507"/>
      <c r="SFH134" s="3507"/>
      <c r="SFI134" s="3507"/>
      <c r="SFJ134" s="3507"/>
      <c r="SFK134" s="3507"/>
      <c r="SFL134" s="3507"/>
      <c r="SFM134" s="3507"/>
      <c r="SFN134" s="3507"/>
      <c r="SFO134" s="3507"/>
      <c r="SFP134" s="3507"/>
      <c r="SFQ134" s="3507"/>
      <c r="SFR134" s="3507"/>
      <c r="SFS134" s="3507"/>
      <c r="SFT134" s="3507"/>
      <c r="SFU134" s="3507"/>
      <c r="SFV134" s="3507"/>
      <c r="SFW134" s="3507"/>
      <c r="SFX134" s="3507"/>
      <c r="SFY134" s="3507"/>
      <c r="SFZ134" s="3507"/>
      <c r="SGA134" s="3507"/>
      <c r="SGB134" s="3507"/>
      <c r="SGC134" s="3507"/>
      <c r="SGD134" s="3507"/>
      <c r="SGE134" s="3507"/>
      <c r="SGF134" s="3507"/>
      <c r="SGG134" s="3507"/>
      <c r="SGH134" s="3507"/>
      <c r="SGI134" s="3507"/>
      <c r="SGJ134" s="3507"/>
      <c r="SGK134" s="3507"/>
      <c r="SGL134" s="3507"/>
      <c r="SGM134" s="3507"/>
      <c r="SGN134" s="3507"/>
      <c r="SGO134" s="3507"/>
      <c r="SGP134" s="3507"/>
      <c r="SGQ134" s="3507"/>
      <c r="SGR134" s="3507"/>
      <c r="SGS134" s="3507"/>
      <c r="SGT134" s="3507"/>
      <c r="SGU134" s="3507"/>
      <c r="SGV134" s="3507"/>
      <c r="SGW134" s="3507"/>
      <c r="SGX134" s="3507"/>
      <c r="SGY134" s="3507"/>
      <c r="SGZ134" s="3507"/>
      <c r="SHA134" s="3507"/>
      <c r="SHB134" s="3507"/>
      <c r="SHC134" s="3507"/>
      <c r="SHD134" s="3507"/>
      <c r="SHE134" s="3507"/>
      <c r="SHF134" s="3507"/>
      <c r="SHG134" s="3507"/>
      <c r="SHH134" s="3507"/>
      <c r="SHI134" s="3507"/>
      <c r="SHJ134" s="3507"/>
      <c r="SHK134" s="3507"/>
      <c r="SHL134" s="3507"/>
      <c r="SHM134" s="3507"/>
      <c r="SHN134" s="3507"/>
      <c r="SHO134" s="3507"/>
      <c r="SHP134" s="3507"/>
      <c r="SHQ134" s="3507"/>
      <c r="SHR134" s="3507"/>
      <c r="SHS134" s="3507"/>
      <c r="SHT134" s="3507"/>
      <c r="SHU134" s="3507"/>
      <c r="SHV134" s="3507"/>
      <c r="SHW134" s="3507"/>
      <c r="SHX134" s="3507"/>
      <c r="SHY134" s="3507"/>
      <c r="SHZ134" s="3507"/>
      <c r="SIA134" s="3507"/>
      <c r="SIB134" s="3507"/>
      <c r="SIC134" s="3507"/>
      <c r="SID134" s="3507"/>
      <c r="SIE134" s="3507"/>
      <c r="SIF134" s="3507"/>
      <c r="SIG134" s="3507"/>
      <c r="SIH134" s="3507"/>
      <c r="SII134" s="3507"/>
      <c r="SIJ134" s="3507"/>
      <c r="SIK134" s="3507"/>
      <c r="SIL134" s="3507"/>
      <c r="SIM134" s="3507"/>
      <c r="SIN134" s="3507"/>
      <c r="SIO134" s="3507"/>
      <c r="SIP134" s="3507"/>
      <c r="SIQ134" s="3507"/>
      <c r="SIR134" s="3507"/>
      <c r="SIS134" s="3507"/>
      <c r="SIT134" s="3507"/>
      <c r="SIU134" s="3507"/>
      <c r="SIV134" s="3507"/>
      <c r="SIW134" s="3507"/>
      <c r="SIX134" s="3507"/>
      <c r="SIY134" s="3507"/>
      <c r="SIZ134" s="3507"/>
      <c r="SJA134" s="3507"/>
      <c r="SJB134" s="3507"/>
      <c r="SJC134" s="3507"/>
      <c r="SJD134" s="3507"/>
      <c r="SJE134" s="3507"/>
      <c r="SJF134" s="3507"/>
      <c r="SJG134" s="3507"/>
      <c r="SJH134" s="3507"/>
      <c r="SJI134" s="3507"/>
      <c r="SJJ134" s="3507"/>
      <c r="SJK134" s="3507"/>
      <c r="SJL134" s="3507"/>
      <c r="SJM134" s="3507"/>
      <c r="SJN134" s="3507"/>
      <c r="SJO134" s="3507"/>
      <c r="SJP134" s="3507"/>
      <c r="SJQ134" s="3507"/>
      <c r="SJR134" s="3507"/>
      <c r="SJS134" s="3507"/>
      <c r="SJT134" s="3507"/>
      <c r="SJU134" s="3507"/>
      <c r="SJV134" s="3507"/>
      <c r="SJW134" s="3507"/>
      <c r="SJX134" s="3507"/>
      <c r="SJY134" s="3507"/>
      <c r="SJZ134" s="3507"/>
      <c r="SKA134" s="3507"/>
      <c r="SKB134" s="3507"/>
      <c r="SKC134" s="3507"/>
      <c r="SKD134" s="3507"/>
      <c r="SKE134" s="3507"/>
      <c r="SKF134" s="3507"/>
      <c r="SKG134" s="3507"/>
      <c r="SKH134" s="3507"/>
      <c r="SKI134" s="3507"/>
      <c r="SKJ134" s="3507"/>
      <c r="SKK134" s="3507"/>
      <c r="SKL134" s="3507"/>
      <c r="SKM134" s="3507"/>
      <c r="SKN134" s="3507"/>
      <c r="SKO134" s="3507"/>
      <c r="SKP134" s="3507"/>
      <c r="SKQ134" s="3507"/>
      <c r="SKR134" s="3507"/>
      <c r="SKS134" s="3507"/>
      <c r="SKT134" s="3507"/>
      <c r="SKU134" s="3507"/>
      <c r="SKV134" s="3507"/>
      <c r="SKW134" s="3507"/>
      <c r="SKX134" s="3507"/>
      <c r="SKY134" s="3507"/>
      <c r="SKZ134" s="3507"/>
      <c r="SLA134" s="3507"/>
      <c r="SLB134" s="3507"/>
      <c r="SLC134" s="3507"/>
      <c r="SLD134" s="3507"/>
      <c r="SLE134" s="3507"/>
      <c r="SLF134" s="3507"/>
      <c r="SLG134" s="3507"/>
      <c r="SLH134" s="3507"/>
      <c r="SLI134" s="3507"/>
      <c r="SLJ134" s="3507"/>
      <c r="SLK134" s="3507"/>
      <c r="SLL134" s="3507"/>
      <c r="SLM134" s="3507"/>
      <c r="SLN134" s="3507"/>
      <c r="SLO134" s="3507"/>
      <c r="SLP134" s="3507"/>
      <c r="SLQ134" s="3507"/>
      <c r="SLR134" s="3507"/>
      <c r="SLS134" s="3507"/>
      <c r="SLT134" s="3507"/>
      <c r="SLU134" s="3507"/>
      <c r="SLV134" s="3507"/>
      <c r="SLW134" s="3507"/>
      <c r="SLX134" s="3507"/>
      <c r="SLY134" s="3507"/>
      <c r="SLZ134" s="3507"/>
      <c r="SMA134" s="3507"/>
      <c r="SMB134" s="3507"/>
      <c r="SMC134" s="3507"/>
      <c r="SMD134" s="3507"/>
      <c r="SME134" s="3507"/>
      <c r="SMF134" s="3507"/>
      <c r="SMG134" s="3507"/>
      <c r="SMH134" s="3507"/>
      <c r="SMI134" s="3507"/>
      <c r="SMJ134" s="3507"/>
      <c r="SMK134" s="3507"/>
      <c r="SML134" s="3507"/>
      <c r="SMM134" s="3507"/>
      <c r="SMN134" s="3507"/>
      <c r="SMO134" s="3507"/>
      <c r="SMP134" s="3507"/>
      <c r="SMQ134" s="3507"/>
      <c r="SMR134" s="3507"/>
      <c r="SMS134" s="3507"/>
      <c r="SMT134" s="3507"/>
      <c r="SMU134" s="3507"/>
      <c r="SMV134" s="3507"/>
      <c r="SMW134" s="3507"/>
      <c r="SMX134" s="3507"/>
      <c r="SMY134" s="3507"/>
      <c r="SMZ134" s="3507"/>
      <c r="SNA134" s="3507"/>
      <c r="SNB134" s="3507"/>
      <c r="SNC134" s="3507"/>
      <c r="SND134" s="3507"/>
      <c r="SNE134" s="3507"/>
      <c r="SNF134" s="3507"/>
      <c r="SNG134" s="3507"/>
      <c r="SNH134" s="3507"/>
      <c r="SNI134" s="3507"/>
      <c r="SNJ134" s="3507"/>
      <c r="SNK134" s="3507"/>
      <c r="SNL134" s="3507"/>
      <c r="SNM134" s="3507"/>
      <c r="SNN134" s="3507"/>
      <c r="SNO134" s="3507"/>
      <c r="SNP134" s="3507"/>
      <c r="SNQ134" s="3507"/>
      <c r="SNR134" s="3507"/>
      <c r="SNS134" s="3507"/>
      <c r="SNT134" s="3507"/>
      <c r="SNU134" s="3507"/>
      <c r="SNV134" s="3507"/>
      <c r="SNW134" s="3507"/>
      <c r="SNX134" s="3507"/>
      <c r="SNY134" s="3507"/>
      <c r="SNZ134" s="3507"/>
      <c r="SOA134" s="3507"/>
      <c r="SOB134" s="3507"/>
      <c r="SOC134" s="3507"/>
      <c r="SOD134" s="3507"/>
      <c r="SOE134" s="3507"/>
      <c r="SOF134" s="3507"/>
      <c r="SOG134" s="3507"/>
      <c r="SOH134" s="3507"/>
      <c r="SOI134" s="3507"/>
      <c r="SOJ134" s="3507"/>
      <c r="SOK134" s="3507"/>
      <c r="SOL134" s="3507"/>
      <c r="SOM134" s="3507"/>
      <c r="SON134" s="3507"/>
      <c r="SOO134" s="3507"/>
      <c r="SOP134" s="3507"/>
      <c r="SOQ134" s="3507"/>
      <c r="SOR134" s="3507"/>
      <c r="SOS134" s="3507"/>
      <c r="SOT134" s="3507"/>
      <c r="SOU134" s="3507"/>
      <c r="SOV134" s="3507"/>
      <c r="SOW134" s="3507"/>
      <c r="SOX134" s="3507"/>
      <c r="SOY134" s="3507"/>
      <c r="SOZ134" s="3507"/>
      <c r="SPA134" s="3507"/>
      <c r="SPB134" s="3507"/>
      <c r="SPC134" s="3507"/>
      <c r="SPD134" s="3507"/>
      <c r="SPE134" s="3507"/>
      <c r="SPF134" s="3507"/>
      <c r="SPG134" s="3507"/>
      <c r="SPH134" s="3507"/>
      <c r="SPI134" s="3507"/>
      <c r="SPJ134" s="3507"/>
      <c r="SPK134" s="3507"/>
      <c r="SPL134" s="3507"/>
      <c r="SPM134" s="3507"/>
      <c r="SPN134" s="3507"/>
      <c r="SPO134" s="3507"/>
      <c r="SPP134" s="3507"/>
      <c r="SPQ134" s="3507"/>
      <c r="SPR134" s="3507"/>
      <c r="SPS134" s="3507"/>
      <c r="SPT134" s="3507"/>
      <c r="SPU134" s="3507"/>
      <c r="SPV134" s="3507"/>
      <c r="SPW134" s="3507"/>
      <c r="SPX134" s="3507"/>
      <c r="SPY134" s="3507"/>
      <c r="SPZ134" s="3507"/>
      <c r="SQA134" s="3507"/>
      <c r="SQB134" s="3507"/>
      <c r="SQC134" s="3507"/>
      <c r="SQD134" s="3507"/>
      <c r="SQE134" s="3507"/>
      <c r="SQF134" s="3507"/>
      <c r="SQG134" s="3507"/>
      <c r="SQH134" s="3507"/>
      <c r="SQI134" s="3507"/>
      <c r="SQJ134" s="3507"/>
      <c r="SQK134" s="3507"/>
      <c r="SQL134" s="3507"/>
      <c r="SQM134" s="3507"/>
      <c r="SQN134" s="3507"/>
      <c r="SQO134" s="3507"/>
      <c r="SQP134" s="3507"/>
      <c r="SQQ134" s="3507"/>
      <c r="SQR134" s="3507"/>
      <c r="SQS134" s="3507"/>
      <c r="SQT134" s="3507"/>
      <c r="SQU134" s="3507"/>
      <c r="SQV134" s="3507"/>
      <c r="SQW134" s="3507"/>
      <c r="SQX134" s="3507"/>
      <c r="SQY134" s="3507"/>
      <c r="SQZ134" s="3507"/>
      <c r="SRA134" s="3507"/>
      <c r="SRB134" s="3507"/>
      <c r="SRC134" s="3507"/>
      <c r="SRD134" s="3507"/>
      <c r="SRE134" s="3507"/>
      <c r="SRF134" s="3507"/>
      <c r="SRG134" s="3507"/>
      <c r="SRH134" s="3507"/>
      <c r="SRI134" s="3507"/>
      <c r="SRJ134" s="3507"/>
      <c r="SRK134" s="3507"/>
      <c r="SRL134" s="3507"/>
      <c r="SRM134" s="3507"/>
      <c r="SRN134" s="3507"/>
      <c r="SRO134" s="3507"/>
      <c r="SRP134" s="3507"/>
      <c r="SRQ134" s="3507"/>
      <c r="SRR134" s="3507"/>
      <c r="SRS134" s="3507"/>
      <c r="SRT134" s="3507"/>
      <c r="SRU134" s="3507"/>
      <c r="SRV134" s="3507"/>
      <c r="SRW134" s="3507"/>
      <c r="SRX134" s="3507"/>
      <c r="SRY134" s="3507"/>
      <c r="SRZ134" s="3507"/>
      <c r="SSA134" s="3507"/>
      <c r="SSB134" s="3507"/>
      <c r="SSC134" s="3507"/>
      <c r="SSD134" s="3507"/>
      <c r="SSE134" s="3507"/>
      <c r="SSF134" s="3507"/>
      <c r="SSG134" s="3507"/>
      <c r="SSH134" s="3507"/>
      <c r="SSI134" s="3507"/>
      <c r="SSJ134" s="3507"/>
      <c r="SSK134" s="3507"/>
      <c r="SSL134" s="3507"/>
      <c r="SSM134" s="3507"/>
      <c r="SSN134" s="3507"/>
      <c r="SSO134" s="3507"/>
      <c r="SSP134" s="3507"/>
      <c r="SSQ134" s="3507"/>
      <c r="SSR134" s="3507"/>
      <c r="SSS134" s="3507"/>
      <c r="SST134" s="3507"/>
      <c r="SSU134" s="3507"/>
      <c r="SSV134" s="3507"/>
      <c r="SSW134" s="3507"/>
      <c r="SSX134" s="3507"/>
      <c r="SSY134" s="3507"/>
      <c r="SSZ134" s="3507"/>
      <c r="STA134" s="3507"/>
      <c r="STB134" s="3507"/>
      <c r="STC134" s="3507"/>
      <c r="STD134" s="3507"/>
      <c r="STE134" s="3507"/>
      <c r="STF134" s="3507"/>
      <c r="STG134" s="3507"/>
      <c r="STH134" s="3507"/>
      <c r="STI134" s="3507"/>
      <c r="STJ134" s="3507"/>
      <c r="STK134" s="3507"/>
      <c r="STL134" s="3507"/>
      <c r="STM134" s="3507"/>
      <c r="STN134" s="3507"/>
      <c r="STO134" s="3507"/>
      <c r="STP134" s="3507"/>
      <c r="STQ134" s="3507"/>
      <c r="STR134" s="3507"/>
      <c r="STS134" s="3507"/>
      <c r="STT134" s="3507"/>
      <c r="STU134" s="3507"/>
      <c r="STV134" s="3507"/>
      <c r="STW134" s="3507"/>
      <c r="STX134" s="3507"/>
      <c r="STY134" s="3507"/>
      <c r="STZ134" s="3507"/>
      <c r="SUA134" s="3507"/>
      <c r="SUB134" s="3507"/>
      <c r="SUC134" s="3507"/>
      <c r="SUD134" s="3507"/>
      <c r="SUE134" s="3507"/>
      <c r="SUF134" s="3507"/>
      <c r="SUG134" s="3507"/>
      <c r="SUH134" s="3507"/>
      <c r="SUI134" s="3507"/>
      <c r="SUJ134" s="3507"/>
      <c r="SUK134" s="3507"/>
      <c r="SUL134" s="3507"/>
      <c r="SUM134" s="3507"/>
      <c r="SUN134" s="3507"/>
      <c r="SUO134" s="3507"/>
      <c r="SUP134" s="3507"/>
      <c r="SUQ134" s="3507"/>
      <c r="SUR134" s="3507"/>
      <c r="SUS134" s="3507"/>
      <c r="SUT134" s="3507"/>
      <c r="SUU134" s="3507"/>
      <c r="SUV134" s="3507"/>
      <c r="SUW134" s="3507"/>
      <c r="SUX134" s="3507"/>
      <c r="SUY134" s="3507"/>
      <c r="SUZ134" s="3507"/>
      <c r="SVA134" s="3507"/>
      <c r="SVB134" s="3507"/>
      <c r="SVC134" s="3507"/>
      <c r="SVD134" s="3507"/>
      <c r="SVE134" s="3507"/>
      <c r="SVF134" s="3507"/>
      <c r="SVG134" s="3507"/>
      <c r="SVH134" s="3507"/>
      <c r="SVI134" s="3507"/>
      <c r="SVJ134" s="3507"/>
      <c r="SVK134" s="3507"/>
      <c r="SVL134" s="3507"/>
      <c r="SVM134" s="3507"/>
      <c r="SVN134" s="3507"/>
      <c r="SVO134" s="3507"/>
      <c r="SVP134" s="3507"/>
      <c r="SVQ134" s="3507"/>
      <c r="SVR134" s="3507"/>
      <c r="SVS134" s="3507"/>
      <c r="SVT134" s="3507"/>
      <c r="SVU134" s="3507"/>
      <c r="SVV134" s="3507"/>
      <c r="SVW134" s="3507"/>
      <c r="SVX134" s="3507"/>
      <c r="SVY134" s="3507"/>
      <c r="SVZ134" s="3507"/>
      <c r="SWA134" s="3507"/>
      <c r="SWB134" s="3507"/>
      <c r="SWC134" s="3507"/>
      <c r="SWD134" s="3507"/>
      <c r="SWE134" s="3507"/>
      <c r="SWF134" s="3507"/>
      <c r="SWG134" s="3507"/>
      <c r="SWH134" s="3507"/>
      <c r="SWI134" s="3507"/>
      <c r="SWJ134" s="3507"/>
      <c r="SWK134" s="3507"/>
      <c r="SWL134" s="3507"/>
      <c r="SWM134" s="3507"/>
      <c r="SWN134" s="3507"/>
      <c r="SWO134" s="3507"/>
      <c r="SWP134" s="3507"/>
      <c r="SWQ134" s="3507"/>
      <c r="SWR134" s="3507"/>
      <c r="SWS134" s="3507"/>
      <c r="SWT134" s="3507"/>
      <c r="SWU134" s="3507"/>
      <c r="SWV134" s="3507"/>
      <c r="SWW134" s="3507"/>
      <c r="SWX134" s="3507"/>
      <c r="SWY134" s="3507"/>
      <c r="SWZ134" s="3507"/>
      <c r="SXA134" s="3507"/>
      <c r="SXB134" s="3507"/>
      <c r="SXC134" s="3507"/>
      <c r="SXD134" s="3507"/>
      <c r="SXE134" s="3507"/>
      <c r="SXF134" s="3507"/>
      <c r="SXG134" s="3507"/>
      <c r="SXH134" s="3507"/>
      <c r="SXI134" s="3507"/>
      <c r="SXJ134" s="3507"/>
      <c r="SXK134" s="3507"/>
      <c r="SXL134" s="3507"/>
      <c r="SXM134" s="3507"/>
      <c r="SXN134" s="3507"/>
      <c r="SXO134" s="3507"/>
      <c r="SXP134" s="3507"/>
      <c r="SXQ134" s="3507"/>
      <c r="SXR134" s="3507"/>
      <c r="SXS134" s="3507"/>
      <c r="SXT134" s="3507"/>
      <c r="SXU134" s="3507"/>
      <c r="SXV134" s="3507"/>
      <c r="SXW134" s="3507"/>
      <c r="SXX134" s="3507"/>
      <c r="SXY134" s="3507"/>
      <c r="SXZ134" s="3507"/>
      <c r="SYA134" s="3507"/>
      <c r="SYB134" s="3507"/>
      <c r="SYC134" s="3507"/>
      <c r="SYD134" s="3507"/>
      <c r="SYE134" s="3507"/>
      <c r="SYF134" s="3507"/>
      <c r="SYG134" s="3507"/>
      <c r="SYH134" s="3507"/>
      <c r="SYI134" s="3507"/>
      <c r="SYJ134" s="3507"/>
      <c r="SYK134" s="3507"/>
      <c r="SYL134" s="3507"/>
      <c r="SYM134" s="3507"/>
      <c r="SYN134" s="3507"/>
      <c r="SYO134" s="3507"/>
      <c r="SYP134" s="3507"/>
      <c r="SYQ134" s="3507"/>
      <c r="SYR134" s="3507"/>
      <c r="SYS134" s="3507"/>
      <c r="SYT134" s="3507"/>
      <c r="SYU134" s="3507"/>
      <c r="SYV134" s="3507"/>
      <c r="SYW134" s="3507"/>
      <c r="SYX134" s="3507"/>
      <c r="SYY134" s="3507"/>
      <c r="SYZ134" s="3507"/>
      <c r="SZA134" s="3507"/>
      <c r="SZB134" s="3507"/>
      <c r="SZC134" s="3507"/>
      <c r="SZD134" s="3507"/>
      <c r="SZE134" s="3507"/>
      <c r="SZF134" s="3507"/>
      <c r="SZG134" s="3507"/>
      <c r="SZH134" s="3507"/>
      <c r="SZI134" s="3507"/>
      <c r="SZJ134" s="3507"/>
      <c r="SZK134" s="3507"/>
      <c r="SZL134" s="3507"/>
      <c r="SZM134" s="3507"/>
      <c r="SZN134" s="3507"/>
      <c r="SZO134" s="3507"/>
      <c r="SZP134" s="3507"/>
      <c r="SZQ134" s="3507"/>
      <c r="SZR134" s="3507"/>
      <c r="SZS134" s="3507"/>
      <c r="SZT134" s="3507"/>
      <c r="SZU134" s="3507"/>
      <c r="SZV134" s="3507"/>
      <c r="SZW134" s="3507"/>
      <c r="SZX134" s="3507"/>
      <c r="SZY134" s="3507"/>
      <c r="SZZ134" s="3507"/>
      <c r="TAA134" s="3507"/>
      <c r="TAB134" s="3507"/>
      <c r="TAC134" s="3507"/>
      <c r="TAD134" s="3507"/>
      <c r="TAE134" s="3507"/>
      <c r="TAF134" s="3507"/>
      <c r="TAG134" s="3507"/>
      <c r="TAH134" s="3507"/>
      <c r="TAI134" s="3507"/>
      <c r="TAJ134" s="3507"/>
      <c r="TAK134" s="3507"/>
      <c r="TAL134" s="3507"/>
      <c r="TAM134" s="3507"/>
      <c r="TAN134" s="3507"/>
      <c r="TAO134" s="3507"/>
      <c r="TAP134" s="3507"/>
      <c r="TAQ134" s="3507"/>
      <c r="TAR134" s="3507"/>
      <c r="TAS134" s="3507"/>
      <c r="TAT134" s="3507"/>
      <c r="TAU134" s="3507"/>
      <c r="TAV134" s="3507"/>
      <c r="TAW134" s="3507"/>
      <c r="TAX134" s="3507"/>
      <c r="TAY134" s="3507"/>
      <c r="TAZ134" s="3507"/>
      <c r="TBA134" s="3507"/>
      <c r="TBB134" s="3507"/>
      <c r="TBC134" s="3507"/>
      <c r="TBD134" s="3507"/>
      <c r="TBE134" s="3507"/>
      <c r="TBF134" s="3507"/>
      <c r="TBG134" s="3507"/>
      <c r="TBH134" s="3507"/>
      <c r="TBI134" s="3507"/>
      <c r="TBJ134" s="3507"/>
      <c r="TBK134" s="3507"/>
      <c r="TBL134" s="3507"/>
      <c r="TBM134" s="3507"/>
      <c r="TBN134" s="3507"/>
      <c r="TBO134" s="3507"/>
      <c r="TBP134" s="3507"/>
      <c r="TBQ134" s="3507"/>
      <c r="TBR134" s="3507"/>
      <c r="TBS134" s="3507"/>
      <c r="TBT134" s="3507"/>
      <c r="TBU134" s="3507"/>
      <c r="TBV134" s="3507"/>
      <c r="TBW134" s="3507"/>
      <c r="TBX134" s="3507"/>
      <c r="TBY134" s="3507"/>
      <c r="TBZ134" s="3507"/>
      <c r="TCA134" s="3507"/>
      <c r="TCB134" s="3507"/>
      <c r="TCC134" s="3507"/>
      <c r="TCD134" s="3507"/>
      <c r="TCE134" s="3507"/>
      <c r="TCF134" s="3507"/>
      <c r="TCG134" s="3507"/>
      <c r="TCH134" s="3507"/>
      <c r="TCI134" s="3507"/>
      <c r="TCJ134" s="3507"/>
      <c r="TCK134" s="3507"/>
      <c r="TCL134" s="3507"/>
      <c r="TCM134" s="3507"/>
      <c r="TCN134" s="3507"/>
      <c r="TCO134" s="3507"/>
      <c r="TCP134" s="3507"/>
      <c r="TCQ134" s="3507"/>
      <c r="TCR134" s="3507"/>
      <c r="TCS134" s="3507"/>
      <c r="TCT134" s="3507"/>
      <c r="TCU134" s="3507"/>
      <c r="TCV134" s="3507"/>
      <c r="TCW134" s="3507"/>
      <c r="TCX134" s="3507"/>
      <c r="TCY134" s="3507"/>
      <c r="TCZ134" s="3507"/>
      <c r="TDA134" s="3507"/>
      <c r="TDB134" s="3507"/>
      <c r="TDC134" s="3507"/>
      <c r="TDD134" s="3507"/>
      <c r="TDE134" s="3507"/>
      <c r="TDF134" s="3507"/>
      <c r="TDG134" s="3507"/>
      <c r="TDH134" s="3507"/>
      <c r="TDI134" s="3507"/>
      <c r="TDJ134" s="3507"/>
      <c r="TDK134" s="3507"/>
      <c r="TDL134" s="3507"/>
      <c r="TDM134" s="3507"/>
      <c r="TDN134" s="3507"/>
      <c r="TDO134" s="3507"/>
      <c r="TDP134" s="3507"/>
      <c r="TDQ134" s="3507"/>
      <c r="TDR134" s="3507"/>
      <c r="TDS134" s="3507"/>
      <c r="TDT134" s="3507"/>
      <c r="TDU134" s="3507"/>
      <c r="TDV134" s="3507"/>
      <c r="TDW134" s="3507"/>
      <c r="TDX134" s="3507"/>
      <c r="TDY134" s="3507"/>
      <c r="TDZ134" s="3507"/>
      <c r="TEA134" s="3507"/>
      <c r="TEB134" s="3507"/>
      <c r="TEC134" s="3507"/>
      <c r="TED134" s="3507"/>
      <c r="TEE134" s="3507"/>
      <c r="TEF134" s="3507"/>
      <c r="TEG134" s="3507"/>
      <c r="TEH134" s="3507"/>
      <c r="TEI134" s="3507"/>
      <c r="TEJ134" s="3507"/>
      <c r="TEK134" s="3507"/>
      <c r="TEL134" s="3507"/>
      <c r="TEM134" s="3507"/>
      <c r="TEN134" s="3507"/>
      <c r="TEO134" s="3507"/>
      <c r="TEP134" s="3507"/>
      <c r="TEQ134" s="3507"/>
      <c r="TER134" s="3507"/>
      <c r="TES134" s="3507"/>
      <c r="TET134" s="3507"/>
      <c r="TEU134" s="3507"/>
      <c r="TEV134" s="3507"/>
      <c r="TEW134" s="3507"/>
      <c r="TEX134" s="3507"/>
      <c r="TEY134" s="3507"/>
      <c r="TEZ134" s="3507"/>
      <c r="TFA134" s="3507"/>
      <c r="TFB134" s="3507"/>
      <c r="TFC134" s="3507"/>
      <c r="TFD134" s="3507"/>
      <c r="TFE134" s="3507"/>
      <c r="TFF134" s="3507"/>
      <c r="TFG134" s="3507"/>
      <c r="TFH134" s="3507"/>
      <c r="TFI134" s="3507"/>
      <c r="TFJ134" s="3507"/>
      <c r="TFK134" s="3507"/>
      <c r="TFL134" s="3507"/>
      <c r="TFM134" s="3507"/>
      <c r="TFN134" s="3507"/>
      <c r="TFO134" s="3507"/>
      <c r="TFP134" s="3507"/>
      <c r="TFQ134" s="3507"/>
      <c r="TFR134" s="3507"/>
      <c r="TFS134" s="3507"/>
      <c r="TFT134" s="3507"/>
      <c r="TFU134" s="3507"/>
      <c r="TFV134" s="3507"/>
      <c r="TFW134" s="3507"/>
      <c r="TFX134" s="3507"/>
      <c r="TFY134" s="3507"/>
      <c r="TFZ134" s="3507"/>
      <c r="TGA134" s="3507"/>
      <c r="TGB134" s="3507"/>
      <c r="TGC134" s="3507"/>
      <c r="TGD134" s="3507"/>
      <c r="TGE134" s="3507"/>
      <c r="TGF134" s="3507"/>
      <c r="TGG134" s="3507"/>
      <c r="TGH134" s="3507"/>
      <c r="TGI134" s="3507"/>
      <c r="TGJ134" s="3507"/>
      <c r="TGK134" s="3507"/>
      <c r="TGL134" s="3507"/>
      <c r="TGM134" s="3507"/>
      <c r="TGN134" s="3507"/>
      <c r="TGO134" s="3507"/>
      <c r="TGP134" s="3507"/>
      <c r="TGQ134" s="3507"/>
      <c r="TGR134" s="3507"/>
      <c r="TGS134" s="3507"/>
      <c r="TGT134" s="3507"/>
      <c r="TGU134" s="3507"/>
      <c r="TGV134" s="3507"/>
      <c r="TGW134" s="3507"/>
      <c r="TGX134" s="3507"/>
      <c r="TGY134" s="3507"/>
      <c r="TGZ134" s="3507"/>
      <c r="THA134" s="3507"/>
      <c r="THB134" s="3507"/>
      <c r="THC134" s="3507"/>
      <c r="THD134" s="3507"/>
      <c r="THE134" s="3507"/>
      <c r="THF134" s="3507"/>
      <c r="THG134" s="3507"/>
      <c r="THH134" s="3507"/>
      <c r="THI134" s="3507"/>
      <c r="THJ134" s="3507"/>
      <c r="THK134" s="3507"/>
      <c r="THL134" s="3507"/>
      <c r="THM134" s="3507"/>
      <c r="THN134" s="3507"/>
      <c r="THO134" s="3507"/>
      <c r="THP134" s="3507"/>
      <c r="THQ134" s="3507"/>
      <c r="THR134" s="3507"/>
      <c r="THS134" s="3507"/>
      <c r="THT134" s="3507"/>
      <c r="THU134" s="3507"/>
      <c r="THV134" s="3507"/>
      <c r="THW134" s="3507"/>
      <c r="THX134" s="3507"/>
      <c r="THY134" s="3507"/>
      <c r="THZ134" s="3507"/>
      <c r="TIA134" s="3507"/>
      <c r="TIB134" s="3507"/>
      <c r="TIC134" s="3507"/>
      <c r="TID134" s="3507"/>
      <c r="TIE134" s="3507"/>
      <c r="TIF134" s="3507"/>
      <c r="TIG134" s="3507"/>
      <c r="TIH134" s="3507"/>
      <c r="TII134" s="3507"/>
      <c r="TIJ134" s="3507"/>
      <c r="TIK134" s="3507"/>
      <c r="TIL134" s="3507"/>
      <c r="TIM134" s="3507"/>
      <c r="TIN134" s="3507"/>
      <c r="TIO134" s="3507"/>
      <c r="TIP134" s="3507"/>
      <c r="TIQ134" s="3507"/>
      <c r="TIR134" s="3507"/>
      <c r="TIS134" s="3507"/>
      <c r="TIT134" s="3507"/>
      <c r="TIU134" s="3507"/>
      <c r="TIV134" s="3507"/>
      <c r="TIW134" s="3507"/>
      <c r="TIX134" s="3507"/>
      <c r="TIY134" s="3507"/>
      <c r="TIZ134" s="3507"/>
      <c r="TJA134" s="3507"/>
      <c r="TJB134" s="3507"/>
      <c r="TJC134" s="3507"/>
      <c r="TJD134" s="3507"/>
      <c r="TJE134" s="3507"/>
      <c r="TJF134" s="3507"/>
      <c r="TJG134" s="3507"/>
      <c r="TJH134" s="3507"/>
      <c r="TJI134" s="3507"/>
      <c r="TJJ134" s="3507"/>
      <c r="TJK134" s="3507"/>
      <c r="TJL134" s="3507"/>
      <c r="TJM134" s="3507"/>
      <c r="TJN134" s="3507"/>
      <c r="TJO134" s="3507"/>
      <c r="TJP134" s="3507"/>
      <c r="TJQ134" s="3507"/>
      <c r="TJR134" s="3507"/>
      <c r="TJS134" s="3507"/>
      <c r="TJT134" s="3507"/>
      <c r="TJU134" s="3507"/>
      <c r="TJV134" s="3507"/>
      <c r="TJW134" s="3507"/>
      <c r="TJX134" s="3507"/>
      <c r="TJY134" s="3507"/>
      <c r="TJZ134" s="3507"/>
      <c r="TKA134" s="3507"/>
      <c r="TKB134" s="3507"/>
      <c r="TKC134" s="3507"/>
      <c r="TKD134" s="3507"/>
      <c r="TKE134" s="3507"/>
      <c r="TKF134" s="3507"/>
      <c r="TKG134" s="3507"/>
      <c r="TKH134" s="3507"/>
      <c r="TKI134" s="3507"/>
      <c r="TKJ134" s="3507"/>
      <c r="TKK134" s="3507"/>
      <c r="TKL134" s="3507"/>
      <c r="TKM134" s="3507"/>
      <c r="TKN134" s="3507"/>
      <c r="TKO134" s="3507"/>
      <c r="TKP134" s="3507"/>
      <c r="TKQ134" s="3507"/>
      <c r="TKR134" s="3507"/>
      <c r="TKS134" s="3507"/>
      <c r="TKT134" s="3507"/>
      <c r="TKU134" s="3507"/>
      <c r="TKV134" s="3507"/>
      <c r="TKW134" s="3507"/>
      <c r="TKX134" s="3507"/>
      <c r="TKY134" s="3507"/>
      <c r="TKZ134" s="3507"/>
      <c r="TLA134" s="3507"/>
      <c r="TLB134" s="3507"/>
      <c r="TLC134" s="3507"/>
      <c r="TLD134" s="3507"/>
      <c r="TLE134" s="3507"/>
      <c r="TLF134" s="3507"/>
      <c r="TLG134" s="3507"/>
      <c r="TLH134" s="3507"/>
      <c r="TLI134" s="3507"/>
      <c r="TLJ134" s="3507"/>
      <c r="TLK134" s="3507"/>
      <c r="TLL134" s="3507"/>
      <c r="TLM134" s="3507"/>
      <c r="TLN134" s="3507"/>
      <c r="TLO134" s="3507"/>
      <c r="TLP134" s="3507"/>
      <c r="TLQ134" s="3507"/>
      <c r="TLR134" s="3507"/>
      <c r="TLS134" s="3507"/>
      <c r="TLT134" s="3507"/>
      <c r="TLU134" s="3507"/>
      <c r="TLV134" s="3507"/>
      <c r="TLW134" s="3507"/>
      <c r="TLX134" s="3507"/>
      <c r="TLY134" s="3507"/>
      <c r="TLZ134" s="3507"/>
      <c r="TMA134" s="3507"/>
      <c r="TMB134" s="3507"/>
      <c r="TMC134" s="3507"/>
      <c r="TMD134" s="3507"/>
      <c r="TME134" s="3507"/>
      <c r="TMF134" s="3507"/>
      <c r="TMG134" s="3507"/>
      <c r="TMH134" s="3507"/>
      <c r="TMI134" s="3507"/>
      <c r="TMJ134" s="3507"/>
      <c r="TMK134" s="3507"/>
      <c r="TML134" s="3507"/>
      <c r="TMM134" s="3507"/>
      <c r="TMN134" s="3507"/>
      <c r="TMO134" s="3507"/>
      <c r="TMP134" s="3507"/>
      <c r="TMQ134" s="3507"/>
      <c r="TMR134" s="3507"/>
      <c r="TMS134" s="3507"/>
      <c r="TMT134" s="3507"/>
      <c r="TMU134" s="3507"/>
      <c r="TMV134" s="3507"/>
      <c r="TMW134" s="3507"/>
      <c r="TMX134" s="3507"/>
      <c r="TMY134" s="3507"/>
      <c r="TMZ134" s="3507"/>
      <c r="TNA134" s="3507"/>
      <c r="TNB134" s="3507"/>
      <c r="TNC134" s="3507"/>
      <c r="TND134" s="3507"/>
      <c r="TNE134" s="3507"/>
      <c r="TNF134" s="3507"/>
      <c r="TNG134" s="3507"/>
      <c r="TNH134" s="3507"/>
      <c r="TNI134" s="3507"/>
      <c r="TNJ134" s="3507"/>
      <c r="TNK134" s="3507"/>
      <c r="TNL134" s="3507"/>
      <c r="TNM134" s="3507"/>
      <c r="TNN134" s="3507"/>
      <c r="TNO134" s="3507"/>
      <c r="TNP134" s="3507"/>
      <c r="TNQ134" s="3507"/>
      <c r="TNR134" s="3507"/>
      <c r="TNS134" s="3507"/>
      <c r="TNT134" s="3507"/>
      <c r="TNU134" s="3507"/>
      <c r="TNV134" s="3507"/>
      <c r="TNW134" s="3507"/>
      <c r="TNX134" s="3507"/>
      <c r="TNY134" s="3507"/>
      <c r="TNZ134" s="3507"/>
      <c r="TOA134" s="3507"/>
      <c r="TOB134" s="3507"/>
      <c r="TOC134" s="3507"/>
      <c r="TOD134" s="3507"/>
      <c r="TOE134" s="3507"/>
      <c r="TOF134" s="3507"/>
      <c r="TOG134" s="3507"/>
      <c r="TOH134" s="3507"/>
      <c r="TOI134" s="3507"/>
      <c r="TOJ134" s="3507"/>
      <c r="TOK134" s="3507"/>
      <c r="TOL134" s="3507"/>
      <c r="TOM134" s="3507"/>
      <c r="TON134" s="3507"/>
      <c r="TOO134" s="3507"/>
      <c r="TOP134" s="3507"/>
      <c r="TOQ134" s="3507"/>
      <c r="TOR134" s="3507"/>
      <c r="TOS134" s="3507"/>
      <c r="TOT134" s="3507"/>
      <c r="TOU134" s="3507"/>
      <c r="TOV134" s="3507"/>
      <c r="TOW134" s="3507"/>
      <c r="TOX134" s="3507"/>
      <c r="TOY134" s="3507"/>
      <c r="TOZ134" s="3507"/>
      <c r="TPA134" s="3507"/>
      <c r="TPB134" s="3507"/>
      <c r="TPC134" s="3507"/>
      <c r="TPD134" s="3507"/>
      <c r="TPE134" s="3507"/>
      <c r="TPF134" s="3507"/>
      <c r="TPG134" s="3507"/>
      <c r="TPH134" s="3507"/>
      <c r="TPI134" s="3507"/>
      <c r="TPJ134" s="3507"/>
      <c r="TPK134" s="3507"/>
      <c r="TPL134" s="3507"/>
      <c r="TPM134" s="3507"/>
      <c r="TPN134" s="3507"/>
      <c r="TPO134" s="3507"/>
      <c r="TPP134" s="3507"/>
      <c r="TPQ134" s="3507"/>
      <c r="TPR134" s="3507"/>
      <c r="TPS134" s="3507"/>
      <c r="TPT134" s="3507"/>
      <c r="TPU134" s="3507"/>
      <c r="TPV134" s="3507"/>
      <c r="TPW134" s="3507"/>
      <c r="TPX134" s="3507"/>
      <c r="TPY134" s="3507"/>
      <c r="TPZ134" s="3507"/>
      <c r="TQA134" s="3507"/>
      <c r="TQB134" s="3507"/>
      <c r="TQC134" s="3507"/>
      <c r="TQD134" s="3507"/>
      <c r="TQE134" s="3507"/>
      <c r="TQF134" s="3507"/>
      <c r="TQG134" s="3507"/>
      <c r="TQH134" s="3507"/>
      <c r="TQI134" s="3507"/>
      <c r="TQJ134" s="3507"/>
      <c r="TQK134" s="3507"/>
      <c r="TQL134" s="3507"/>
      <c r="TQM134" s="3507"/>
      <c r="TQN134" s="3507"/>
      <c r="TQO134" s="3507"/>
      <c r="TQP134" s="3507"/>
      <c r="TQQ134" s="3507"/>
      <c r="TQR134" s="3507"/>
      <c r="TQS134" s="3507"/>
      <c r="TQT134" s="3507"/>
      <c r="TQU134" s="3507"/>
      <c r="TQV134" s="3507"/>
      <c r="TQW134" s="3507"/>
      <c r="TQX134" s="3507"/>
      <c r="TQY134" s="3507"/>
      <c r="TQZ134" s="3507"/>
      <c r="TRA134" s="3507"/>
      <c r="TRB134" s="3507"/>
      <c r="TRC134" s="3507"/>
      <c r="TRD134" s="3507"/>
      <c r="TRE134" s="3507"/>
      <c r="TRF134" s="3507"/>
      <c r="TRG134" s="3507"/>
      <c r="TRH134" s="3507"/>
      <c r="TRI134" s="3507"/>
      <c r="TRJ134" s="3507"/>
      <c r="TRK134" s="3507"/>
      <c r="TRL134" s="3507"/>
      <c r="TRM134" s="3507"/>
      <c r="TRN134" s="3507"/>
      <c r="TRO134" s="3507"/>
      <c r="TRP134" s="3507"/>
      <c r="TRQ134" s="3507"/>
      <c r="TRR134" s="3507"/>
      <c r="TRS134" s="3507"/>
      <c r="TRT134" s="3507"/>
      <c r="TRU134" s="3507"/>
      <c r="TRV134" s="3507"/>
      <c r="TRW134" s="3507"/>
      <c r="TRX134" s="3507"/>
      <c r="TRY134" s="3507"/>
      <c r="TRZ134" s="3507"/>
      <c r="TSA134" s="3507"/>
      <c r="TSB134" s="3507"/>
      <c r="TSC134" s="3507"/>
      <c r="TSD134" s="3507"/>
      <c r="TSE134" s="3507"/>
      <c r="TSF134" s="3507"/>
      <c r="TSG134" s="3507"/>
      <c r="TSH134" s="3507"/>
      <c r="TSI134" s="3507"/>
      <c r="TSJ134" s="3507"/>
      <c r="TSK134" s="3507"/>
      <c r="TSL134" s="3507"/>
      <c r="TSM134" s="3507"/>
      <c r="TSN134" s="3507"/>
      <c r="TSO134" s="3507"/>
      <c r="TSP134" s="3507"/>
      <c r="TSQ134" s="3507"/>
      <c r="TSR134" s="3507"/>
      <c r="TSS134" s="3507"/>
      <c r="TST134" s="3507"/>
      <c r="TSU134" s="3507"/>
      <c r="TSV134" s="3507"/>
      <c r="TSW134" s="3507"/>
      <c r="TSX134" s="3507"/>
      <c r="TSY134" s="3507"/>
      <c r="TSZ134" s="3507"/>
      <c r="TTA134" s="3507"/>
      <c r="TTB134" s="3507"/>
      <c r="TTC134" s="3507"/>
      <c r="TTD134" s="3507"/>
      <c r="TTE134" s="3507"/>
      <c r="TTF134" s="3507"/>
      <c r="TTG134" s="3507"/>
      <c r="TTH134" s="3507"/>
      <c r="TTI134" s="3507"/>
      <c r="TTJ134" s="3507"/>
      <c r="TTK134" s="3507"/>
      <c r="TTL134" s="3507"/>
      <c r="TTM134" s="3507"/>
      <c r="TTN134" s="3507"/>
      <c r="TTO134" s="3507"/>
      <c r="TTP134" s="3507"/>
      <c r="TTQ134" s="3507"/>
      <c r="TTR134" s="3507"/>
      <c r="TTS134" s="3507"/>
      <c r="TTT134" s="3507"/>
      <c r="TTU134" s="3507"/>
      <c r="TTV134" s="3507"/>
      <c r="TTW134" s="3507"/>
      <c r="TTX134" s="3507"/>
      <c r="TTY134" s="3507"/>
      <c r="TTZ134" s="3507"/>
      <c r="TUA134" s="3507"/>
      <c r="TUB134" s="3507"/>
      <c r="TUC134" s="3507"/>
      <c r="TUD134" s="3507"/>
      <c r="TUE134" s="3507"/>
      <c r="TUF134" s="3507"/>
      <c r="TUG134" s="3507"/>
      <c r="TUH134" s="3507"/>
      <c r="TUI134" s="3507"/>
      <c r="TUJ134" s="3507"/>
      <c r="TUK134" s="3507"/>
      <c r="TUL134" s="3507"/>
      <c r="TUM134" s="3507"/>
      <c r="TUN134" s="3507"/>
      <c r="TUO134" s="3507"/>
      <c r="TUP134" s="3507"/>
      <c r="TUQ134" s="3507"/>
      <c r="TUR134" s="3507"/>
      <c r="TUS134" s="3507"/>
      <c r="TUT134" s="3507"/>
      <c r="TUU134" s="3507"/>
      <c r="TUV134" s="3507"/>
      <c r="TUW134" s="3507"/>
      <c r="TUX134" s="3507"/>
      <c r="TUY134" s="3507"/>
      <c r="TUZ134" s="3507"/>
      <c r="TVA134" s="3507"/>
      <c r="TVB134" s="3507"/>
      <c r="TVC134" s="3507"/>
      <c r="TVD134" s="3507"/>
      <c r="TVE134" s="3507"/>
      <c r="TVF134" s="3507"/>
      <c r="TVG134" s="3507"/>
      <c r="TVH134" s="3507"/>
      <c r="TVI134" s="3507"/>
      <c r="TVJ134" s="3507"/>
      <c r="TVK134" s="3507"/>
      <c r="TVL134" s="3507"/>
      <c r="TVM134" s="3507"/>
      <c r="TVN134" s="3507"/>
      <c r="TVO134" s="3507"/>
      <c r="TVP134" s="3507"/>
      <c r="TVQ134" s="3507"/>
      <c r="TVR134" s="3507"/>
      <c r="TVS134" s="3507"/>
      <c r="TVT134" s="3507"/>
      <c r="TVU134" s="3507"/>
      <c r="TVV134" s="3507"/>
      <c r="TVW134" s="3507"/>
      <c r="TVX134" s="3507"/>
      <c r="TVY134" s="3507"/>
      <c r="TVZ134" s="3507"/>
      <c r="TWA134" s="3507"/>
      <c r="TWB134" s="3507"/>
      <c r="TWC134" s="3507"/>
      <c r="TWD134" s="3507"/>
      <c r="TWE134" s="3507"/>
      <c r="TWF134" s="3507"/>
      <c r="TWG134" s="3507"/>
      <c r="TWH134" s="3507"/>
      <c r="TWI134" s="3507"/>
      <c r="TWJ134" s="3507"/>
      <c r="TWK134" s="3507"/>
      <c r="TWL134" s="3507"/>
      <c r="TWM134" s="3507"/>
      <c r="TWN134" s="3507"/>
      <c r="TWO134" s="3507"/>
      <c r="TWP134" s="3507"/>
      <c r="TWQ134" s="3507"/>
      <c r="TWR134" s="3507"/>
      <c r="TWS134" s="3507"/>
      <c r="TWT134" s="3507"/>
      <c r="TWU134" s="3507"/>
      <c r="TWV134" s="3507"/>
      <c r="TWW134" s="3507"/>
      <c r="TWX134" s="3507"/>
      <c r="TWY134" s="3507"/>
      <c r="TWZ134" s="3507"/>
      <c r="TXA134" s="3507"/>
      <c r="TXB134" s="3507"/>
      <c r="TXC134" s="3507"/>
      <c r="TXD134" s="3507"/>
      <c r="TXE134" s="3507"/>
      <c r="TXF134" s="3507"/>
      <c r="TXG134" s="3507"/>
      <c r="TXH134" s="3507"/>
      <c r="TXI134" s="3507"/>
      <c r="TXJ134" s="3507"/>
      <c r="TXK134" s="3507"/>
      <c r="TXL134" s="3507"/>
      <c r="TXM134" s="3507"/>
      <c r="TXN134" s="3507"/>
      <c r="TXO134" s="3507"/>
      <c r="TXP134" s="3507"/>
      <c r="TXQ134" s="3507"/>
      <c r="TXR134" s="3507"/>
      <c r="TXS134" s="3507"/>
      <c r="TXT134" s="3507"/>
      <c r="TXU134" s="3507"/>
      <c r="TXV134" s="3507"/>
      <c r="TXW134" s="3507"/>
      <c r="TXX134" s="3507"/>
      <c r="TXY134" s="3507"/>
      <c r="TXZ134" s="3507"/>
      <c r="TYA134" s="3507"/>
      <c r="TYB134" s="3507"/>
      <c r="TYC134" s="3507"/>
      <c r="TYD134" s="3507"/>
      <c r="TYE134" s="3507"/>
      <c r="TYF134" s="3507"/>
      <c r="TYG134" s="3507"/>
      <c r="TYH134" s="3507"/>
      <c r="TYI134" s="3507"/>
      <c r="TYJ134" s="3507"/>
      <c r="TYK134" s="3507"/>
      <c r="TYL134" s="3507"/>
      <c r="TYM134" s="3507"/>
      <c r="TYN134" s="3507"/>
      <c r="TYO134" s="3507"/>
      <c r="TYP134" s="3507"/>
      <c r="TYQ134" s="3507"/>
      <c r="TYR134" s="3507"/>
      <c r="TYS134" s="3507"/>
      <c r="TYT134" s="3507"/>
      <c r="TYU134" s="3507"/>
      <c r="TYV134" s="3507"/>
      <c r="TYW134" s="3507"/>
      <c r="TYX134" s="3507"/>
      <c r="TYY134" s="3507"/>
      <c r="TYZ134" s="3507"/>
      <c r="TZA134" s="3507"/>
      <c r="TZB134" s="3507"/>
      <c r="TZC134" s="3507"/>
      <c r="TZD134" s="3507"/>
      <c r="TZE134" s="3507"/>
      <c r="TZF134" s="3507"/>
      <c r="TZG134" s="3507"/>
      <c r="TZH134" s="3507"/>
      <c r="TZI134" s="3507"/>
      <c r="TZJ134" s="3507"/>
      <c r="TZK134" s="3507"/>
      <c r="TZL134" s="3507"/>
      <c r="TZM134" s="3507"/>
      <c r="TZN134" s="3507"/>
      <c r="TZO134" s="3507"/>
      <c r="TZP134" s="3507"/>
      <c r="TZQ134" s="3507"/>
      <c r="TZR134" s="3507"/>
      <c r="TZS134" s="3507"/>
      <c r="TZT134" s="3507"/>
      <c r="TZU134" s="3507"/>
      <c r="TZV134" s="3507"/>
      <c r="TZW134" s="3507"/>
      <c r="TZX134" s="3507"/>
      <c r="TZY134" s="3507"/>
      <c r="TZZ134" s="3507"/>
      <c r="UAA134" s="3507"/>
      <c r="UAB134" s="3507"/>
      <c r="UAC134" s="3507"/>
      <c r="UAD134" s="3507"/>
      <c r="UAE134" s="3507"/>
      <c r="UAF134" s="3507"/>
      <c r="UAG134" s="3507"/>
      <c r="UAH134" s="3507"/>
      <c r="UAI134" s="3507"/>
      <c r="UAJ134" s="3507"/>
      <c r="UAK134" s="3507"/>
      <c r="UAL134" s="3507"/>
      <c r="UAM134" s="3507"/>
      <c r="UAN134" s="3507"/>
      <c r="UAO134" s="3507"/>
      <c r="UAP134" s="3507"/>
      <c r="UAQ134" s="3507"/>
      <c r="UAR134" s="3507"/>
      <c r="UAS134" s="3507"/>
      <c r="UAT134" s="3507"/>
      <c r="UAU134" s="3507"/>
      <c r="UAV134" s="3507"/>
      <c r="UAW134" s="3507"/>
      <c r="UAX134" s="3507"/>
      <c r="UAY134" s="3507"/>
      <c r="UAZ134" s="3507"/>
      <c r="UBA134" s="3507"/>
      <c r="UBB134" s="3507"/>
      <c r="UBC134" s="3507"/>
      <c r="UBD134" s="3507"/>
      <c r="UBE134" s="3507"/>
      <c r="UBF134" s="3507"/>
      <c r="UBG134" s="3507"/>
      <c r="UBH134" s="3507"/>
      <c r="UBI134" s="3507"/>
      <c r="UBJ134" s="3507"/>
      <c r="UBK134" s="3507"/>
      <c r="UBL134" s="3507"/>
      <c r="UBM134" s="3507"/>
      <c r="UBN134" s="3507"/>
      <c r="UBO134" s="3507"/>
      <c r="UBP134" s="3507"/>
      <c r="UBQ134" s="3507"/>
      <c r="UBR134" s="3507"/>
      <c r="UBS134" s="3507"/>
      <c r="UBT134" s="3507"/>
      <c r="UBU134" s="3507"/>
      <c r="UBV134" s="3507"/>
      <c r="UBW134" s="3507"/>
      <c r="UBX134" s="3507"/>
      <c r="UBY134" s="3507"/>
      <c r="UBZ134" s="3507"/>
      <c r="UCA134" s="3507"/>
      <c r="UCB134" s="3507"/>
      <c r="UCC134" s="3507"/>
      <c r="UCD134" s="3507"/>
      <c r="UCE134" s="3507"/>
      <c r="UCF134" s="3507"/>
      <c r="UCG134" s="3507"/>
      <c r="UCH134" s="3507"/>
      <c r="UCI134" s="3507"/>
      <c r="UCJ134" s="3507"/>
      <c r="UCK134" s="3507"/>
      <c r="UCL134" s="3507"/>
      <c r="UCM134" s="3507"/>
      <c r="UCN134" s="3507"/>
      <c r="UCO134" s="3507"/>
      <c r="UCP134" s="3507"/>
      <c r="UCQ134" s="3507"/>
      <c r="UCR134" s="3507"/>
      <c r="UCS134" s="3507"/>
      <c r="UCT134" s="3507"/>
      <c r="UCU134" s="3507"/>
      <c r="UCV134" s="3507"/>
      <c r="UCW134" s="3507"/>
      <c r="UCX134" s="3507"/>
      <c r="UCY134" s="3507"/>
      <c r="UCZ134" s="3507"/>
      <c r="UDA134" s="3507"/>
      <c r="UDB134" s="3507"/>
      <c r="UDC134" s="3507"/>
      <c r="UDD134" s="3507"/>
      <c r="UDE134" s="3507"/>
      <c r="UDF134" s="3507"/>
      <c r="UDG134" s="3507"/>
      <c r="UDH134" s="3507"/>
      <c r="UDI134" s="3507"/>
      <c r="UDJ134" s="3507"/>
      <c r="UDK134" s="3507"/>
      <c r="UDL134" s="3507"/>
      <c r="UDM134" s="3507"/>
      <c r="UDN134" s="3507"/>
      <c r="UDO134" s="3507"/>
      <c r="UDP134" s="3507"/>
      <c r="UDQ134" s="3507"/>
      <c r="UDR134" s="3507"/>
      <c r="UDS134" s="3507"/>
      <c r="UDT134" s="3507"/>
      <c r="UDU134" s="3507"/>
      <c r="UDV134" s="3507"/>
      <c r="UDW134" s="3507"/>
      <c r="UDX134" s="3507"/>
      <c r="UDY134" s="3507"/>
      <c r="UDZ134" s="3507"/>
      <c r="UEA134" s="3507"/>
      <c r="UEB134" s="3507"/>
      <c r="UEC134" s="3507"/>
      <c r="UED134" s="3507"/>
      <c r="UEE134" s="3507"/>
      <c r="UEF134" s="3507"/>
      <c r="UEG134" s="3507"/>
      <c r="UEH134" s="3507"/>
      <c r="UEI134" s="3507"/>
      <c r="UEJ134" s="3507"/>
      <c r="UEK134" s="3507"/>
      <c r="UEL134" s="3507"/>
      <c r="UEM134" s="3507"/>
      <c r="UEN134" s="3507"/>
      <c r="UEO134" s="3507"/>
      <c r="UEP134" s="3507"/>
      <c r="UEQ134" s="3507"/>
      <c r="UER134" s="3507"/>
      <c r="UES134" s="3507"/>
      <c r="UET134" s="3507"/>
      <c r="UEU134" s="3507"/>
      <c r="UEV134" s="3507"/>
      <c r="UEW134" s="3507"/>
      <c r="UEX134" s="3507"/>
      <c r="UEY134" s="3507"/>
      <c r="UEZ134" s="3507"/>
      <c r="UFA134" s="3507"/>
      <c r="UFB134" s="3507"/>
      <c r="UFC134" s="3507"/>
      <c r="UFD134" s="3507"/>
      <c r="UFE134" s="3507"/>
      <c r="UFF134" s="3507"/>
      <c r="UFG134" s="3507"/>
      <c r="UFH134" s="3507"/>
      <c r="UFI134" s="3507"/>
      <c r="UFJ134" s="3507"/>
      <c r="UFK134" s="3507"/>
      <c r="UFL134" s="3507"/>
      <c r="UFM134" s="3507"/>
      <c r="UFN134" s="3507"/>
      <c r="UFO134" s="3507"/>
      <c r="UFP134" s="3507"/>
      <c r="UFQ134" s="3507"/>
      <c r="UFR134" s="3507"/>
      <c r="UFS134" s="3507"/>
      <c r="UFT134" s="3507"/>
      <c r="UFU134" s="3507"/>
      <c r="UFV134" s="3507"/>
      <c r="UFW134" s="3507"/>
      <c r="UFX134" s="3507"/>
      <c r="UFY134" s="3507"/>
      <c r="UFZ134" s="3507"/>
      <c r="UGA134" s="3507"/>
      <c r="UGB134" s="3507"/>
      <c r="UGC134" s="3507"/>
      <c r="UGD134" s="3507"/>
      <c r="UGE134" s="3507"/>
      <c r="UGF134" s="3507"/>
      <c r="UGG134" s="3507"/>
      <c r="UGH134" s="3507"/>
      <c r="UGI134" s="3507"/>
      <c r="UGJ134" s="3507"/>
      <c r="UGK134" s="3507"/>
      <c r="UGL134" s="3507"/>
      <c r="UGM134" s="3507"/>
      <c r="UGN134" s="3507"/>
      <c r="UGO134" s="3507"/>
      <c r="UGP134" s="3507"/>
      <c r="UGQ134" s="3507"/>
      <c r="UGR134" s="3507"/>
      <c r="UGS134" s="3507"/>
      <c r="UGT134" s="3507"/>
      <c r="UGU134" s="3507"/>
      <c r="UGV134" s="3507"/>
      <c r="UGW134" s="3507"/>
      <c r="UGX134" s="3507"/>
      <c r="UGY134" s="3507"/>
      <c r="UGZ134" s="3507"/>
      <c r="UHA134" s="3507"/>
      <c r="UHB134" s="3507"/>
      <c r="UHC134" s="3507"/>
      <c r="UHD134" s="3507"/>
      <c r="UHE134" s="3507"/>
      <c r="UHF134" s="3507"/>
      <c r="UHG134" s="3507"/>
      <c r="UHH134" s="3507"/>
      <c r="UHI134" s="3507"/>
      <c r="UHJ134" s="3507"/>
      <c r="UHK134" s="3507"/>
      <c r="UHL134" s="3507"/>
      <c r="UHM134" s="3507"/>
      <c r="UHN134" s="3507"/>
      <c r="UHO134" s="3507"/>
      <c r="UHP134" s="3507"/>
      <c r="UHQ134" s="3507"/>
      <c r="UHR134" s="3507"/>
      <c r="UHS134" s="3507"/>
      <c r="UHT134" s="3507"/>
      <c r="UHU134" s="3507"/>
      <c r="UHV134" s="3507"/>
      <c r="UHW134" s="3507"/>
      <c r="UHX134" s="3507"/>
      <c r="UHY134" s="3507"/>
      <c r="UHZ134" s="3507"/>
      <c r="UIA134" s="3507"/>
      <c r="UIB134" s="3507"/>
      <c r="UIC134" s="3507"/>
      <c r="UID134" s="3507"/>
      <c r="UIE134" s="3507"/>
      <c r="UIF134" s="3507"/>
      <c r="UIG134" s="3507"/>
      <c r="UIH134" s="3507"/>
      <c r="UII134" s="3507"/>
      <c r="UIJ134" s="3507"/>
      <c r="UIK134" s="3507"/>
      <c r="UIL134" s="3507"/>
      <c r="UIM134" s="3507"/>
      <c r="UIN134" s="3507"/>
      <c r="UIO134" s="3507"/>
      <c r="UIP134" s="3507"/>
      <c r="UIQ134" s="3507"/>
      <c r="UIR134" s="3507"/>
      <c r="UIS134" s="3507"/>
      <c r="UIT134" s="3507"/>
      <c r="UIU134" s="3507"/>
      <c r="UIV134" s="3507"/>
      <c r="UIW134" s="3507"/>
      <c r="UIX134" s="3507"/>
      <c r="UIY134" s="3507"/>
      <c r="UIZ134" s="3507"/>
      <c r="UJA134" s="3507"/>
      <c r="UJB134" s="3507"/>
      <c r="UJC134" s="3507"/>
      <c r="UJD134" s="3507"/>
      <c r="UJE134" s="3507"/>
      <c r="UJF134" s="3507"/>
      <c r="UJG134" s="3507"/>
      <c r="UJH134" s="3507"/>
      <c r="UJI134" s="3507"/>
      <c r="UJJ134" s="3507"/>
      <c r="UJK134" s="3507"/>
      <c r="UJL134" s="3507"/>
      <c r="UJM134" s="3507"/>
      <c r="UJN134" s="3507"/>
      <c r="UJO134" s="3507"/>
      <c r="UJP134" s="3507"/>
      <c r="UJQ134" s="3507"/>
      <c r="UJR134" s="3507"/>
      <c r="UJS134" s="3507"/>
      <c r="UJT134" s="3507"/>
      <c r="UJU134" s="3507"/>
      <c r="UJV134" s="3507"/>
      <c r="UJW134" s="3507"/>
      <c r="UJX134" s="3507"/>
      <c r="UJY134" s="3507"/>
      <c r="UJZ134" s="3507"/>
      <c r="UKA134" s="3507"/>
      <c r="UKB134" s="3507"/>
      <c r="UKC134" s="3507"/>
      <c r="UKD134" s="3507"/>
      <c r="UKE134" s="3507"/>
      <c r="UKF134" s="3507"/>
      <c r="UKG134" s="3507"/>
      <c r="UKH134" s="3507"/>
      <c r="UKI134" s="3507"/>
      <c r="UKJ134" s="3507"/>
      <c r="UKK134" s="3507"/>
      <c r="UKL134" s="3507"/>
      <c r="UKM134" s="3507"/>
      <c r="UKN134" s="3507"/>
      <c r="UKO134" s="3507"/>
      <c r="UKP134" s="3507"/>
      <c r="UKQ134" s="3507"/>
      <c r="UKR134" s="3507"/>
      <c r="UKS134" s="3507"/>
      <c r="UKT134" s="3507"/>
      <c r="UKU134" s="3507"/>
      <c r="UKV134" s="3507"/>
      <c r="UKW134" s="3507"/>
      <c r="UKX134" s="3507"/>
      <c r="UKY134" s="3507"/>
      <c r="UKZ134" s="3507"/>
      <c r="ULA134" s="3507"/>
      <c r="ULB134" s="3507"/>
      <c r="ULC134" s="3507"/>
      <c r="ULD134" s="3507"/>
      <c r="ULE134" s="3507"/>
      <c r="ULF134" s="3507"/>
      <c r="ULG134" s="3507"/>
      <c r="ULH134" s="3507"/>
      <c r="ULI134" s="3507"/>
      <c r="ULJ134" s="3507"/>
      <c r="ULK134" s="3507"/>
      <c r="ULL134" s="3507"/>
      <c r="ULM134" s="3507"/>
      <c r="ULN134" s="3507"/>
      <c r="ULO134" s="3507"/>
      <c r="ULP134" s="3507"/>
      <c r="ULQ134" s="3507"/>
      <c r="ULR134" s="3507"/>
      <c r="ULS134" s="3507"/>
      <c r="ULT134" s="3507"/>
      <c r="ULU134" s="3507"/>
      <c r="ULV134" s="3507"/>
      <c r="ULW134" s="3507"/>
      <c r="ULX134" s="3507"/>
      <c r="ULY134" s="3507"/>
      <c r="ULZ134" s="3507"/>
      <c r="UMA134" s="3507"/>
      <c r="UMB134" s="3507"/>
      <c r="UMC134" s="3507"/>
      <c r="UMD134" s="3507"/>
      <c r="UME134" s="3507"/>
      <c r="UMF134" s="3507"/>
      <c r="UMG134" s="3507"/>
      <c r="UMH134" s="3507"/>
      <c r="UMI134" s="3507"/>
      <c r="UMJ134" s="3507"/>
      <c r="UMK134" s="3507"/>
      <c r="UML134" s="3507"/>
      <c r="UMM134" s="3507"/>
      <c r="UMN134" s="3507"/>
      <c r="UMO134" s="3507"/>
      <c r="UMP134" s="3507"/>
      <c r="UMQ134" s="3507"/>
      <c r="UMR134" s="3507"/>
      <c r="UMS134" s="3507"/>
      <c r="UMT134" s="3507"/>
      <c r="UMU134" s="3507"/>
      <c r="UMV134" s="3507"/>
      <c r="UMW134" s="3507"/>
      <c r="UMX134" s="3507"/>
      <c r="UMY134" s="3507"/>
      <c r="UMZ134" s="3507"/>
      <c r="UNA134" s="3507"/>
      <c r="UNB134" s="3507"/>
      <c r="UNC134" s="3507"/>
      <c r="UND134" s="3507"/>
      <c r="UNE134" s="3507"/>
      <c r="UNF134" s="3507"/>
      <c r="UNG134" s="3507"/>
      <c r="UNH134" s="3507"/>
      <c r="UNI134" s="3507"/>
      <c r="UNJ134" s="3507"/>
      <c r="UNK134" s="3507"/>
      <c r="UNL134" s="3507"/>
      <c r="UNM134" s="3507"/>
      <c r="UNN134" s="3507"/>
      <c r="UNO134" s="3507"/>
      <c r="UNP134" s="3507"/>
      <c r="UNQ134" s="3507"/>
      <c r="UNR134" s="3507"/>
      <c r="UNS134" s="3507"/>
      <c r="UNT134" s="3507"/>
      <c r="UNU134" s="3507"/>
      <c r="UNV134" s="3507"/>
      <c r="UNW134" s="3507"/>
      <c r="UNX134" s="3507"/>
      <c r="UNY134" s="3507"/>
      <c r="UNZ134" s="3507"/>
      <c r="UOA134" s="3507"/>
      <c r="UOB134" s="3507"/>
      <c r="UOC134" s="3507"/>
      <c r="UOD134" s="3507"/>
      <c r="UOE134" s="3507"/>
      <c r="UOF134" s="3507"/>
      <c r="UOG134" s="3507"/>
      <c r="UOH134" s="3507"/>
      <c r="UOI134" s="3507"/>
      <c r="UOJ134" s="3507"/>
      <c r="UOK134" s="3507"/>
      <c r="UOL134" s="3507"/>
      <c r="UOM134" s="3507"/>
      <c r="UON134" s="3507"/>
      <c r="UOO134" s="3507"/>
      <c r="UOP134" s="3507"/>
      <c r="UOQ134" s="3507"/>
      <c r="UOR134" s="3507"/>
      <c r="UOS134" s="3507"/>
      <c r="UOT134" s="3507"/>
      <c r="UOU134" s="3507"/>
      <c r="UOV134" s="3507"/>
      <c r="UOW134" s="3507"/>
      <c r="UOX134" s="3507"/>
      <c r="UOY134" s="3507"/>
      <c r="UOZ134" s="3507"/>
      <c r="UPA134" s="3507"/>
      <c r="UPB134" s="3507"/>
      <c r="UPC134" s="3507"/>
      <c r="UPD134" s="3507"/>
      <c r="UPE134" s="3507"/>
      <c r="UPF134" s="3507"/>
      <c r="UPG134" s="3507"/>
      <c r="UPH134" s="3507"/>
      <c r="UPI134" s="3507"/>
      <c r="UPJ134" s="3507"/>
      <c r="UPK134" s="3507"/>
      <c r="UPL134" s="3507"/>
      <c r="UPM134" s="3507"/>
      <c r="UPN134" s="3507"/>
      <c r="UPO134" s="3507"/>
      <c r="UPP134" s="3507"/>
      <c r="UPQ134" s="3507"/>
      <c r="UPR134" s="3507"/>
      <c r="UPS134" s="3507"/>
      <c r="UPT134" s="3507"/>
      <c r="UPU134" s="3507"/>
      <c r="UPV134" s="3507"/>
      <c r="UPW134" s="3507"/>
      <c r="UPX134" s="3507"/>
      <c r="UPY134" s="3507"/>
      <c r="UPZ134" s="3507"/>
      <c r="UQA134" s="3507"/>
      <c r="UQB134" s="3507"/>
      <c r="UQC134" s="3507"/>
      <c r="UQD134" s="3507"/>
      <c r="UQE134" s="3507"/>
      <c r="UQF134" s="3507"/>
      <c r="UQG134" s="3507"/>
      <c r="UQH134" s="3507"/>
      <c r="UQI134" s="3507"/>
      <c r="UQJ134" s="3507"/>
      <c r="UQK134" s="3507"/>
      <c r="UQL134" s="3507"/>
      <c r="UQM134" s="3507"/>
      <c r="UQN134" s="3507"/>
      <c r="UQO134" s="3507"/>
      <c r="UQP134" s="3507"/>
      <c r="UQQ134" s="3507"/>
      <c r="UQR134" s="3507"/>
      <c r="UQS134" s="3507"/>
      <c r="UQT134" s="3507"/>
      <c r="UQU134" s="3507"/>
      <c r="UQV134" s="3507"/>
      <c r="UQW134" s="3507"/>
      <c r="UQX134" s="3507"/>
      <c r="UQY134" s="3507"/>
      <c r="UQZ134" s="3507"/>
      <c r="URA134" s="3507"/>
      <c r="URB134" s="3507"/>
      <c r="URC134" s="3507"/>
      <c r="URD134" s="3507"/>
      <c r="URE134" s="3507"/>
      <c r="URF134" s="3507"/>
      <c r="URG134" s="3507"/>
      <c r="URH134" s="3507"/>
      <c r="URI134" s="3507"/>
      <c r="URJ134" s="3507"/>
      <c r="URK134" s="3507"/>
      <c r="URL134" s="3507"/>
      <c r="URM134" s="3507"/>
      <c r="URN134" s="3507"/>
      <c r="URO134" s="3507"/>
      <c r="URP134" s="3507"/>
      <c r="URQ134" s="3507"/>
      <c r="URR134" s="3507"/>
      <c r="URS134" s="3507"/>
      <c r="URT134" s="3507"/>
      <c r="URU134" s="3507"/>
      <c r="URV134" s="3507"/>
      <c r="URW134" s="3507"/>
      <c r="URX134" s="3507"/>
      <c r="URY134" s="3507"/>
      <c r="URZ134" s="3507"/>
      <c r="USA134" s="3507"/>
      <c r="USB134" s="3507"/>
      <c r="USC134" s="3507"/>
      <c r="USD134" s="3507"/>
      <c r="USE134" s="3507"/>
      <c r="USF134" s="3507"/>
      <c r="USG134" s="3507"/>
      <c r="USH134" s="3507"/>
      <c r="USI134" s="3507"/>
      <c r="USJ134" s="3507"/>
      <c r="USK134" s="3507"/>
      <c r="USL134" s="3507"/>
      <c r="USM134" s="3507"/>
      <c r="USN134" s="3507"/>
      <c r="USO134" s="3507"/>
      <c r="USP134" s="3507"/>
      <c r="USQ134" s="3507"/>
      <c r="USR134" s="3507"/>
      <c r="USS134" s="3507"/>
      <c r="UST134" s="3507"/>
      <c r="USU134" s="3507"/>
      <c r="USV134" s="3507"/>
      <c r="USW134" s="3507"/>
      <c r="USX134" s="3507"/>
      <c r="USY134" s="3507"/>
      <c r="USZ134" s="3507"/>
      <c r="UTA134" s="3507"/>
      <c r="UTB134" s="3507"/>
      <c r="UTC134" s="3507"/>
      <c r="UTD134" s="3507"/>
      <c r="UTE134" s="3507"/>
      <c r="UTF134" s="3507"/>
      <c r="UTG134" s="3507"/>
      <c r="UTH134" s="3507"/>
      <c r="UTI134" s="3507"/>
      <c r="UTJ134" s="3507"/>
      <c r="UTK134" s="3507"/>
      <c r="UTL134" s="3507"/>
      <c r="UTM134" s="3507"/>
      <c r="UTN134" s="3507"/>
      <c r="UTO134" s="3507"/>
      <c r="UTP134" s="3507"/>
      <c r="UTQ134" s="3507"/>
      <c r="UTR134" s="3507"/>
      <c r="UTS134" s="3507"/>
      <c r="UTT134" s="3507"/>
      <c r="UTU134" s="3507"/>
      <c r="UTV134" s="3507"/>
      <c r="UTW134" s="3507"/>
      <c r="UTX134" s="3507"/>
      <c r="UTY134" s="3507"/>
      <c r="UTZ134" s="3507"/>
      <c r="UUA134" s="3507"/>
      <c r="UUB134" s="3507"/>
      <c r="UUC134" s="3507"/>
      <c r="UUD134" s="3507"/>
      <c r="UUE134" s="3507"/>
      <c r="UUF134" s="3507"/>
      <c r="UUG134" s="3507"/>
      <c r="UUH134" s="3507"/>
      <c r="UUI134" s="3507"/>
      <c r="UUJ134" s="3507"/>
      <c r="UUK134" s="3507"/>
      <c r="UUL134" s="3507"/>
      <c r="UUM134" s="3507"/>
      <c r="UUN134" s="3507"/>
      <c r="UUO134" s="3507"/>
      <c r="UUP134" s="3507"/>
      <c r="UUQ134" s="3507"/>
      <c r="UUR134" s="3507"/>
      <c r="UUS134" s="3507"/>
      <c r="UUT134" s="3507"/>
      <c r="UUU134" s="3507"/>
      <c r="UUV134" s="3507"/>
      <c r="UUW134" s="3507"/>
      <c r="UUX134" s="3507"/>
      <c r="UUY134" s="3507"/>
      <c r="UUZ134" s="3507"/>
      <c r="UVA134" s="3507"/>
      <c r="UVB134" s="3507"/>
      <c r="UVC134" s="3507"/>
      <c r="UVD134" s="3507"/>
      <c r="UVE134" s="3507"/>
      <c r="UVF134" s="3507"/>
      <c r="UVG134" s="3507"/>
      <c r="UVH134" s="3507"/>
      <c r="UVI134" s="3507"/>
      <c r="UVJ134" s="3507"/>
      <c r="UVK134" s="3507"/>
      <c r="UVL134" s="3507"/>
      <c r="UVM134" s="3507"/>
      <c r="UVN134" s="3507"/>
      <c r="UVO134" s="3507"/>
      <c r="UVP134" s="3507"/>
      <c r="UVQ134" s="3507"/>
      <c r="UVR134" s="3507"/>
      <c r="UVS134" s="3507"/>
      <c r="UVT134" s="3507"/>
      <c r="UVU134" s="3507"/>
      <c r="UVV134" s="3507"/>
      <c r="UVW134" s="3507"/>
      <c r="UVX134" s="3507"/>
      <c r="UVY134" s="3507"/>
      <c r="UVZ134" s="3507"/>
      <c r="UWA134" s="3507"/>
      <c r="UWB134" s="3507"/>
      <c r="UWC134" s="3507"/>
      <c r="UWD134" s="3507"/>
      <c r="UWE134" s="3507"/>
      <c r="UWF134" s="3507"/>
      <c r="UWG134" s="3507"/>
      <c r="UWH134" s="3507"/>
      <c r="UWI134" s="3507"/>
      <c r="UWJ134" s="3507"/>
      <c r="UWK134" s="3507"/>
      <c r="UWL134" s="3507"/>
      <c r="UWM134" s="3507"/>
      <c r="UWN134" s="3507"/>
      <c r="UWO134" s="3507"/>
      <c r="UWP134" s="3507"/>
      <c r="UWQ134" s="3507"/>
      <c r="UWR134" s="3507"/>
      <c r="UWS134" s="3507"/>
      <c r="UWT134" s="3507"/>
      <c r="UWU134" s="3507"/>
      <c r="UWV134" s="3507"/>
      <c r="UWW134" s="3507"/>
      <c r="UWX134" s="3507"/>
      <c r="UWY134" s="3507"/>
      <c r="UWZ134" s="3507"/>
      <c r="UXA134" s="3507"/>
      <c r="UXB134" s="3507"/>
      <c r="UXC134" s="3507"/>
      <c r="UXD134" s="3507"/>
      <c r="UXE134" s="3507"/>
      <c r="UXF134" s="3507"/>
      <c r="UXG134" s="3507"/>
      <c r="UXH134" s="3507"/>
      <c r="UXI134" s="3507"/>
      <c r="UXJ134" s="3507"/>
      <c r="UXK134" s="3507"/>
      <c r="UXL134" s="3507"/>
      <c r="UXM134" s="3507"/>
      <c r="UXN134" s="3507"/>
      <c r="UXO134" s="3507"/>
      <c r="UXP134" s="3507"/>
      <c r="UXQ134" s="3507"/>
      <c r="UXR134" s="3507"/>
      <c r="UXS134" s="3507"/>
      <c r="UXT134" s="3507"/>
      <c r="UXU134" s="3507"/>
      <c r="UXV134" s="3507"/>
      <c r="UXW134" s="3507"/>
      <c r="UXX134" s="3507"/>
      <c r="UXY134" s="3507"/>
      <c r="UXZ134" s="3507"/>
      <c r="UYA134" s="3507"/>
      <c r="UYB134" s="3507"/>
      <c r="UYC134" s="3507"/>
      <c r="UYD134" s="3507"/>
      <c r="UYE134" s="3507"/>
      <c r="UYF134" s="3507"/>
      <c r="UYG134" s="3507"/>
      <c r="UYH134" s="3507"/>
      <c r="UYI134" s="3507"/>
      <c r="UYJ134" s="3507"/>
      <c r="UYK134" s="3507"/>
      <c r="UYL134" s="3507"/>
      <c r="UYM134" s="3507"/>
      <c r="UYN134" s="3507"/>
      <c r="UYO134" s="3507"/>
      <c r="UYP134" s="3507"/>
      <c r="UYQ134" s="3507"/>
      <c r="UYR134" s="3507"/>
      <c r="UYS134" s="3507"/>
      <c r="UYT134" s="3507"/>
      <c r="UYU134" s="3507"/>
      <c r="UYV134" s="3507"/>
      <c r="UYW134" s="3507"/>
      <c r="UYX134" s="3507"/>
      <c r="UYY134" s="3507"/>
      <c r="UYZ134" s="3507"/>
      <c r="UZA134" s="3507"/>
      <c r="UZB134" s="3507"/>
      <c r="UZC134" s="3507"/>
      <c r="UZD134" s="3507"/>
      <c r="UZE134" s="3507"/>
      <c r="UZF134" s="3507"/>
      <c r="UZG134" s="3507"/>
      <c r="UZH134" s="3507"/>
      <c r="UZI134" s="3507"/>
      <c r="UZJ134" s="3507"/>
      <c r="UZK134" s="3507"/>
      <c r="UZL134" s="3507"/>
      <c r="UZM134" s="3507"/>
      <c r="UZN134" s="3507"/>
      <c r="UZO134" s="3507"/>
      <c r="UZP134" s="3507"/>
      <c r="UZQ134" s="3507"/>
      <c r="UZR134" s="3507"/>
      <c r="UZS134" s="3507"/>
      <c r="UZT134" s="3507"/>
      <c r="UZU134" s="3507"/>
      <c r="UZV134" s="3507"/>
      <c r="UZW134" s="3507"/>
      <c r="UZX134" s="3507"/>
      <c r="UZY134" s="3507"/>
      <c r="UZZ134" s="3507"/>
      <c r="VAA134" s="3507"/>
      <c r="VAB134" s="3507"/>
      <c r="VAC134" s="3507"/>
      <c r="VAD134" s="3507"/>
      <c r="VAE134" s="3507"/>
      <c r="VAF134" s="3507"/>
      <c r="VAG134" s="3507"/>
      <c r="VAH134" s="3507"/>
      <c r="VAI134" s="3507"/>
      <c r="VAJ134" s="3507"/>
      <c r="VAK134" s="3507"/>
      <c r="VAL134" s="3507"/>
      <c r="VAM134" s="3507"/>
      <c r="VAN134" s="3507"/>
      <c r="VAO134" s="3507"/>
      <c r="VAP134" s="3507"/>
      <c r="VAQ134" s="3507"/>
      <c r="VAR134" s="3507"/>
      <c r="VAS134" s="3507"/>
      <c r="VAT134" s="3507"/>
      <c r="VAU134" s="3507"/>
      <c r="VAV134" s="3507"/>
      <c r="VAW134" s="3507"/>
      <c r="VAX134" s="3507"/>
      <c r="VAY134" s="3507"/>
      <c r="VAZ134" s="3507"/>
      <c r="VBA134" s="3507"/>
      <c r="VBB134" s="3507"/>
      <c r="VBC134" s="3507"/>
      <c r="VBD134" s="3507"/>
      <c r="VBE134" s="3507"/>
      <c r="VBF134" s="3507"/>
      <c r="VBG134" s="3507"/>
      <c r="VBH134" s="3507"/>
      <c r="VBI134" s="3507"/>
      <c r="VBJ134" s="3507"/>
      <c r="VBK134" s="3507"/>
      <c r="VBL134" s="3507"/>
      <c r="VBM134" s="3507"/>
      <c r="VBN134" s="3507"/>
      <c r="VBO134" s="3507"/>
      <c r="VBP134" s="3507"/>
      <c r="VBQ134" s="3507"/>
      <c r="VBR134" s="3507"/>
      <c r="VBS134" s="3507"/>
      <c r="VBT134" s="3507"/>
      <c r="VBU134" s="3507"/>
      <c r="VBV134" s="3507"/>
      <c r="VBW134" s="3507"/>
      <c r="VBX134" s="3507"/>
      <c r="VBY134" s="3507"/>
      <c r="VBZ134" s="3507"/>
      <c r="VCA134" s="3507"/>
      <c r="VCB134" s="3507"/>
      <c r="VCC134" s="3507"/>
      <c r="VCD134" s="3507"/>
      <c r="VCE134" s="3507"/>
      <c r="VCF134" s="3507"/>
      <c r="VCG134" s="3507"/>
      <c r="VCH134" s="3507"/>
      <c r="VCI134" s="3507"/>
      <c r="VCJ134" s="3507"/>
      <c r="VCK134" s="3507"/>
      <c r="VCL134" s="3507"/>
      <c r="VCM134" s="3507"/>
      <c r="VCN134" s="3507"/>
      <c r="VCO134" s="3507"/>
      <c r="VCP134" s="3507"/>
      <c r="VCQ134" s="3507"/>
      <c r="VCR134" s="3507"/>
      <c r="VCS134" s="3507"/>
      <c r="VCT134" s="3507"/>
      <c r="VCU134" s="3507"/>
      <c r="VCV134" s="3507"/>
      <c r="VCW134" s="3507"/>
      <c r="VCX134" s="3507"/>
      <c r="VCY134" s="3507"/>
      <c r="VCZ134" s="3507"/>
      <c r="VDA134" s="3507"/>
      <c r="VDB134" s="3507"/>
      <c r="VDC134" s="3507"/>
      <c r="VDD134" s="3507"/>
      <c r="VDE134" s="3507"/>
      <c r="VDF134" s="3507"/>
      <c r="VDG134" s="3507"/>
      <c r="VDH134" s="3507"/>
      <c r="VDI134" s="3507"/>
      <c r="VDJ134" s="3507"/>
      <c r="VDK134" s="3507"/>
      <c r="VDL134" s="3507"/>
      <c r="VDM134" s="3507"/>
      <c r="VDN134" s="3507"/>
      <c r="VDO134" s="3507"/>
      <c r="VDP134" s="3507"/>
      <c r="VDQ134" s="3507"/>
      <c r="VDR134" s="3507"/>
      <c r="VDS134" s="3507"/>
      <c r="VDT134" s="3507"/>
      <c r="VDU134" s="3507"/>
      <c r="VDV134" s="3507"/>
      <c r="VDW134" s="3507"/>
      <c r="VDX134" s="3507"/>
      <c r="VDY134" s="3507"/>
      <c r="VDZ134" s="3507"/>
      <c r="VEA134" s="3507"/>
      <c r="VEB134" s="3507"/>
      <c r="VEC134" s="3507"/>
      <c r="VED134" s="3507"/>
      <c r="VEE134" s="3507"/>
      <c r="VEF134" s="3507"/>
      <c r="VEG134" s="3507"/>
      <c r="VEH134" s="3507"/>
      <c r="VEI134" s="3507"/>
      <c r="VEJ134" s="3507"/>
      <c r="VEK134" s="3507"/>
      <c r="VEL134" s="3507"/>
      <c r="VEM134" s="3507"/>
      <c r="VEN134" s="3507"/>
      <c r="VEO134" s="3507"/>
      <c r="VEP134" s="3507"/>
      <c r="VEQ134" s="3507"/>
      <c r="VER134" s="3507"/>
      <c r="VES134" s="3507"/>
      <c r="VET134" s="3507"/>
      <c r="VEU134" s="3507"/>
      <c r="VEV134" s="3507"/>
      <c r="VEW134" s="3507"/>
      <c r="VEX134" s="3507"/>
      <c r="VEY134" s="3507"/>
      <c r="VEZ134" s="3507"/>
      <c r="VFA134" s="3507"/>
      <c r="VFB134" s="3507"/>
      <c r="VFC134" s="3507"/>
      <c r="VFD134" s="3507"/>
      <c r="VFE134" s="3507"/>
      <c r="VFF134" s="3507"/>
      <c r="VFG134" s="3507"/>
      <c r="VFH134" s="3507"/>
      <c r="VFI134" s="3507"/>
      <c r="VFJ134" s="3507"/>
      <c r="VFK134" s="3507"/>
      <c r="VFL134" s="3507"/>
      <c r="VFM134" s="3507"/>
      <c r="VFN134" s="3507"/>
      <c r="VFO134" s="3507"/>
      <c r="VFP134" s="3507"/>
      <c r="VFQ134" s="3507"/>
      <c r="VFR134" s="3507"/>
      <c r="VFS134" s="3507"/>
      <c r="VFT134" s="3507"/>
      <c r="VFU134" s="3507"/>
      <c r="VFV134" s="3507"/>
      <c r="VFW134" s="3507"/>
      <c r="VFX134" s="3507"/>
      <c r="VFY134" s="3507"/>
      <c r="VFZ134" s="3507"/>
      <c r="VGA134" s="3507"/>
      <c r="VGB134" s="3507"/>
      <c r="VGC134" s="3507"/>
      <c r="VGD134" s="3507"/>
      <c r="VGE134" s="3507"/>
      <c r="VGF134" s="3507"/>
      <c r="VGG134" s="3507"/>
      <c r="VGH134" s="3507"/>
      <c r="VGI134" s="3507"/>
      <c r="VGJ134" s="3507"/>
      <c r="VGK134" s="3507"/>
      <c r="VGL134" s="3507"/>
      <c r="VGM134" s="3507"/>
      <c r="VGN134" s="3507"/>
      <c r="VGO134" s="3507"/>
      <c r="VGP134" s="3507"/>
      <c r="VGQ134" s="3507"/>
      <c r="VGR134" s="3507"/>
      <c r="VGS134" s="3507"/>
      <c r="VGT134" s="3507"/>
      <c r="VGU134" s="3507"/>
      <c r="VGV134" s="3507"/>
      <c r="VGW134" s="3507"/>
      <c r="VGX134" s="3507"/>
      <c r="VGY134" s="3507"/>
      <c r="VGZ134" s="3507"/>
      <c r="VHA134" s="3507"/>
      <c r="VHB134" s="3507"/>
      <c r="VHC134" s="3507"/>
      <c r="VHD134" s="3507"/>
      <c r="VHE134" s="3507"/>
      <c r="VHF134" s="3507"/>
      <c r="VHG134" s="3507"/>
      <c r="VHH134" s="3507"/>
      <c r="VHI134" s="3507"/>
      <c r="VHJ134" s="3507"/>
      <c r="VHK134" s="3507"/>
      <c r="VHL134" s="3507"/>
      <c r="VHM134" s="3507"/>
      <c r="VHN134" s="3507"/>
      <c r="VHO134" s="3507"/>
      <c r="VHP134" s="3507"/>
      <c r="VHQ134" s="3507"/>
      <c r="VHR134" s="3507"/>
      <c r="VHS134" s="3507"/>
      <c r="VHT134" s="3507"/>
      <c r="VHU134" s="3507"/>
      <c r="VHV134" s="3507"/>
      <c r="VHW134" s="3507"/>
      <c r="VHX134" s="3507"/>
      <c r="VHY134" s="3507"/>
      <c r="VHZ134" s="3507"/>
      <c r="VIA134" s="3507"/>
      <c r="VIB134" s="3507"/>
      <c r="VIC134" s="3507"/>
      <c r="VID134" s="3507"/>
      <c r="VIE134" s="3507"/>
      <c r="VIF134" s="3507"/>
      <c r="VIG134" s="3507"/>
      <c r="VIH134" s="3507"/>
      <c r="VII134" s="3507"/>
      <c r="VIJ134" s="3507"/>
      <c r="VIK134" s="3507"/>
      <c r="VIL134" s="3507"/>
      <c r="VIM134" s="3507"/>
      <c r="VIN134" s="3507"/>
      <c r="VIO134" s="3507"/>
      <c r="VIP134" s="3507"/>
      <c r="VIQ134" s="3507"/>
      <c r="VIR134" s="3507"/>
      <c r="VIS134" s="3507"/>
      <c r="VIT134" s="3507"/>
      <c r="VIU134" s="3507"/>
      <c r="VIV134" s="3507"/>
      <c r="VIW134" s="3507"/>
      <c r="VIX134" s="3507"/>
      <c r="VIY134" s="3507"/>
      <c r="VIZ134" s="3507"/>
      <c r="VJA134" s="3507"/>
      <c r="VJB134" s="3507"/>
      <c r="VJC134" s="3507"/>
      <c r="VJD134" s="3507"/>
      <c r="VJE134" s="3507"/>
      <c r="VJF134" s="3507"/>
      <c r="VJG134" s="3507"/>
      <c r="VJH134" s="3507"/>
      <c r="VJI134" s="3507"/>
      <c r="VJJ134" s="3507"/>
      <c r="VJK134" s="3507"/>
      <c r="VJL134" s="3507"/>
      <c r="VJM134" s="3507"/>
      <c r="VJN134" s="3507"/>
      <c r="VJO134" s="3507"/>
      <c r="VJP134" s="3507"/>
      <c r="VJQ134" s="3507"/>
      <c r="VJR134" s="3507"/>
      <c r="VJS134" s="3507"/>
      <c r="VJT134" s="3507"/>
      <c r="VJU134" s="3507"/>
      <c r="VJV134" s="3507"/>
      <c r="VJW134" s="3507"/>
      <c r="VJX134" s="3507"/>
      <c r="VJY134" s="3507"/>
      <c r="VJZ134" s="3507"/>
      <c r="VKA134" s="3507"/>
      <c r="VKB134" s="3507"/>
      <c r="VKC134" s="3507"/>
      <c r="VKD134" s="3507"/>
      <c r="VKE134" s="3507"/>
      <c r="VKF134" s="3507"/>
      <c r="VKG134" s="3507"/>
      <c r="VKH134" s="3507"/>
      <c r="VKI134" s="3507"/>
      <c r="VKJ134" s="3507"/>
      <c r="VKK134" s="3507"/>
      <c r="VKL134" s="3507"/>
      <c r="VKM134" s="3507"/>
      <c r="VKN134" s="3507"/>
      <c r="VKO134" s="3507"/>
      <c r="VKP134" s="3507"/>
      <c r="VKQ134" s="3507"/>
      <c r="VKR134" s="3507"/>
      <c r="VKS134" s="3507"/>
      <c r="VKT134" s="3507"/>
      <c r="VKU134" s="3507"/>
      <c r="VKV134" s="3507"/>
      <c r="VKW134" s="3507"/>
      <c r="VKX134" s="3507"/>
      <c r="VKY134" s="3507"/>
      <c r="VKZ134" s="3507"/>
      <c r="VLA134" s="3507"/>
      <c r="VLB134" s="3507"/>
      <c r="VLC134" s="3507"/>
      <c r="VLD134" s="3507"/>
      <c r="VLE134" s="3507"/>
      <c r="VLF134" s="3507"/>
      <c r="VLG134" s="3507"/>
      <c r="VLH134" s="3507"/>
      <c r="VLI134" s="3507"/>
      <c r="VLJ134" s="3507"/>
      <c r="VLK134" s="3507"/>
      <c r="VLL134" s="3507"/>
      <c r="VLM134" s="3507"/>
      <c r="VLN134" s="3507"/>
      <c r="VLO134" s="3507"/>
      <c r="VLP134" s="3507"/>
      <c r="VLQ134" s="3507"/>
      <c r="VLR134" s="3507"/>
      <c r="VLS134" s="3507"/>
      <c r="VLT134" s="3507"/>
      <c r="VLU134" s="3507"/>
      <c r="VLV134" s="3507"/>
      <c r="VLW134" s="3507"/>
      <c r="VLX134" s="3507"/>
      <c r="VLY134" s="3507"/>
      <c r="VLZ134" s="3507"/>
      <c r="VMA134" s="3507"/>
      <c r="VMB134" s="3507"/>
      <c r="VMC134" s="3507"/>
      <c r="VMD134" s="3507"/>
      <c r="VME134" s="3507"/>
      <c r="VMF134" s="3507"/>
      <c r="VMG134" s="3507"/>
      <c r="VMH134" s="3507"/>
      <c r="VMI134" s="3507"/>
      <c r="VMJ134" s="3507"/>
      <c r="VMK134" s="3507"/>
      <c r="VML134" s="3507"/>
      <c r="VMM134" s="3507"/>
      <c r="VMN134" s="3507"/>
      <c r="VMO134" s="3507"/>
      <c r="VMP134" s="3507"/>
      <c r="VMQ134" s="3507"/>
      <c r="VMR134" s="3507"/>
      <c r="VMS134" s="3507"/>
      <c r="VMT134" s="3507"/>
      <c r="VMU134" s="3507"/>
      <c r="VMV134" s="3507"/>
      <c r="VMW134" s="3507"/>
      <c r="VMX134" s="3507"/>
      <c r="VMY134" s="3507"/>
      <c r="VMZ134" s="3507"/>
      <c r="VNA134" s="3507"/>
      <c r="VNB134" s="3507"/>
      <c r="VNC134" s="3507"/>
      <c r="VND134" s="3507"/>
      <c r="VNE134" s="3507"/>
      <c r="VNF134" s="3507"/>
      <c r="VNG134" s="3507"/>
      <c r="VNH134" s="3507"/>
      <c r="VNI134" s="3507"/>
      <c r="VNJ134" s="3507"/>
      <c r="VNK134" s="3507"/>
      <c r="VNL134" s="3507"/>
      <c r="VNM134" s="3507"/>
      <c r="VNN134" s="3507"/>
      <c r="VNO134" s="3507"/>
      <c r="VNP134" s="3507"/>
      <c r="VNQ134" s="3507"/>
      <c r="VNR134" s="3507"/>
      <c r="VNS134" s="3507"/>
      <c r="VNT134" s="3507"/>
      <c r="VNU134" s="3507"/>
      <c r="VNV134" s="3507"/>
      <c r="VNW134" s="3507"/>
      <c r="VNX134" s="3507"/>
      <c r="VNY134" s="3507"/>
      <c r="VNZ134" s="3507"/>
      <c r="VOA134" s="3507"/>
      <c r="VOB134" s="3507"/>
      <c r="VOC134" s="3507"/>
      <c r="VOD134" s="3507"/>
      <c r="VOE134" s="3507"/>
      <c r="VOF134" s="3507"/>
      <c r="VOG134" s="3507"/>
      <c r="VOH134" s="3507"/>
      <c r="VOI134" s="3507"/>
      <c r="VOJ134" s="3507"/>
      <c r="VOK134" s="3507"/>
      <c r="VOL134" s="3507"/>
      <c r="VOM134" s="3507"/>
      <c r="VON134" s="3507"/>
      <c r="VOO134" s="3507"/>
      <c r="VOP134" s="3507"/>
      <c r="VOQ134" s="3507"/>
      <c r="VOR134" s="3507"/>
      <c r="VOS134" s="3507"/>
      <c r="VOT134" s="3507"/>
      <c r="VOU134" s="3507"/>
      <c r="VOV134" s="3507"/>
      <c r="VOW134" s="3507"/>
      <c r="VOX134" s="3507"/>
      <c r="VOY134" s="3507"/>
      <c r="VOZ134" s="3507"/>
      <c r="VPA134" s="3507"/>
      <c r="VPB134" s="3507"/>
      <c r="VPC134" s="3507"/>
      <c r="VPD134" s="3507"/>
      <c r="VPE134" s="3507"/>
      <c r="VPF134" s="3507"/>
      <c r="VPG134" s="3507"/>
      <c r="VPH134" s="3507"/>
      <c r="VPI134" s="3507"/>
      <c r="VPJ134" s="3507"/>
      <c r="VPK134" s="3507"/>
      <c r="VPL134" s="3507"/>
      <c r="VPM134" s="3507"/>
      <c r="VPN134" s="3507"/>
      <c r="VPO134" s="3507"/>
      <c r="VPP134" s="3507"/>
      <c r="VPQ134" s="3507"/>
      <c r="VPR134" s="3507"/>
      <c r="VPS134" s="3507"/>
      <c r="VPT134" s="3507"/>
      <c r="VPU134" s="3507"/>
      <c r="VPV134" s="3507"/>
      <c r="VPW134" s="3507"/>
      <c r="VPX134" s="3507"/>
      <c r="VPY134" s="3507"/>
      <c r="VPZ134" s="3507"/>
      <c r="VQA134" s="3507"/>
      <c r="VQB134" s="3507"/>
      <c r="VQC134" s="3507"/>
      <c r="VQD134" s="3507"/>
      <c r="VQE134" s="3507"/>
      <c r="VQF134" s="3507"/>
      <c r="VQG134" s="3507"/>
      <c r="VQH134" s="3507"/>
      <c r="VQI134" s="3507"/>
      <c r="VQJ134" s="3507"/>
      <c r="VQK134" s="3507"/>
      <c r="VQL134" s="3507"/>
      <c r="VQM134" s="3507"/>
      <c r="VQN134" s="3507"/>
      <c r="VQO134" s="3507"/>
      <c r="VQP134" s="3507"/>
      <c r="VQQ134" s="3507"/>
      <c r="VQR134" s="3507"/>
      <c r="VQS134" s="3507"/>
      <c r="VQT134" s="3507"/>
      <c r="VQU134" s="3507"/>
      <c r="VQV134" s="3507"/>
      <c r="VQW134" s="3507"/>
      <c r="VQX134" s="3507"/>
      <c r="VQY134" s="3507"/>
      <c r="VQZ134" s="3507"/>
      <c r="VRA134" s="3507"/>
      <c r="VRB134" s="3507"/>
      <c r="VRC134" s="3507"/>
      <c r="VRD134" s="3507"/>
      <c r="VRE134" s="3507"/>
      <c r="VRF134" s="3507"/>
      <c r="VRG134" s="3507"/>
      <c r="VRH134" s="3507"/>
      <c r="VRI134" s="3507"/>
      <c r="VRJ134" s="3507"/>
      <c r="VRK134" s="3507"/>
      <c r="VRL134" s="3507"/>
      <c r="VRM134" s="3507"/>
      <c r="VRN134" s="3507"/>
      <c r="VRO134" s="3507"/>
      <c r="VRP134" s="3507"/>
      <c r="VRQ134" s="3507"/>
      <c r="VRR134" s="3507"/>
      <c r="VRS134" s="3507"/>
      <c r="VRT134" s="3507"/>
      <c r="VRU134" s="3507"/>
      <c r="VRV134" s="3507"/>
      <c r="VRW134" s="3507"/>
      <c r="VRX134" s="3507"/>
      <c r="VRY134" s="3507"/>
      <c r="VRZ134" s="3507"/>
      <c r="VSA134" s="3507"/>
      <c r="VSB134" s="3507"/>
      <c r="VSC134" s="3507"/>
      <c r="VSD134" s="3507"/>
      <c r="VSE134" s="3507"/>
      <c r="VSF134" s="3507"/>
      <c r="VSG134" s="3507"/>
      <c r="VSH134" s="3507"/>
      <c r="VSI134" s="3507"/>
      <c r="VSJ134" s="3507"/>
      <c r="VSK134" s="3507"/>
      <c r="VSL134" s="3507"/>
      <c r="VSM134" s="3507"/>
      <c r="VSN134" s="3507"/>
      <c r="VSO134" s="3507"/>
      <c r="VSP134" s="3507"/>
      <c r="VSQ134" s="3507"/>
      <c r="VSR134" s="3507"/>
      <c r="VSS134" s="3507"/>
      <c r="VST134" s="3507"/>
      <c r="VSU134" s="3507"/>
      <c r="VSV134" s="3507"/>
      <c r="VSW134" s="3507"/>
      <c r="VSX134" s="3507"/>
      <c r="VSY134" s="3507"/>
      <c r="VSZ134" s="3507"/>
      <c r="VTA134" s="3507"/>
      <c r="VTB134" s="3507"/>
      <c r="VTC134" s="3507"/>
      <c r="VTD134" s="3507"/>
      <c r="VTE134" s="3507"/>
      <c r="VTF134" s="3507"/>
      <c r="VTG134" s="3507"/>
      <c r="VTH134" s="3507"/>
      <c r="VTI134" s="3507"/>
      <c r="VTJ134" s="3507"/>
      <c r="VTK134" s="3507"/>
      <c r="VTL134" s="3507"/>
      <c r="VTM134" s="3507"/>
      <c r="VTN134" s="3507"/>
      <c r="VTO134" s="3507"/>
      <c r="VTP134" s="3507"/>
      <c r="VTQ134" s="3507"/>
      <c r="VTR134" s="3507"/>
      <c r="VTS134" s="3507"/>
      <c r="VTT134" s="3507"/>
      <c r="VTU134" s="3507"/>
      <c r="VTV134" s="3507"/>
      <c r="VTW134" s="3507"/>
      <c r="VTX134" s="3507"/>
      <c r="VTY134" s="3507"/>
      <c r="VTZ134" s="3507"/>
      <c r="VUA134" s="3507"/>
      <c r="VUB134" s="3507"/>
      <c r="VUC134" s="3507"/>
      <c r="VUD134" s="3507"/>
      <c r="VUE134" s="3507"/>
      <c r="VUF134" s="3507"/>
      <c r="VUG134" s="3507"/>
      <c r="VUH134" s="3507"/>
      <c r="VUI134" s="3507"/>
      <c r="VUJ134" s="3507"/>
      <c r="VUK134" s="3507"/>
      <c r="VUL134" s="3507"/>
      <c r="VUM134" s="3507"/>
      <c r="VUN134" s="3507"/>
      <c r="VUO134" s="3507"/>
      <c r="VUP134" s="3507"/>
      <c r="VUQ134" s="3507"/>
      <c r="VUR134" s="3507"/>
      <c r="VUS134" s="3507"/>
      <c r="VUT134" s="3507"/>
      <c r="VUU134" s="3507"/>
      <c r="VUV134" s="3507"/>
      <c r="VUW134" s="3507"/>
      <c r="VUX134" s="3507"/>
      <c r="VUY134" s="3507"/>
      <c r="VUZ134" s="3507"/>
      <c r="VVA134" s="3507"/>
      <c r="VVB134" s="3507"/>
      <c r="VVC134" s="3507"/>
      <c r="VVD134" s="3507"/>
      <c r="VVE134" s="3507"/>
      <c r="VVF134" s="3507"/>
      <c r="VVG134" s="3507"/>
      <c r="VVH134" s="3507"/>
      <c r="VVI134" s="3507"/>
      <c r="VVJ134" s="3507"/>
      <c r="VVK134" s="3507"/>
      <c r="VVL134" s="3507"/>
      <c r="VVM134" s="3507"/>
      <c r="VVN134" s="3507"/>
      <c r="VVO134" s="3507"/>
      <c r="VVP134" s="3507"/>
      <c r="VVQ134" s="3507"/>
      <c r="VVR134" s="3507"/>
      <c r="VVS134" s="3507"/>
      <c r="VVT134" s="3507"/>
      <c r="VVU134" s="3507"/>
      <c r="VVV134" s="3507"/>
      <c r="VVW134" s="3507"/>
      <c r="VVX134" s="3507"/>
      <c r="VVY134" s="3507"/>
      <c r="VVZ134" s="3507"/>
      <c r="VWA134" s="3507"/>
      <c r="VWB134" s="3507"/>
      <c r="VWC134" s="3507"/>
      <c r="VWD134" s="3507"/>
      <c r="VWE134" s="3507"/>
      <c r="VWF134" s="3507"/>
      <c r="VWG134" s="3507"/>
      <c r="VWH134" s="3507"/>
      <c r="VWI134" s="3507"/>
      <c r="VWJ134" s="3507"/>
      <c r="VWK134" s="3507"/>
      <c r="VWL134" s="3507"/>
      <c r="VWM134" s="3507"/>
      <c r="VWN134" s="3507"/>
      <c r="VWO134" s="3507"/>
      <c r="VWP134" s="3507"/>
      <c r="VWQ134" s="3507"/>
      <c r="VWR134" s="3507"/>
      <c r="VWS134" s="3507"/>
      <c r="VWT134" s="3507"/>
      <c r="VWU134" s="3507"/>
      <c r="VWV134" s="3507"/>
      <c r="VWW134" s="3507"/>
      <c r="VWX134" s="3507"/>
      <c r="VWY134" s="3507"/>
      <c r="VWZ134" s="3507"/>
      <c r="VXA134" s="3507"/>
      <c r="VXB134" s="3507"/>
      <c r="VXC134" s="3507"/>
      <c r="VXD134" s="3507"/>
      <c r="VXE134" s="3507"/>
      <c r="VXF134" s="3507"/>
      <c r="VXG134" s="3507"/>
      <c r="VXH134" s="3507"/>
      <c r="VXI134" s="3507"/>
      <c r="VXJ134" s="3507"/>
      <c r="VXK134" s="3507"/>
      <c r="VXL134" s="3507"/>
      <c r="VXM134" s="3507"/>
      <c r="VXN134" s="3507"/>
      <c r="VXO134" s="3507"/>
      <c r="VXP134" s="3507"/>
      <c r="VXQ134" s="3507"/>
      <c r="VXR134" s="3507"/>
      <c r="VXS134" s="3507"/>
      <c r="VXT134" s="3507"/>
      <c r="VXU134" s="3507"/>
      <c r="VXV134" s="3507"/>
      <c r="VXW134" s="3507"/>
      <c r="VXX134" s="3507"/>
      <c r="VXY134" s="3507"/>
      <c r="VXZ134" s="3507"/>
      <c r="VYA134" s="3507"/>
      <c r="VYB134" s="3507"/>
      <c r="VYC134" s="3507"/>
      <c r="VYD134" s="3507"/>
      <c r="VYE134" s="3507"/>
      <c r="VYF134" s="3507"/>
      <c r="VYG134" s="3507"/>
      <c r="VYH134" s="3507"/>
      <c r="VYI134" s="3507"/>
      <c r="VYJ134" s="3507"/>
      <c r="VYK134" s="3507"/>
      <c r="VYL134" s="3507"/>
      <c r="VYM134" s="3507"/>
      <c r="VYN134" s="3507"/>
      <c r="VYO134" s="3507"/>
      <c r="VYP134" s="3507"/>
      <c r="VYQ134" s="3507"/>
      <c r="VYR134" s="3507"/>
      <c r="VYS134" s="3507"/>
      <c r="VYT134" s="3507"/>
      <c r="VYU134" s="3507"/>
      <c r="VYV134" s="3507"/>
      <c r="VYW134" s="3507"/>
      <c r="VYX134" s="3507"/>
      <c r="VYY134" s="3507"/>
      <c r="VYZ134" s="3507"/>
      <c r="VZA134" s="3507"/>
      <c r="VZB134" s="3507"/>
      <c r="VZC134" s="3507"/>
      <c r="VZD134" s="3507"/>
      <c r="VZE134" s="3507"/>
      <c r="VZF134" s="3507"/>
      <c r="VZG134" s="3507"/>
      <c r="VZH134" s="3507"/>
      <c r="VZI134" s="3507"/>
      <c r="VZJ134" s="3507"/>
      <c r="VZK134" s="3507"/>
      <c r="VZL134" s="3507"/>
      <c r="VZM134" s="3507"/>
      <c r="VZN134" s="3507"/>
      <c r="VZO134" s="3507"/>
      <c r="VZP134" s="3507"/>
      <c r="VZQ134" s="3507"/>
      <c r="VZR134" s="3507"/>
      <c r="VZS134" s="3507"/>
      <c r="VZT134" s="3507"/>
      <c r="VZU134" s="3507"/>
      <c r="VZV134" s="3507"/>
      <c r="VZW134" s="3507"/>
      <c r="VZX134" s="3507"/>
      <c r="VZY134" s="3507"/>
      <c r="VZZ134" s="3507"/>
      <c r="WAA134" s="3507"/>
      <c r="WAB134" s="3507"/>
      <c r="WAC134" s="3507"/>
      <c r="WAD134" s="3507"/>
      <c r="WAE134" s="3507"/>
      <c r="WAF134" s="3507"/>
      <c r="WAG134" s="3507"/>
      <c r="WAH134" s="3507"/>
      <c r="WAI134" s="3507"/>
      <c r="WAJ134" s="3507"/>
      <c r="WAK134" s="3507"/>
      <c r="WAL134" s="3507"/>
      <c r="WAM134" s="3507"/>
      <c r="WAN134" s="3507"/>
      <c r="WAO134" s="3507"/>
      <c r="WAP134" s="3507"/>
      <c r="WAQ134" s="3507"/>
      <c r="WAR134" s="3507"/>
      <c r="WAS134" s="3507"/>
      <c r="WAT134" s="3507"/>
      <c r="WAU134" s="3507"/>
      <c r="WAV134" s="3507"/>
      <c r="WAW134" s="3507"/>
      <c r="WAX134" s="3507"/>
      <c r="WAY134" s="3507"/>
      <c r="WAZ134" s="3507"/>
      <c r="WBA134" s="3507"/>
      <c r="WBB134" s="3507"/>
      <c r="WBC134" s="3507"/>
      <c r="WBD134" s="3507"/>
      <c r="WBE134" s="3507"/>
      <c r="WBF134" s="3507"/>
      <c r="WBG134" s="3507"/>
      <c r="WBH134" s="3507"/>
      <c r="WBI134" s="3507"/>
      <c r="WBJ134" s="3507"/>
      <c r="WBK134" s="3507"/>
      <c r="WBL134" s="3507"/>
      <c r="WBM134" s="3507"/>
      <c r="WBN134" s="3507"/>
      <c r="WBO134" s="3507"/>
      <c r="WBP134" s="3507"/>
      <c r="WBQ134" s="3507"/>
      <c r="WBR134" s="3507"/>
      <c r="WBS134" s="3507"/>
      <c r="WBT134" s="3507"/>
      <c r="WBU134" s="3507"/>
      <c r="WBV134" s="3507"/>
      <c r="WBW134" s="3507"/>
      <c r="WBX134" s="3507"/>
      <c r="WBY134" s="3507"/>
      <c r="WBZ134" s="3507"/>
      <c r="WCA134" s="3507"/>
      <c r="WCB134" s="3507"/>
      <c r="WCC134" s="3507"/>
      <c r="WCD134" s="3507"/>
      <c r="WCE134" s="3507"/>
      <c r="WCF134" s="3507"/>
      <c r="WCG134" s="3507"/>
      <c r="WCH134" s="3507"/>
      <c r="WCI134" s="3507"/>
      <c r="WCJ134" s="3507"/>
      <c r="WCK134" s="3507"/>
      <c r="WCL134" s="3507"/>
      <c r="WCM134" s="3507"/>
      <c r="WCN134" s="3507"/>
      <c r="WCO134" s="3507"/>
      <c r="WCP134" s="3507"/>
      <c r="WCQ134" s="3507"/>
      <c r="WCR134" s="3507"/>
      <c r="WCS134" s="3507"/>
      <c r="WCT134" s="3507"/>
      <c r="WCU134" s="3507"/>
      <c r="WCV134" s="3507"/>
      <c r="WCW134" s="3507"/>
      <c r="WCX134" s="3507"/>
      <c r="WCY134" s="3507"/>
      <c r="WCZ134" s="3507"/>
      <c r="WDA134" s="3507"/>
      <c r="WDB134" s="3507"/>
      <c r="WDC134" s="3507"/>
      <c r="WDD134" s="3507"/>
      <c r="WDE134" s="3507"/>
      <c r="WDF134" s="3507"/>
      <c r="WDG134" s="3507"/>
      <c r="WDH134" s="3507"/>
      <c r="WDI134" s="3507"/>
      <c r="WDJ134" s="3507"/>
      <c r="WDK134" s="3507"/>
      <c r="WDL134" s="3507"/>
      <c r="WDM134" s="3507"/>
      <c r="WDN134" s="3507"/>
      <c r="WDO134" s="3507"/>
      <c r="WDP134" s="3507"/>
      <c r="WDQ134" s="3507"/>
      <c r="WDR134" s="3507"/>
      <c r="WDS134" s="3507"/>
      <c r="WDT134" s="3507"/>
      <c r="WDU134" s="3507"/>
      <c r="WDV134" s="3507"/>
      <c r="WDW134" s="3507"/>
      <c r="WDX134" s="3507"/>
      <c r="WDY134" s="3507"/>
      <c r="WDZ134" s="3507"/>
      <c r="WEA134" s="3507"/>
      <c r="WEB134" s="3507"/>
      <c r="WEC134" s="3507"/>
      <c r="WED134" s="3507"/>
      <c r="WEE134" s="3507"/>
      <c r="WEF134" s="3507"/>
      <c r="WEG134" s="3507"/>
      <c r="WEH134" s="3507"/>
      <c r="WEI134" s="3507"/>
      <c r="WEJ134" s="3507"/>
      <c r="WEK134" s="3507"/>
      <c r="WEL134" s="3507"/>
      <c r="WEM134" s="3507"/>
      <c r="WEN134" s="3507"/>
      <c r="WEO134" s="3507"/>
      <c r="WEP134" s="3507"/>
      <c r="WEQ134" s="3507"/>
      <c r="WER134" s="3507"/>
      <c r="WES134" s="3507"/>
      <c r="WET134" s="3507"/>
      <c r="WEU134" s="3507"/>
      <c r="WEV134" s="3507"/>
      <c r="WEW134" s="3507"/>
      <c r="WEX134" s="3507"/>
      <c r="WEY134" s="3507"/>
      <c r="WEZ134" s="3507"/>
      <c r="WFA134" s="3507"/>
      <c r="WFB134" s="3507"/>
      <c r="WFC134" s="3507"/>
      <c r="WFD134" s="3507"/>
      <c r="WFE134" s="3507"/>
      <c r="WFF134" s="3507"/>
      <c r="WFG134" s="3507"/>
      <c r="WFH134" s="3507"/>
      <c r="WFI134" s="3507"/>
      <c r="WFJ134" s="3507"/>
      <c r="WFK134" s="3507"/>
      <c r="WFL134" s="3507"/>
      <c r="WFM134" s="3507"/>
      <c r="WFN134" s="3507"/>
      <c r="WFO134" s="3507"/>
      <c r="WFP134" s="3507"/>
      <c r="WFQ134" s="3507"/>
      <c r="WFR134" s="3507"/>
      <c r="WFS134" s="3507"/>
      <c r="WFT134" s="3507"/>
      <c r="WFU134" s="3507"/>
      <c r="WFV134" s="3507"/>
      <c r="WFW134" s="3507"/>
      <c r="WFX134" s="3507"/>
      <c r="WFY134" s="3507"/>
      <c r="WFZ134" s="3507"/>
      <c r="WGA134" s="3507"/>
      <c r="WGB134" s="3507"/>
      <c r="WGC134" s="3507"/>
      <c r="WGD134" s="3507"/>
      <c r="WGE134" s="3507"/>
      <c r="WGF134" s="3507"/>
      <c r="WGG134" s="3507"/>
      <c r="WGH134" s="3507"/>
      <c r="WGI134" s="3507"/>
      <c r="WGJ134" s="3507"/>
      <c r="WGK134" s="3507"/>
      <c r="WGL134" s="3507"/>
      <c r="WGM134" s="3507"/>
      <c r="WGN134" s="3507"/>
      <c r="WGO134" s="3507"/>
      <c r="WGP134" s="3507"/>
      <c r="WGQ134" s="3507"/>
      <c r="WGR134" s="3507"/>
      <c r="WGS134" s="3507"/>
      <c r="WGT134" s="3507"/>
      <c r="WGU134" s="3507"/>
      <c r="WGV134" s="3507"/>
      <c r="WGW134" s="3507"/>
      <c r="WGX134" s="3507"/>
      <c r="WGY134" s="3507"/>
      <c r="WGZ134" s="3507"/>
      <c r="WHA134" s="3507"/>
      <c r="WHB134" s="3507"/>
      <c r="WHC134" s="3507"/>
      <c r="WHD134" s="3507"/>
      <c r="WHE134" s="3507"/>
      <c r="WHF134" s="3507"/>
      <c r="WHG134" s="3507"/>
      <c r="WHH134" s="3507"/>
      <c r="WHI134" s="3507"/>
      <c r="WHJ134" s="3507"/>
      <c r="WHK134" s="3507"/>
      <c r="WHL134" s="3507"/>
      <c r="WHM134" s="3507"/>
      <c r="WHN134" s="3507"/>
      <c r="WHO134" s="3507"/>
      <c r="WHP134" s="3507"/>
      <c r="WHQ134" s="3507"/>
      <c r="WHR134" s="3507"/>
      <c r="WHS134" s="3507"/>
      <c r="WHT134" s="3507"/>
      <c r="WHU134" s="3507"/>
      <c r="WHV134" s="3507"/>
      <c r="WHW134" s="3507"/>
      <c r="WHX134" s="3507"/>
      <c r="WHY134" s="3507"/>
      <c r="WHZ134" s="3507"/>
      <c r="WIA134" s="3507"/>
      <c r="WIB134" s="3507"/>
      <c r="WIC134" s="3507"/>
      <c r="WID134" s="3507"/>
      <c r="WIE134" s="3507"/>
      <c r="WIF134" s="3507"/>
      <c r="WIG134" s="3507"/>
      <c r="WIH134" s="3507"/>
      <c r="WII134" s="3507"/>
      <c r="WIJ134" s="3507"/>
      <c r="WIK134" s="3507"/>
      <c r="WIL134" s="3507"/>
      <c r="WIM134" s="3507"/>
      <c r="WIN134" s="3507"/>
      <c r="WIO134" s="3507"/>
      <c r="WIP134" s="3507"/>
      <c r="WIQ134" s="3507"/>
      <c r="WIR134" s="3507"/>
      <c r="WIS134" s="3507"/>
      <c r="WIT134" s="3507"/>
      <c r="WIU134" s="3507"/>
      <c r="WIV134" s="3507"/>
      <c r="WIW134" s="3507"/>
      <c r="WIX134" s="3507"/>
      <c r="WIY134" s="3507"/>
      <c r="WIZ134" s="3507"/>
      <c r="WJA134" s="3507"/>
      <c r="WJB134" s="3507"/>
      <c r="WJC134" s="3507"/>
      <c r="WJD134" s="3507"/>
      <c r="WJE134" s="3507"/>
      <c r="WJF134" s="3507"/>
      <c r="WJG134" s="3507"/>
      <c r="WJH134" s="3507"/>
      <c r="WJI134" s="3507"/>
      <c r="WJJ134" s="3507"/>
      <c r="WJK134" s="3507"/>
      <c r="WJL134" s="3507"/>
      <c r="WJM134" s="3507"/>
      <c r="WJN134" s="3507"/>
      <c r="WJO134" s="3507"/>
      <c r="WJP134" s="3507"/>
      <c r="WJQ134" s="3507"/>
      <c r="WJR134" s="3507"/>
      <c r="WJS134" s="3507"/>
      <c r="WJT134" s="3507"/>
      <c r="WJU134" s="3507"/>
      <c r="WJV134" s="3507"/>
      <c r="WJW134" s="3507"/>
      <c r="WJX134" s="3507"/>
      <c r="WJY134" s="3507"/>
      <c r="WJZ134" s="3507"/>
      <c r="WKA134" s="3507"/>
      <c r="WKB134" s="3507"/>
      <c r="WKC134" s="3507"/>
      <c r="WKD134" s="3507"/>
      <c r="WKE134" s="3507"/>
      <c r="WKF134" s="3507"/>
      <c r="WKG134" s="3507"/>
      <c r="WKH134" s="3507"/>
      <c r="WKI134" s="3507"/>
      <c r="WKJ134" s="3507"/>
      <c r="WKK134" s="3507"/>
      <c r="WKL134" s="3507"/>
      <c r="WKM134" s="3507"/>
      <c r="WKN134" s="3507"/>
      <c r="WKO134" s="3507"/>
      <c r="WKP134" s="3507"/>
      <c r="WKQ134" s="3507"/>
      <c r="WKR134" s="3507"/>
      <c r="WKS134" s="3507"/>
      <c r="WKT134" s="3507"/>
      <c r="WKU134" s="3507"/>
      <c r="WKV134" s="3507"/>
      <c r="WKW134" s="3507"/>
      <c r="WKX134" s="3507"/>
      <c r="WKY134" s="3507"/>
      <c r="WKZ134" s="3507"/>
      <c r="WLA134" s="3507"/>
      <c r="WLB134" s="3507"/>
      <c r="WLC134" s="3507"/>
      <c r="WLD134" s="3507"/>
      <c r="WLE134" s="3507"/>
      <c r="WLF134" s="3507"/>
      <c r="WLG134" s="3507"/>
      <c r="WLH134" s="3507"/>
      <c r="WLI134" s="3507"/>
      <c r="WLJ134" s="3507"/>
      <c r="WLK134" s="3507"/>
      <c r="WLL134" s="3507"/>
      <c r="WLM134" s="3507"/>
      <c r="WLN134" s="3507"/>
      <c r="WLO134" s="3507"/>
      <c r="WLP134" s="3507"/>
      <c r="WLQ134" s="3507"/>
      <c r="WLR134" s="3507"/>
      <c r="WLS134" s="3507"/>
      <c r="WLT134" s="3507"/>
      <c r="WLU134" s="3507"/>
      <c r="WLV134" s="3507"/>
      <c r="WLW134" s="3507"/>
      <c r="WLX134" s="3507"/>
      <c r="WLY134" s="3507"/>
      <c r="WLZ134" s="3507"/>
      <c r="WMA134" s="3507"/>
      <c r="WMB134" s="3507"/>
      <c r="WMC134" s="3507"/>
      <c r="WMD134" s="3507"/>
      <c r="WME134" s="3507"/>
      <c r="WMF134" s="3507"/>
      <c r="WMG134" s="3507"/>
      <c r="WMH134" s="3507"/>
      <c r="WMI134" s="3507"/>
      <c r="WMJ134" s="3507"/>
      <c r="WMK134" s="3507"/>
      <c r="WML134" s="3507"/>
      <c r="WMM134" s="3507"/>
      <c r="WMN134" s="3507"/>
      <c r="WMO134" s="3507"/>
      <c r="WMP134" s="3507"/>
      <c r="WMQ134" s="3507"/>
      <c r="WMR134" s="3507"/>
      <c r="WMS134" s="3507"/>
      <c r="WMT134" s="3507"/>
      <c r="WMU134" s="3507"/>
      <c r="WMV134" s="3507"/>
      <c r="WMW134" s="3507"/>
      <c r="WMX134" s="3507"/>
      <c r="WMY134" s="3507"/>
      <c r="WMZ134" s="3507"/>
      <c r="WNA134" s="3507"/>
      <c r="WNB134" s="3507"/>
      <c r="WNC134" s="3507"/>
      <c r="WND134" s="3507"/>
      <c r="WNE134" s="3507"/>
      <c r="WNF134" s="3507"/>
      <c r="WNG134" s="3507"/>
      <c r="WNH134" s="3507"/>
      <c r="WNI134" s="3507"/>
      <c r="WNJ134" s="3507"/>
      <c r="WNK134" s="3507"/>
      <c r="WNL134" s="3507"/>
      <c r="WNM134" s="3507"/>
      <c r="WNN134" s="3507"/>
      <c r="WNO134" s="3507"/>
      <c r="WNP134" s="3507"/>
      <c r="WNQ134" s="3507"/>
      <c r="WNR134" s="3507"/>
      <c r="WNS134" s="3507"/>
      <c r="WNT134" s="3507"/>
      <c r="WNU134" s="3507"/>
      <c r="WNV134" s="3507"/>
      <c r="WNW134" s="3507"/>
      <c r="WNX134" s="3507"/>
      <c r="WNY134" s="3507"/>
      <c r="WNZ134" s="3507"/>
      <c r="WOA134" s="3507"/>
      <c r="WOB134" s="3507"/>
      <c r="WOC134" s="3507"/>
      <c r="WOD134" s="3507"/>
      <c r="WOE134" s="3507"/>
      <c r="WOF134" s="3507"/>
      <c r="WOG134" s="3507"/>
      <c r="WOH134" s="3507"/>
      <c r="WOI134" s="3507"/>
      <c r="WOJ134" s="3507"/>
      <c r="WOK134" s="3507"/>
      <c r="WOL134" s="3507"/>
      <c r="WOM134" s="3507"/>
      <c r="WON134" s="3507"/>
      <c r="WOO134" s="3507"/>
      <c r="WOP134" s="3507"/>
      <c r="WOQ134" s="3507"/>
      <c r="WOR134" s="3507"/>
      <c r="WOS134" s="3507"/>
      <c r="WOT134" s="3507"/>
      <c r="WOU134" s="3507"/>
      <c r="WOV134" s="3507"/>
      <c r="WOW134" s="3507"/>
      <c r="WOX134" s="3507"/>
      <c r="WOY134" s="3507"/>
      <c r="WOZ134" s="3507"/>
      <c r="WPA134" s="3507"/>
      <c r="WPB134" s="3507"/>
      <c r="WPC134" s="3507"/>
      <c r="WPD134" s="3507"/>
      <c r="WPE134" s="3507"/>
      <c r="WPF134" s="3507"/>
      <c r="WPG134" s="3507"/>
      <c r="WPH134" s="3507"/>
      <c r="WPI134" s="3507"/>
      <c r="WPJ134" s="3507"/>
      <c r="WPK134" s="3507"/>
      <c r="WPL134" s="3507"/>
      <c r="WPM134" s="3507"/>
      <c r="WPN134" s="3507"/>
      <c r="WPO134" s="3507"/>
      <c r="WPP134" s="3507"/>
      <c r="WPQ134" s="3507"/>
      <c r="WPR134" s="3507"/>
      <c r="WPS134" s="3507"/>
      <c r="WPT134" s="3507"/>
      <c r="WPU134" s="3507"/>
      <c r="WPV134" s="3507"/>
      <c r="WPW134" s="3507"/>
      <c r="WPX134" s="3507"/>
      <c r="WPY134" s="3507"/>
      <c r="WPZ134" s="3507"/>
      <c r="WQA134" s="3507"/>
      <c r="WQB134" s="3507"/>
      <c r="WQC134" s="3507"/>
      <c r="WQD134" s="3507"/>
      <c r="WQE134" s="3507"/>
      <c r="WQF134" s="3507"/>
      <c r="WQG134" s="3507"/>
      <c r="WQH134" s="3507"/>
      <c r="WQI134" s="3507"/>
      <c r="WQJ134" s="3507"/>
      <c r="WQK134" s="3507"/>
      <c r="WQL134" s="3507"/>
      <c r="WQM134" s="3507"/>
      <c r="WQN134" s="3507"/>
      <c r="WQO134" s="3507"/>
      <c r="WQP134" s="3507"/>
      <c r="WQQ134" s="3507"/>
      <c r="WQR134" s="3507"/>
      <c r="WQS134" s="3507"/>
      <c r="WQT134" s="3507"/>
      <c r="WQU134" s="3507"/>
      <c r="WQV134" s="3507"/>
      <c r="WQW134" s="3507"/>
      <c r="WQX134" s="3507"/>
      <c r="WQY134" s="3507"/>
      <c r="WQZ134" s="3507"/>
      <c r="WRA134" s="3507"/>
      <c r="WRB134" s="3507"/>
      <c r="WRC134" s="3507"/>
      <c r="WRD134" s="3507"/>
      <c r="WRE134" s="3507"/>
      <c r="WRF134" s="3507"/>
      <c r="WRG134" s="3507"/>
      <c r="WRH134" s="3507"/>
      <c r="WRI134" s="3507"/>
      <c r="WRJ134" s="3507"/>
      <c r="WRK134" s="3507"/>
      <c r="WRL134" s="3507"/>
      <c r="WRM134" s="3507"/>
      <c r="WRN134" s="3507"/>
      <c r="WRO134" s="3507"/>
      <c r="WRP134" s="3507"/>
      <c r="WRQ134" s="3507"/>
      <c r="WRR134" s="3507"/>
      <c r="WRS134" s="3507"/>
      <c r="WRT134" s="3507"/>
      <c r="WRU134" s="3507"/>
      <c r="WRV134" s="3507"/>
      <c r="WRW134" s="3507"/>
      <c r="WRX134" s="3507"/>
      <c r="WRY134" s="3507"/>
      <c r="WRZ134" s="3507"/>
      <c r="WSA134" s="3507"/>
      <c r="WSB134" s="3507"/>
      <c r="WSC134" s="3507"/>
      <c r="WSD134" s="3507"/>
      <c r="WSE134" s="3507"/>
      <c r="WSF134" s="3507"/>
      <c r="WSG134" s="3507"/>
      <c r="WSH134" s="3507"/>
      <c r="WSI134" s="3507"/>
      <c r="WSJ134" s="3507"/>
      <c r="WSK134" s="3507"/>
      <c r="WSL134" s="3507"/>
      <c r="WSM134" s="3507"/>
      <c r="WSN134" s="3507"/>
      <c r="WSO134" s="3507"/>
      <c r="WSP134" s="3507"/>
      <c r="WSQ134" s="3507"/>
      <c r="WSR134" s="3507"/>
      <c r="WSS134" s="3507"/>
      <c r="WST134" s="3507"/>
      <c r="WSU134" s="3507"/>
      <c r="WSV134" s="3507"/>
      <c r="WSW134" s="3507"/>
      <c r="WSX134" s="3507"/>
      <c r="WSY134" s="3507"/>
      <c r="WSZ134" s="3507"/>
      <c r="WTA134" s="3507"/>
      <c r="WTB134" s="3507"/>
      <c r="WTC134" s="3507"/>
      <c r="WTD134" s="3507"/>
      <c r="WTE134" s="3507"/>
      <c r="WTF134" s="3507"/>
      <c r="WTG134" s="3507"/>
      <c r="WTH134" s="3507"/>
      <c r="WTI134" s="3507"/>
      <c r="WTJ134" s="3507"/>
      <c r="WTK134" s="3507"/>
      <c r="WTL134" s="3507"/>
      <c r="WTM134" s="3507"/>
      <c r="WTN134" s="3507"/>
      <c r="WTO134" s="3507"/>
      <c r="WTP134" s="3507"/>
      <c r="WTQ134" s="3507"/>
      <c r="WTR134" s="3507"/>
      <c r="WTS134" s="3507"/>
      <c r="WTT134" s="3507"/>
      <c r="WTU134" s="3507"/>
      <c r="WTV134" s="3507"/>
      <c r="WTW134" s="3507"/>
      <c r="WTX134" s="3507"/>
      <c r="WTY134" s="3507"/>
      <c r="WTZ134" s="3507"/>
      <c r="WUA134" s="3507"/>
      <c r="WUB134" s="3507"/>
      <c r="WUC134" s="3507"/>
      <c r="WUD134" s="3507"/>
      <c r="WUE134" s="3507"/>
      <c r="WUF134" s="3507"/>
      <c r="WUG134" s="3507"/>
      <c r="WUH134" s="3507"/>
      <c r="WUI134" s="3507"/>
      <c r="WUJ134" s="3507"/>
      <c r="WUK134" s="3507"/>
      <c r="WUL134" s="3507"/>
      <c r="WUM134" s="3507"/>
      <c r="WUN134" s="3507"/>
      <c r="WUO134" s="3507"/>
      <c r="WUP134" s="3507"/>
      <c r="WUQ134" s="3507"/>
      <c r="WUR134" s="3507"/>
      <c r="WUS134" s="3507"/>
      <c r="WUT134" s="3507"/>
      <c r="WUU134" s="3507"/>
      <c r="WUV134" s="3507"/>
      <c r="WUW134" s="3507"/>
      <c r="WUX134" s="3507"/>
      <c r="WUY134" s="3507"/>
      <c r="WUZ134" s="3507"/>
      <c r="WVA134" s="3507"/>
      <c r="WVB134" s="3507"/>
      <c r="WVC134" s="3507"/>
      <c r="WVD134" s="3507"/>
      <c r="WVE134" s="3507"/>
      <c r="WVF134" s="3507"/>
      <c r="WVG134" s="3507"/>
      <c r="WVH134" s="3507"/>
      <c r="WVI134" s="3507"/>
      <c r="WVJ134" s="3507"/>
      <c r="WVK134" s="3507"/>
      <c r="WVL134" s="3507"/>
      <c r="WVM134" s="3507"/>
      <c r="WVN134" s="3507"/>
      <c r="WVO134" s="3507"/>
      <c r="WVP134" s="3507"/>
      <c r="WVQ134" s="3507"/>
      <c r="WVR134" s="3507"/>
      <c r="WVS134" s="3507"/>
      <c r="WVT134" s="3507"/>
      <c r="WVU134" s="3507"/>
      <c r="WVV134" s="3507"/>
      <c r="WVW134" s="3507"/>
      <c r="WVX134" s="3507"/>
      <c r="WVY134" s="3507"/>
      <c r="WVZ134" s="3507"/>
      <c r="WWA134" s="3507"/>
      <c r="WWB134" s="3507"/>
      <c r="WWC134" s="3507"/>
      <c r="WWD134" s="3507"/>
      <c r="WWE134" s="3507"/>
      <c r="WWF134" s="3507"/>
      <c r="WWG134" s="3507"/>
      <c r="WWH134" s="3507"/>
      <c r="WWI134" s="3507"/>
      <c r="WWJ134" s="3507"/>
      <c r="WWK134" s="3507"/>
      <c r="WWL134" s="3507"/>
      <c r="WWM134" s="3507"/>
      <c r="WWN134" s="3507"/>
      <c r="WWO134" s="3507"/>
      <c r="WWP134" s="3507"/>
      <c r="WWQ134" s="3507"/>
      <c r="WWR134" s="3507"/>
      <c r="WWS134" s="3507"/>
      <c r="WWT134" s="3507"/>
      <c r="WWU134" s="3507"/>
      <c r="WWV134" s="3507"/>
      <c r="WWW134" s="3507"/>
      <c r="WWX134" s="3507"/>
      <c r="WWY134" s="3507"/>
      <c r="WWZ134" s="3507"/>
      <c r="WXA134" s="3507"/>
      <c r="WXB134" s="3507"/>
      <c r="WXC134" s="3507"/>
      <c r="WXD134" s="3507"/>
      <c r="WXE134" s="3507"/>
      <c r="WXF134" s="3507"/>
      <c r="WXG134" s="3507"/>
      <c r="WXH134" s="3507"/>
      <c r="WXI134" s="3507"/>
      <c r="WXJ134" s="3507"/>
      <c r="WXK134" s="3507"/>
      <c r="WXL134" s="3507"/>
      <c r="WXM134" s="3507"/>
      <c r="WXN134" s="3507"/>
      <c r="WXO134" s="3507"/>
      <c r="WXP134" s="3507"/>
      <c r="WXQ134" s="3507"/>
      <c r="WXR134" s="3507"/>
      <c r="WXS134" s="3507"/>
      <c r="WXT134" s="3507"/>
      <c r="WXU134" s="3507"/>
      <c r="WXV134" s="3507"/>
      <c r="WXW134" s="3507"/>
      <c r="WXX134" s="3507"/>
      <c r="WXY134" s="3507"/>
      <c r="WXZ134" s="3507"/>
      <c r="WYA134" s="3507"/>
      <c r="WYB134" s="3507"/>
      <c r="WYC134" s="3507"/>
      <c r="WYD134" s="3507"/>
      <c r="WYE134" s="3507"/>
      <c r="WYF134" s="3507"/>
      <c r="WYG134" s="3507"/>
      <c r="WYH134" s="3507"/>
      <c r="WYI134" s="3507"/>
      <c r="WYJ134" s="3507"/>
      <c r="WYK134" s="3507"/>
      <c r="WYL134" s="3507"/>
      <c r="WYM134" s="3507"/>
      <c r="WYN134" s="3507"/>
      <c r="WYO134" s="3507"/>
      <c r="WYP134" s="3507"/>
      <c r="WYQ134" s="3507"/>
      <c r="WYR134" s="3507"/>
      <c r="WYS134" s="3507"/>
      <c r="WYT134" s="3507"/>
      <c r="WYU134" s="3507"/>
      <c r="WYV134" s="3507"/>
      <c r="WYW134" s="3507"/>
      <c r="WYX134" s="3507"/>
      <c r="WYY134" s="3507"/>
      <c r="WYZ134" s="3507"/>
      <c r="WZA134" s="3507"/>
      <c r="WZB134" s="3507"/>
      <c r="WZC134" s="3507"/>
      <c r="WZD134" s="3507"/>
      <c r="WZE134" s="3507"/>
      <c r="WZF134" s="3507"/>
      <c r="WZG134" s="3507"/>
      <c r="WZH134" s="3507"/>
      <c r="WZI134" s="3507"/>
      <c r="WZJ134" s="3507"/>
      <c r="WZK134" s="3507"/>
      <c r="WZL134" s="3507"/>
      <c r="WZM134" s="3507"/>
      <c r="WZN134" s="3507"/>
      <c r="WZO134" s="3507"/>
      <c r="WZP134" s="3507"/>
      <c r="WZQ134" s="3507"/>
      <c r="WZR134" s="3507"/>
      <c r="WZS134" s="3507"/>
      <c r="WZT134" s="3507"/>
      <c r="WZU134" s="3507"/>
      <c r="WZV134" s="3507"/>
      <c r="WZW134" s="3507"/>
      <c r="WZX134" s="3507"/>
      <c r="WZY134" s="3507"/>
      <c r="WZZ134" s="3507"/>
      <c r="XAA134" s="3507"/>
      <c r="XAB134" s="3507"/>
      <c r="XAC134" s="3507"/>
      <c r="XAD134" s="3507"/>
      <c r="XAE134" s="3507"/>
      <c r="XAF134" s="3507"/>
      <c r="XAG134" s="3507"/>
      <c r="XAH134" s="3507"/>
      <c r="XAI134" s="3507"/>
      <c r="XAJ134" s="3507"/>
      <c r="XAK134" s="3507"/>
      <c r="XAL134" s="3507"/>
      <c r="XAM134" s="3507"/>
      <c r="XAN134" s="3507"/>
      <c r="XAO134" s="3507"/>
      <c r="XAP134" s="3507"/>
      <c r="XAQ134" s="3507"/>
      <c r="XAR134" s="3507"/>
      <c r="XAS134" s="3507"/>
      <c r="XAT134" s="3507"/>
      <c r="XAU134" s="3507"/>
      <c r="XAV134" s="3507"/>
      <c r="XAW134" s="3507"/>
      <c r="XAX134" s="3507"/>
      <c r="XAY134" s="3507"/>
      <c r="XAZ134" s="3507"/>
      <c r="XBA134" s="3507"/>
      <c r="XBB134" s="3507"/>
      <c r="XBC134" s="3507"/>
      <c r="XBD134" s="3507"/>
      <c r="XBE134" s="3507"/>
      <c r="XBF134" s="3507"/>
      <c r="XBG134" s="3507"/>
      <c r="XBH134" s="3507"/>
      <c r="XBI134" s="3507"/>
      <c r="XBJ134" s="3507"/>
      <c r="XBK134" s="3507"/>
      <c r="XBL134" s="3507"/>
      <c r="XBM134" s="3507"/>
      <c r="XBN134" s="3507"/>
      <c r="XBO134" s="3507"/>
      <c r="XBP134" s="3507"/>
      <c r="XBQ134" s="3507"/>
      <c r="XBR134" s="3507"/>
      <c r="XBS134" s="3507"/>
      <c r="XBT134" s="3507"/>
      <c r="XBU134" s="3507"/>
      <c r="XBV134" s="3507"/>
      <c r="XBW134" s="3507"/>
      <c r="XBX134" s="3507"/>
      <c r="XBY134" s="3507"/>
      <c r="XBZ134" s="3507"/>
      <c r="XCA134" s="3507"/>
      <c r="XCB134" s="3507"/>
      <c r="XCC134" s="3507"/>
      <c r="XCD134" s="3507"/>
      <c r="XCE134" s="3507"/>
      <c r="XCF134" s="3507"/>
      <c r="XCG134" s="3507"/>
      <c r="XCH134" s="3507"/>
      <c r="XCI134" s="3507"/>
      <c r="XCJ134" s="3507"/>
      <c r="XCK134" s="3507"/>
      <c r="XCL134" s="3507"/>
      <c r="XCM134" s="3507"/>
      <c r="XCN134" s="3507"/>
      <c r="XCO134" s="3507"/>
      <c r="XCP134" s="3507"/>
      <c r="XCQ134" s="3507"/>
      <c r="XCR134" s="3507"/>
      <c r="XCS134" s="3507"/>
      <c r="XCT134" s="3507"/>
      <c r="XCU134" s="3507"/>
      <c r="XCV134" s="3507"/>
      <c r="XCW134" s="3507"/>
      <c r="XCX134" s="3507"/>
      <c r="XCY134" s="3507"/>
      <c r="XCZ134" s="3507"/>
      <c r="XDA134" s="3507"/>
      <c r="XDB134" s="3507"/>
      <c r="XDC134" s="3507"/>
      <c r="XDD134" s="3507"/>
      <c r="XDE134" s="3507"/>
      <c r="XDF134" s="3507"/>
      <c r="XDG134" s="3507"/>
      <c r="XDH134" s="3507"/>
      <c r="XDI134" s="3507"/>
      <c r="XDJ134" s="3507"/>
      <c r="XDK134" s="3507"/>
      <c r="XDL134" s="3507"/>
      <c r="XDM134" s="3507"/>
      <c r="XDN134" s="3507"/>
      <c r="XDO134" s="3507"/>
      <c r="XDP134" s="3507"/>
      <c r="XDQ134" s="3507"/>
      <c r="XDR134" s="3507"/>
      <c r="XDS134" s="3507"/>
      <c r="XDT134" s="3507"/>
      <c r="XDU134" s="3507"/>
      <c r="XDV134" s="3507"/>
      <c r="XDW134" s="3507"/>
      <c r="XDX134" s="3507"/>
      <c r="XDY134" s="3507"/>
      <c r="XDZ134" s="3507"/>
      <c r="XEA134" s="3507"/>
      <c r="XEB134" s="3507"/>
      <c r="XEC134" s="3507"/>
      <c r="XED134" s="3507"/>
      <c r="XEE134" s="3507"/>
      <c r="XEF134" s="3507"/>
      <c r="XEG134" s="3507"/>
      <c r="XEH134" s="3507"/>
      <c r="XEI134" s="3507"/>
      <c r="XEJ134" s="3507"/>
      <c r="XEK134" s="3507"/>
      <c r="XEL134" s="3507"/>
      <c r="XEM134" s="3507"/>
      <c r="XEN134" s="3507"/>
      <c r="XEO134" s="3507"/>
      <c r="XEP134" s="3507"/>
    </row>
    <row r="135" spans="1:16370" s="3516" customFormat="1" ht="18" customHeight="1">
      <c r="A135" s="3580"/>
      <c r="B135" s="3507"/>
      <c r="C135" s="3507"/>
      <c r="D135" s="3508"/>
      <c r="E135" s="3508"/>
      <c r="F135" s="3508"/>
      <c r="G135" s="3508"/>
      <c r="H135" s="3508"/>
      <c r="I135" s="3508"/>
      <c r="J135" s="3508"/>
      <c r="K135" s="3508"/>
      <c r="L135" s="3508"/>
      <c r="M135" s="3508"/>
      <c r="N135" s="3508"/>
      <c r="O135" s="3508"/>
      <c r="P135" s="3508"/>
      <c r="Q135" s="3508"/>
      <c r="R135" s="3507"/>
      <c r="S135" s="3507"/>
      <c r="T135" s="3508"/>
      <c r="U135" s="3508"/>
      <c r="V135" s="3508"/>
      <c r="W135" s="3508"/>
      <c r="X135" s="3508"/>
      <c r="Y135" s="3508"/>
      <c r="Z135" s="3508"/>
      <c r="AA135" s="3508"/>
      <c r="AB135" s="3508"/>
      <c r="AC135" s="3508"/>
      <c r="AD135" s="3508"/>
      <c r="AE135" s="3509"/>
      <c r="AF135" s="3510"/>
      <c r="AG135" s="3511"/>
      <c r="AH135" s="3509"/>
      <c r="AI135" s="3510"/>
      <c r="AJ135" s="3508"/>
      <c r="AK135" s="3508"/>
      <c r="AL135" s="3508"/>
      <c r="AM135" s="3511"/>
      <c r="AN135" s="3511"/>
      <c r="AO135" s="3510"/>
      <c r="AP135" s="3511"/>
      <c r="AQ135" s="3511"/>
      <c r="AR135" s="3510"/>
      <c r="AS135" s="3511"/>
      <c r="AT135" s="3508"/>
      <c r="AU135" s="3508"/>
      <c r="AV135" s="3509"/>
      <c r="AW135" s="3510"/>
      <c r="AX135" s="3508"/>
      <c r="AY135" s="3509"/>
      <c r="AZ135" s="3510"/>
      <c r="BA135" s="3508"/>
      <c r="BB135" s="3508"/>
      <c r="BC135" s="3508"/>
      <c r="BD135" s="3509"/>
      <c r="BE135" s="3510"/>
      <c r="BF135" s="3508"/>
      <c r="BG135" s="3509"/>
      <c r="BH135" s="3510"/>
      <c r="BI135" s="3508"/>
      <c r="BJ135" s="3508"/>
      <c r="BK135" s="3508"/>
      <c r="BL135" s="3509"/>
      <c r="BM135" s="3510"/>
      <c r="BN135" s="3508"/>
      <c r="BO135" s="3509"/>
      <c r="BP135" s="3510"/>
      <c r="BQ135" s="3508"/>
      <c r="BR135" s="3508"/>
      <c r="BS135" s="3508"/>
      <c r="BT135" s="3509"/>
      <c r="BU135" s="3510"/>
      <c r="BV135" s="3508"/>
      <c r="BW135" s="3509"/>
      <c r="BX135" s="3510"/>
      <c r="BY135" s="3508"/>
      <c r="BZ135" s="3508"/>
      <c r="CA135" s="3508"/>
      <c r="CB135" s="3509"/>
      <c r="CC135" s="3510"/>
      <c r="CD135" s="3508"/>
      <c r="CE135" s="3509"/>
      <c r="CF135" s="3510"/>
      <c r="CG135" s="3508"/>
      <c r="CH135" s="3508"/>
      <c r="CI135" s="3508"/>
      <c r="CJ135" s="3509"/>
      <c r="CK135" s="3510"/>
      <c r="CL135" s="3508"/>
      <c r="CM135" s="3509"/>
      <c r="CN135" s="3510"/>
      <c r="CO135" s="3508"/>
      <c r="CP135" s="3508"/>
      <c r="CQ135" s="3508"/>
      <c r="CR135" s="3509"/>
      <c r="CS135" s="3510"/>
      <c r="CT135" s="3508"/>
      <c r="CU135" s="3509"/>
      <c r="CV135" s="3510"/>
      <c r="CW135" s="3508"/>
      <c r="CX135" s="3508"/>
      <c r="CY135" s="3508"/>
      <c r="CZ135" s="3509"/>
      <c r="DA135" s="3510"/>
      <c r="DB135" s="3508"/>
      <c r="DC135" s="3509"/>
      <c r="DD135" s="3510"/>
      <c r="DE135" s="3508"/>
      <c r="DF135" s="3508"/>
      <c r="DG135" s="3508"/>
      <c r="DH135" s="3509"/>
      <c r="DI135" s="3510"/>
      <c r="DJ135" s="3508"/>
      <c r="DK135" s="3509"/>
      <c r="DL135" s="3510"/>
      <c r="DM135" s="3508"/>
      <c r="DN135" s="3508"/>
      <c r="DO135" s="3508"/>
      <c r="DP135" s="3509"/>
      <c r="DQ135" s="3510"/>
      <c r="DR135" s="3508"/>
      <c r="DS135" s="3509"/>
      <c r="DT135" s="3510"/>
      <c r="DU135" s="3508"/>
      <c r="DV135" s="3508"/>
      <c r="DW135" s="3508"/>
      <c r="DX135" s="3509"/>
      <c r="DY135" s="3510"/>
      <c r="DZ135" s="3508"/>
      <c r="EA135" s="3509"/>
      <c r="EB135" s="3510"/>
      <c r="EC135" s="3508"/>
      <c r="ED135" s="3508"/>
      <c r="EE135" s="3726" t="s">
        <v>4905</v>
      </c>
      <c r="EF135" s="3727">
        <f t="shared" ref="EF135:ES135" si="249">EF133+EF134</f>
        <v>64410235.423211545</v>
      </c>
      <c r="EG135" s="3727">
        <f t="shared" si="249"/>
        <v>46382679.358654581</v>
      </c>
      <c r="EH135" s="3727">
        <f t="shared" si="249"/>
        <v>41818760.422726706</v>
      </c>
      <c r="EI135" s="3727">
        <f t="shared" si="249"/>
        <v>41818760.443026699</v>
      </c>
      <c r="EJ135" s="3727">
        <f t="shared" si="249"/>
        <v>-4563918.9156278502</v>
      </c>
      <c r="EK135" s="3727">
        <f t="shared" si="249"/>
        <v>2.0300058829889167E-2</v>
      </c>
      <c r="EL135" s="3727">
        <f t="shared" si="249"/>
        <v>0</v>
      </c>
      <c r="EM135" s="3727">
        <f t="shared" si="249"/>
        <v>12256237.927029267</v>
      </c>
      <c r="EN135" s="3727">
        <f t="shared" si="249"/>
        <v>8987094.9327833448</v>
      </c>
      <c r="EO135" s="3727">
        <f t="shared" si="249"/>
        <v>7359515.9788575936</v>
      </c>
      <c r="EP135" s="3727">
        <f t="shared" si="249"/>
        <v>7359515.97301629</v>
      </c>
      <c r="EQ135" s="3727">
        <f t="shared" si="249"/>
        <v>-1627578.9597670569</v>
      </c>
      <c r="ER135" s="3727">
        <f t="shared" si="249"/>
        <v>-5.8413021997694159E-3</v>
      </c>
      <c r="ES135" s="3727">
        <f t="shared" si="249"/>
        <v>0</v>
      </c>
      <c r="EU135" s="3507"/>
      <c r="EV135" s="3715"/>
      <c r="EW135" s="3716"/>
      <c r="EX135" s="3507"/>
      <c r="EY135" s="3507"/>
      <c r="EZ135" s="3717"/>
      <c r="FA135" s="3716"/>
      <c r="FB135" s="3507"/>
      <c r="FC135" s="3507"/>
      <c r="FD135" s="3717"/>
      <c r="FE135" s="3716"/>
      <c r="FF135" s="3507"/>
      <c r="FG135" s="3507"/>
      <c r="FH135" s="3717"/>
      <c r="FI135" s="3716"/>
      <c r="FJ135" s="3507"/>
      <c r="FK135" s="3510"/>
      <c r="FL135" s="3728"/>
      <c r="FM135" s="3716"/>
      <c r="FN135" s="3507"/>
      <c r="FO135" s="3507"/>
      <c r="FP135" s="3717"/>
      <c r="FQ135" s="3716"/>
      <c r="FR135" s="3729"/>
      <c r="FS135" s="3510"/>
      <c r="FT135" s="3728"/>
      <c r="FU135" s="3716"/>
      <c r="FV135" s="3507"/>
      <c r="FW135" s="3507"/>
      <c r="FX135" s="3515"/>
      <c r="FY135" s="3716"/>
      <c r="FZ135" s="3509"/>
      <c r="GA135" s="3510"/>
      <c r="GB135" s="3730"/>
      <c r="GC135" s="3716"/>
      <c r="GD135" s="3507"/>
      <c r="GE135" s="3507"/>
      <c r="GF135" s="3730"/>
      <c r="GG135" s="3716"/>
      <c r="GH135" s="3507"/>
      <c r="GI135" s="3507"/>
      <c r="GJ135" s="3730"/>
      <c r="GK135" s="3716"/>
      <c r="GL135" s="3507"/>
      <c r="GM135" s="3507"/>
      <c r="GN135" s="3717"/>
      <c r="GO135" s="3716"/>
      <c r="GR135" s="3515"/>
      <c r="GU135" s="3507"/>
      <c r="GV135" s="3717"/>
      <c r="GW135" s="3716"/>
      <c r="GX135" s="3507"/>
      <c r="GY135" s="3507"/>
      <c r="GZ135" s="3717"/>
      <c r="HA135" s="3716"/>
      <c r="HB135" s="3507"/>
      <c r="HC135" s="3507"/>
      <c r="HD135" s="3717"/>
      <c r="HE135" s="3716"/>
      <c r="HF135" s="3507"/>
      <c r="HG135" s="3507"/>
      <c r="HH135" s="3717"/>
      <c r="HI135" s="3716"/>
      <c r="HJ135" s="3507"/>
      <c r="HK135" s="3507"/>
      <c r="HL135" s="3717"/>
      <c r="HM135" s="3716"/>
      <c r="HN135" s="3507"/>
      <c r="HO135" s="3507"/>
      <c r="HP135" s="3717"/>
      <c r="HQ135" s="3716"/>
      <c r="HR135" s="3507"/>
      <c r="HS135" s="3507"/>
      <c r="HT135" s="3717"/>
      <c r="HU135" s="3716"/>
      <c r="HV135" s="3507"/>
      <c r="HW135" s="3507"/>
      <c r="HX135" s="3717"/>
      <c r="HY135" s="3716"/>
      <c r="HZ135" s="3507"/>
      <c r="IA135" s="3507"/>
      <c r="IB135" s="3717"/>
      <c r="IC135" s="3716"/>
      <c r="ID135" s="3507"/>
      <c r="IE135" s="3507"/>
      <c r="IF135" s="3717"/>
      <c r="IG135" s="3716"/>
      <c r="IH135" s="3507"/>
      <c r="II135" s="3507"/>
      <c r="IJ135" s="3510"/>
      <c r="IK135" s="3716"/>
      <c r="IL135" s="3517"/>
      <c r="IO135" s="3507"/>
      <c r="IP135" s="3515"/>
      <c r="IQ135" s="3515"/>
      <c r="IR135" s="3515"/>
      <c r="IS135" s="3515"/>
      <c r="IT135" s="3515"/>
      <c r="IU135" s="3515"/>
      <c r="IV135" s="3515"/>
      <c r="IW135" s="3515"/>
      <c r="IX135" s="3515"/>
      <c r="IY135" s="3515"/>
      <c r="IZ135" s="3515"/>
      <c r="JA135" s="3515"/>
      <c r="JB135" s="3515"/>
      <c r="JC135" s="3515"/>
      <c r="JD135" s="3515"/>
      <c r="JE135" s="3515"/>
      <c r="JF135" s="3515"/>
      <c r="JG135" s="3515"/>
      <c r="JH135" s="3515"/>
      <c r="JI135" s="3515"/>
      <c r="JJ135" s="3515"/>
      <c r="JK135" s="3515"/>
      <c r="JL135" s="3515"/>
      <c r="JM135" s="3515"/>
      <c r="JN135" s="3515"/>
      <c r="JO135" s="3515"/>
      <c r="JP135" s="3507"/>
      <c r="JS135" s="3507"/>
      <c r="JT135" s="3507"/>
      <c r="JX135" s="3507"/>
      <c r="JY135" s="3507"/>
      <c r="JZ135" s="3722"/>
      <c r="KA135" s="3724"/>
      <c r="KB135" s="3577"/>
      <c r="KC135" s="3577"/>
      <c r="KD135" s="3712"/>
      <c r="KE135" s="3577" t="s">
        <v>4906</v>
      </c>
      <c r="KF135" s="3577"/>
      <c r="KG135" s="3577"/>
      <c r="KH135" s="3577"/>
      <c r="KI135" s="3577"/>
      <c r="KJ135" s="3577"/>
      <c r="KK135" s="3577"/>
      <c r="KL135" s="3724"/>
      <c r="KM135" s="3724"/>
      <c r="KN135" s="3724"/>
      <c r="KO135" s="3724"/>
      <c r="KP135" s="3724"/>
      <c r="KQ135" s="3712">
        <f>[2]海龙直播舱、其他!EJ10/10000+[2]海龙直播舱、其他!EJ41/10000-[2]海龙直播舱、其他!EJ25/10000</f>
        <v>72.8592234883738</v>
      </c>
      <c r="KR135" s="3725" t="s">
        <v>4907</v>
      </c>
      <c r="KS135" s="3712"/>
      <c r="LI135" s="3507"/>
      <c r="LJ135" s="3575"/>
      <c r="LK135" s="3731"/>
      <c r="LL135" s="3731" t="s">
        <v>4908</v>
      </c>
      <c r="LM135" s="3728" t="s">
        <v>4909</v>
      </c>
      <c r="LN135" s="3507"/>
      <c r="LO135" s="3507"/>
      <c r="LP135" s="3507"/>
      <c r="LQ135" s="3507"/>
      <c r="LR135" s="3507"/>
      <c r="LS135" s="3507"/>
      <c r="LT135" s="3507"/>
      <c r="LU135" s="3507"/>
      <c r="LV135" s="3507"/>
      <c r="LW135" s="3507"/>
      <c r="LX135" s="3507"/>
      <c r="LY135" s="3507"/>
      <c r="LZ135" s="3507"/>
      <c r="MA135" s="3507"/>
      <c r="MB135" s="3507"/>
      <c r="MC135" s="3507"/>
      <c r="MD135" s="3507"/>
      <c r="ME135" s="3507"/>
      <c r="MF135" s="3507"/>
      <c r="MG135" s="3507"/>
      <c r="MH135" s="3507"/>
      <c r="MI135" s="3507"/>
      <c r="MJ135" s="3507"/>
      <c r="MK135" s="3507"/>
      <c r="ML135" s="3507"/>
      <c r="MM135" s="3507"/>
      <c r="MN135" s="3507"/>
      <c r="MO135" s="3507"/>
      <c r="MP135" s="3507"/>
      <c r="MQ135" s="3507"/>
      <c r="MR135" s="3507"/>
      <c r="MS135" s="3507"/>
      <c r="MT135" s="3507"/>
      <c r="MU135" s="3507"/>
      <c r="MV135" s="3507"/>
      <c r="MW135" s="3507"/>
      <c r="MX135" s="3507"/>
      <c r="MY135" s="3507"/>
      <c r="MZ135" s="3507"/>
      <c r="NA135" s="3507"/>
      <c r="NB135" s="3507"/>
      <c r="NC135" s="3507"/>
      <c r="ND135" s="3507"/>
      <c r="NE135" s="3507"/>
      <c r="NF135" s="3507"/>
      <c r="NG135" s="3507"/>
      <c r="NH135" s="3507"/>
      <c r="NI135" s="3507"/>
      <c r="NJ135" s="3507"/>
      <c r="NK135" s="3507"/>
      <c r="NL135" s="3507"/>
      <c r="NM135" s="3507"/>
      <c r="NN135" s="3507"/>
      <c r="NO135" s="3507"/>
      <c r="NP135" s="3507"/>
      <c r="NQ135" s="3507"/>
      <c r="NR135" s="3507"/>
      <c r="NS135" s="3507"/>
      <c r="NT135" s="3507"/>
      <c r="NU135" s="3507"/>
      <c r="NV135" s="3507"/>
      <c r="NW135" s="3507"/>
      <c r="NX135" s="3507"/>
      <c r="NY135" s="3507"/>
      <c r="NZ135" s="3507"/>
      <c r="OA135" s="3507"/>
      <c r="OB135" s="3507"/>
      <c r="OC135" s="3507"/>
      <c r="OD135" s="3507"/>
      <c r="OE135" s="3507"/>
      <c r="OF135" s="3507"/>
      <c r="OG135" s="3507"/>
      <c r="OH135" s="3507"/>
      <c r="OI135" s="3507"/>
      <c r="OJ135" s="3507"/>
      <c r="OK135" s="3507"/>
      <c r="OL135" s="3507"/>
      <c r="OM135" s="3507"/>
      <c r="ON135" s="3507"/>
      <c r="OO135" s="3507"/>
      <c r="OP135" s="3507"/>
      <c r="OQ135" s="3507"/>
      <c r="OR135" s="3507"/>
      <c r="OS135" s="3507"/>
      <c r="OT135" s="3507"/>
      <c r="OU135" s="3507"/>
      <c r="OV135" s="3507"/>
      <c r="OW135" s="3507"/>
      <c r="OX135" s="3507"/>
      <c r="OY135" s="3507"/>
      <c r="OZ135" s="3507"/>
      <c r="PA135" s="3507"/>
      <c r="PB135" s="3507"/>
      <c r="PC135" s="3507"/>
      <c r="PD135" s="3507"/>
      <c r="PE135" s="3507"/>
      <c r="PF135" s="3507"/>
      <c r="PG135" s="3507"/>
      <c r="PH135" s="3507"/>
      <c r="PI135" s="3507"/>
      <c r="PJ135" s="3507"/>
      <c r="PK135" s="3507"/>
      <c r="PL135" s="3507"/>
      <c r="PM135" s="3507"/>
      <c r="PN135" s="3507"/>
      <c r="PO135" s="3507"/>
      <c r="PP135" s="3507"/>
      <c r="PQ135" s="3507"/>
      <c r="PR135" s="3507"/>
      <c r="PS135" s="3507"/>
      <c r="PT135" s="3507"/>
      <c r="PU135" s="3507"/>
      <c r="PV135" s="3507"/>
      <c r="PW135" s="3507"/>
      <c r="PX135" s="3507"/>
      <c r="PY135" s="3507"/>
      <c r="PZ135" s="3507"/>
      <c r="QA135" s="3507"/>
      <c r="QB135" s="3507"/>
      <c r="QC135" s="3507"/>
      <c r="QD135" s="3507"/>
      <c r="QE135" s="3507"/>
      <c r="QF135" s="3507"/>
      <c r="QG135" s="3507"/>
      <c r="QH135" s="3507"/>
      <c r="QI135" s="3507"/>
      <c r="QJ135" s="3507"/>
      <c r="QK135" s="3507"/>
      <c r="QL135" s="3507"/>
      <c r="QM135" s="3507"/>
      <c r="QN135" s="3507"/>
      <c r="QO135" s="3507"/>
      <c r="QP135" s="3507"/>
      <c r="QQ135" s="3507"/>
      <c r="QR135" s="3507"/>
      <c r="QS135" s="3507"/>
      <c r="QT135" s="3507"/>
      <c r="QU135" s="3507"/>
      <c r="QV135" s="3507"/>
      <c r="QW135" s="3507"/>
      <c r="QX135" s="3507"/>
      <c r="QY135" s="3507"/>
      <c r="QZ135" s="3507"/>
      <c r="RA135" s="3507"/>
      <c r="RB135" s="3507"/>
      <c r="RC135" s="3507"/>
      <c r="RD135" s="3507"/>
      <c r="RE135" s="3507"/>
      <c r="RF135" s="3507"/>
      <c r="RG135" s="3507"/>
      <c r="RH135" s="3507"/>
      <c r="RI135" s="3507"/>
      <c r="RJ135" s="3507"/>
      <c r="RK135" s="3507"/>
      <c r="RL135" s="3507"/>
      <c r="RM135" s="3507"/>
      <c r="RN135" s="3507"/>
      <c r="RO135" s="3507"/>
      <c r="RP135" s="3507"/>
      <c r="RQ135" s="3507"/>
      <c r="RR135" s="3507"/>
      <c r="RS135" s="3507"/>
      <c r="RT135" s="3507"/>
      <c r="RU135" s="3507"/>
      <c r="RV135" s="3507"/>
      <c r="RW135" s="3507"/>
      <c r="RX135" s="3507"/>
      <c r="RY135" s="3507"/>
      <c r="RZ135" s="3507"/>
      <c r="SA135" s="3507"/>
      <c r="SB135" s="3507"/>
      <c r="SC135" s="3507"/>
      <c r="SD135" s="3507"/>
      <c r="SE135" s="3507"/>
      <c r="SF135" s="3507"/>
      <c r="SG135" s="3507"/>
      <c r="SH135" s="3507"/>
      <c r="SI135" s="3507"/>
      <c r="SJ135" s="3507"/>
      <c r="SK135" s="3507"/>
      <c r="SL135" s="3507"/>
      <c r="SM135" s="3507"/>
      <c r="SN135" s="3507"/>
      <c r="SO135" s="3507"/>
      <c r="SP135" s="3507"/>
      <c r="SQ135" s="3507"/>
      <c r="SR135" s="3507"/>
      <c r="SS135" s="3507"/>
      <c r="ST135" s="3507"/>
      <c r="SU135" s="3507"/>
      <c r="SV135" s="3507"/>
      <c r="SW135" s="3507"/>
      <c r="SX135" s="3507"/>
      <c r="SY135" s="3507"/>
      <c r="SZ135" s="3507"/>
      <c r="TA135" s="3507"/>
      <c r="TB135" s="3507"/>
      <c r="TC135" s="3507"/>
      <c r="TD135" s="3507"/>
      <c r="TE135" s="3507"/>
      <c r="TF135" s="3507"/>
      <c r="TG135" s="3507"/>
      <c r="TH135" s="3507"/>
      <c r="TI135" s="3507"/>
      <c r="TJ135" s="3507"/>
      <c r="TK135" s="3507"/>
      <c r="TL135" s="3507"/>
      <c r="TM135" s="3507"/>
      <c r="TN135" s="3507"/>
      <c r="TO135" s="3507"/>
      <c r="TP135" s="3507"/>
      <c r="TQ135" s="3507"/>
      <c r="TR135" s="3507"/>
      <c r="TS135" s="3507"/>
      <c r="TT135" s="3507"/>
      <c r="TU135" s="3507"/>
      <c r="TV135" s="3507"/>
      <c r="TW135" s="3507"/>
      <c r="TX135" s="3507"/>
      <c r="TY135" s="3507"/>
      <c r="TZ135" s="3507"/>
      <c r="UA135" s="3507"/>
      <c r="UB135" s="3507"/>
      <c r="UC135" s="3507"/>
      <c r="UD135" s="3507"/>
      <c r="UE135" s="3507"/>
      <c r="UF135" s="3507"/>
      <c r="UG135" s="3507"/>
      <c r="UH135" s="3507"/>
      <c r="UI135" s="3507"/>
      <c r="UJ135" s="3507"/>
      <c r="UK135" s="3507"/>
      <c r="UL135" s="3507"/>
      <c r="UM135" s="3507"/>
      <c r="UN135" s="3507"/>
      <c r="UO135" s="3507"/>
      <c r="UP135" s="3507"/>
      <c r="UQ135" s="3507"/>
      <c r="UR135" s="3507"/>
      <c r="US135" s="3507"/>
      <c r="UT135" s="3507"/>
      <c r="UU135" s="3507"/>
      <c r="UV135" s="3507"/>
      <c r="UW135" s="3507"/>
      <c r="UX135" s="3507"/>
      <c r="UY135" s="3507"/>
      <c r="UZ135" s="3507"/>
      <c r="VA135" s="3507"/>
      <c r="VB135" s="3507"/>
      <c r="VC135" s="3507"/>
      <c r="VD135" s="3507"/>
      <c r="VE135" s="3507"/>
      <c r="VF135" s="3507"/>
      <c r="VG135" s="3507"/>
      <c r="VH135" s="3507"/>
      <c r="VI135" s="3507"/>
      <c r="VJ135" s="3507"/>
      <c r="VK135" s="3507"/>
      <c r="VL135" s="3507"/>
      <c r="VM135" s="3507"/>
      <c r="VN135" s="3507"/>
      <c r="VO135" s="3507"/>
      <c r="VP135" s="3507"/>
      <c r="VQ135" s="3507"/>
      <c r="VR135" s="3507"/>
      <c r="VS135" s="3507"/>
      <c r="VT135" s="3507"/>
      <c r="VU135" s="3507"/>
      <c r="VV135" s="3507"/>
      <c r="VW135" s="3507"/>
      <c r="VX135" s="3507"/>
      <c r="VY135" s="3507"/>
      <c r="VZ135" s="3507"/>
      <c r="WA135" s="3507"/>
      <c r="WB135" s="3507"/>
      <c r="WC135" s="3507"/>
      <c r="WD135" s="3507"/>
      <c r="WE135" s="3507"/>
      <c r="WF135" s="3507"/>
      <c r="WG135" s="3507"/>
      <c r="WH135" s="3507"/>
      <c r="WI135" s="3507"/>
      <c r="WJ135" s="3507"/>
      <c r="WK135" s="3507"/>
      <c r="WL135" s="3507"/>
      <c r="WM135" s="3507"/>
      <c r="WN135" s="3507"/>
      <c r="WO135" s="3507"/>
      <c r="WP135" s="3507"/>
      <c r="WQ135" s="3507"/>
      <c r="WR135" s="3507"/>
      <c r="WS135" s="3507"/>
      <c r="WT135" s="3507"/>
      <c r="WU135" s="3507"/>
      <c r="WV135" s="3507"/>
      <c r="WW135" s="3507"/>
      <c r="WX135" s="3507"/>
      <c r="WY135" s="3507"/>
      <c r="WZ135" s="3507"/>
      <c r="XA135" s="3507"/>
      <c r="XB135" s="3507"/>
      <c r="XC135" s="3507"/>
      <c r="XD135" s="3507"/>
      <c r="XE135" s="3507"/>
      <c r="XF135" s="3507"/>
      <c r="XG135" s="3507"/>
      <c r="XH135" s="3507"/>
      <c r="XI135" s="3507"/>
      <c r="XJ135" s="3507"/>
      <c r="XK135" s="3507"/>
      <c r="XL135" s="3507"/>
      <c r="XM135" s="3507"/>
      <c r="XN135" s="3507"/>
      <c r="XO135" s="3507"/>
      <c r="XP135" s="3507"/>
      <c r="XQ135" s="3507"/>
      <c r="XR135" s="3507"/>
      <c r="XS135" s="3507"/>
      <c r="XT135" s="3507"/>
      <c r="XU135" s="3507"/>
      <c r="XV135" s="3507"/>
      <c r="XW135" s="3507"/>
      <c r="XX135" s="3507"/>
      <c r="XY135" s="3507"/>
      <c r="XZ135" s="3507"/>
      <c r="YA135" s="3507"/>
      <c r="YB135" s="3507"/>
      <c r="YC135" s="3507"/>
      <c r="YD135" s="3507"/>
      <c r="YE135" s="3507"/>
      <c r="YF135" s="3507"/>
      <c r="YG135" s="3507"/>
      <c r="YH135" s="3507"/>
      <c r="YI135" s="3507"/>
      <c r="YJ135" s="3507"/>
      <c r="YK135" s="3507"/>
      <c r="YL135" s="3507"/>
      <c r="YM135" s="3507"/>
      <c r="YN135" s="3507"/>
      <c r="YO135" s="3507"/>
      <c r="YP135" s="3507"/>
      <c r="YQ135" s="3507"/>
      <c r="YR135" s="3507"/>
      <c r="YS135" s="3507"/>
      <c r="YT135" s="3507"/>
      <c r="YU135" s="3507"/>
      <c r="YV135" s="3507"/>
      <c r="YW135" s="3507"/>
      <c r="YX135" s="3507"/>
      <c r="YY135" s="3507"/>
      <c r="YZ135" s="3507"/>
      <c r="ZA135" s="3507"/>
      <c r="ZB135" s="3507"/>
      <c r="ZC135" s="3507"/>
      <c r="ZD135" s="3507"/>
      <c r="ZE135" s="3507"/>
      <c r="ZF135" s="3507"/>
      <c r="ZG135" s="3507"/>
      <c r="ZH135" s="3507"/>
      <c r="ZI135" s="3507"/>
      <c r="ZJ135" s="3507"/>
      <c r="ZK135" s="3507"/>
      <c r="ZL135" s="3507"/>
      <c r="ZM135" s="3507"/>
      <c r="ZN135" s="3507"/>
      <c r="ZO135" s="3507"/>
      <c r="ZP135" s="3507"/>
      <c r="ZQ135" s="3507"/>
      <c r="ZR135" s="3507"/>
      <c r="ZS135" s="3507"/>
      <c r="ZT135" s="3507"/>
      <c r="ZU135" s="3507"/>
      <c r="ZV135" s="3507"/>
      <c r="ZW135" s="3507"/>
      <c r="ZX135" s="3507"/>
      <c r="ZY135" s="3507"/>
      <c r="ZZ135" s="3507"/>
      <c r="AAA135" s="3507"/>
      <c r="AAB135" s="3507"/>
      <c r="AAC135" s="3507"/>
      <c r="AAD135" s="3507"/>
      <c r="AAE135" s="3507"/>
      <c r="AAF135" s="3507"/>
      <c r="AAG135" s="3507"/>
      <c r="AAH135" s="3507"/>
      <c r="AAI135" s="3507"/>
      <c r="AAJ135" s="3507"/>
      <c r="AAK135" s="3507"/>
      <c r="AAL135" s="3507"/>
      <c r="AAM135" s="3507"/>
      <c r="AAN135" s="3507"/>
      <c r="AAO135" s="3507"/>
      <c r="AAP135" s="3507"/>
      <c r="AAQ135" s="3507"/>
      <c r="AAR135" s="3507"/>
      <c r="AAS135" s="3507"/>
      <c r="AAT135" s="3507"/>
      <c r="AAU135" s="3507"/>
      <c r="AAV135" s="3507"/>
      <c r="AAW135" s="3507"/>
      <c r="AAX135" s="3507"/>
      <c r="AAY135" s="3507"/>
      <c r="AAZ135" s="3507"/>
      <c r="ABA135" s="3507"/>
      <c r="ABB135" s="3507"/>
      <c r="ABC135" s="3507"/>
      <c r="ABD135" s="3507"/>
      <c r="ABE135" s="3507"/>
      <c r="ABF135" s="3507"/>
      <c r="ABG135" s="3507"/>
      <c r="ABH135" s="3507"/>
      <c r="ABI135" s="3507"/>
      <c r="ABJ135" s="3507"/>
      <c r="ABK135" s="3507"/>
      <c r="ABL135" s="3507"/>
      <c r="ABM135" s="3507"/>
      <c r="ABN135" s="3507"/>
      <c r="ABO135" s="3507"/>
      <c r="ABP135" s="3507"/>
      <c r="ABQ135" s="3507"/>
      <c r="ABR135" s="3507"/>
      <c r="ABS135" s="3507"/>
      <c r="ABT135" s="3507"/>
      <c r="ABU135" s="3507"/>
      <c r="ABV135" s="3507"/>
      <c r="ABW135" s="3507"/>
      <c r="ABX135" s="3507"/>
      <c r="ABY135" s="3507"/>
      <c r="ABZ135" s="3507"/>
      <c r="ACA135" s="3507"/>
      <c r="ACB135" s="3507"/>
      <c r="ACC135" s="3507"/>
      <c r="ACD135" s="3507"/>
      <c r="ACE135" s="3507"/>
      <c r="ACF135" s="3507"/>
      <c r="ACG135" s="3507"/>
      <c r="ACH135" s="3507"/>
      <c r="ACI135" s="3507"/>
      <c r="ACJ135" s="3507"/>
      <c r="ACK135" s="3507"/>
      <c r="ACL135" s="3507"/>
      <c r="ACM135" s="3507"/>
      <c r="ACN135" s="3507"/>
      <c r="ACO135" s="3507"/>
      <c r="ACP135" s="3507"/>
      <c r="ACQ135" s="3507"/>
      <c r="ACR135" s="3507"/>
      <c r="ACS135" s="3507"/>
      <c r="ACT135" s="3507"/>
      <c r="ACU135" s="3507"/>
      <c r="ACV135" s="3507"/>
      <c r="ACW135" s="3507"/>
      <c r="ACX135" s="3507"/>
      <c r="ACY135" s="3507"/>
      <c r="ACZ135" s="3507"/>
      <c r="ADA135" s="3507"/>
      <c r="ADB135" s="3507"/>
      <c r="ADC135" s="3507"/>
      <c r="ADD135" s="3507"/>
      <c r="ADE135" s="3507"/>
      <c r="ADF135" s="3507"/>
      <c r="ADG135" s="3507"/>
      <c r="ADH135" s="3507"/>
      <c r="ADI135" s="3507"/>
      <c r="ADJ135" s="3507"/>
      <c r="ADK135" s="3507"/>
      <c r="ADL135" s="3507"/>
      <c r="ADM135" s="3507"/>
      <c r="ADN135" s="3507"/>
      <c r="ADO135" s="3507"/>
      <c r="ADP135" s="3507"/>
      <c r="ADQ135" s="3507"/>
      <c r="ADR135" s="3507"/>
      <c r="ADS135" s="3507"/>
      <c r="ADT135" s="3507"/>
      <c r="ADU135" s="3507"/>
      <c r="ADV135" s="3507"/>
      <c r="ADW135" s="3507"/>
      <c r="ADX135" s="3507"/>
      <c r="ADY135" s="3507"/>
      <c r="ADZ135" s="3507"/>
      <c r="AEA135" s="3507"/>
      <c r="AEB135" s="3507"/>
      <c r="AEC135" s="3507"/>
      <c r="AED135" s="3507"/>
      <c r="AEE135" s="3507"/>
      <c r="AEF135" s="3507"/>
      <c r="AEG135" s="3507"/>
      <c r="AEH135" s="3507"/>
      <c r="AEI135" s="3507"/>
      <c r="AEJ135" s="3507"/>
      <c r="AEK135" s="3507"/>
      <c r="AEL135" s="3507"/>
      <c r="AEM135" s="3507"/>
      <c r="AEN135" s="3507"/>
      <c r="AEO135" s="3507"/>
      <c r="AEP135" s="3507"/>
      <c r="AEQ135" s="3507"/>
      <c r="AER135" s="3507"/>
      <c r="AES135" s="3507"/>
      <c r="AET135" s="3507"/>
      <c r="AEU135" s="3507"/>
      <c r="AEV135" s="3507"/>
      <c r="AEW135" s="3507"/>
      <c r="AEX135" s="3507"/>
      <c r="AEY135" s="3507"/>
      <c r="AEZ135" s="3507"/>
      <c r="AFA135" s="3507"/>
      <c r="AFB135" s="3507"/>
      <c r="AFC135" s="3507"/>
      <c r="AFD135" s="3507"/>
      <c r="AFE135" s="3507"/>
      <c r="AFF135" s="3507"/>
      <c r="AFG135" s="3507"/>
      <c r="AFH135" s="3507"/>
      <c r="AFI135" s="3507"/>
      <c r="AFJ135" s="3507"/>
      <c r="AFK135" s="3507"/>
      <c r="AFL135" s="3507"/>
      <c r="AFM135" s="3507"/>
      <c r="AFN135" s="3507"/>
      <c r="AFO135" s="3507"/>
      <c r="AFP135" s="3507"/>
      <c r="AFQ135" s="3507"/>
      <c r="AFR135" s="3507"/>
      <c r="AFS135" s="3507"/>
      <c r="AFT135" s="3507"/>
      <c r="AFU135" s="3507"/>
      <c r="AFV135" s="3507"/>
      <c r="AFW135" s="3507"/>
      <c r="AFX135" s="3507"/>
      <c r="AFY135" s="3507"/>
      <c r="AFZ135" s="3507"/>
      <c r="AGA135" s="3507"/>
      <c r="AGB135" s="3507"/>
      <c r="AGC135" s="3507"/>
      <c r="AGD135" s="3507"/>
      <c r="AGE135" s="3507"/>
      <c r="AGF135" s="3507"/>
      <c r="AGG135" s="3507"/>
      <c r="AGH135" s="3507"/>
      <c r="AGI135" s="3507"/>
      <c r="AGJ135" s="3507"/>
      <c r="AGK135" s="3507"/>
      <c r="AGL135" s="3507"/>
      <c r="AGM135" s="3507"/>
      <c r="AGN135" s="3507"/>
      <c r="AGO135" s="3507"/>
      <c r="AGP135" s="3507"/>
      <c r="AGQ135" s="3507"/>
      <c r="AGR135" s="3507"/>
      <c r="AGS135" s="3507"/>
      <c r="AGT135" s="3507"/>
      <c r="AGU135" s="3507"/>
      <c r="AGV135" s="3507"/>
      <c r="AGW135" s="3507"/>
      <c r="AGX135" s="3507"/>
      <c r="AGY135" s="3507"/>
      <c r="AGZ135" s="3507"/>
      <c r="AHA135" s="3507"/>
      <c r="AHB135" s="3507"/>
      <c r="AHC135" s="3507"/>
      <c r="AHD135" s="3507"/>
      <c r="AHE135" s="3507"/>
      <c r="AHF135" s="3507"/>
      <c r="AHG135" s="3507"/>
      <c r="AHH135" s="3507"/>
      <c r="AHI135" s="3507"/>
      <c r="AHJ135" s="3507"/>
      <c r="AHK135" s="3507"/>
      <c r="AHL135" s="3507"/>
      <c r="AHM135" s="3507"/>
      <c r="AHN135" s="3507"/>
      <c r="AHO135" s="3507"/>
      <c r="AHP135" s="3507"/>
      <c r="AHQ135" s="3507"/>
      <c r="AHR135" s="3507"/>
      <c r="AHS135" s="3507"/>
      <c r="AHT135" s="3507"/>
      <c r="AHU135" s="3507"/>
      <c r="AHV135" s="3507"/>
      <c r="AHW135" s="3507"/>
      <c r="AHX135" s="3507"/>
      <c r="AHY135" s="3507"/>
      <c r="AHZ135" s="3507"/>
      <c r="AIA135" s="3507"/>
      <c r="AIB135" s="3507"/>
      <c r="AIC135" s="3507"/>
      <c r="AID135" s="3507"/>
      <c r="AIE135" s="3507"/>
      <c r="AIF135" s="3507"/>
      <c r="AIG135" s="3507"/>
      <c r="AIH135" s="3507"/>
      <c r="AII135" s="3507"/>
      <c r="AIJ135" s="3507"/>
      <c r="AIK135" s="3507"/>
      <c r="AIL135" s="3507"/>
      <c r="AIM135" s="3507"/>
      <c r="AIN135" s="3507"/>
      <c r="AIO135" s="3507"/>
      <c r="AIP135" s="3507"/>
      <c r="AIQ135" s="3507"/>
      <c r="AIR135" s="3507"/>
      <c r="AIS135" s="3507"/>
      <c r="AIT135" s="3507"/>
      <c r="AIU135" s="3507"/>
      <c r="AIV135" s="3507"/>
      <c r="AIW135" s="3507"/>
      <c r="AIX135" s="3507"/>
      <c r="AIY135" s="3507"/>
      <c r="AIZ135" s="3507"/>
      <c r="AJA135" s="3507"/>
      <c r="AJB135" s="3507"/>
      <c r="AJC135" s="3507"/>
      <c r="AJD135" s="3507"/>
      <c r="AJE135" s="3507"/>
      <c r="AJF135" s="3507"/>
      <c r="AJG135" s="3507"/>
      <c r="AJH135" s="3507"/>
      <c r="AJI135" s="3507"/>
      <c r="AJJ135" s="3507"/>
      <c r="AJK135" s="3507"/>
      <c r="AJL135" s="3507"/>
      <c r="AJM135" s="3507"/>
      <c r="AJN135" s="3507"/>
      <c r="AJO135" s="3507"/>
      <c r="AJP135" s="3507"/>
      <c r="AJQ135" s="3507"/>
      <c r="AJR135" s="3507"/>
      <c r="AJS135" s="3507"/>
      <c r="AJT135" s="3507"/>
      <c r="AJU135" s="3507"/>
      <c r="AJV135" s="3507"/>
      <c r="AJW135" s="3507"/>
      <c r="AJX135" s="3507"/>
      <c r="AJY135" s="3507"/>
      <c r="AJZ135" s="3507"/>
      <c r="AKA135" s="3507"/>
      <c r="AKB135" s="3507"/>
      <c r="AKC135" s="3507"/>
      <c r="AKD135" s="3507"/>
      <c r="AKE135" s="3507"/>
      <c r="AKF135" s="3507"/>
      <c r="AKG135" s="3507"/>
      <c r="AKH135" s="3507"/>
      <c r="AKI135" s="3507"/>
      <c r="AKJ135" s="3507"/>
      <c r="AKK135" s="3507"/>
      <c r="AKL135" s="3507"/>
      <c r="AKM135" s="3507"/>
      <c r="AKN135" s="3507"/>
      <c r="AKO135" s="3507"/>
      <c r="AKP135" s="3507"/>
      <c r="AKQ135" s="3507"/>
      <c r="AKR135" s="3507"/>
      <c r="AKS135" s="3507"/>
      <c r="AKT135" s="3507"/>
      <c r="AKU135" s="3507"/>
      <c r="AKV135" s="3507"/>
      <c r="AKW135" s="3507"/>
      <c r="AKX135" s="3507"/>
      <c r="AKY135" s="3507"/>
      <c r="AKZ135" s="3507"/>
      <c r="ALA135" s="3507"/>
      <c r="ALB135" s="3507"/>
      <c r="ALC135" s="3507"/>
      <c r="ALD135" s="3507"/>
      <c r="ALE135" s="3507"/>
      <c r="ALF135" s="3507"/>
      <c r="ALG135" s="3507"/>
      <c r="ALH135" s="3507"/>
      <c r="ALI135" s="3507"/>
      <c r="ALJ135" s="3507"/>
      <c r="ALK135" s="3507"/>
      <c r="ALL135" s="3507"/>
      <c r="ALM135" s="3507"/>
      <c r="ALN135" s="3507"/>
      <c r="ALO135" s="3507"/>
      <c r="ALP135" s="3507"/>
      <c r="ALQ135" s="3507"/>
      <c r="ALR135" s="3507"/>
      <c r="ALS135" s="3507"/>
      <c r="ALT135" s="3507"/>
      <c r="ALU135" s="3507"/>
      <c r="ALV135" s="3507"/>
      <c r="ALW135" s="3507"/>
      <c r="ALX135" s="3507"/>
      <c r="ALY135" s="3507"/>
      <c r="ALZ135" s="3507"/>
      <c r="AMA135" s="3507"/>
      <c r="AMB135" s="3507"/>
      <c r="AMC135" s="3507"/>
      <c r="AMD135" s="3507"/>
      <c r="AME135" s="3507"/>
      <c r="AMF135" s="3507"/>
      <c r="AMG135" s="3507"/>
      <c r="AMH135" s="3507"/>
      <c r="AMI135" s="3507"/>
      <c r="AMJ135" s="3507"/>
      <c r="AMK135" s="3507"/>
      <c r="AML135" s="3507"/>
      <c r="AMM135" s="3507"/>
      <c r="AMN135" s="3507"/>
      <c r="AMO135" s="3507"/>
      <c r="AMP135" s="3507"/>
      <c r="AMQ135" s="3507"/>
      <c r="AMR135" s="3507"/>
      <c r="AMS135" s="3507"/>
      <c r="AMT135" s="3507"/>
      <c r="AMU135" s="3507"/>
      <c r="AMV135" s="3507"/>
      <c r="AMW135" s="3507"/>
      <c r="AMX135" s="3507"/>
      <c r="AMY135" s="3507"/>
      <c r="AMZ135" s="3507"/>
      <c r="ANA135" s="3507"/>
      <c r="ANB135" s="3507"/>
      <c r="ANC135" s="3507"/>
      <c r="AND135" s="3507"/>
      <c r="ANE135" s="3507"/>
      <c r="ANF135" s="3507"/>
      <c r="ANG135" s="3507"/>
      <c r="ANH135" s="3507"/>
      <c r="ANI135" s="3507"/>
      <c r="ANJ135" s="3507"/>
      <c r="ANK135" s="3507"/>
      <c r="ANL135" s="3507"/>
      <c r="ANM135" s="3507"/>
      <c r="ANN135" s="3507"/>
      <c r="ANO135" s="3507"/>
      <c r="ANP135" s="3507"/>
      <c r="ANQ135" s="3507"/>
      <c r="ANR135" s="3507"/>
      <c r="ANS135" s="3507"/>
      <c r="ANT135" s="3507"/>
      <c r="ANU135" s="3507"/>
      <c r="ANV135" s="3507"/>
      <c r="ANW135" s="3507"/>
      <c r="ANX135" s="3507"/>
      <c r="ANY135" s="3507"/>
      <c r="ANZ135" s="3507"/>
      <c r="AOA135" s="3507"/>
      <c r="AOB135" s="3507"/>
      <c r="AOC135" s="3507"/>
      <c r="AOD135" s="3507"/>
      <c r="AOE135" s="3507"/>
      <c r="AOF135" s="3507"/>
      <c r="AOG135" s="3507"/>
      <c r="AOH135" s="3507"/>
      <c r="AOI135" s="3507"/>
      <c r="AOJ135" s="3507"/>
      <c r="AOK135" s="3507"/>
      <c r="AOL135" s="3507"/>
      <c r="AOM135" s="3507"/>
      <c r="AON135" s="3507"/>
      <c r="AOO135" s="3507"/>
      <c r="AOP135" s="3507"/>
      <c r="AOQ135" s="3507"/>
      <c r="AOR135" s="3507"/>
      <c r="AOS135" s="3507"/>
      <c r="AOT135" s="3507"/>
      <c r="AOU135" s="3507"/>
      <c r="AOV135" s="3507"/>
      <c r="AOW135" s="3507"/>
      <c r="AOX135" s="3507"/>
      <c r="AOY135" s="3507"/>
      <c r="AOZ135" s="3507"/>
      <c r="APA135" s="3507"/>
      <c r="APB135" s="3507"/>
      <c r="APC135" s="3507"/>
      <c r="APD135" s="3507"/>
      <c r="APE135" s="3507"/>
      <c r="APF135" s="3507"/>
      <c r="APG135" s="3507"/>
      <c r="APH135" s="3507"/>
      <c r="API135" s="3507"/>
      <c r="APJ135" s="3507"/>
      <c r="APK135" s="3507"/>
      <c r="APL135" s="3507"/>
      <c r="APM135" s="3507"/>
      <c r="APN135" s="3507"/>
      <c r="APO135" s="3507"/>
      <c r="APP135" s="3507"/>
      <c r="APQ135" s="3507"/>
      <c r="APR135" s="3507"/>
      <c r="APS135" s="3507"/>
      <c r="APT135" s="3507"/>
      <c r="APU135" s="3507"/>
      <c r="APV135" s="3507"/>
      <c r="APW135" s="3507"/>
      <c r="APX135" s="3507"/>
      <c r="APY135" s="3507"/>
      <c r="APZ135" s="3507"/>
      <c r="AQA135" s="3507"/>
      <c r="AQB135" s="3507"/>
      <c r="AQC135" s="3507"/>
      <c r="AQD135" s="3507"/>
      <c r="AQE135" s="3507"/>
      <c r="AQF135" s="3507"/>
      <c r="AQG135" s="3507"/>
      <c r="AQH135" s="3507"/>
      <c r="AQI135" s="3507"/>
      <c r="AQJ135" s="3507"/>
      <c r="AQK135" s="3507"/>
      <c r="AQL135" s="3507"/>
      <c r="AQM135" s="3507"/>
      <c r="AQN135" s="3507"/>
      <c r="AQO135" s="3507"/>
      <c r="AQP135" s="3507"/>
      <c r="AQQ135" s="3507"/>
      <c r="AQR135" s="3507"/>
      <c r="AQS135" s="3507"/>
      <c r="AQT135" s="3507"/>
      <c r="AQU135" s="3507"/>
      <c r="AQV135" s="3507"/>
      <c r="AQW135" s="3507"/>
      <c r="AQX135" s="3507"/>
      <c r="AQY135" s="3507"/>
      <c r="AQZ135" s="3507"/>
      <c r="ARA135" s="3507"/>
      <c r="ARB135" s="3507"/>
      <c r="ARC135" s="3507"/>
      <c r="ARD135" s="3507"/>
      <c r="ARE135" s="3507"/>
      <c r="ARF135" s="3507"/>
      <c r="ARG135" s="3507"/>
      <c r="ARH135" s="3507"/>
      <c r="ARI135" s="3507"/>
      <c r="ARJ135" s="3507"/>
      <c r="ARK135" s="3507"/>
      <c r="ARL135" s="3507"/>
      <c r="ARM135" s="3507"/>
      <c r="ARN135" s="3507"/>
      <c r="ARO135" s="3507"/>
      <c r="ARP135" s="3507"/>
      <c r="ARQ135" s="3507"/>
      <c r="ARR135" s="3507"/>
      <c r="ARS135" s="3507"/>
      <c r="ART135" s="3507"/>
      <c r="ARU135" s="3507"/>
      <c r="ARV135" s="3507"/>
      <c r="ARW135" s="3507"/>
      <c r="ARX135" s="3507"/>
      <c r="ARY135" s="3507"/>
      <c r="ARZ135" s="3507"/>
      <c r="ASA135" s="3507"/>
      <c r="ASB135" s="3507"/>
      <c r="ASC135" s="3507"/>
      <c r="ASD135" s="3507"/>
      <c r="ASE135" s="3507"/>
      <c r="ASF135" s="3507"/>
      <c r="ASG135" s="3507"/>
      <c r="ASH135" s="3507"/>
      <c r="ASI135" s="3507"/>
      <c r="ASJ135" s="3507"/>
      <c r="ASK135" s="3507"/>
      <c r="ASL135" s="3507"/>
      <c r="ASM135" s="3507"/>
      <c r="ASN135" s="3507"/>
      <c r="ASO135" s="3507"/>
      <c r="ASP135" s="3507"/>
      <c r="ASQ135" s="3507"/>
      <c r="ASR135" s="3507"/>
      <c r="ASS135" s="3507"/>
      <c r="AST135" s="3507"/>
      <c r="ASU135" s="3507"/>
      <c r="ASV135" s="3507"/>
      <c r="ASW135" s="3507"/>
      <c r="ASX135" s="3507"/>
      <c r="ASY135" s="3507"/>
      <c r="ASZ135" s="3507"/>
      <c r="ATA135" s="3507"/>
      <c r="ATB135" s="3507"/>
      <c r="ATC135" s="3507"/>
      <c r="ATD135" s="3507"/>
      <c r="ATE135" s="3507"/>
      <c r="ATF135" s="3507"/>
      <c r="ATG135" s="3507"/>
      <c r="ATH135" s="3507"/>
      <c r="ATI135" s="3507"/>
      <c r="ATJ135" s="3507"/>
      <c r="ATK135" s="3507"/>
      <c r="ATL135" s="3507"/>
      <c r="ATM135" s="3507"/>
      <c r="ATN135" s="3507"/>
      <c r="ATO135" s="3507"/>
      <c r="ATP135" s="3507"/>
      <c r="ATQ135" s="3507"/>
      <c r="ATR135" s="3507"/>
      <c r="ATS135" s="3507"/>
      <c r="ATT135" s="3507"/>
      <c r="ATU135" s="3507"/>
      <c r="ATV135" s="3507"/>
      <c r="ATW135" s="3507"/>
      <c r="ATX135" s="3507"/>
      <c r="ATY135" s="3507"/>
      <c r="ATZ135" s="3507"/>
      <c r="AUA135" s="3507"/>
      <c r="AUB135" s="3507"/>
      <c r="AUC135" s="3507"/>
      <c r="AUD135" s="3507"/>
      <c r="AUE135" s="3507"/>
      <c r="AUF135" s="3507"/>
      <c r="AUG135" s="3507"/>
      <c r="AUH135" s="3507"/>
      <c r="AUI135" s="3507"/>
      <c r="AUJ135" s="3507"/>
      <c r="AUK135" s="3507"/>
      <c r="AUL135" s="3507"/>
      <c r="AUM135" s="3507"/>
      <c r="AUN135" s="3507"/>
      <c r="AUO135" s="3507"/>
      <c r="AUP135" s="3507"/>
      <c r="AUQ135" s="3507"/>
      <c r="AUR135" s="3507"/>
      <c r="AUS135" s="3507"/>
      <c r="AUT135" s="3507"/>
      <c r="AUU135" s="3507"/>
      <c r="AUV135" s="3507"/>
      <c r="AUW135" s="3507"/>
      <c r="AUX135" s="3507"/>
      <c r="AUY135" s="3507"/>
      <c r="AUZ135" s="3507"/>
      <c r="AVA135" s="3507"/>
      <c r="AVB135" s="3507"/>
      <c r="AVC135" s="3507"/>
      <c r="AVD135" s="3507"/>
      <c r="AVE135" s="3507"/>
      <c r="AVF135" s="3507"/>
      <c r="AVG135" s="3507"/>
      <c r="AVH135" s="3507"/>
      <c r="AVI135" s="3507"/>
      <c r="AVJ135" s="3507"/>
      <c r="AVK135" s="3507"/>
      <c r="AVL135" s="3507"/>
      <c r="AVM135" s="3507"/>
      <c r="AVN135" s="3507"/>
      <c r="AVO135" s="3507"/>
      <c r="AVP135" s="3507"/>
      <c r="AVQ135" s="3507"/>
      <c r="AVR135" s="3507"/>
      <c r="AVS135" s="3507"/>
      <c r="AVT135" s="3507"/>
      <c r="AVU135" s="3507"/>
      <c r="AVV135" s="3507"/>
      <c r="AVW135" s="3507"/>
      <c r="AVX135" s="3507"/>
      <c r="AVY135" s="3507"/>
      <c r="AVZ135" s="3507"/>
      <c r="AWA135" s="3507"/>
      <c r="AWB135" s="3507"/>
      <c r="AWC135" s="3507"/>
      <c r="AWD135" s="3507"/>
      <c r="AWE135" s="3507"/>
      <c r="AWF135" s="3507"/>
      <c r="AWG135" s="3507"/>
      <c r="AWH135" s="3507"/>
      <c r="AWI135" s="3507"/>
      <c r="AWJ135" s="3507"/>
      <c r="AWK135" s="3507"/>
      <c r="AWL135" s="3507"/>
      <c r="AWM135" s="3507"/>
      <c r="AWN135" s="3507"/>
      <c r="AWO135" s="3507"/>
      <c r="AWP135" s="3507"/>
      <c r="AWQ135" s="3507"/>
      <c r="AWR135" s="3507"/>
      <c r="AWS135" s="3507"/>
      <c r="AWT135" s="3507"/>
      <c r="AWU135" s="3507"/>
      <c r="AWV135" s="3507"/>
      <c r="AWW135" s="3507"/>
      <c r="AWX135" s="3507"/>
      <c r="AWY135" s="3507"/>
      <c r="AWZ135" s="3507"/>
      <c r="AXA135" s="3507"/>
      <c r="AXB135" s="3507"/>
      <c r="AXC135" s="3507"/>
      <c r="AXD135" s="3507"/>
      <c r="AXE135" s="3507"/>
      <c r="AXF135" s="3507"/>
      <c r="AXG135" s="3507"/>
      <c r="AXH135" s="3507"/>
      <c r="AXI135" s="3507"/>
      <c r="AXJ135" s="3507"/>
      <c r="AXK135" s="3507"/>
      <c r="AXL135" s="3507"/>
      <c r="AXM135" s="3507"/>
      <c r="AXN135" s="3507"/>
      <c r="AXO135" s="3507"/>
      <c r="AXP135" s="3507"/>
      <c r="AXQ135" s="3507"/>
      <c r="AXR135" s="3507"/>
      <c r="AXS135" s="3507"/>
      <c r="AXT135" s="3507"/>
      <c r="AXU135" s="3507"/>
      <c r="AXV135" s="3507"/>
      <c r="AXW135" s="3507"/>
      <c r="AXX135" s="3507"/>
      <c r="AXY135" s="3507"/>
      <c r="AXZ135" s="3507"/>
      <c r="AYA135" s="3507"/>
      <c r="AYB135" s="3507"/>
      <c r="AYC135" s="3507"/>
      <c r="AYD135" s="3507"/>
      <c r="AYE135" s="3507"/>
      <c r="AYF135" s="3507"/>
      <c r="AYG135" s="3507"/>
      <c r="AYH135" s="3507"/>
      <c r="AYI135" s="3507"/>
      <c r="AYJ135" s="3507"/>
      <c r="AYK135" s="3507"/>
      <c r="AYL135" s="3507"/>
      <c r="AYM135" s="3507"/>
      <c r="AYN135" s="3507"/>
      <c r="AYO135" s="3507"/>
      <c r="AYP135" s="3507"/>
      <c r="AYQ135" s="3507"/>
      <c r="AYR135" s="3507"/>
      <c r="AYS135" s="3507"/>
      <c r="AYT135" s="3507"/>
      <c r="AYU135" s="3507"/>
      <c r="AYV135" s="3507"/>
      <c r="AYW135" s="3507"/>
      <c r="AYX135" s="3507"/>
      <c r="AYY135" s="3507"/>
      <c r="AYZ135" s="3507"/>
      <c r="AZA135" s="3507"/>
      <c r="AZB135" s="3507"/>
      <c r="AZC135" s="3507"/>
      <c r="AZD135" s="3507"/>
      <c r="AZE135" s="3507"/>
      <c r="AZF135" s="3507"/>
      <c r="AZG135" s="3507"/>
      <c r="AZH135" s="3507"/>
      <c r="AZI135" s="3507"/>
      <c r="AZJ135" s="3507"/>
      <c r="AZK135" s="3507"/>
      <c r="AZL135" s="3507"/>
      <c r="AZM135" s="3507"/>
      <c r="AZN135" s="3507"/>
      <c r="AZO135" s="3507"/>
      <c r="AZP135" s="3507"/>
      <c r="AZQ135" s="3507"/>
      <c r="AZR135" s="3507"/>
      <c r="AZS135" s="3507"/>
      <c r="AZT135" s="3507"/>
      <c r="AZU135" s="3507"/>
      <c r="AZV135" s="3507"/>
      <c r="AZW135" s="3507"/>
      <c r="AZX135" s="3507"/>
      <c r="AZY135" s="3507"/>
      <c r="AZZ135" s="3507"/>
      <c r="BAA135" s="3507"/>
      <c r="BAB135" s="3507"/>
      <c r="BAC135" s="3507"/>
      <c r="BAD135" s="3507"/>
      <c r="BAE135" s="3507"/>
      <c r="BAF135" s="3507"/>
      <c r="BAG135" s="3507"/>
      <c r="BAH135" s="3507"/>
      <c r="BAI135" s="3507"/>
      <c r="BAJ135" s="3507"/>
      <c r="BAK135" s="3507"/>
      <c r="BAL135" s="3507"/>
      <c r="BAM135" s="3507"/>
      <c r="BAN135" s="3507"/>
      <c r="BAO135" s="3507"/>
      <c r="BAP135" s="3507"/>
      <c r="BAQ135" s="3507"/>
      <c r="BAR135" s="3507"/>
      <c r="BAS135" s="3507"/>
      <c r="BAT135" s="3507"/>
      <c r="BAU135" s="3507"/>
      <c r="BAV135" s="3507"/>
      <c r="BAW135" s="3507"/>
      <c r="BAX135" s="3507"/>
      <c r="BAY135" s="3507"/>
      <c r="BAZ135" s="3507"/>
      <c r="BBA135" s="3507"/>
      <c r="BBB135" s="3507"/>
      <c r="BBC135" s="3507"/>
      <c r="BBD135" s="3507"/>
      <c r="BBE135" s="3507"/>
      <c r="BBF135" s="3507"/>
      <c r="BBG135" s="3507"/>
      <c r="BBH135" s="3507"/>
      <c r="BBI135" s="3507"/>
      <c r="BBJ135" s="3507"/>
      <c r="BBK135" s="3507"/>
      <c r="BBL135" s="3507"/>
      <c r="BBM135" s="3507"/>
      <c r="BBN135" s="3507"/>
      <c r="BBO135" s="3507"/>
      <c r="BBP135" s="3507"/>
      <c r="BBQ135" s="3507"/>
      <c r="BBR135" s="3507"/>
      <c r="BBS135" s="3507"/>
      <c r="BBT135" s="3507"/>
      <c r="BBU135" s="3507"/>
      <c r="BBV135" s="3507"/>
      <c r="BBW135" s="3507"/>
      <c r="BBX135" s="3507"/>
      <c r="BBY135" s="3507"/>
      <c r="BBZ135" s="3507"/>
      <c r="BCA135" s="3507"/>
      <c r="BCB135" s="3507"/>
      <c r="BCC135" s="3507"/>
      <c r="BCD135" s="3507"/>
      <c r="BCE135" s="3507"/>
      <c r="BCF135" s="3507"/>
      <c r="BCG135" s="3507"/>
      <c r="BCH135" s="3507"/>
      <c r="BCI135" s="3507"/>
      <c r="BCJ135" s="3507"/>
      <c r="BCK135" s="3507"/>
      <c r="BCL135" s="3507"/>
      <c r="BCM135" s="3507"/>
      <c r="BCN135" s="3507"/>
      <c r="BCO135" s="3507"/>
      <c r="BCP135" s="3507"/>
      <c r="BCQ135" s="3507"/>
      <c r="BCR135" s="3507"/>
      <c r="BCS135" s="3507"/>
      <c r="BCT135" s="3507"/>
      <c r="BCU135" s="3507"/>
      <c r="BCV135" s="3507"/>
      <c r="BCW135" s="3507"/>
      <c r="BCX135" s="3507"/>
      <c r="BCY135" s="3507"/>
      <c r="BCZ135" s="3507"/>
      <c r="BDA135" s="3507"/>
      <c r="BDB135" s="3507"/>
      <c r="BDC135" s="3507"/>
      <c r="BDD135" s="3507"/>
      <c r="BDE135" s="3507"/>
      <c r="BDF135" s="3507"/>
      <c r="BDG135" s="3507"/>
      <c r="BDH135" s="3507"/>
      <c r="BDI135" s="3507"/>
      <c r="BDJ135" s="3507"/>
      <c r="BDK135" s="3507"/>
      <c r="BDL135" s="3507"/>
      <c r="BDM135" s="3507"/>
      <c r="BDN135" s="3507"/>
      <c r="BDO135" s="3507"/>
      <c r="BDP135" s="3507"/>
      <c r="BDQ135" s="3507"/>
      <c r="BDR135" s="3507"/>
      <c r="BDS135" s="3507"/>
      <c r="BDT135" s="3507"/>
      <c r="BDU135" s="3507"/>
      <c r="BDV135" s="3507"/>
      <c r="BDW135" s="3507"/>
      <c r="BDX135" s="3507"/>
      <c r="BDY135" s="3507"/>
      <c r="BDZ135" s="3507"/>
      <c r="BEA135" s="3507"/>
      <c r="BEB135" s="3507"/>
      <c r="BEC135" s="3507"/>
      <c r="BED135" s="3507"/>
      <c r="BEE135" s="3507"/>
      <c r="BEF135" s="3507"/>
      <c r="BEG135" s="3507"/>
      <c r="BEH135" s="3507"/>
      <c r="BEI135" s="3507"/>
      <c r="BEJ135" s="3507"/>
      <c r="BEK135" s="3507"/>
      <c r="BEL135" s="3507"/>
      <c r="BEM135" s="3507"/>
      <c r="BEN135" s="3507"/>
      <c r="BEO135" s="3507"/>
      <c r="BEP135" s="3507"/>
      <c r="BEQ135" s="3507"/>
      <c r="BER135" s="3507"/>
      <c r="BES135" s="3507"/>
      <c r="BET135" s="3507"/>
      <c r="BEU135" s="3507"/>
      <c r="BEV135" s="3507"/>
      <c r="BEW135" s="3507"/>
      <c r="BEX135" s="3507"/>
      <c r="BEY135" s="3507"/>
      <c r="BEZ135" s="3507"/>
      <c r="BFA135" s="3507"/>
      <c r="BFB135" s="3507"/>
      <c r="BFC135" s="3507"/>
      <c r="BFD135" s="3507"/>
      <c r="BFE135" s="3507"/>
      <c r="BFF135" s="3507"/>
      <c r="BFG135" s="3507"/>
      <c r="BFH135" s="3507"/>
      <c r="BFI135" s="3507"/>
      <c r="BFJ135" s="3507"/>
      <c r="BFK135" s="3507"/>
      <c r="BFL135" s="3507"/>
      <c r="BFM135" s="3507"/>
      <c r="BFN135" s="3507"/>
      <c r="BFO135" s="3507"/>
      <c r="BFP135" s="3507"/>
      <c r="BFQ135" s="3507"/>
      <c r="BFR135" s="3507"/>
      <c r="BFS135" s="3507"/>
      <c r="BFT135" s="3507"/>
      <c r="BFU135" s="3507"/>
      <c r="BFV135" s="3507"/>
      <c r="BFW135" s="3507"/>
      <c r="BFX135" s="3507"/>
      <c r="BFY135" s="3507"/>
      <c r="BFZ135" s="3507"/>
      <c r="BGA135" s="3507"/>
      <c r="BGB135" s="3507"/>
      <c r="BGC135" s="3507"/>
      <c r="BGD135" s="3507"/>
      <c r="BGE135" s="3507"/>
      <c r="BGF135" s="3507"/>
      <c r="BGG135" s="3507"/>
      <c r="BGH135" s="3507"/>
      <c r="BGI135" s="3507"/>
      <c r="BGJ135" s="3507"/>
      <c r="BGK135" s="3507"/>
      <c r="BGL135" s="3507"/>
      <c r="BGM135" s="3507"/>
      <c r="BGN135" s="3507"/>
      <c r="BGO135" s="3507"/>
      <c r="BGP135" s="3507"/>
      <c r="BGQ135" s="3507"/>
      <c r="BGR135" s="3507"/>
      <c r="BGS135" s="3507"/>
      <c r="BGT135" s="3507"/>
      <c r="BGU135" s="3507"/>
      <c r="BGV135" s="3507"/>
      <c r="BGW135" s="3507"/>
      <c r="BGX135" s="3507"/>
      <c r="BGY135" s="3507"/>
      <c r="BGZ135" s="3507"/>
      <c r="BHA135" s="3507"/>
      <c r="BHB135" s="3507"/>
      <c r="BHC135" s="3507"/>
      <c r="BHD135" s="3507"/>
      <c r="BHE135" s="3507"/>
      <c r="BHF135" s="3507"/>
      <c r="BHG135" s="3507"/>
      <c r="BHH135" s="3507"/>
      <c r="BHI135" s="3507"/>
      <c r="BHJ135" s="3507"/>
      <c r="BHK135" s="3507"/>
      <c r="BHL135" s="3507"/>
      <c r="BHM135" s="3507"/>
      <c r="BHN135" s="3507"/>
      <c r="BHO135" s="3507"/>
      <c r="BHP135" s="3507"/>
      <c r="BHQ135" s="3507"/>
      <c r="BHR135" s="3507"/>
      <c r="BHS135" s="3507"/>
      <c r="BHT135" s="3507"/>
      <c r="BHU135" s="3507"/>
      <c r="BHV135" s="3507"/>
      <c r="BHW135" s="3507"/>
      <c r="BHX135" s="3507"/>
      <c r="BHY135" s="3507"/>
      <c r="BHZ135" s="3507"/>
      <c r="BIA135" s="3507"/>
      <c r="BIB135" s="3507"/>
      <c r="BIC135" s="3507"/>
      <c r="BID135" s="3507"/>
      <c r="BIE135" s="3507"/>
      <c r="BIF135" s="3507"/>
      <c r="BIG135" s="3507"/>
      <c r="BIH135" s="3507"/>
      <c r="BII135" s="3507"/>
      <c r="BIJ135" s="3507"/>
      <c r="BIK135" s="3507"/>
      <c r="BIL135" s="3507"/>
      <c r="BIM135" s="3507"/>
      <c r="BIN135" s="3507"/>
      <c r="BIO135" s="3507"/>
      <c r="BIP135" s="3507"/>
      <c r="BIQ135" s="3507"/>
      <c r="BIR135" s="3507"/>
      <c r="BIS135" s="3507"/>
      <c r="BIT135" s="3507"/>
      <c r="BIU135" s="3507"/>
      <c r="BIV135" s="3507"/>
      <c r="BIW135" s="3507"/>
      <c r="BIX135" s="3507"/>
      <c r="BIY135" s="3507"/>
      <c r="BIZ135" s="3507"/>
      <c r="BJA135" s="3507"/>
      <c r="BJB135" s="3507"/>
      <c r="BJC135" s="3507"/>
      <c r="BJD135" s="3507"/>
      <c r="BJE135" s="3507"/>
      <c r="BJF135" s="3507"/>
      <c r="BJG135" s="3507"/>
      <c r="BJH135" s="3507"/>
      <c r="BJI135" s="3507"/>
      <c r="BJJ135" s="3507"/>
      <c r="BJK135" s="3507"/>
      <c r="BJL135" s="3507"/>
      <c r="BJM135" s="3507"/>
      <c r="BJN135" s="3507"/>
      <c r="BJO135" s="3507"/>
      <c r="BJP135" s="3507"/>
      <c r="BJQ135" s="3507"/>
      <c r="BJR135" s="3507"/>
      <c r="BJS135" s="3507"/>
      <c r="BJT135" s="3507"/>
      <c r="BJU135" s="3507"/>
      <c r="BJV135" s="3507"/>
      <c r="BJW135" s="3507"/>
      <c r="BJX135" s="3507"/>
      <c r="BJY135" s="3507"/>
      <c r="BJZ135" s="3507"/>
      <c r="BKA135" s="3507"/>
      <c r="BKB135" s="3507"/>
      <c r="BKC135" s="3507"/>
      <c r="BKD135" s="3507"/>
      <c r="BKE135" s="3507"/>
      <c r="BKF135" s="3507"/>
      <c r="BKG135" s="3507"/>
      <c r="BKH135" s="3507"/>
      <c r="BKI135" s="3507"/>
      <c r="BKJ135" s="3507"/>
      <c r="BKK135" s="3507"/>
      <c r="BKL135" s="3507"/>
      <c r="BKM135" s="3507"/>
      <c r="BKN135" s="3507"/>
      <c r="BKO135" s="3507"/>
      <c r="BKP135" s="3507"/>
      <c r="BKQ135" s="3507"/>
      <c r="BKR135" s="3507"/>
      <c r="BKS135" s="3507"/>
      <c r="BKT135" s="3507"/>
      <c r="BKU135" s="3507"/>
      <c r="BKV135" s="3507"/>
      <c r="BKW135" s="3507"/>
      <c r="BKX135" s="3507"/>
      <c r="BKY135" s="3507"/>
      <c r="BKZ135" s="3507"/>
      <c r="BLA135" s="3507"/>
      <c r="BLB135" s="3507"/>
      <c r="BLC135" s="3507"/>
      <c r="BLD135" s="3507"/>
      <c r="BLE135" s="3507"/>
      <c r="BLF135" s="3507"/>
      <c r="BLG135" s="3507"/>
      <c r="BLH135" s="3507"/>
      <c r="BLI135" s="3507"/>
      <c r="BLJ135" s="3507"/>
      <c r="BLK135" s="3507"/>
      <c r="BLL135" s="3507"/>
      <c r="BLM135" s="3507"/>
      <c r="BLN135" s="3507"/>
      <c r="BLO135" s="3507"/>
      <c r="BLP135" s="3507"/>
      <c r="BLQ135" s="3507"/>
      <c r="BLR135" s="3507"/>
      <c r="BLS135" s="3507"/>
      <c r="BLT135" s="3507"/>
      <c r="BLU135" s="3507"/>
      <c r="BLV135" s="3507"/>
      <c r="BLW135" s="3507"/>
      <c r="BLX135" s="3507"/>
      <c r="BLY135" s="3507"/>
      <c r="BLZ135" s="3507"/>
      <c r="BMA135" s="3507"/>
      <c r="BMB135" s="3507"/>
      <c r="BMC135" s="3507"/>
      <c r="BMD135" s="3507"/>
      <c r="BME135" s="3507"/>
      <c r="BMF135" s="3507"/>
      <c r="BMG135" s="3507"/>
      <c r="BMH135" s="3507"/>
      <c r="BMI135" s="3507"/>
      <c r="BMJ135" s="3507"/>
      <c r="BMK135" s="3507"/>
      <c r="BML135" s="3507"/>
      <c r="BMM135" s="3507"/>
      <c r="BMN135" s="3507"/>
      <c r="BMO135" s="3507"/>
      <c r="BMP135" s="3507"/>
      <c r="BMQ135" s="3507"/>
      <c r="BMR135" s="3507"/>
      <c r="BMS135" s="3507"/>
      <c r="BMT135" s="3507"/>
      <c r="BMU135" s="3507"/>
      <c r="BMV135" s="3507"/>
      <c r="BMW135" s="3507"/>
      <c r="BMX135" s="3507"/>
      <c r="BMY135" s="3507"/>
      <c r="BMZ135" s="3507"/>
      <c r="BNA135" s="3507"/>
      <c r="BNB135" s="3507"/>
      <c r="BNC135" s="3507"/>
      <c r="BND135" s="3507"/>
      <c r="BNE135" s="3507"/>
      <c r="BNF135" s="3507"/>
      <c r="BNG135" s="3507"/>
      <c r="BNH135" s="3507"/>
      <c r="BNI135" s="3507"/>
      <c r="BNJ135" s="3507"/>
      <c r="BNK135" s="3507"/>
      <c r="BNL135" s="3507"/>
      <c r="BNM135" s="3507"/>
      <c r="BNN135" s="3507"/>
      <c r="BNO135" s="3507"/>
      <c r="BNP135" s="3507"/>
      <c r="BNQ135" s="3507"/>
      <c r="BNR135" s="3507"/>
      <c r="BNS135" s="3507"/>
      <c r="BNT135" s="3507"/>
      <c r="BNU135" s="3507"/>
      <c r="BNV135" s="3507"/>
      <c r="BNW135" s="3507"/>
      <c r="BNX135" s="3507"/>
      <c r="BNY135" s="3507"/>
      <c r="BNZ135" s="3507"/>
      <c r="BOA135" s="3507"/>
      <c r="BOB135" s="3507"/>
      <c r="BOC135" s="3507"/>
      <c r="BOD135" s="3507"/>
      <c r="BOE135" s="3507"/>
      <c r="BOF135" s="3507"/>
      <c r="BOG135" s="3507"/>
      <c r="BOH135" s="3507"/>
      <c r="BOI135" s="3507"/>
      <c r="BOJ135" s="3507"/>
      <c r="BOK135" s="3507"/>
      <c r="BOL135" s="3507"/>
      <c r="BOM135" s="3507"/>
      <c r="BON135" s="3507"/>
      <c r="BOO135" s="3507"/>
      <c r="BOP135" s="3507"/>
      <c r="BOQ135" s="3507"/>
      <c r="BOR135" s="3507"/>
      <c r="BOS135" s="3507"/>
      <c r="BOT135" s="3507"/>
      <c r="BOU135" s="3507"/>
      <c r="BOV135" s="3507"/>
      <c r="BOW135" s="3507"/>
      <c r="BOX135" s="3507"/>
      <c r="BOY135" s="3507"/>
      <c r="BOZ135" s="3507"/>
      <c r="BPA135" s="3507"/>
      <c r="BPB135" s="3507"/>
      <c r="BPC135" s="3507"/>
      <c r="BPD135" s="3507"/>
      <c r="BPE135" s="3507"/>
      <c r="BPF135" s="3507"/>
      <c r="BPG135" s="3507"/>
      <c r="BPH135" s="3507"/>
      <c r="BPI135" s="3507"/>
      <c r="BPJ135" s="3507"/>
      <c r="BPK135" s="3507"/>
      <c r="BPL135" s="3507"/>
      <c r="BPM135" s="3507"/>
      <c r="BPN135" s="3507"/>
      <c r="BPO135" s="3507"/>
      <c r="BPP135" s="3507"/>
      <c r="BPQ135" s="3507"/>
      <c r="BPR135" s="3507"/>
      <c r="BPS135" s="3507"/>
      <c r="BPT135" s="3507"/>
      <c r="BPU135" s="3507"/>
      <c r="BPV135" s="3507"/>
      <c r="BPW135" s="3507"/>
      <c r="BPX135" s="3507"/>
      <c r="BPY135" s="3507"/>
      <c r="BPZ135" s="3507"/>
      <c r="BQA135" s="3507"/>
      <c r="BQB135" s="3507"/>
      <c r="BQC135" s="3507"/>
      <c r="BQD135" s="3507"/>
      <c r="BQE135" s="3507"/>
      <c r="BQF135" s="3507"/>
      <c r="BQG135" s="3507"/>
      <c r="BQH135" s="3507"/>
      <c r="BQI135" s="3507"/>
      <c r="BQJ135" s="3507"/>
      <c r="BQK135" s="3507"/>
      <c r="BQL135" s="3507"/>
      <c r="BQM135" s="3507"/>
      <c r="BQN135" s="3507"/>
      <c r="BQO135" s="3507"/>
      <c r="BQP135" s="3507"/>
      <c r="BQQ135" s="3507"/>
      <c r="BQR135" s="3507"/>
      <c r="BQS135" s="3507"/>
      <c r="BQT135" s="3507"/>
      <c r="BQU135" s="3507"/>
      <c r="BQV135" s="3507"/>
      <c r="BQW135" s="3507"/>
      <c r="BQX135" s="3507"/>
      <c r="BQY135" s="3507"/>
      <c r="BQZ135" s="3507"/>
      <c r="BRA135" s="3507"/>
      <c r="BRB135" s="3507"/>
      <c r="BRC135" s="3507"/>
      <c r="BRD135" s="3507"/>
      <c r="BRE135" s="3507"/>
      <c r="BRF135" s="3507"/>
      <c r="BRG135" s="3507"/>
      <c r="BRH135" s="3507"/>
      <c r="BRI135" s="3507"/>
      <c r="BRJ135" s="3507"/>
      <c r="BRK135" s="3507"/>
      <c r="BRL135" s="3507"/>
      <c r="BRM135" s="3507"/>
      <c r="BRN135" s="3507"/>
      <c r="BRO135" s="3507"/>
      <c r="BRP135" s="3507"/>
      <c r="BRQ135" s="3507"/>
      <c r="BRR135" s="3507"/>
      <c r="BRS135" s="3507"/>
      <c r="BRT135" s="3507"/>
      <c r="BRU135" s="3507"/>
      <c r="BRV135" s="3507"/>
      <c r="BRW135" s="3507"/>
      <c r="BRX135" s="3507"/>
      <c r="BRY135" s="3507"/>
      <c r="BRZ135" s="3507"/>
      <c r="BSA135" s="3507"/>
      <c r="BSB135" s="3507"/>
      <c r="BSC135" s="3507"/>
      <c r="BSD135" s="3507"/>
      <c r="BSE135" s="3507"/>
      <c r="BSF135" s="3507"/>
      <c r="BSG135" s="3507"/>
      <c r="BSH135" s="3507"/>
      <c r="BSI135" s="3507"/>
      <c r="BSJ135" s="3507"/>
      <c r="BSK135" s="3507"/>
      <c r="BSL135" s="3507"/>
      <c r="BSM135" s="3507"/>
      <c r="BSN135" s="3507"/>
      <c r="BSO135" s="3507"/>
      <c r="BSP135" s="3507"/>
      <c r="BSQ135" s="3507"/>
      <c r="BSR135" s="3507"/>
      <c r="BSS135" s="3507"/>
      <c r="BST135" s="3507"/>
      <c r="BSU135" s="3507"/>
      <c r="BSV135" s="3507"/>
      <c r="BSW135" s="3507"/>
      <c r="BSX135" s="3507"/>
      <c r="BSY135" s="3507"/>
      <c r="BSZ135" s="3507"/>
      <c r="BTA135" s="3507"/>
      <c r="BTB135" s="3507"/>
      <c r="BTC135" s="3507"/>
      <c r="BTD135" s="3507"/>
      <c r="BTE135" s="3507"/>
      <c r="BTF135" s="3507"/>
      <c r="BTG135" s="3507"/>
      <c r="BTH135" s="3507"/>
      <c r="BTI135" s="3507"/>
      <c r="BTJ135" s="3507"/>
      <c r="BTK135" s="3507"/>
      <c r="BTL135" s="3507"/>
      <c r="BTM135" s="3507"/>
      <c r="BTN135" s="3507"/>
      <c r="BTO135" s="3507"/>
      <c r="BTP135" s="3507"/>
      <c r="BTQ135" s="3507"/>
      <c r="BTR135" s="3507"/>
      <c r="BTS135" s="3507"/>
      <c r="BTT135" s="3507"/>
      <c r="BTU135" s="3507"/>
      <c r="BTV135" s="3507"/>
      <c r="BTW135" s="3507"/>
      <c r="BTX135" s="3507"/>
      <c r="BTY135" s="3507"/>
      <c r="BTZ135" s="3507"/>
      <c r="BUA135" s="3507"/>
      <c r="BUB135" s="3507"/>
      <c r="BUC135" s="3507"/>
      <c r="BUD135" s="3507"/>
      <c r="BUE135" s="3507"/>
      <c r="BUF135" s="3507"/>
      <c r="BUG135" s="3507"/>
      <c r="BUH135" s="3507"/>
      <c r="BUI135" s="3507"/>
      <c r="BUJ135" s="3507"/>
      <c r="BUK135" s="3507"/>
      <c r="BUL135" s="3507"/>
      <c r="BUM135" s="3507"/>
      <c r="BUN135" s="3507"/>
      <c r="BUO135" s="3507"/>
      <c r="BUP135" s="3507"/>
      <c r="BUQ135" s="3507"/>
      <c r="BUR135" s="3507"/>
      <c r="BUS135" s="3507"/>
      <c r="BUT135" s="3507"/>
      <c r="BUU135" s="3507"/>
      <c r="BUV135" s="3507"/>
      <c r="BUW135" s="3507"/>
      <c r="BUX135" s="3507"/>
      <c r="BUY135" s="3507"/>
      <c r="BUZ135" s="3507"/>
      <c r="BVA135" s="3507"/>
      <c r="BVB135" s="3507"/>
      <c r="BVC135" s="3507"/>
      <c r="BVD135" s="3507"/>
      <c r="BVE135" s="3507"/>
      <c r="BVF135" s="3507"/>
      <c r="BVG135" s="3507"/>
      <c r="BVH135" s="3507"/>
      <c r="BVI135" s="3507"/>
      <c r="BVJ135" s="3507"/>
      <c r="BVK135" s="3507"/>
      <c r="BVL135" s="3507"/>
      <c r="BVM135" s="3507"/>
      <c r="BVN135" s="3507"/>
      <c r="BVO135" s="3507"/>
      <c r="BVP135" s="3507"/>
      <c r="BVQ135" s="3507"/>
      <c r="BVR135" s="3507"/>
      <c r="BVS135" s="3507"/>
      <c r="BVT135" s="3507"/>
      <c r="BVU135" s="3507"/>
      <c r="BVV135" s="3507"/>
      <c r="BVW135" s="3507"/>
      <c r="BVX135" s="3507"/>
      <c r="BVY135" s="3507"/>
      <c r="BVZ135" s="3507"/>
      <c r="BWA135" s="3507"/>
      <c r="BWB135" s="3507"/>
      <c r="BWC135" s="3507"/>
      <c r="BWD135" s="3507"/>
      <c r="BWE135" s="3507"/>
      <c r="BWF135" s="3507"/>
      <c r="BWG135" s="3507"/>
      <c r="BWH135" s="3507"/>
      <c r="BWI135" s="3507"/>
      <c r="BWJ135" s="3507"/>
      <c r="BWK135" s="3507"/>
      <c r="BWL135" s="3507"/>
      <c r="BWM135" s="3507"/>
      <c r="BWN135" s="3507"/>
      <c r="BWO135" s="3507"/>
      <c r="BWP135" s="3507"/>
      <c r="BWQ135" s="3507"/>
      <c r="BWR135" s="3507"/>
      <c r="BWS135" s="3507"/>
      <c r="BWT135" s="3507"/>
      <c r="BWU135" s="3507"/>
      <c r="BWV135" s="3507"/>
      <c r="BWW135" s="3507"/>
      <c r="BWX135" s="3507"/>
      <c r="BWY135" s="3507"/>
      <c r="BWZ135" s="3507"/>
      <c r="BXA135" s="3507"/>
      <c r="BXB135" s="3507"/>
      <c r="BXC135" s="3507"/>
      <c r="BXD135" s="3507"/>
      <c r="BXE135" s="3507"/>
      <c r="BXF135" s="3507"/>
      <c r="BXG135" s="3507"/>
      <c r="BXH135" s="3507"/>
      <c r="BXI135" s="3507"/>
      <c r="BXJ135" s="3507"/>
      <c r="BXK135" s="3507"/>
      <c r="BXL135" s="3507"/>
      <c r="BXM135" s="3507"/>
      <c r="BXN135" s="3507"/>
      <c r="BXO135" s="3507"/>
      <c r="BXP135" s="3507"/>
      <c r="BXQ135" s="3507"/>
      <c r="BXR135" s="3507"/>
      <c r="BXS135" s="3507"/>
      <c r="BXT135" s="3507"/>
      <c r="BXU135" s="3507"/>
      <c r="BXV135" s="3507"/>
      <c r="BXW135" s="3507"/>
      <c r="BXX135" s="3507"/>
      <c r="BXY135" s="3507"/>
      <c r="BXZ135" s="3507"/>
      <c r="BYA135" s="3507"/>
      <c r="BYB135" s="3507"/>
      <c r="BYC135" s="3507"/>
      <c r="BYD135" s="3507"/>
      <c r="BYE135" s="3507"/>
      <c r="BYF135" s="3507"/>
      <c r="BYG135" s="3507"/>
      <c r="BYH135" s="3507"/>
      <c r="BYI135" s="3507"/>
      <c r="BYJ135" s="3507"/>
      <c r="BYK135" s="3507"/>
      <c r="BYL135" s="3507"/>
      <c r="BYM135" s="3507"/>
      <c r="BYN135" s="3507"/>
      <c r="BYO135" s="3507"/>
      <c r="BYP135" s="3507"/>
      <c r="BYQ135" s="3507"/>
      <c r="BYR135" s="3507"/>
      <c r="BYS135" s="3507"/>
      <c r="BYT135" s="3507"/>
      <c r="BYU135" s="3507"/>
      <c r="BYV135" s="3507"/>
      <c r="BYW135" s="3507"/>
      <c r="BYX135" s="3507"/>
      <c r="BYY135" s="3507"/>
      <c r="BYZ135" s="3507"/>
      <c r="BZA135" s="3507"/>
      <c r="BZB135" s="3507"/>
      <c r="BZC135" s="3507"/>
      <c r="BZD135" s="3507"/>
      <c r="BZE135" s="3507"/>
      <c r="BZF135" s="3507"/>
      <c r="BZG135" s="3507"/>
      <c r="BZH135" s="3507"/>
      <c r="BZI135" s="3507"/>
      <c r="BZJ135" s="3507"/>
      <c r="BZK135" s="3507"/>
      <c r="BZL135" s="3507"/>
      <c r="BZM135" s="3507"/>
      <c r="BZN135" s="3507"/>
      <c r="BZO135" s="3507"/>
      <c r="BZP135" s="3507"/>
      <c r="BZQ135" s="3507"/>
      <c r="BZR135" s="3507"/>
      <c r="BZS135" s="3507"/>
      <c r="BZT135" s="3507"/>
      <c r="BZU135" s="3507"/>
      <c r="BZV135" s="3507"/>
      <c r="BZW135" s="3507"/>
      <c r="BZX135" s="3507"/>
      <c r="BZY135" s="3507"/>
      <c r="BZZ135" s="3507"/>
      <c r="CAA135" s="3507"/>
      <c r="CAB135" s="3507"/>
      <c r="CAC135" s="3507"/>
      <c r="CAD135" s="3507"/>
      <c r="CAE135" s="3507"/>
      <c r="CAF135" s="3507"/>
      <c r="CAG135" s="3507"/>
      <c r="CAH135" s="3507"/>
      <c r="CAI135" s="3507"/>
      <c r="CAJ135" s="3507"/>
      <c r="CAK135" s="3507"/>
      <c r="CAL135" s="3507"/>
      <c r="CAM135" s="3507"/>
      <c r="CAN135" s="3507"/>
      <c r="CAO135" s="3507"/>
      <c r="CAP135" s="3507"/>
      <c r="CAQ135" s="3507"/>
      <c r="CAR135" s="3507"/>
      <c r="CAS135" s="3507"/>
      <c r="CAT135" s="3507"/>
      <c r="CAU135" s="3507"/>
      <c r="CAV135" s="3507"/>
      <c r="CAW135" s="3507"/>
      <c r="CAX135" s="3507"/>
      <c r="CAY135" s="3507"/>
      <c r="CAZ135" s="3507"/>
      <c r="CBA135" s="3507"/>
      <c r="CBB135" s="3507"/>
      <c r="CBC135" s="3507"/>
      <c r="CBD135" s="3507"/>
      <c r="CBE135" s="3507"/>
      <c r="CBF135" s="3507"/>
      <c r="CBG135" s="3507"/>
      <c r="CBH135" s="3507"/>
      <c r="CBI135" s="3507"/>
      <c r="CBJ135" s="3507"/>
      <c r="CBK135" s="3507"/>
      <c r="CBL135" s="3507"/>
      <c r="CBM135" s="3507"/>
      <c r="CBN135" s="3507"/>
      <c r="CBO135" s="3507"/>
      <c r="CBP135" s="3507"/>
      <c r="CBQ135" s="3507"/>
      <c r="CBR135" s="3507"/>
      <c r="CBS135" s="3507"/>
      <c r="CBT135" s="3507"/>
      <c r="CBU135" s="3507"/>
      <c r="CBV135" s="3507"/>
      <c r="CBW135" s="3507"/>
      <c r="CBX135" s="3507"/>
      <c r="CBY135" s="3507"/>
      <c r="CBZ135" s="3507"/>
      <c r="CCA135" s="3507"/>
      <c r="CCB135" s="3507"/>
      <c r="CCC135" s="3507"/>
      <c r="CCD135" s="3507"/>
      <c r="CCE135" s="3507"/>
      <c r="CCF135" s="3507"/>
      <c r="CCG135" s="3507"/>
      <c r="CCH135" s="3507"/>
      <c r="CCI135" s="3507"/>
      <c r="CCJ135" s="3507"/>
      <c r="CCK135" s="3507"/>
      <c r="CCL135" s="3507"/>
      <c r="CCM135" s="3507"/>
      <c r="CCN135" s="3507"/>
      <c r="CCO135" s="3507"/>
      <c r="CCP135" s="3507"/>
      <c r="CCQ135" s="3507"/>
      <c r="CCR135" s="3507"/>
      <c r="CCS135" s="3507"/>
      <c r="CCT135" s="3507"/>
      <c r="CCU135" s="3507"/>
      <c r="CCV135" s="3507"/>
      <c r="CCW135" s="3507"/>
      <c r="CCX135" s="3507"/>
      <c r="CCY135" s="3507"/>
      <c r="CCZ135" s="3507"/>
      <c r="CDA135" s="3507"/>
      <c r="CDB135" s="3507"/>
      <c r="CDC135" s="3507"/>
      <c r="CDD135" s="3507"/>
      <c r="CDE135" s="3507"/>
      <c r="CDF135" s="3507"/>
      <c r="CDG135" s="3507"/>
      <c r="CDH135" s="3507"/>
      <c r="CDI135" s="3507"/>
      <c r="CDJ135" s="3507"/>
      <c r="CDK135" s="3507"/>
      <c r="CDL135" s="3507"/>
      <c r="CDM135" s="3507"/>
      <c r="CDN135" s="3507"/>
      <c r="CDO135" s="3507"/>
      <c r="CDP135" s="3507"/>
      <c r="CDQ135" s="3507"/>
      <c r="CDR135" s="3507"/>
      <c r="CDS135" s="3507"/>
      <c r="CDT135" s="3507"/>
      <c r="CDU135" s="3507"/>
      <c r="CDV135" s="3507"/>
      <c r="CDW135" s="3507"/>
      <c r="CDX135" s="3507"/>
      <c r="CDY135" s="3507"/>
      <c r="CDZ135" s="3507"/>
      <c r="CEA135" s="3507"/>
      <c r="CEB135" s="3507"/>
      <c r="CEC135" s="3507"/>
      <c r="CED135" s="3507"/>
      <c r="CEE135" s="3507"/>
      <c r="CEF135" s="3507"/>
      <c r="CEG135" s="3507"/>
      <c r="CEH135" s="3507"/>
      <c r="CEI135" s="3507"/>
      <c r="CEJ135" s="3507"/>
      <c r="CEK135" s="3507"/>
      <c r="CEL135" s="3507"/>
      <c r="CEM135" s="3507"/>
      <c r="CEN135" s="3507"/>
      <c r="CEO135" s="3507"/>
      <c r="CEP135" s="3507"/>
      <c r="CEQ135" s="3507"/>
      <c r="CER135" s="3507"/>
      <c r="CES135" s="3507"/>
      <c r="CET135" s="3507"/>
      <c r="CEU135" s="3507"/>
      <c r="CEV135" s="3507"/>
      <c r="CEW135" s="3507"/>
      <c r="CEX135" s="3507"/>
      <c r="CEY135" s="3507"/>
      <c r="CEZ135" s="3507"/>
      <c r="CFA135" s="3507"/>
      <c r="CFB135" s="3507"/>
      <c r="CFC135" s="3507"/>
      <c r="CFD135" s="3507"/>
      <c r="CFE135" s="3507"/>
      <c r="CFF135" s="3507"/>
      <c r="CFG135" s="3507"/>
      <c r="CFH135" s="3507"/>
      <c r="CFI135" s="3507"/>
      <c r="CFJ135" s="3507"/>
      <c r="CFK135" s="3507"/>
      <c r="CFL135" s="3507"/>
      <c r="CFM135" s="3507"/>
      <c r="CFN135" s="3507"/>
      <c r="CFO135" s="3507"/>
      <c r="CFP135" s="3507"/>
      <c r="CFQ135" s="3507"/>
      <c r="CFR135" s="3507"/>
      <c r="CFS135" s="3507"/>
      <c r="CFT135" s="3507"/>
      <c r="CFU135" s="3507"/>
      <c r="CFV135" s="3507"/>
      <c r="CFW135" s="3507"/>
      <c r="CFX135" s="3507"/>
      <c r="CFY135" s="3507"/>
      <c r="CFZ135" s="3507"/>
      <c r="CGA135" s="3507"/>
      <c r="CGB135" s="3507"/>
      <c r="CGC135" s="3507"/>
      <c r="CGD135" s="3507"/>
      <c r="CGE135" s="3507"/>
      <c r="CGF135" s="3507"/>
      <c r="CGG135" s="3507"/>
      <c r="CGH135" s="3507"/>
      <c r="CGI135" s="3507"/>
      <c r="CGJ135" s="3507"/>
      <c r="CGK135" s="3507"/>
      <c r="CGL135" s="3507"/>
      <c r="CGM135" s="3507"/>
      <c r="CGN135" s="3507"/>
      <c r="CGO135" s="3507"/>
      <c r="CGP135" s="3507"/>
      <c r="CGQ135" s="3507"/>
      <c r="CGR135" s="3507"/>
      <c r="CGS135" s="3507"/>
      <c r="CGT135" s="3507"/>
      <c r="CGU135" s="3507"/>
      <c r="CGV135" s="3507"/>
      <c r="CGW135" s="3507"/>
      <c r="CGX135" s="3507"/>
      <c r="CGY135" s="3507"/>
      <c r="CGZ135" s="3507"/>
      <c r="CHA135" s="3507"/>
      <c r="CHB135" s="3507"/>
      <c r="CHC135" s="3507"/>
      <c r="CHD135" s="3507"/>
      <c r="CHE135" s="3507"/>
      <c r="CHF135" s="3507"/>
      <c r="CHG135" s="3507"/>
      <c r="CHH135" s="3507"/>
      <c r="CHI135" s="3507"/>
      <c r="CHJ135" s="3507"/>
      <c r="CHK135" s="3507"/>
      <c r="CHL135" s="3507"/>
      <c r="CHM135" s="3507"/>
      <c r="CHN135" s="3507"/>
      <c r="CHO135" s="3507"/>
      <c r="CHP135" s="3507"/>
      <c r="CHQ135" s="3507"/>
      <c r="CHR135" s="3507"/>
      <c r="CHS135" s="3507"/>
      <c r="CHT135" s="3507"/>
      <c r="CHU135" s="3507"/>
      <c r="CHV135" s="3507"/>
      <c r="CHW135" s="3507"/>
      <c r="CHX135" s="3507"/>
      <c r="CHY135" s="3507"/>
      <c r="CHZ135" s="3507"/>
      <c r="CIA135" s="3507"/>
      <c r="CIB135" s="3507"/>
      <c r="CIC135" s="3507"/>
      <c r="CID135" s="3507"/>
      <c r="CIE135" s="3507"/>
      <c r="CIF135" s="3507"/>
      <c r="CIG135" s="3507"/>
      <c r="CIH135" s="3507"/>
      <c r="CII135" s="3507"/>
      <c r="CIJ135" s="3507"/>
      <c r="CIK135" s="3507"/>
      <c r="CIL135" s="3507"/>
      <c r="CIM135" s="3507"/>
      <c r="CIN135" s="3507"/>
      <c r="CIO135" s="3507"/>
      <c r="CIP135" s="3507"/>
      <c r="CIQ135" s="3507"/>
      <c r="CIR135" s="3507"/>
      <c r="CIS135" s="3507"/>
      <c r="CIT135" s="3507"/>
      <c r="CIU135" s="3507"/>
      <c r="CIV135" s="3507"/>
      <c r="CIW135" s="3507"/>
      <c r="CIX135" s="3507"/>
      <c r="CIY135" s="3507"/>
      <c r="CIZ135" s="3507"/>
      <c r="CJA135" s="3507"/>
      <c r="CJB135" s="3507"/>
      <c r="CJC135" s="3507"/>
      <c r="CJD135" s="3507"/>
      <c r="CJE135" s="3507"/>
      <c r="CJF135" s="3507"/>
      <c r="CJG135" s="3507"/>
      <c r="CJH135" s="3507"/>
      <c r="CJI135" s="3507"/>
      <c r="CJJ135" s="3507"/>
      <c r="CJK135" s="3507"/>
      <c r="CJL135" s="3507"/>
      <c r="CJM135" s="3507"/>
      <c r="CJN135" s="3507"/>
      <c r="CJO135" s="3507"/>
      <c r="CJP135" s="3507"/>
      <c r="CJQ135" s="3507"/>
      <c r="CJR135" s="3507"/>
      <c r="CJS135" s="3507"/>
      <c r="CJT135" s="3507"/>
      <c r="CJU135" s="3507"/>
      <c r="CJV135" s="3507"/>
      <c r="CJW135" s="3507"/>
      <c r="CJX135" s="3507"/>
      <c r="CJY135" s="3507"/>
      <c r="CJZ135" s="3507"/>
      <c r="CKA135" s="3507"/>
      <c r="CKB135" s="3507"/>
      <c r="CKC135" s="3507"/>
      <c r="CKD135" s="3507"/>
      <c r="CKE135" s="3507"/>
      <c r="CKF135" s="3507"/>
      <c r="CKG135" s="3507"/>
      <c r="CKH135" s="3507"/>
      <c r="CKI135" s="3507"/>
      <c r="CKJ135" s="3507"/>
      <c r="CKK135" s="3507"/>
      <c r="CKL135" s="3507"/>
      <c r="CKM135" s="3507"/>
      <c r="CKN135" s="3507"/>
      <c r="CKO135" s="3507"/>
      <c r="CKP135" s="3507"/>
      <c r="CKQ135" s="3507"/>
      <c r="CKR135" s="3507"/>
      <c r="CKS135" s="3507"/>
      <c r="CKT135" s="3507"/>
      <c r="CKU135" s="3507"/>
      <c r="CKV135" s="3507"/>
      <c r="CKW135" s="3507"/>
      <c r="CKX135" s="3507"/>
      <c r="CKY135" s="3507"/>
      <c r="CKZ135" s="3507"/>
      <c r="CLA135" s="3507"/>
      <c r="CLB135" s="3507"/>
      <c r="CLC135" s="3507"/>
      <c r="CLD135" s="3507"/>
      <c r="CLE135" s="3507"/>
      <c r="CLF135" s="3507"/>
      <c r="CLG135" s="3507"/>
      <c r="CLH135" s="3507"/>
      <c r="CLI135" s="3507"/>
      <c r="CLJ135" s="3507"/>
      <c r="CLK135" s="3507"/>
      <c r="CLL135" s="3507"/>
      <c r="CLM135" s="3507"/>
      <c r="CLN135" s="3507"/>
      <c r="CLO135" s="3507"/>
      <c r="CLP135" s="3507"/>
      <c r="CLQ135" s="3507"/>
      <c r="CLR135" s="3507"/>
      <c r="CLS135" s="3507"/>
      <c r="CLT135" s="3507"/>
      <c r="CLU135" s="3507"/>
      <c r="CLV135" s="3507"/>
      <c r="CLW135" s="3507"/>
      <c r="CLX135" s="3507"/>
      <c r="CLY135" s="3507"/>
      <c r="CLZ135" s="3507"/>
      <c r="CMA135" s="3507"/>
      <c r="CMB135" s="3507"/>
      <c r="CMC135" s="3507"/>
      <c r="CMD135" s="3507"/>
      <c r="CME135" s="3507"/>
      <c r="CMF135" s="3507"/>
      <c r="CMG135" s="3507"/>
      <c r="CMH135" s="3507"/>
      <c r="CMI135" s="3507"/>
      <c r="CMJ135" s="3507"/>
      <c r="CMK135" s="3507"/>
      <c r="CML135" s="3507"/>
      <c r="CMM135" s="3507"/>
      <c r="CMN135" s="3507"/>
      <c r="CMO135" s="3507"/>
      <c r="CMP135" s="3507"/>
      <c r="CMQ135" s="3507"/>
      <c r="CMR135" s="3507"/>
      <c r="CMS135" s="3507"/>
      <c r="CMT135" s="3507"/>
      <c r="CMU135" s="3507"/>
      <c r="CMV135" s="3507"/>
      <c r="CMW135" s="3507"/>
      <c r="CMX135" s="3507"/>
      <c r="CMY135" s="3507"/>
      <c r="CMZ135" s="3507"/>
      <c r="CNA135" s="3507"/>
      <c r="CNB135" s="3507"/>
      <c r="CNC135" s="3507"/>
      <c r="CND135" s="3507"/>
      <c r="CNE135" s="3507"/>
      <c r="CNF135" s="3507"/>
      <c r="CNG135" s="3507"/>
      <c r="CNH135" s="3507"/>
      <c r="CNI135" s="3507"/>
      <c r="CNJ135" s="3507"/>
      <c r="CNK135" s="3507"/>
      <c r="CNL135" s="3507"/>
      <c r="CNM135" s="3507"/>
      <c r="CNN135" s="3507"/>
      <c r="CNO135" s="3507"/>
      <c r="CNP135" s="3507"/>
      <c r="CNQ135" s="3507"/>
      <c r="CNR135" s="3507"/>
      <c r="CNS135" s="3507"/>
      <c r="CNT135" s="3507"/>
      <c r="CNU135" s="3507"/>
      <c r="CNV135" s="3507"/>
      <c r="CNW135" s="3507"/>
      <c r="CNX135" s="3507"/>
      <c r="CNY135" s="3507"/>
      <c r="CNZ135" s="3507"/>
      <c r="COA135" s="3507"/>
      <c r="COB135" s="3507"/>
      <c r="COC135" s="3507"/>
      <c r="COD135" s="3507"/>
      <c r="COE135" s="3507"/>
      <c r="COF135" s="3507"/>
      <c r="COG135" s="3507"/>
      <c r="COH135" s="3507"/>
      <c r="COI135" s="3507"/>
      <c r="COJ135" s="3507"/>
      <c r="COK135" s="3507"/>
      <c r="COL135" s="3507"/>
      <c r="COM135" s="3507"/>
      <c r="CON135" s="3507"/>
      <c r="COO135" s="3507"/>
      <c r="COP135" s="3507"/>
      <c r="COQ135" s="3507"/>
      <c r="COR135" s="3507"/>
      <c r="COS135" s="3507"/>
      <c r="COT135" s="3507"/>
      <c r="COU135" s="3507"/>
      <c r="COV135" s="3507"/>
      <c r="COW135" s="3507"/>
      <c r="COX135" s="3507"/>
      <c r="COY135" s="3507"/>
      <c r="COZ135" s="3507"/>
      <c r="CPA135" s="3507"/>
      <c r="CPB135" s="3507"/>
      <c r="CPC135" s="3507"/>
      <c r="CPD135" s="3507"/>
      <c r="CPE135" s="3507"/>
      <c r="CPF135" s="3507"/>
      <c r="CPG135" s="3507"/>
      <c r="CPH135" s="3507"/>
      <c r="CPI135" s="3507"/>
      <c r="CPJ135" s="3507"/>
      <c r="CPK135" s="3507"/>
      <c r="CPL135" s="3507"/>
      <c r="CPM135" s="3507"/>
      <c r="CPN135" s="3507"/>
      <c r="CPO135" s="3507"/>
      <c r="CPP135" s="3507"/>
      <c r="CPQ135" s="3507"/>
      <c r="CPR135" s="3507"/>
      <c r="CPS135" s="3507"/>
      <c r="CPT135" s="3507"/>
      <c r="CPU135" s="3507"/>
      <c r="CPV135" s="3507"/>
      <c r="CPW135" s="3507"/>
      <c r="CPX135" s="3507"/>
      <c r="CPY135" s="3507"/>
      <c r="CPZ135" s="3507"/>
      <c r="CQA135" s="3507"/>
      <c r="CQB135" s="3507"/>
      <c r="CQC135" s="3507"/>
      <c r="CQD135" s="3507"/>
      <c r="CQE135" s="3507"/>
      <c r="CQF135" s="3507"/>
      <c r="CQG135" s="3507"/>
      <c r="CQH135" s="3507"/>
      <c r="CQI135" s="3507"/>
      <c r="CQJ135" s="3507"/>
      <c r="CQK135" s="3507"/>
      <c r="CQL135" s="3507"/>
      <c r="CQM135" s="3507"/>
      <c r="CQN135" s="3507"/>
      <c r="CQO135" s="3507"/>
      <c r="CQP135" s="3507"/>
      <c r="CQQ135" s="3507"/>
      <c r="CQR135" s="3507"/>
      <c r="CQS135" s="3507"/>
      <c r="CQT135" s="3507"/>
      <c r="CQU135" s="3507"/>
      <c r="CQV135" s="3507"/>
      <c r="CQW135" s="3507"/>
      <c r="CQX135" s="3507"/>
      <c r="CQY135" s="3507"/>
      <c r="CQZ135" s="3507"/>
      <c r="CRA135" s="3507"/>
      <c r="CRB135" s="3507"/>
      <c r="CRC135" s="3507"/>
      <c r="CRD135" s="3507"/>
      <c r="CRE135" s="3507"/>
      <c r="CRF135" s="3507"/>
      <c r="CRG135" s="3507"/>
      <c r="CRH135" s="3507"/>
      <c r="CRI135" s="3507"/>
      <c r="CRJ135" s="3507"/>
      <c r="CRK135" s="3507"/>
      <c r="CRL135" s="3507"/>
      <c r="CRM135" s="3507"/>
      <c r="CRN135" s="3507"/>
      <c r="CRO135" s="3507"/>
      <c r="CRP135" s="3507"/>
      <c r="CRQ135" s="3507"/>
      <c r="CRR135" s="3507"/>
      <c r="CRS135" s="3507"/>
      <c r="CRT135" s="3507"/>
      <c r="CRU135" s="3507"/>
      <c r="CRV135" s="3507"/>
      <c r="CRW135" s="3507"/>
      <c r="CRX135" s="3507"/>
      <c r="CRY135" s="3507"/>
      <c r="CRZ135" s="3507"/>
      <c r="CSA135" s="3507"/>
      <c r="CSB135" s="3507"/>
      <c r="CSC135" s="3507"/>
      <c r="CSD135" s="3507"/>
      <c r="CSE135" s="3507"/>
      <c r="CSF135" s="3507"/>
      <c r="CSG135" s="3507"/>
      <c r="CSH135" s="3507"/>
      <c r="CSI135" s="3507"/>
      <c r="CSJ135" s="3507"/>
      <c r="CSK135" s="3507"/>
      <c r="CSL135" s="3507"/>
      <c r="CSM135" s="3507"/>
      <c r="CSN135" s="3507"/>
      <c r="CSO135" s="3507"/>
      <c r="CSP135" s="3507"/>
      <c r="CSQ135" s="3507"/>
      <c r="CSR135" s="3507"/>
      <c r="CSS135" s="3507"/>
      <c r="CST135" s="3507"/>
      <c r="CSU135" s="3507"/>
      <c r="CSV135" s="3507"/>
      <c r="CSW135" s="3507"/>
      <c r="CSX135" s="3507"/>
      <c r="CSY135" s="3507"/>
      <c r="CSZ135" s="3507"/>
      <c r="CTA135" s="3507"/>
      <c r="CTB135" s="3507"/>
      <c r="CTC135" s="3507"/>
      <c r="CTD135" s="3507"/>
      <c r="CTE135" s="3507"/>
      <c r="CTF135" s="3507"/>
      <c r="CTG135" s="3507"/>
      <c r="CTH135" s="3507"/>
      <c r="CTI135" s="3507"/>
      <c r="CTJ135" s="3507"/>
      <c r="CTK135" s="3507"/>
      <c r="CTL135" s="3507"/>
      <c r="CTM135" s="3507"/>
      <c r="CTN135" s="3507"/>
      <c r="CTO135" s="3507"/>
      <c r="CTP135" s="3507"/>
      <c r="CTQ135" s="3507"/>
      <c r="CTR135" s="3507"/>
      <c r="CTS135" s="3507"/>
      <c r="CTT135" s="3507"/>
      <c r="CTU135" s="3507"/>
      <c r="CTV135" s="3507"/>
      <c r="CTW135" s="3507"/>
      <c r="CTX135" s="3507"/>
      <c r="CTY135" s="3507"/>
      <c r="CTZ135" s="3507"/>
      <c r="CUA135" s="3507"/>
      <c r="CUB135" s="3507"/>
      <c r="CUC135" s="3507"/>
      <c r="CUD135" s="3507"/>
      <c r="CUE135" s="3507"/>
      <c r="CUF135" s="3507"/>
      <c r="CUG135" s="3507"/>
      <c r="CUH135" s="3507"/>
      <c r="CUI135" s="3507"/>
      <c r="CUJ135" s="3507"/>
      <c r="CUK135" s="3507"/>
      <c r="CUL135" s="3507"/>
      <c r="CUM135" s="3507"/>
      <c r="CUN135" s="3507"/>
      <c r="CUO135" s="3507"/>
      <c r="CUP135" s="3507"/>
      <c r="CUQ135" s="3507"/>
      <c r="CUR135" s="3507"/>
      <c r="CUS135" s="3507"/>
      <c r="CUT135" s="3507"/>
      <c r="CUU135" s="3507"/>
      <c r="CUV135" s="3507"/>
      <c r="CUW135" s="3507"/>
      <c r="CUX135" s="3507"/>
      <c r="CUY135" s="3507"/>
      <c r="CUZ135" s="3507"/>
      <c r="CVA135" s="3507"/>
      <c r="CVB135" s="3507"/>
      <c r="CVC135" s="3507"/>
      <c r="CVD135" s="3507"/>
      <c r="CVE135" s="3507"/>
      <c r="CVF135" s="3507"/>
      <c r="CVG135" s="3507"/>
      <c r="CVH135" s="3507"/>
      <c r="CVI135" s="3507"/>
      <c r="CVJ135" s="3507"/>
      <c r="CVK135" s="3507"/>
      <c r="CVL135" s="3507"/>
      <c r="CVM135" s="3507"/>
      <c r="CVN135" s="3507"/>
      <c r="CVO135" s="3507"/>
      <c r="CVP135" s="3507"/>
      <c r="CVQ135" s="3507"/>
      <c r="CVR135" s="3507"/>
      <c r="CVS135" s="3507"/>
      <c r="CVT135" s="3507"/>
      <c r="CVU135" s="3507"/>
      <c r="CVV135" s="3507"/>
      <c r="CVW135" s="3507"/>
      <c r="CVX135" s="3507"/>
      <c r="CVY135" s="3507"/>
      <c r="CVZ135" s="3507"/>
      <c r="CWA135" s="3507"/>
      <c r="CWB135" s="3507"/>
      <c r="CWC135" s="3507"/>
      <c r="CWD135" s="3507"/>
      <c r="CWE135" s="3507"/>
      <c r="CWF135" s="3507"/>
      <c r="CWG135" s="3507"/>
      <c r="CWH135" s="3507"/>
      <c r="CWI135" s="3507"/>
      <c r="CWJ135" s="3507"/>
      <c r="CWK135" s="3507"/>
      <c r="CWL135" s="3507"/>
      <c r="CWM135" s="3507"/>
      <c r="CWN135" s="3507"/>
      <c r="CWO135" s="3507"/>
      <c r="CWP135" s="3507"/>
      <c r="CWQ135" s="3507"/>
      <c r="CWR135" s="3507"/>
      <c r="CWS135" s="3507"/>
      <c r="CWT135" s="3507"/>
      <c r="CWU135" s="3507"/>
      <c r="CWV135" s="3507"/>
      <c r="CWW135" s="3507"/>
      <c r="CWX135" s="3507"/>
      <c r="CWY135" s="3507"/>
      <c r="CWZ135" s="3507"/>
      <c r="CXA135" s="3507"/>
      <c r="CXB135" s="3507"/>
      <c r="CXC135" s="3507"/>
      <c r="CXD135" s="3507"/>
      <c r="CXE135" s="3507"/>
      <c r="CXF135" s="3507"/>
      <c r="CXG135" s="3507"/>
      <c r="CXH135" s="3507"/>
      <c r="CXI135" s="3507"/>
      <c r="CXJ135" s="3507"/>
      <c r="CXK135" s="3507"/>
      <c r="CXL135" s="3507"/>
      <c r="CXM135" s="3507"/>
      <c r="CXN135" s="3507"/>
      <c r="CXO135" s="3507"/>
      <c r="CXP135" s="3507"/>
      <c r="CXQ135" s="3507"/>
      <c r="CXR135" s="3507"/>
      <c r="CXS135" s="3507"/>
      <c r="CXT135" s="3507"/>
      <c r="CXU135" s="3507"/>
      <c r="CXV135" s="3507"/>
      <c r="CXW135" s="3507"/>
      <c r="CXX135" s="3507"/>
      <c r="CXY135" s="3507"/>
      <c r="CXZ135" s="3507"/>
      <c r="CYA135" s="3507"/>
      <c r="CYB135" s="3507"/>
      <c r="CYC135" s="3507"/>
      <c r="CYD135" s="3507"/>
      <c r="CYE135" s="3507"/>
      <c r="CYF135" s="3507"/>
      <c r="CYG135" s="3507"/>
      <c r="CYH135" s="3507"/>
      <c r="CYI135" s="3507"/>
      <c r="CYJ135" s="3507"/>
      <c r="CYK135" s="3507"/>
      <c r="CYL135" s="3507"/>
      <c r="CYM135" s="3507"/>
      <c r="CYN135" s="3507"/>
      <c r="CYO135" s="3507"/>
      <c r="CYP135" s="3507"/>
      <c r="CYQ135" s="3507"/>
      <c r="CYR135" s="3507"/>
      <c r="CYS135" s="3507"/>
      <c r="CYT135" s="3507"/>
      <c r="CYU135" s="3507"/>
      <c r="CYV135" s="3507"/>
      <c r="CYW135" s="3507"/>
      <c r="CYX135" s="3507"/>
      <c r="CYY135" s="3507"/>
      <c r="CYZ135" s="3507"/>
      <c r="CZA135" s="3507"/>
      <c r="CZB135" s="3507"/>
      <c r="CZC135" s="3507"/>
      <c r="CZD135" s="3507"/>
      <c r="CZE135" s="3507"/>
      <c r="CZF135" s="3507"/>
      <c r="CZG135" s="3507"/>
      <c r="CZH135" s="3507"/>
      <c r="CZI135" s="3507"/>
      <c r="CZJ135" s="3507"/>
      <c r="CZK135" s="3507"/>
      <c r="CZL135" s="3507"/>
      <c r="CZM135" s="3507"/>
      <c r="CZN135" s="3507"/>
      <c r="CZO135" s="3507"/>
      <c r="CZP135" s="3507"/>
      <c r="CZQ135" s="3507"/>
      <c r="CZR135" s="3507"/>
      <c r="CZS135" s="3507"/>
      <c r="CZT135" s="3507"/>
      <c r="CZU135" s="3507"/>
      <c r="CZV135" s="3507"/>
      <c r="CZW135" s="3507"/>
      <c r="CZX135" s="3507"/>
      <c r="CZY135" s="3507"/>
      <c r="CZZ135" s="3507"/>
      <c r="DAA135" s="3507"/>
      <c r="DAB135" s="3507"/>
      <c r="DAC135" s="3507"/>
      <c r="DAD135" s="3507"/>
      <c r="DAE135" s="3507"/>
      <c r="DAF135" s="3507"/>
      <c r="DAG135" s="3507"/>
      <c r="DAH135" s="3507"/>
      <c r="DAI135" s="3507"/>
      <c r="DAJ135" s="3507"/>
      <c r="DAK135" s="3507"/>
      <c r="DAL135" s="3507"/>
      <c r="DAM135" s="3507"/>
      <c r="DAN135" s="3507"/>
      <c r="DAO135" s="3507"/>
      <c r="DAP135" s="3507"/>
      <c r="DAQ135" s="3507"/>
      <c r="DAR135" s="3507"/>
      <c r="DAS135" s="3507"/>
      <c r="DAT135" s="3507"/>
      <c r="DAU135" s="3507"/>
      <c r="DAV135" s="3507"/>
      <c r="DAW135" s="3507"/>
      <c r="DAX135" s="3507"/>
      <c r="DAY135" s="3507"/>
      <c r="DAZ135" s="3507"/>
      <c r="DBA135" s="3507"/>
      <c r="DBB135" s="3507"/>
      <c r="DBC135" s="3507"/>
      <c r="DBD135" s="3507"/>
      <c r="DBE135" s="3507"/>
      <c r="DBF135" s="3507"/>
      <c r="DBG135" s="3507"/>
      <c r="DBH135" s="3507"/>
      <c r="DBI135" s="3507"/>
      <c r="DBJ135" s="3507"/>
      <c r="DBK135" s="3507"/>
      <c r="DBL135" s="3507"/>
      <c r="DBM135" s="3507"/>
      <c r="DBN135" s="3507"/>
      <c r="DBO135" s="3507"/>
      <c r="DBP135" s="3507"/>
      <c r="DBQ135" s="3507"/>
      <c r="DBR135" s="3507"/>
      <c r="DBS135" s="3507"/>
      <c r="DBT135" s="3507"/>
      <c r="DBU135" s="3507"/>
      <c r="DBV135" s="3507"/>
      <c r="DBW135" s="3507"/>
      <c r="DBX135" s="3507"/>
      <c r="DBY135" s="3507"/>
      <c r="DBZ135" s="3507"/>
      <c r="DCA135" s="3507"/>
      <c r="DCB135" s="3507"/>
      <c r="DCC135" s="3507"/>
      <c r="DCD135" s="3507"/>
      <c r="DCE135" s="3507"/>
      <c r="DCF135" s="3507"/>
      <c r="DCG135" s="3507"/>
      <c r="DCH135" s="3507"/>
      <c r="DCI135" s="3507"/>
      <c r="DCJ135" s="3507"/>
      <c r="DCK135" s="3507"/>
      <c r="DCL135" s="3507"/>
      <c r="DCM135" s="3507"/>
      <c r="DCN135" s="3507"/>
      <c r="DCO135" s="3507"/>
      <c r="DCP135" s="3507"/>
      <c r="DCQ135" s="3507"/>
      <c r="DCR135" s="3507"/>
      <c r="DCS135" s="3507"/>
      <c r="DCT135" s="3507"/>
      <c r="DCU135" s="3507"/>
      <c r="DCV135" s="3507"/>
      <c r="DCW135" s="3507"/>
      <c r="DCX135" s="3507"/>
      <c r="DCY135" s="3507"/>
      <c r="DCZ135" s="3507"/>
      <c r="DDA135" s="3507"/>
      <c r="DDB135" s="3507"/>
      <c r="DDC135" s="3507"/>
      <c r="DDD135" s="3507"/>
      <c r="DDE135" s="3507"/>
      <c r="DDF135" s="3507"/>
      <c r="DDG135" s="3507"/>
      <c r="DDH135" s="3507"/>
      <c r="DDI135" s="3507"/>
      <c r="DDJ135" s="3507"/>
      <c r="DDK135" s="3507"/>
      <c r="DDL135" s="3507"/>
      <c r="DDM135" s="3507"/>
      <c r="DDN135" s="3507"/>
      <c r="DDO135" s="3507"/>
      <c r="DDP135" s="3507"/>
      <c r="DDQ135" s="3507"/>
      <c r="DDR135" s="3507"/>
      <c r="DDS135" s="3507"/>
      <c r="DDT135" s="3507"/>
      <c r="DDU135" s="3507"/>
      <c r="DDV135" s="3507"/>
      <c r="DDW135" s="3507"/>
      <c r="DDX135" s="3507"/>
      <c r="DDY135" s="3507"/>
      <c r="DDZ135" s="3507"/>
      <c r="DEA135" s="3507"/>
      <c r="DEB135" s="3507"/>
      <c r="DEC135" s="3507"/>
      <c r="DED135" s="3507"/>
      <c r="DEE135" s="3507"/>
      <c r="DEF135" s="3507"/>
      <c r="DEG135" s="3507"/>
      <c r="DEH135" s="3507"/>
      <c r="DEI135" s="3507"/>
      <c r="DEJ135" s="3507"/>
      <c r="DEK135" s="3507"/>
      <c r="DEL135" s="3507"/>
      <c r="DEM135" s="3507"/>
      <c r="DEN135" s="3507"/>
      <c r="DEO135" s="3507"/>
      <c r="DEP135" s="3507"/>
      <c r="DEQ135" s="3507"/>
      <c r="DER135" s="3507"/>
      <c r="DES135" s="3507"/>
      <c r="DET135" s="3507"/>
      <c r="DEU135" s="3507"/>
      <c r="DEV135" s="3507"/>
      <c r="DEW135" s="3507"/>
      <c r="DEX135" s="3507"/>
      <c r="DEY135" s="3507"/>
      <c r="DEZ135" s="3507"/>
      <c r="DFA135" s="3507"/>
      <c r="DFB135" s="3507"/>
      <c r="DFC135" s="3507"/>
      <c r="DFD135" s="3507"/>
      <c r="DFE135" s="3507"/>
      <c r="DFF135" s="3507"/>
      <c r="DFG135" s="3507"/>
      <c r="DFH135" s="3507"/>
      <c r="DFI135" s="3507"/>
      <c r="DFJ135" s="3507"/>
      <c r="DFK135" s="3507"/>
      <c r="DFL135" s="3507"/>
      <c r="DFM135" s="3507"/>
      <c r="DFN135" s="3507"/>
      <c r="DFO135" s="3507"/>
      <c r="DFP135" s="3507"/>
      <c r="DFQ135" s="3507"/>
      <c r="DFR135" s="3507"/>
      <c r="DFS135" s="3507"/>
      <c r="DFT135" s="3507"/>
      <c r="DFU135" s="3507"/>
      <c r="DFV135" s="3507"/>
      <c r="DFW135" s="3507"/>
      <c r="DFX135" s="3507"/>
      <c r="DFY135" s="3507"/>
      <c r="DFZ135" s="3507"/>
      <c r="DGA135" s="3507"/>
      <c r="DGB135" s="3507"/>
      <c r="DGC135" s="3507"/>
      <c r="DGD135" s="3507"/>
      <c r="DGE135" s="3507"/>
      <c r="DGF135" s="3507"/>
      <c r="DGG135" s="3507"/>
      <c r="DGH135" s="3507"/>
      <c r="DGI135" s="3507"/>
      <c r="DGJ135" s="3507"/>
      <c r="DGK135" s="3507"/>
      <c r="DGL135" s="3507"/>
      <c r="DGM135" s="3507"/>
      <c r="DGN135" s="3507"/>
      <c r="DGO135" s="3507"/>
      <c r="DGP135" s="3507"/>
      <c r="DGQ135" s="3507"/>
      <c r="DGR135" s="3507"/>
      <c r="DGS135" s="3507"/>
      <c r="DGT135" s="3507"/>
      <c r="DGU135" s="3507"/>
      <c r="DGV135" s="3507"/>
      <c r="DGW135" s="3507"/>
      <c r="DGX135" s="3507"/>
      <c r="DGY135" s="3507"/>
      <c r="DGZ135" s="3507"/>
      <c r="DHA135" s="3507"/>
      <c r="DHB135" s="3507"/>
      <c r="DHC135" s="3507"/>
      <c r="DHD135" s="3507"/>
      <c r="DHE135" s="3507"/>
      <c r="DHF135" s="3507"/>
      <c r="DHG135" s="3507"/>
      <c r="DHH135" s="3507"/>
      <c r="DHI135" s="3507"/>
      <c r="DHJ135" s="3507"/>
      <c r="DHK135" s="3507"/>
      <c r="DHL135" s="3507"/>
      <c r="DHM135" s="3507"/>
      <c r="DHN135" s="3507"/>
      <c r="DHO135" s="3507"/>
      <c r="DHP135" s="3507"/>
      <c r="DHQ135" s="3507"/>
      <c r="DHR135" s="3507"/>
      <c r="DHS135" s="3507"/>
      <c r="DHT135" s="3507"/>
      <c r="DHU135" s="3507"/>
      <c r="DHV135" s="3507"/>
      <c r="DHW135" s="3507"/>
      <c r="DHX135" s="3507"/>
      <c r="DHY135" s="3507"/>
      <c r="DHZ135" s="3507"/>
      <c r="DIA135" s="3507"/>
      <c r="DIB135" s="3507"/>
      <c r="DIC135" s="3507"/>
      <c r="DID135" s="3507"/>
      <c r="DIE135" s="3507"/>
      <c r="DIF135" s="3507"/>
      <c r="DIG135" s="3507"/>
      <c r="DIH135" s="3507"/>
      <c r="DII135" s="3507"/>
      <c r="DIJ135" s="3507"/>
      <c r="DIK135" s="3507"/>
      <c r="DIL135" s="3507"/>
      <c r="DIM135" s="3507"/>
      <c r="DIN135" s="3507"/>
      <c r="DIO135" s="3507"/>
      <c r="DIP135" s="3507"/>
      <c r="DIQ135" s="3507"/>
      <c r="DIR135" s="3507"/>
      <c r="DIS135" s="3507"/>
      <c r="DIT135" s="3507"/>
      <c r="DIU135" s="3507"/>
      <c r="DIV135" s="3507"/>
      <c r="DIW135" s="3507"/>
      <c r="DIX135" s="3507"/>
      <c r="DIY135" s="3507"/>
      <c r="DIZ135" s="3507"/>
      <c r="DJA135" s="3507"/>
      <c r="DJB135" s="3507"/>
      <c r="DJC135" s="3507"/>
      <c r="DJD135" s="3507"/>
      <c r="DJE135" s="3507"/>
      <c r="DJF135" s="3507"/>
      <c r="DJG135" s="3507"/>
      <c r="DJH135" s="3507"/>
      <c r="DJI135" s="3507"/>
      <c r="DJJ135" s="3507"/>
      <c r="DJK135" s="3507"/>
      <c r="DJL135" s="3507"/>
      <c r="DJM135" s="3507"/>
      <c r="DJN135" s="3507"/>
      <c r="DJO135" s="3507"/>
      <c r="DJP135" s="3507"/>
      <c r="DJQ135" s="3507"/>
      <c r="DJR135" s="3507"/>
      <c r="DJS135" s="3507"/>
      <c r="DJT135" s="3507"/>
      <c r="DJU135" s="3507"/>
      <c r="DJV135" s="3507"/>
      <c r="DJW135" s="3507"/>
      <c r="DJX135" s="3507"/>
      <c r="DJY135" s="3507"/>
      <c r="DJZ135" s="3507"/>
      <c r="DKA135" s="3507"/>
      <c r="DKB135" s="3507"/>
      <c r="DKC135" s="3507"/>
      <c r="DKD135" s="3507"/>
      <c r="DKE135" s="3507"/>
      <c r="DKF135" s="3507"/>
      <c r="DKG135" s="3507"/>
      <c r="DKH135" s="3507"/>
      <c r="DKI135" s="3507"/>
      <c r="DKJ135" s="3507"/>
      <c r="DKK135" s="3507"/>
      <c r="DKL135" s="3507"/>
      <c r="DKM135" s="3507"/>
      <c r="DKN135" s="3507"/>
      <c r="DKO135" s="3507"/>
      <c r="DKP135" s="3507"/>
      <c r="DKQ135" s="3507"/>
      <c r="DKR135" s="3507"/>
      <c r="DKS135" s="3507"/>
      <c r="DKT135" s="3507"/>
      <c r="DKU135" s="3507"/>
      <c r="DKV135" s="3507"/>
      <c r="DKW135" s="3507"/>
      <c r="DKX135" s="3507"/>
      <c r="DKY135" s="3507"/>
      <c r="DKZ135" s="3507"/>
      <c r="DLA135" s="3507"/>
      <c r="DLB135" s="3507"/>
      <c r="DLC135" s="3507"/>
      <c r="DLD135" s="3507"/>
      <c r="DLE135" s="3507"/>
      <c r="DLF135" s="3507"/>
      <c r="DLG135" s="3507"/>
      <c r="DLH135" s="3507"/>
      <c r="DLI135" s="3507"/>
      <c r="DLJ135" s="3507"/>
      <c r="DLK135" s="3507"/>
      <c r="DLL135" s="3507"/>
      <c r="DLM135" s="3507"/>
      <c r="DLN135" s="3507"/>
      <c r="DLO135" s="3507"/>
      <c r="DLP135" s="3507"/>
      <c r="DLQ135" s="3507"/>
      <c r="DLR135" s="3507"/>
      <c r="DLS135" s="3507"/>
      <c r="DLT135" s="3507"/>
      <c r="DLU135" s="3507"/>
      <c r="DLV135" s="3507"/>
      <c r="DLW135" s="3507"/>
      <c r="DLX135" s="3507"/>
      <c r="DLY135" s="3507"/>
      <c r="DLZ135" s="3507"/>
      <c r="DMA135" s="3507"/>
      <c r="DMB135" s="3507"/>
      <c r="DMC135" s="3507"/>
      <c r="DMD135" s="3507"/>
      <c r="DME135" s="3507"/>
      <c r="DMF135" s="3507"/>
      <c r="DMG135" s="3507"/>
      <c r="DMH135" s="3507"/>
      <c r="DMI135" s="3507"/>
      <c r="DMJ135" s="3507"/>
      <c r="DMK135" s="3507"/>
      <c r="DML135" s="3507"/>
      <c r="DMM135" s="3507"/>
      <c r="DMN135" s="3507"/>
      <c r="DMO135" s="3507"/>
      <c r="DMP135" s="3507"/>
      <c r="DMQ135" s="3507"/>
      <c r="DMR135" s="3507"/>
      <c r="DMS135" s="3507"/>
      <c r="DMT135" s="3507"/>
      <c r="DMU135" s="3507"/>
      <c r="DMV135" s="3507"/>
      <c r="DMW135" s="3507"/>
      <c r="DMX135" s="3507"/>
      <c r="DMY135" s="3507"/>
      <c r="DMZ135" s="3507"/>
      <c r="DNA135" s="3507"/>
      <c r="DNB135" s="3507"/>
      <c r="DNC135" s="3507"/>
      <c r="DND135" s="3507"/>
      <c r="DNE135" s="3507"/>
      <c r="DNF135" s="3507"/>
      <c r="DNG135" s="3507"/>
      <c r="DNH135" s="3507"/>
      <c r="DNI135" s="3507"/>
      <c r="DNJ135" s="3507"/>
      <c r="DNK135" s="3507"/>
      <c r="DNL135" s="3507"/>
      <c r="DNM135" s="3507"/>
      <c r="DNN135" s="3507"/>
      <c r="DNO135" s="3507"/>
      <c r="DNP135" s="3507"/>
      <c r="DNQ135" s="3507"/>
      <c r="DNR135" s="3507"/>
      <c r="DNS135" s="3507"/>
      <c r="DNT135" s="3507"/>
      <c r="DNU135" s="3507"/>
      <c r="DNV135" s="3507"/>
      <c r="DNW135" s="3507"/>
      <c r="DNX135" s="3507"/>
      <c r="DNY135" s="3507"/>
      <c r="DNZ135" s="3507"/>
      <c r="DOA135" s="3507"/>
      <c r="DOB135" s="3507"/>
      <c r="DOC135" s="3507"/>
      <c r="DOD135" s="3507"/>
      <c r="DOE135" s="3507"/>
      <c r="DOF135" s="3507"/>
      <c r="DOG135" s="3507"/>
      <c r="DOH135" s="3507"/>
      <c r="DOI135" s="3507"/>
      <c r="DOJ135" s="3507"/>
      <c r="DOK135" s="3507"/>
      <c r="DOL135" s="3507"/>
      <c r="DOM135" s="3507"/>
      <c r="DON135" s="3507"/>
      <c r="DOO135" s="3507"/>
      <c r="DOP135" s="3507"/>
      <c r="DOQ135" s="3507"/>
      <c r="DOR135" s="3507"/>
      <c r="DOS135" s="3507"/>
      <c r="DOT135" s="3507"/>
      <c r="DOU135" s="3507"/>
      <c r="DOV135" s="3507"/>
      <c r="DOW135" s="3507"/>
      <c r="DOX135" s="3507"/>
      <c r="DOY135" s="3507"/>
      <c r="DOZ135" s="3507"/>
      <c r="DPA135" s="3507"/>
      <c r="DPB135" s="3507"/>
      <c r="DPC135" s="3507"/>
      <c r="DPD135" s="3507"/>
      <c r="DPE135" s="3507"/>
      <c r="DPF135" s="3507"/>
      <c r="DPG135" s="3507"/>
      <c r="DPH135" s="3507"/>
      <c r="DPI135" s="3507"/>
      <c r="DPJ135" s="3507"/>
      <c r="DPK135" s="3507"/>
      <c r="DPL135" s="3507"/>
      <c r="DPM135" s="3507"/>
      <c r="DPN135" s="3507"/>
      <c r="DPO135" s="3507"/>
      <c r="DPP135" s="3507"/>
      <c r="DPQ135" s="3507"/>
      <c r="DPR135" s="3507"/>
      <c r="DPS135" s="3507"/>
      <c r="DPT135" s="3507"/>
      <c r="DPU135" s="3507"/>
      <c r="DPV135" s="3507"/>
      <c r="DPW135" s="3507"/>
      <c r="DPX135" s="3507"/>
      <c r="DPY135" s="3507"/>
      <c r="DPZ135" s="3507"/>
      <c r="DQA135" s="3507"/>
      <c r="DQB135" s="3507"/>
      <c r="DQC135" s="3507"/>
      <c r="DQD135" s="3507"/>
      <c r="DQE135" s="3507"/>
      <c r="DQF135" s="3507"/>
      <c r="DQG135" s="3507"/>
      <c r="DQH135" s="3507"/>
      <c r="DQI135" s="3507"/>
      <c r="DQJ135" s="3507"/>
      <c r="DQK135" s="3507"/>
      <c r="DQL135" s="3507"/>
      <c r="DQM135" s="3507"/>
      <c r="DQN135" s="3507"/>
      <c r="DQO135" s="3507"/>
      <c r="DQP135" s="3507"/>
      <c r="DQQ135" s="3507"/>
      <c r="DQR135" s="3507"/>
      <c r="DQS135" s="3507"/>
      <c r="DQT135" s="3507"/>
      <c r="DQU135" s="3507"/>
      <c r="DQV135" s="3507"/>
      <c r="DQW135" s="3507"/>
      <c r="DQX135" s="3507"/>
      <c r="DQY135" s="3507"/>
      <c r="DQZ135" s="3507"/>
      <c r="DRA135" s="3507"/>
      <c r="DRB135" s="3507"/>
      <c r="DRC135" s="3507"/>
      <c r="DRD135" s="3507"/>
      <c r="DRE135" s="3507"/>
      <c r="DRF135" s="3507"/>
      <c r="DRG135" s="3507"/>
      <c r="DRH135" s="3507"/>
      <c r="DRI135" s="3507"/>
      <c r="DRJ135" s="3507"/>
      <c r="DRK135" s="3507"/>
      <c r="DRL135" s="3507"/>
      <c r="DRM135" s="3507"/>
      <c r="DRN135" s="3507"/>
      <c r="DRO135" s="3507"/>
      <c r="DRP135" s="3507"/>
      <c r="DRQ135" s="3507"/>
      <c r="DRR135" s="3507"/>
      <c r="DRS135" s="3507"/>
      <c r="DRT135" s="3507"/>
      <c r="DRU135" s="3507"/>
      <c r="DRV135" s="3507"/>
      <c r="DRW135" s="3507"/>
      <c r="DRX135" s="3507"/>
      <c r="DRY135" s="3507"/>
      <c r="DRZ135" s="3507"/>
      <c r="DSA135" s="3507"/>
      <c r="DSB135" s="3507"/>
      <c r="DSC135" s="3507"/>
      <c r="DSD135" s="3507"/>
      <c r="DSE135" s="3507"/>
      <c r="DSF135" s="3507"/>
      <c r="DSG135" s="3507"/>
      <c r="DSH135" s="3507"/>
      <c r="DSI135" s="3507"/>
      <c r="DSJ135" s="3507"/>
      <c r="DSK135" s="3507"/>
      <c r="DSL135" s="3507"/>
      <c r="DSM135" s="3507"/>
      <c r="DSN135" s="3507"/>
      <c r="DSO135" s="3507"/>
      <c r="DSP135" s="3507"/>
      <c r="DSQ135" s="3507"/>
      <c r="DSR135" s="3507"/>
      <c r="DSS135" s="3507"/>
      <c r="DST135" s="3507"/>
      <c r="DSU135" s="3507"/>
      <c r="DSV135" s="3507"/>
      <c r="DSW135" s="3507"/>
      <c r="DSX135" s="3507"/>
      <c r="DSY135" s="3507"/>
      <c r="DSZ135" s="3507"/>
      <c r="DTA135" s="3507"/>
      <c r="DTB135" s="3507"/>
      <c r="DTC135" s="3507"/>
      <c r="DTD135" s="3507"/>
      <c r="DTE135" s="3507"/>
      <c r="DTF135" s="3507"/>
      <c r="DTG135" s="3507"/>
      <c r="DTH135" s="3507"/>
      <c r="DTI135" s="3507"/>
      <c r="DTJ135" s="3507"/>
      <c r="DTK135" s="3507"/>
      <c r="DTL135" s="3507"/>
      <c r="DTM135" s="3507"/>
      <c r="DTN135" s="3507"/>
      <c r="DTO135" s="3507"/>
      <c r="DTP135" s="3507"/>
      <c r="DTQ135" s="3507"/>
      <c r="DTR135" s="3507"/>
      <c r="DTS135" s="3507"/>
      <c r="DTT135" s="3507"/>
      <c r="DTU135" s="3507"/>
      <c r="DTV135" s="3507"/>
      <c r="DTW135" s="3507"/>
      <c r="DTX135" s="3507"/>
      <c r="DTY135" s="3507"/>
      <c r="DTZ135" s="3507"/>
      <c r="DUA135" s="3507"/>
      <c r="DUB135" s="3507"/>
      <c r="DUC135" s="3507"/>
      <c r="DUD135" s="3507"/>
      <c r="DUE135" s="3507"/>
      <c r="DUF135" s="3507"/>
      <c r="DUG135" s="3507"/>
      <c r="DUH135" s="3507"/>
      <c r="DUI135" s="3507"/>
      <c r="DUJ135" s="3507"/>
      <c r="DUK135" s="3507"/>
      <c r="DUL135" s="3507"/>
      <c r="DUM135" s="3507"/>
      <c r="DUN135" s="3507"/>
      <c r="DUO135" s="3507"/>
      <c r="DUP135" s="3507"/>
      <c r="DUQ135" s="3507"/>
      <c r="DUR135" s="3507"/>
      <c r="DUS135" s="3507"/>
      <c r="DUT135" s="3507"/>
      <c r="DUU135" s="3507"/>
      <c r="DUV135" s="3507"/>
      <c r="DUW135" s="3507"/>
      <c r="DUX135" s="3507"/>
      <c r="DUY135" s="3507"/>
      <c r="DUZ135" s="3507"/>
      <c r="DVA135" s="3507"/>
      <c r="DVB135" s="3507"/>
      <c r="DVC135" s="3507"/>
      <c r="DVD135" s="3507"/>
      <c r="DVE135" s="3507"/>
      <c r="DVF135" s="3507"/>
      <c r="DVG135" s="3507"/>
      <c r="DVH135" s="3507"/>
      <c r="DVI135" s="3507"/>
      <c r="DVJ135" s="3507"/>
      <c r="DVK135" s="3507"/>
      <c r="DVL135" s="3507"/>
      <c r="DVM135" s="3507"/>
      <c r="DVN135" s="3507"/>
      <c r="DVO135" s="3507"/>
      <c r="DVP135" s="3507"/>
      <c r="DVQ135" s="3507"/>
      <c r="DVR135" s="3507"/>
      <c r="DVS135" s="3507"/>
      <c r="DVT135" s="3507"/>
      <c r="DVU135" s="3507"/>
      <c r="DVV135" s="3507"/>
      <c r="DVW135" s="3507"/>
      <c r="DVX135" s="3507"/>
      <c r="DVY135" s="3507"/>
      <c r="DVZ135" s="3507"/>
      <c r="DWA135" s="3507"/>
      <c r="DWB135" s="3507"/>
      <c r="DWC135" s="3507"/>
      <c r="DWD135" s="3507"/>
      <c r="DWE135" s="3507"/>
      <c r="DWF135" s="3507"/>
      <c r="DWG135" s="3507"/>
      <c r="DWH135" s="3507"/>
      <c r="DWI135" s="3507"/>
      <c r="DWJ135" s="3507"/>
      <c r="DWK135" s="3507"/>
      <c r="DWL135" s="3507"/>
      <c r="DWM135" s="3507"/>
      <c r="DWN135" s="3507"/>
      <c r="DWO135" s="3507"/>
      <c r="DWP135" s="3507"/>
      <c r="DWQ135" s="3507"/>
      <c r="DWR135" s="3507"/>
      <c r="DWS135" s="3507"/>
      <c r="DWT135" s="3507"/>
      <c r="DWU135" s="3507"/>
      <c r="DWV135" s="3507"/>
      <c r="DWW135" s="3507"/>
      <c r="DWX135" s="3507"/>
      <c r="DWY135" s="3507"/>
      <c r="DWZ135" s="3507"/>
      <c r="DXA135" s="3507"/>
      <c r="DXB135" s="3507"/>
      <c r="DXC135" s="3507"/>
      <c r="DXD135" s="3507"/>
      <c r="DXE135" s="3507"/>
      <c r="DXF135" s="3507"/>
      <c r="DXG135" s="3507"/>
      <c r="DXH135" s="3507"/>
      <c r="DXI135" s="3507"/>
      <c r="DXJ135" s="3507"/>
      <c r="DXK135" s="3507"/>
      <c r="DXL135" s="3507"/>
      <c r="DXM135" s="3507"/>
      <c r="DXN135" s="3507"/>
      <c r="DXO135" s="3507"/>
      <c r="DXP135" s="3507"/>
      <c r="DXQ135" s="3507"/>
      <c r="DXR135" s="3507"/>
      <c r="DXS135" s="3507"/>
      <c r="DXT135" s="3507"/>
      <c r="DXU135" s="3507"/>
      <c r="DXV135" s="3507"/>
      <c r="DXW135" s="3507"/>
      <c r="DXX135" s="3507"/>
      <c r="DXY135" s="3507"/>
      <c r="DXZ135" s="3507"/>
      <c r="DYA135" s="3507"/>
      <c r="DYB135" s="3507"/>
      <c r="DYC135" s="3507"/>
      <c r="DYD135" s="3507"/>
      <c r="DYE135" s="3507"/>
      <c r="DYF135" s="3507"/>
      <c r="DYG135" s="3507"/>
      <c r="DYH135" s="3507"/>
      <c r="DYI135" s="3507"/>
      <c r="DYJ135" s="3507"/>
      <c r="DYK135" s="3507"/>
      <c r="DYL135" s="3507"/>
      <c r="DYM135" s="3507"/>
      <c r="DYN135" s="3507"/>
      <c r="DYO135" s="3507"/>
      <c r="DYP135" s="3507"/>
      <c r="DYQ135" s="3507"/>
      <c r="DYR135" s="3507"/>
      <c r="DYS135" s="3507"/>
      <c r="DYT135" s="3507"/>
      <c r="DYU135" s="3507"/>
      <c r="DYV135" s="3507"/>
      <c r="DYW135" s="3507"/>
      <c r="DYX135" s="3507"/>
      <c r="DYY135" s="3507"/>
      <c r="DYZ135" s="3507"/>
      <c r="DZA135" s="3507"/>
      <c r="DZB135" s="3507"/>
      <c r="DZC135" s="3507"/>
      <c r="DZD135" s="3507"/>
      <c r="DZE135" s="3507"/>
      <c r="DZF135" s="3507"/>
      <c r="DZG135" s="3507"/>
      <c r="DZH135" s="3507"/>
      <c r="DZI135" s="3507"/>
      <c r="DZJ135" s="3507"/>
      <c r="DZK135" s="3507"/>
      <c r="DZL135" s="3507"/>
      <c r="DZM135" s="3507"/>
      <c r="DZN135" s="3507"/>
      <c r="DZO135" s="3507"/>
      <c r="DZP135" s="3507"/>
      <c r="DZQ135" s="3507"/>
      <c r="DZR135" s="3507"/>
      <c r="DZS135" s="3507"/>
      <c r="DZT135" s="3507"/>
      <c r="DZU135" s="3507"/>
      <c r="DZV135" s="3507"/>
      <c r="DZW135" s="3507"/>
      <c r="DZX135" s="3507"/>
      <c r="DZY135" s="3507"/>
      <c r="DZZ135" s="3507"/>
      <c r="EAA135" s="3507"/>
      <c r="EAB135" s="3507"/>
      <c r="EAC135" s="3507"/>
      <c r="EAD135" s="3507"/>
      <c r="EAE135" s="3507"/>
      <c r="EAF135" s="3507"/>
      <c r="EAG135" s="3507"/>
      <c r="EAH135" s="3507"/>
      <c r="EAI135" s="3507"/>
      <c r="EAJ135" s="3507"/>
      <c r="EAK135" s="3507"/>
      <c r="EAL135" s="3507"/>
      <c r="EAM135" s="3507"/>
      <c r="EAN135" s="3507"/>
      <c r="EAO135" s="3507"/>
      <c r="EAP135" s="3507"/>
      <c r="EAQ135" s="3507"/>
      <c r="EAR135" s="3507"/>
      <c r="EAS135" s="3507"/>
      <c r="EAT135" s="3507"/>
      <c r="EAU135" s="3507"/>
      <c r="EAV135" s="3507"/>
      <c r="EAW135" s="3507"/>
      <c r="EAX135" s="3507"/>
      <c r="EAY135" s="3507"/>
      <c r="EAZ135" s="3507"/>
      <c r="EBA135" s="3507"/>
      <c r="EBB135" s="3507"/>
      <c r="EBC135" s="3507"/>
      <c r="EBD135" s="3507"/>
      <c r="EBE135" s="3507"/>
      <c r="EBF135" s="3507"/>
      <c r="EBG135" s="3507"/>
      <c r="EBH135" s="3507"/>
      <c r="EBI135" s="3507"/>
      <c r="EBJ135" s="3507"/>
      <c r="EBK135" s="3507"/>
      <c r="EBL135" s="3507"/>
      <c r="EBM135" s="3507"/>
      <c r="EBN135" s="3507"/>
      <c r="EBO135" s="3507"/>
      <c r="EBP135" s="3507"/>
      <c r="EBQ135" s="3507"/>
      <c r="EBR135" s="3507"/>
      <c r="EBS135" s="3507"/>
      <c r="EBT135" s="3507"/>
      <c r="EBU135" s="3507"/>
      <c r="EBV135" s="3507"/>
      <c r="EBW135" s="3507"/>
      <c r="EBX135" s="3507"/>
      <c r="EBY135" s="3507"/>
      <c r="EBZ135" s="3507"/>
      <c r="ECA135" s="3507"/>
      <c r="ECB135" s="3507"/>
      <c r="ECC135" s="3507"/>
      <c r="ECD135" s="3507"/>
      <c r="ECE135" s="3507"/>
      <c r="ECF135" s="3507"/>
      <c r="ECG135" s="3507"/>
      <c r="ECH135" s="3507"/>
      <c r="ECI135" s="3507"/>
      <c r="ECJ135" s="3507"/>
      <c r="ECK135" s="3507"/>
      <c r="ECL135" s="3507"/>
      <c r="ECM135" s="3507"/>
      <c r="ECN135" s="3507"/>
      <c r="ECO135" s="3507"/>
      <c r="ECP135" s="3507"/>
      <c r="ECQ135" s="3507"/>
      <c r="ECR135" s="3507"/>
      <c r="ECS135" s="3507"/>
      <c r="ECT135" s="3507"/>
      <c r="ECU135" s="3507"/>
      <c r="ECV135" s="3507"/>
      <c r="ECW135" s="3507"/>
      <c r="ECX135" s="3507"/>
      <c r="ECY135" s="3507"/>
      <c r="ECZ135" s="3507"/>
      <c r="EDA135" s="3507"/>
      <c r="EDB135" s="3507"/>
      <c r="EDC135" s="3507"/>
      <c r="EDD135" s="3507"/>
      <c r="EDE135" s="3507"/>
      <c r="EDF135" s="3507"/>
      <c r="EDG135" s="3507"/>
      <c r="EDH135" s="3507"/>
      <c r="EDI135" s="3507"/>
      <c r="EDJ135" s="3507"/>
      <c r="EDK135" s="3507"/>
      <c r="EDL135" s="3507"/>
      <c r="EDM135" s="3507"/>
      <c r="EDN135" s="3507"/>
      <c r="EDO135" s="3507"/>
      <c r="EDP135" s="3507"/>
      <c r="EDQ135" s="3507"/>
      <c r="EDR135" s="3507"/>
      <c r="EDS135" s="3507"/>
      <c r="EDT135" s="3507"/>
      <c r="EDU135" s="3507"/>
      <c r="EDV135" s="3507"/>
      <c r="EDW135" s="3507"/>
      <c r="EDX135" s="3507"/>
      <c r="EDY135" s="3507"/>
      <c r="EDZ135" s="3507"/>
      <c r="EEA135" s="3507"/>
      <c r="EEB135" s="3507"/>
      <c r="EEC135" s="3507"/>
      <c r="EED135" s="3507"/>
      <c r="EEE135" s="3507"/>
      <c r="EEF135" s="3507"/>
      <c r="EEG135" s="3507"/>
      <c r="EEH135" s="3507"/>
      <c r="EEI135" s="3507"/>
      <c r="EEJ135" s="3507"/>
      <c r="EEK135" s="3507"/>
      <c r="EEL135" s="3507"/>
      <c r="EEM135" s="3507"/>
      <c r="EEN135" s="3507"/>
      <c r="EEO135" s="3507"/>
      <c r="EEP135" s="3507"/>
      <c r="EEQ135" s="3507"/>
      <c r="EER135" s="3507"/>
      <c r="EES135" s="3507"/>
      <c r="EET135" s="3507"/>
      <c r="EEU135" s="3507"/>
      <c r="EEV135" s="3507"/>
      <c r="EEW135" s="3507"/>
      <c r="EEX135" s="3507"/>
      <c r="EEY135" s="3507"/>
      <c r="EEZ135" s="3507"/>
      <c r="EFA135" s="3507"/>
      <c r="EFB135" s="3507"/>
      <c r="EFC135" s="3507"/>
      <c r="EFD135" s="3507"/>
      <c r="EFE135" s="3507"/>
      <c r="EFF135" s="3507"/>
      <c r="EFG135" s="3507"/>
      <c r="EFH135" s="3507"/>
      <c r="EFI135" s="3507"/>
      <c r="EFJ135" s="3507"/>
      <c r="EFK135" s="3507"/>
      <c r="EFL135" s="3507"/>
      <c r="EFM135" s="3507"/>
      <c r="EFN135" s="3507"/>
      <c r="EFO135" s="3507"/>
      <c r="EFP135" s="3507"/>
      <c r="EFQ135" s="3507"/>
      <c r="EFR135" s="3507"/>
      <c r="EFS135" s="3507"/>
      <c r="EFT135" s="3507"/>
      <c r="EFU135" s="3507"/>
      <c r="EFV135" s="3507"/>
      <c r="EFW135" s="3507"/>
      <c r="EFX135" s="3507"/>
      <c r="EFY135" s="3507"/>
      <c r="EFZ135" s="3507"/>
      <c r="EGA135" s="3507"/>
      <c r="EGB135" s="3507"/>
      <c r="EGC135" s="3507"/>
      <c r="EGD135" s="3507"/>
      <c r="EGE135" s="3507"/>
      <c r="EGF135" s="3507"/>
      <c r="EGG135" s="3507"/>
      <c r="EGH135" s="3507"/>
      <c r="EGI135" s="3507"/>
      <c r="EGJ135" s="3507"/>
      <c r="EGK135" s="3507"/>
      <c r="EGL135" s="3507"/>
      <c r="EGM135" s="3507"/>
      <c r="EGN135" s="3507"/>
      <c r="EGO135" s="3507"/>
      <c r="EGP135" s="3507"/>
      <c r="EGQ135" s="3507"/>
      <c r="EGR135" s="3507"/>
      <c r="EGS135" s="3507"/>
      <c r="EGT135" s="3507"/>
      <c r="EGU135" s="3507"/>
      <c r="EGV135" s="3507"/>
      <c r="EGW135" s="3507"/>
      <c r="EGX135" s="3507"/>
      <c r="EGY135" s="3507"/>
      <c r="EGZ135" s="3507"/>
      <c r="EHA135" s="3507"/>
      <c r="EHB135" s="3507"/>
      <c r="EHC135" s="3507"/>
      <c r="EHD135" s="3507"/>
      <c r="EHE135" s="3507"/>
      <c r="EHF135" s="3507"/>
      <c r="EHG135" s="3507"/>
      <c r="EHH135" s="3507"/>
      <c r="EHI135" s="3507"/>
      <c r="EHJ135" s="3507"/>
      <c r="EHK135" s="3507"/>
      <c r="EHL135" s="3507"/>
      <c r="EHM135" s="3507"/>
      <c r="EHN135" s="3507"/>
      <c r="EHO135" s="3507"/>
      <c r="EHP135" s="3507"/>
      <c r="EHQ135" s="3507"/>
      <c r="EHR135" s="3507"/>
      <c r="EHS135" s="3507"/>
      <c r="EHT135" s="3507"/>
      <c r="EHU135" s="3507"/>
      <c r="EHV135" s="3507"/>
      <c r="EHW135" s="3507"/>
      <c r="EHX135" s="3507"/>
      <c r="EHY135" s="3507"/>
      <c r="EHZ135" s="3507"/>
      <c r="EIA135" s="3507"/>
      <c r="EIB135" s="3507"/>
      <c r="EIC135" s="3507"/>
      <c r="EID135" s="3507"/>
      <c r="EIE135" s="3507"/>
      <c r="EIF135" s="3507"/>
      <c r="EIG135" s="3507"/>
      <c r="EIH135" s="3507"/>
      <c r="EII135" s="3507"/>
      <c r="EIJ135" s="3507"/>
      <c r="EIK135" s="3507"/>
      <c r="EIL135" s="3507"/>
      <c r="EIM135" s="3507"/>
      <c r="EIN135" s="3507"/>
      <c r="EIO135" s="3507"/>
      <c r="EIP135" s="3507"/>
      <c r="EIQ135" s="3507"/>
      <c r="EIR135" s="3507"/>
      <c r="EIS135" s="3507"/>
      <c r="EIT135" s="3507"/>
      <c r="EIU135" s="3507"/>
      <c r="EIV135" s="3507"/>
      <c r="EIW135" s="3507"/>
      <c r="EIX135" s="3507"/>
      <c r="EIY135" s="3507"/>
      <c r="EIZ135" s="3507"/>
      <c r="EJA135" s="3507"/>
      <c r="EJB135" s="3507"/>
      <c r="EJC135" s="3507"/>
      <c r="EJD135" s="3507"/>
      <c r="EJE135" s="3507"/>
      <c r="EJF135" s="3507"/>
      <c r="EJG135" s="3507"/>
      <c r="EJH135" s="3507"/>
      <c r="EJI135" s="3507"/>
      <c r="EJJ135" s="3507"/>
      <c r="EJK135" s="3507"/>
      <c r="EJL135" s="3507"/>
      <c r="EJM135" s="3507"/>
      <c r="EJN135" s="3507"/>
      <c r="EJO135" s="3507"/>
      <c r="EJP135" s="3507"/>
      <c r="EJQ135" s="3507"/>
      <c r="EJR135" s="3507"/>
      <c r="EJS135" s="3507"/>
      <c r="EJT135" s="3507"/>
      <c r="EJU135" s="3507"/>
      <c r="EJV135" s="3507"/>
      <c r="EJW135" s="3507"/>
      <c r="EJX135" s="3507"/>
      <c r="EJY135" s="3507"/>
      <c r="EJZ135" s="3507"/>
      <c r="EKA135" s="3507"/>
      <c r="EKB135" s="3507"/>
      <c r="EKC135" s="3507"/>
      <c r="EKD135" s="3507"/>
      <c r="EKE135" s="3507"/>
      <c r="EKF135" s="3507"/>
      <c r="EKG135" s="3507"/>
      <c r="EKH135" s="3507"/>
      <c r="EKI135" s="3507"/>
      <c r="EKJ135" s="3507"/>
      <c r="EKK135" s="3507"/>
      <c r="EKL135" s="3507"/>
      <c r="EKM135" s="3507"/>
      <c r="EKN135" s="3507"/>
      <c r="EKO135" s="3507"/>
      <c r="EKP135" s="3507"/>
      <c r="EKQ135" s="3507"/>
      <c r="EKR135" s="3507"/>
      <c r="EKS135" s="3507"/>
      <c r="EKT135" s="3507"/>
      <c r="EKU135" s="3507"/>
      <c r="EKV135" s="3507"/>
      <c r="EKW135" s="3507"/>
      <c r="EKX135" s="3507"/>
      <c r="EKY135" s="3507"/>
      <c r="EKZ135" s="3507"/>
      <c r="ELA135" s="3507"/>
      <c r="ELB135" s="3507"/>
      <c r="ELC135" s="3507"/>
      <c r="ELD135" s="3507"/>
      <c r="ELE135" s="3507"/>
      <c r="ELF135" s="3507"/>
      <c r="ELG135" s="3507"/>
      <c r="ELH135" s="3507"/>
      <c r="ELI135" s="3507"/>
      <c r="ELJ135" s="3507"/>
      <c r="ELK135" s="3507"/>
      <c r="ELL135" s="3507"/>
      <c r="ELM135" s="3507"/>
      <c r="ELN135" s="3507"/>
      <c r="ELO135" s="3507"/>
      <c r="ELP135" s="3507"/>
      <c r="ELQ135" s="3507"/>
      <c r="ELR135" s="3507"/>
      <c r="ELS135" s="3507"/>
      <c r="ELT135" s="3507"/>
      <c r="ELU135" s="3507"/>
      <c r="ELV135" s="3507"/>
      <c r="ELW135" s="3507"/>
      <c r="ELX135" s="3507"/>
      <c r="ELY135" s="3507"/>
      <c r="ELZ135" s="3507"/>
      <c r="EMA135" s="3507"/>
      <c r="EMB135" s="3507"/>
      <c r="EMC135" s="3507"/>
      <c r="EMD135" s="3507"/>
      <c r="EME135" s="3507"/>
      <c r="EMF135" s="3507"/>
      <c r="EMG135" s="3507"/>
      <c r="EMH135" s="3507"/>
      <c r="EMI135" s="3507"/>
      <c r="EMJ135" s="3507"/>
      <c r="EMK135" s="3507"/>
      <c r="EML135" s="3507"/>
      <c r="EMM135" s="3507"/>
      <c r="EMN135" s="3507"/>
      <c r="EMO135" s="3507"/>
      <c r="EMP135" s="3507"/>
      <c r="EMQ135" s="3507"/>
      <c r="EMR135" s="3507"/>
      <c r="EMS135" s="3507"/>
      <c r="EMT135" s="3507"/>
      <c r="EMU135" s="3507"/>
      <c r="EMV135" s="3507"/>
      <c r="EMW135" s="3507"/>
      <c r="EMX135" s="3507"/>
      <c r="EMY135" s="3507"/>
      <c r="EMZ135" s="3507"/>
      <c r="ENA135" s="3507"/>
      <c r="ENB135" s="3507"/>
      <c r="ENC135" s="3507"/>
      <c r="END135" s="3507"/>
      <c r="ENE135" s="3507"/>
      <c r="ENF135" s="3507"/>
      <c r="ENG135" s="3507"/>
      <c r="ENH135" s="3507"/>
      <c r="ENI135" s="3507"/>
      <c r="ENJ135" s="3507"/>
      <c r="ENK135" s="3507"/>
      <c r="ENL135" s="3507"/>
      <c r="ENM135" s="3507"/>
      <c r="ENN135" s="3507"/>
      <c r="ENO135" s="3507"/>
      <c r="ENP135" s="3507"/>
      <c r="ENQ135" s="3507"/>
      <c r="ENR135" s="3507"/>
      <c r="ENS135" s="3507"/>
      <c r="ENT135" s="3507"/>
      <c r="ENU135" s="3507"/>
      <c r="ENV135" s="3507"/>
      <c r="ENW135" s="3507"/>
      <c r="ENX135" s="3507"/>
      <c r="ENY135" s="3507"/>
      <c r="ENZ135" s="3507"/>
      <c r="EOA135" s="3507"/>
      <c r="EOB135" s="3507"/>
      <c r="EOC135" s="3507"/>
      <c r="EOD135" s="3507"/>
      <c r="EOE135" s="3507"/>
      <c r="EOF135" s="3507"/>
      <c r="EOG135" s="3507"/>
      <c r="EOH135" s="3507"/>
      <c r="EOI135" s="3507"/>
      <c r="EOJ135" s="3507"/>
      <c r="EOK135" s="3507"/>
      <c r="EOL135" s="3507"/>
      <c r="EOM135" s="3507"/>
      <c r="EON135" s="3507"/>
      <c r="EOO135" s="3507"/>
      <c r="EOP135" s="3507"/>
      <c r="EOQ135" s="3507"/>
      <c r="EOR135" s="3507"/>
      <c r="EOS135" s="3507"/>
      <c r="EOT135" s="3507"/>
      <c r="EOU135" s="3507"/>
      <c r="EOV135" s="3507"/>
      <c r="EOW135" s="3507"/>
      <c r="EOX135" s="3507"/>
      <c r="EOY135" s="3507"/>
      <c r="EOZ135" s="3507"/>
      <c r="EPA135" s="3507"/>
      <c r="EPB135" s="3507"/>
      <c r="EPC135" s="3507"/>
      <c r="EPD135" s="3507"/>
      <c r="EPE135" s="3507"/>
      <c r="EPF135" s="3507"/>
      <c r="EPG135" s="3507"/>
      <c r="EPH135" s="3507"/>
      <c r="EPI135" s="3507"/>
      <c r="EPJ135" s="3507"/>
      <c r="EPK135" s="3507"/>
      <c r="EPL135" s="3507"/>
      <c r="EPM135" s="3507"/>
      <c r="EPN135" s="3507"/>
      <c r="EPO135" s="3507"/>
      <c r="EPP135" s="3507"/>
      <c r="EPQ135" s="3507"/>
      <c r="EPR135" s="3507"/>
      <c r="EPS135" s="3507"/>
      <c r="EPT135" s="3507"/>
      <c r="EPU135" s="3507"/>
      <c r="EPV135" s="3507"/>
      <c r="EPW135" s="3507"/>
      <c r="EPX135" s="3507"/>
      <c r="EPY135" s="3507"/>
      <c r="EPZ135" s="3507"/>
      <c r="EQA135" s="3507"/>
      <c r="EQB135" s="3507"/>
      <c r="EQC135" s="3507"/>
      <c r="EQD135" s="3507"/>
      <c r="EQE135" s="3507"/>
      <c r="EQF135" s="3507"/>
      <c r="EQG135" s="3507"/>
      <c r="EQH135" s="3507"/>
      <c r="EQI135" s="3507"/>
      <c r="EQJ135" s="3507"/>
      <c r="EQK135" s="3507"/>
      <c r="EQL135" s="3507"/>
      <c r="EQM135" s="3507"/>
      <c r="EQN135" s="3507"/>
      <c r="EQO135" s="3507"/>
      <c r="EQP135" s="3507"/>
      <c r="EQQ135" s="3507"/>
      <c r="EQR135" s="3507"/>
      <c r="EQS135" s="3507"/>
      <c r="EQT135" s="3507"/>
      <c r="EQU135" s="3507"/>
      <c r="EQV135" s="3507"/>
      <c r="EQW135" s="3507"/>
      <c r="EQX135" s="3507"/>
      <c r="EQY135" s="3507"/>
      <c r="EQZ135" s="3507"/>
      <c r="ERA135" s="3507"/>
      <c r="ERB135" s="3507"/>
      <c r="ERC135" s="3507"/>
      <c r="ERD135" s="3507"/>
      <c r="ERE135" s="3507"/>
      <c r="ERF135" s="3507"/>
      <c r="ERG135" s="3507"/>
      <c r="ERH135" s="3507"/>
      <c r="ERI135" s="3507"/>
      <c r="ERJ135" s="3507"/>
      <c r="ERK135" s="3507"/>
      <c r="ERL135" s="3507"/>
      <c r="ERM135" s="3507"/>
      <c r="ERN135" s="3507"/>
      <c r="ERO135" s="3507"/>
      <c r="ERP135" s="3507"/>
      <c r="ERQ135" s="3507"/>
      <c r="ERR135" s="3507"/>
      <c r="ERS135" s="3507"/>
      <c r="ERT135" s="3507"/>
      <c r="ERU135" s="3507"/>
      <c r="ERV135" s="3507"/>
      <c r="ERW135" s="3507"/>
      <c r="ERX135" s="3507"/>
      <c r="ERY135" s="3507"/>
      <c r="ERZ135" s="3507"/>
      <c r="ESA135" s="3507"/>
      <c r="ESB135" s="3507"/>
      <c r="ESC135" s="3507"/>
      <c r="ESD135" s="3507"/>
      <c r="ESE135" s="3507"/>
      <c r="ESF135" s="3507"/>
      <c r="ESG135" s="3507"/>
      <c r="ESH135" s="3507"/>
      <c r="ESI135" s="3507"/>
      <c r="ESJ135" s="3507"/>
      <c r="ESK135" s="3507"/>
      <c r="ESL135" s="3507"/>
      <c r="ESM135" s="3507"/>
      <c r="ESN135" s="3507"/>
      <c r="ESO135" s="3507"/>
      <c r="ESP135" s="3507"/>
      <c r="ESQ135" s="3507"/>
      <c r="ESR135" s="3507"/>
      <c r="ESS135" s="3507"/>
      <c r="EST135" s="3507"/>
      <c r="ESU135" s="3507"/>
      <c r="ESV135" s="3507"/>
      <c r="ESW135" s="3507"/>
      <c r="ESX135" s="3507"/>
      <c r="ESY135" s="3507"/>
      <c r="ESZ135" s="3507"/>
      <c r="ETA135" s="3507"/>
      <c r="ETB135" s="3507"/>
      <c r="ETC135" s="3507"/>
      <c r="ETD135" s="3507"/>
      <c r="ETE135" s="3507"/>
      <c r="ETF135" s="3507"/>
      <c r="ETG135" s="3507"/>
      <c r="ETH135" s="3507"/>
      <c r="ETI135" s="3507"/>
      <c r="ETJ135" s="3507"/>
      <c r="ETK135" s="3507"/>
      <c r="ETL135" s="3507"/>
      <c r="ETM135" s="3507"/>
      <c r="ETN135" s="3507"/>
      <c r="ETO135" s="3507"/>
      <c r="ETP135" s="3507"/>
      <c r="ETQ135" s="3507"/>
      <c r="ETR135" s="3507"/>
      <c r="ETS135" s="3507"/>
      <c r="ETT135" s="3507"/>
      <c r="ETU135" s="3507"/>
      <c r="ETV135" s="3507"/>
      <c r="ETW135" s="3507"/>
      <c r="ETX135" s="3507"/>
      <c r="ETY135" s="3507"/>
      <c r="ETZ135" s="3507"/>
      <c r="EUA135" s="3507"/>
      <c r="EUB135" s="3507"/>
      <c r="EUC135" s="3507"/>
      <c r="EUD135" s="3507"/>
      <c r="EUE135" s="3507"/>
      <c r="EUF135" s="3507"/>
      <c r="EUG135" s="3507"/>
      <c r="EUH135" s="3507"/>
      <c r="EUI135" s="3507"/>
      <c r="EUJ135" s="3507"/>
      <c r="EUK135" s="3507"/>
      <c r="EUL135" s="3507"/>
      <c r="EUM135" s="3507"/>
      <c r="EUN135" s="3507"/>
      <c r="EUO135" s="3507"/>
      <c r="EUP135" s="3507"/>
      <c r="EUQ135" s="3507"/>
      <c r="EUR135" s="3507"/>
      <c r="EUS135" s="3507"/>
      <c r="EUT135" s="3507"/>
      <c r="EUU135" s="3507"/>
      <c r="EUV135" s="3507"/>
      <c r="EUW135" s="3507"/>
      <c r="EUX135" s="3507"/>
      <c r="EUY135" s="3507"/>
      <c r="EUZ135" s="3507"/>
      <c r="EVA135" s="3507"/>
      <c r="EVB135" s="3507"/>
      <c r="EVC135" s="3507"/>
      <c r="EVD135" s="3507"/>
      <c r="EVE135" s="3507"/>
      <c r="EVF135" s="3507"/>
      <c r="EVG135" s="3507"/>
      <c r="EVH135" s="3507"/>
      <c r="EVI135" s="3507"/>
      <c r="EVJ135" s="3507"/>
      <c r="EVK135" s="3507"/>
      <c r="EVL135" s="3507"/>
      <c r="EVM135" s="3507"/>
      <c r="EVN135" s="3507"/>
      <c r="EVO135" s="3507"/>
      <c r="EVP135" s="3507"/>
      <c r="EVQ135" s="3507"/>
      <c r="EVR135" s="3507"/>
      <c r="EVS135" s="3507"/>
      <c r="EVT135" s="3507"/>
      <c r="EVU135" s="3507"/>
      <c r="EVV135" s="3507"/>
      <c r="EVW135" s="3507"/>
      <c r="EVX135" s="3507"/>
      <c r="EVY135" s="3507"/>
      <c r="EVZ135" s="3507"/>
      <c r="EWA135" s="3507"/>
      <c r="EWB135" s="3507"/>
      <c r="EWC135" s="3507"/>
      <c r="EWD135" s="3507"/>
      <c r="EWE135" s="3507"/>
      <c r="EWF135" s="3507"/>
      <c r="EWG135" s="3507"/>
      <c r="EWH135" s="3507"/>
      <c r="EWI135" s="3507"/>
      <c r="EWJ135" s="3507"/>
      <c r="EWK135" s="3507"/>
      <c r="EWL135" s="3507"/>
      <c r="EWM135" s="3507"/>
      <c r="EWN135" s="3507"/>
      <c r="EWO135" s="3507"/>
      <c r="EWP135" s="3507"/>
      <c r="EWQ135" s="3507"/>
      <c r="EWR135" s="3507"/>
      <c r="EWS135" s="3507"/>
      <c r="EWT135" s="3507"/>
      <c r="EWU135" s="3507"/>
      <c r="EWV135" s="3507"/>
      <c r="EWW135" s="3507"/>
      <c r="EWX135" s="3507"/>
      <c r="EWY135" s="3507"/>
      <c r="EWZ135" s="3507"/>
      <c r="EXA135" s="3507"/>
      <c r="EXB135" s="3507"/>
      <c r="EXC135" s="3507"/>
      <c r="EXD135" s="3507"/>
      <c r="EXE135" s="3507"/>
      <c r="EXF135" s="3507"/>
      <c r="EXG135" s="3507"/>
      <c r="EXH135" s="3507"/>
      <c r="EXI135" s="3507"/>
      <c r="EXJ135" s="3507"/>
      <c r="EXK135" s="3507"/>
      <c r="EXL135" s="3507"/>
      <c r="EXM135" s="3507"/>
      <c r="EXN135" s="3507"/>
      <c r="EXO135" s="3507"/>
      <c r="EXP135" s="3507"/>
      <c r="EXQ135" s="3507"/>
      <c r="EXR135" s="3507"/>
      <c r="EXS135" s="3507"/>
      <c r="EXT135" s="3507"/>
      <c r="EXU135" s="3507"/>
      <c r="EXV135" s="3507"/>
      <c r="EXW135" s="3507"/>
      <c r="EXX135" s="3507"/>
      <c r="EXY135" s="3507"/>
      <c r="EXZ135" s="3507"/>
      <c r="EYA135" s="3507"/>
      <c r="EYB135" s="3507"/>
      <c r="EYC135" s="3507"/>
      <c r="EYD135" s="3507"/>
      <c r="EYE135" s="3507"/>
      <c r="EYF135" s="3507"/>
      <c r="EYG135" s="3507"/>
      <c r="EYH135" s="3507"/>
      <c r="EYI135" s="3507"/>
      <c r="EYJ135" s="3507"/>
      <c r="EYK135" s="3507"/>
      <c r="EYL135" s="3507"/>
      <c r="EYM135" s="3507"/>
      <c r="EYN135" s="3507"/>
      <c r="EYO135" s="3507"/>
      <c r="EYP135" s="3507"/>
      <c r="EYQ135" s="3507"/>
      <c r="EYR135" s="3507"/>
      <c r="EYS135" s="3507"/>
      <c r="EYT135" s="3507"/>
      <c r="EYU135" s="3507"/>
      <c r="EYV135" s="3507"/>
      <c r="EYW135" s="3507"/>
      <c r="EYX135" s="3507"/>
      <c r="EYY135" s="3507"/>
      <c r="EYZ135" s="3507"/>
      <c r="EZA135" s="3507"/>
      <c r="EZB135" s="3507"/>
      <c r="EZC135" s="3507"/>
      <c r="EZD135" s="3507"/>
      <c r="EZE135" s="3507"/>
      <c r="EZF135" s="3507"/>
      <c r="EZG135" s="3507"/>
      <c r="EZH135" s="3507"/>
      <c r="EZI135" s="3507"/>
      <c r="EZJ135" s="3507"/>
      <c r="EZK135" s="3507"/>
      <c r="EZL135" s="3507"/>
      <c r="EZM135" s="3507"/>
      <c r="EZN135" s="3507"/>
      <c r="EZO135" s="3507"/>
      <c r="EZP135" s="3507"/>
      <c r="EZQ135" s="3507"/>
      <c r="EZR135" s="3507"/>
      <c r="EZS135" s="3507"/>
      <c r="EZT135" s="3507"/>
      <c r="EZU135" s="3507"/>
      <c r="EZV135" s="3507"/>
      <c r="EZW135" s="3507"/>
      <c r="EZX135" s="3507"/>
      <c r="EZY135" s="3507"/>
      <c r="EZZ135" s="3507"/>
      <c r="FAA135" s="3507"/>
      <c r="FAB135" s="3507"/>
      <c r="FAC135" s="3507"/>
      <c r="FAD135" s="3507"/>
      <c r="FAE135" s="3507"/>
      <c r="FAF135" s="3507"/>
      <c r="FAG135" s="3507"/>
      <c r="FAH135" s="3507"/>
      <c r="FAI135" s="3507"/>
      <c r="FAJ135" s="3507"/>
      <c r="FAK135" s="3507"/>
      <c r="FAL135" s="3507"/>
      <c r="FAM135" s="3507"/>
      <c r="FAN135" s="3507"/>
      <c r="FAO135" s="3507"/>
      <c r="FAP135" s="3507"/>
      <c r="FAQ135" s="3507"/>
      <c r="FAR135" s="3507"/>
      <c r="FAS135" s="3507"/>
      <c r="FAT135" s="3507"/>
      <c r="FAU135" s="3507"/>
      <c r="FAV135" s="3507"/>
      <c r="FAW135" s="3507"/>
      <c r="FAX135" s="3507"/>
      <c r="FAY135" s="3507"/>
      <c r="FAZ135" s="3507"/>
      <c r="FBA135" s="3507"/>
      <c r="FBB135" s="3507"/>
      <c r="FBC135" s="3507"/>
      <c r="FBD135" s="3507"/>
      <c r="FBE135" s="3507"/>
      <c r="FBF135" s="3507"/>
      <c r="FBG135" s="3507"/>
      <c r="FBH135" s="3507"/>
      <c r="FBI135" s="3507"/>
      <c r="FBJ135" s="3507"/>
      <c r="FBK135" s="3507"/>
      <c r="FBL135" s="3507"/>
      <c r="FBM135" s="3507"/>
      <c r="FBN135" s="3507"/>
      <c r="FBO135" s="3507"/>
      <c r="FBP135" s="3507"/>
      <c r="FBQ135" s="3507"/>
      <c r="FBR135" s="3507"/>
      <c r="FBS135" s="3507"/>
      <c r="FBT135" s="3507"/>
      <c r="FBU135" s="3507"/>
      <c r="FBV135" s="3507"/>
      <c r="FBW135" s="3507"/>
      <c r="FBX135" s="3507"/>
      <c r="FBY135" s="3507"/>
      <c r="FBZ135" s="3507"/>
      <c r="FCA135" s="3507"/>
      <c r="FCB135" s="3507"/>
      <c r="FCC135" s="3507"/>
      <c r="FCD135" s="3507"/>
      <c r="FCE135" s="3507"/>
      <c r="FCF135" s="3507"/>
      <c r="FCG135" s="3507"/>
      <c r="FCH135" s="3507"/>
      <c r="FCI135" s="3507"/>
      <c r="FCJ135" s="3507"/>
      <c r="FCK135" s="3507"/>
      <c r="FCL135" s="3507"/>
      <c r="FCM135" s="3507"/>
      <c r="FCN135" s="3507"/>
      <c r="FCO135" s="3507"/>
      <c r="FCP135" s="3507"/>
      <c r="FCQ135" s="3507"/>
      <c r="FCR135" s="3507"/>
      <c r="FCS135" s="3507"/>
      <c r="FCT135" s="3507"/>
      <c r="FCU135" s="3507"/>
      <c r="FCV135" s="3507"/>
      <c r="FCW135" s="3507"/>
      <c r="FCX135" s="3507"/>
      <c r="FCY135" s="3507"/>
      <c r="FCZ135" s="3507"/>
      <c r="FDA135" s="3507"/>
      <c r="FDB135" s="3507"/>
      <c r="FDC135" s="3507"/>
      <c r="FDD135" s="3507"/>
      <c r="FDE135" s="3507"/>
      <c r="FDF135" s="3507"/>
      <c r="FDG135" s="3507"/>
      <c r="FDH135" s="3507"/>
      <c r="FDI135" s="3507"/>
      <c r="FDJ135" s="3507"/>
      <c r="FDK135" s="3507"/>
      <c r="FDL135" s="3507"/>
      <c r="FDM135" s="3507"/>
      <c r="FDN135" s="3507"/>
      <c r="FDO135" s="3507"/>
      <c r="FDP135" s="3507"/>
      <c r="FDQ135" s="3507"/>
      <c r="FDR135" s="3507"/>
      <c r="FDS135" s="3507"/>
      <c r="FDT135" s="3507"/>
      <c r="FDU135" s="3507"/>
      <c r="FDV135" s="3507"/>
      <c r="FDW135" s="3507"/>
      <c r="FDX135" s="3507"/>
      <c r="FDY135" s="3507"/>
      <c r="FDZ135" s="3507"/>
      <c r="FEA135" s="3507"/>
      <c r="FEB135" s="3507"/>
      <c r="FEC135" s="3507"/>
      <c r="FED135" s="3507"/>
      <c r="FEE135" s="3507"/>
      <c r="FEF135" s="3507"/>
      <c r="FEG135" s="3507"/>
      <c r="FEH135" s="3507"/>
      <c r="FEI135" s="3507"/>
      <c r="FEJ135" s="3507"/>
      <c r="FEK135" s="3507"/>
      <c r="FEL135" s="3507"/>
      <c r="FEM135" s="3507"/>
      <c r="FEN135" s="3507"/>
      <c r="FEO135" s="3507"/>
      <c r="FEP135" s="3507"/>
      <c r="FEQ135" s="3507"/>
      <c r="FER135" s="3507"/>
      <c r="FES135" s="3507"/>
      <c r="FET135" s="3507"/>
      <c r="FEU135" s="3507"/>
      <c r="FEV135" s="3507"/>
      <c r="FEW135" s="3507"/>
      <c r="FEX135" s="3507"/>
      <c r="FEY135" s="3507"/>
      <c r="FEZ135" s="3507"/>
      <c r="FFA135" s="3507"/>
      <c r="FFB135" s="3507"/>
      <c r="FFC135" s="3507"/>
      <c r="FFD135" s="3507"/>
      <c r="FFE135" s="3507"/>
      <c r="FFF135" s="3507"/>
      <c r="FFG135" s="3507"/>
      <c r="FFH135" s="3507"/>
      <c r="FFI135" s="3507"/>
      <c r="FFJ135" s="3507"/>
      <c r="FFK135" s="3507"/>
      <c r="FFL135" s="3507"/>
      <c r="FFM135" s="3507"/>
      <c r="FFN135" s="3507"/>
      <c r="FFO135" s="3507"/>
      <c r="FFP135" s="3507"/>
      <c r="FFQ135" s="3507"/>
      <c r="FFR135" s="3507"/>
      <c r="FFS135" s="3507"/>
      <c r="FFT135" s="3507"/>
      <c r="FFU135" s="3507"/>
      <c r="FFV135" s="3507"/>
      <c r="FFW135" s="3507"/>
      <c r="FFX135" s="3507"/>
      <c r="FFY135" s="3507"/>
      <c r="FFZ135" s="3507"/>
      <c r="FGA135" s="3507"/>
      <c r="FGB135" s="3507"/>
      <c r="FGC135" s="3507"/>
      <c r="FGD135" s="3507"/>
      <c r="FGE135" s="3507"/>
      <c r="FGF135" s="3507"/>
      <c r="FGG135" s="3507"/>
      <c r="FGH135" s="3507"/>
      <c r="FGI135" s="3507"/>
      <c r="FGJ135" s="3507"/>
      <c r="FGK135" s="3507"/>
      <c r="FGL135" s="3507"/>
      <c r="FGM135" s="3507"/>
      <c r="FGN135" s="3507"/>
      <c r="FGO135" s="3507"/>
      <c r="FGP135" s="3507"/>
      <c r="FGQ135" s="3507"/>
      <c r="FGR135" s="3507"/>
      <c r="FGS135" s="3507"/>
      <c r="FGT135" s="3507"/>
      <c r="FGU135" s="3507"/>
      <c r="FGV135" s="3507"/>
      <c r="FGW135" s="3507"/>
      <c r="FGX135" s="3507"/>
      <c r="FGY135" s="3507"/>
      <c r="FGZ135" s="3507"/>
      <c r="FHA135" s="3507"/>
      <c r="FHB135" s="3507"/>
      <c r="FHC135" s="3507"/>
      <c r="FHD135" s="3507"/>
      <c r="FHE135" s="3507"/>
      <c r="FHF135" s="3507"/>
      <c r="FHG135" s="3507"/>
      <c r="FHH135" s="3507"/>
      <c r="FHI135" s="3507"/>
      <c r="FHJ135" s="3507"/>
      <c r="FHK135" s="3507"/>
      <c r="FHL135" s="3507"/>
      <c r="FHM135" s="3507"/>
      <c r="FHN135" s="3507"/>
      <c r="FHO135" s="3507"/>
      <c r="FHP135" s="3507"/>
      <c r="FHQ135" s="3507"/>
      <c r="FHR135" s="3507"/>
      <c r="FHS135" s="3507"/>
      <c r="FHT135" s="3507"/>
      <c r="FHU135" s="3507"/>
      <c r="FHV135" s="3507"/>
      <c r="FHW135" s="3507"/>
      <c r="FHX135" s="3507"/>
      <c r="FHY135" s="3507"/>
      <c r="FHZ135" s="3507"/>
      <c r="FIA135" s="3507"/>
      <c r="FIB135" s="3507"/>
      <c r="FIC135" s="3507"/>
      <c r="FID135" s="3507"/>
      <c r="FIE135" s="3507"/>
      <c r="FIF135" s="3507"/>
      <c r="FIG135" s="3507"/>
      <c r="FIH135" s="3507"/>
      <c r="FII135" s="3507"/>
      <c r="FIJ135" s="3507"/>
      <c r="FIK135" s="3507"/>
      <c r="FIL135" s="3507"/>
      <c r="FIM135" s="3507"/>
      <c r="FIN135" s="3507"/>
      <c r="FIO135" s="3507"/>
      <c r="FIP135" s="3507"/>
      <c r="FIQ135" s="3507"/>
      <c r="FIR135" s="3507"/>
      <c r="FIS135" s="3507"/>
      <c r="FIT135" s="3507"/>
      <c r="FIU135" s="3507"/>
      <c r="FIV135" s="3507"/>
      <c r="FIW135" s="3507"/>
      <c r="FIX135" s="3507"/>
      <c r="FIY135" s="3507"/>
      <c r="FIZ135" s="3507"/>
      <c r="FJA135" s="3507"/>
      <c r="FJB135" s="3507"/>
      <c r="FJC135" s="3507"/>
      <c r="FJD135" s="3507"/>
      <c r="FJE135" s="3507"/>
      <c r="FJF135" s="3507"/>
      <c r="FJG135" s="3507"/>
      <c r="FJH135" s="3507"/>
      <c r="FJI135" s="3507"/>
      <c r="FJJ135" s="3507"/>
      <c r="FJK135" s="3507"/>
      <c r="FJL135" s="3507"/>
      <c r="FJM135" s="3507"/>
      <c r="FJN135" s="3507"/>
      <c r="FJO135" s="3507"/>
      <c r="FJP135" s="3507"/>
      <c r="FJQ135" s="3507"/>
      <c r="FJR135" s="3507"/>
      <c r="FJS135" s="3507"/>
      <c r="FJT135" s="3507"/>
      <c r="FJU135" s="3507"/>
      <c r="FJV135" s="3507"/>
      <c r="FJW135" s="3507"/>
      <c r="FJX135" s="3507"/>
      <c r="FJY135" s="3507"/>
      <c r="FJZ135" s="3507"/>
      <c r="FKA135" s="3507"/>
      <c r="FKB135" s="3507"/>
      <c r="FKC135" s="3507"/>
      <c r="FKD135" s="3507"/>
      <c r="FKE135" s="3507"/>
      <c r="FKF135" s="3507"/>
      <c r="FKG135" s="3507"/>
      <c r="FKH135" s="3507"/>
      <c r="FKI135" s="3507"/>
      <c r="FKJ135" s="3507"/>
      <c r="FKK135" s="3507"/>
      <c r="FKL135" s="3507"/>
      <c r="FKM135" s="3507"/>
      <c r="FKN135" s="3507"/>
      <c r="FKO135" s="3507"/>
      <c r="FKP135" s="3507"/>
      <c r="FKQ135" s="3507"/>
      <c r="FKR135" s="3507"/>
      <c r="FKS135" s="3507"/>
      <c r="FKT135" s="3507"/>
      <c r="FKU135" s="3507"/>
      <c r="FKV135" s="3507"/>
      <c r="FKW135" s="3507"/>
      <c r="FKX135" s="3507"/>
      <c r="FKY135" s="3507"/>
      <c r="FKZ135" s="3507"/>
      <c r="FLA135" s="3507"/>
      <c r="FLB135" s="3507"/>
      <c r="FLC135" s="3507"/>
      <c r="FLD135" s="3507"/>
      <c r="FLE135" s="3507"/>
      <c r="FLF135" s="3507"/>
      <c r="FLG135" s="3507"/>
      <c r="FLH135" s="3507"/>
      <c r="FLI135" s="3507"/>
      <c r="FLJ135" s="3507"/>
      <c r="FLK135" s="3507"/>
      <c r="FLL135" s="3507"/>
      <c r="FLM135" s="3507"/>
      <c r="FLN135" s="3507"/>
      <c r="FLO135" s="3507"/>
      <c r="FLP135" s="3507"/>
      <c r="FLQ135" s="3507"/>
      <c r="FLR135" s="3507"/>
      <c r="FLS135" s="3507"/>
      <c r="FLT135" s="3507"/>
      <c r="FLU135" s="3507"/>
      <c r="FLV135" s="3507"/>
      <c r="FLW135" s="3507"/>
      <c r="FLX135" s="3507"/>
      <c r="FLY135" s="3507"/>
      <c r="FLZ135" s="3507"/>
      <c r="FMA135" s="3507"/>
      <c r="FMB135" s="3507"/>
      <c r="FMC135" s="3507"/>
      <c r="FMD135" s="3507"/>
      <c r="FME135" s="3507"/>
      <c r="FMF135" s="3507"/>
      <c r="FMG135" s="3507"/>
      <c r="FMH135" s="3507"/>
      <c r="FMI135" s="3507"/>
      <c r="FMJ135" s="3507"/>
      <c r="FMK135" s="3507"/>
      <c r="FML135" s="3507"/>
      <c r="FMM135" s="3507"/>
      <c r="FMN135" s="3507"/>
      <c r="FMO135" s="3507"/>
      <c r="FMP135" s="3507"/>
      <c r="FMQ135" s="3507"/>
      <c r="FMR135" s="3507"/>
      <c r="FMS135" s="3507"/>
      <c r="FMT135" s="3507"/>
      <c r="FMU135" s="3507"/>
      <c r="FMV135" s="3507"/>
      <c r="FMW135" s="3507"/>
      <c r="FMX135" s="3507"/>
      <c r="FMY135" s="3507"/>
      <c r="FMZ135" s="3507"/>
      <c r="FNA135" s="3507"/>
      <c r="FNB135" s="3507"/>
      <c r="FNC135" s="3507"/>
      <c r="FND135" s="3507"/>
      <c r="FNE135" s="3507"/>
      <c r="FNF135" s="3507"/>
      <c r="FNG135" s="3507"/>
      <c r="FNH135" s="3507"/>
      <c r="FNI135" s="3507"/>
      <c r="FNJ135" s="3507"/>
      <c r="FNK135" s="3507"/>
      <c r="FNL135" s="3507"/>
      <c r="FNM135" s="3507"/>
      <c r="FNN135" s="3507"/>
      <c r="FNO135" s="3507"/>
      <c r="FNP135" s="3507"/>
      <c r="FNQ135" s="3507"/>
      <c r="FNR135" s="3507"/>
      <c r="FNS135" s="3507"/>
      <c r="FNT135" s="3507"/>
      <c r="FNU135" s="3507"/>
      <c r="FNV135" s="3507"/>
      <c r="FNW135" s="3507"/>
      <c r="FNX135" s="3507"/>
      <c r="FNY135" s="3507"/>
      <c r="FNZ135" s="3507"/>
      <c r="FOA135" s="3507"/>
      <c r="FOB135" s="3507"/>
      <c r="FOC135" s="3507"/>
      <c r="FOD135" s="3507"/>
      <c r="FOE135" s="3507"/>
      <c r="FOF135" s="3507"/>
      <c r="FOG135" s="3507"/>
      <c r="FOH135" s="3507"/>
      <c r="FOI135" s="3507"/>
      <c r="FOJ135" s="3507"/>
      <c r="FOK135" s="3507"/>
      <c r="FOL135" s="3507"/>
      <c r="FOM135" s="3507"/>
      <c r="FON135" s="3507"/>
      <c r="FOO135" s="3507"/>
      <c r="FOP135" s="3507"/>
      <c r="FOQ135" s="3507"/>
      <c r="FOR135" s="3507"/>
      <c r="FOS135" s="3507"/>
      <c r="FOT135" s="3507"/>
      <c r="FOU135" s="3507"/>
      <c r="FOV135" s="3507"/>
      <c r="FOW135" s="3507"/>
      <c r="FOX135" s="3507"/>
      <c r="FOY135" s="3507"/>
      <c r="FOZ135" s="3507"/>
      <c r="FPA135" s="3507"/>
      <c r="FPB135" s="3507"/>
      <c r="FPC135" s="3507"/>
      <c r="FPD135" s="3507"/>
      <c r="FPE135" s="3507"/>
      <c r="FPF135" s="3507"/>
      <c r="FPG135" s="3507"/>
      <c r="FPH135" s="3507"/>
      <c r="FPI135" s="3507"/>
      <c r="FPJ135" s="3507"/>
      <c r="FPK135" s="3507"/>
      <c r="FPL135" s="3507"/>
      <c r="FPM135" s="3507"/>
      <c r="FPN135" s="3507"/>
      <c r="FPO135" s="3507"/>
      <c r="FPP135" s="3507"/>
      <c r="FPQ135" s="3507"/>
      <c r="FPR135" s="3507"/>
      <c r="FPS135" s="3507"/>
      <c r="FPT135" s="3507"/>
      <c r="FPU135" s="3507"/>
      <c r="FPV135" s="3507"/>
      <c r="FPW135" s="3507"/>
      <c r="FPX135" s="3507"/>
      <c r="FPY135" s="3507"/>
      <c r="FPZ135" s="3507"/>
      <c r="FQA135" s="3507"/>
      <c r="FQB135" s="3507"/>
      <c r="FQC135" s="3507"/>
      <c r="FQD135" s="3507"/>
      <c r="FQE135" s="3507"/>
      <c r="FQF135" s="3507"/>
      <c r="FQG135" s="3507"/>
      <c r="FQH135" s="3507"/>
      <c r="FQI135" s="3507"/>
      <c r="FQJ135" s="3507"/>
      <c r="FQK135" s="3507"/>
      <c r="FQL135" s="3507"/>
      <c r="FQM135" s="3507"/>
      <c r="FQN135" s="3507"/>
      <c r="FQO135" s="3507"/>
      <c r="FQP135" s="3507"/>
      <c r="FQQ135" s="3507"/>
      <c r="FQR135" s="3507"/>
      <c r="FQS135" s="3507"/>
      <c r="FQT135" s="3507"/>
      <c r="FQU135" s="3507"/>
      <c r="FQV135" s="3507"/>
      <c r="FQW135" s="3507"/>
      <c r="FQX135" s="3507"/>
      <c r="FQY135" s="3507"/>
      <c r="FQZ135" s="3507"/>
      <c r="FRA135" s="3507"/>
      <c r="FRB135" s="3507"/>
      <c r="FRC135" s="3507"/>
      <c r="FRD135" s="3507"/>
      <c r="FRE135" s="3507"/>
      <c r="FRF135" s="3507"/>
      <c r="FRG135" s="3507"/>
      <c r="FRH135" s="3507"/>
      <c r="FRI135" s="3507"/>
      <c r="FRJ135" s="3507"/>
      <c r="FRK135" s="3507"/>
      <c r="FRL135" s="3507"/>
      <c r="FRM135" s="3507"/>
      <c r="FRN135" s="3507"/>
      <c r="FRO135" s="3507"/>
      <c r="FRP135" s="3507"/>
      <c r="FRQ135" s="3507"/>
      <c r="FRR135" s="3507"/>
      <c r="FRS135" s="3507"/>
      <c r="FRT135" s="3507"/>
      <c r="FRU135" s="3507"/>
      <c r="FRV135" s="3507"/>
      <c r="FRW135" s="3507"/>
      <c r="FRX135" s="3507"/>
      <c r="FRY135" s="3507"/>
      <c r="FRZ135" s="3507"/>
      <c r="FSA135" s="3507"/>
      <c r="FSB135" s="3507"/>
      <c r="FSC135" s="3507"/>
      <c r="FSD135" s="3507"/>
      <c r="FSE135" s="3507"/>
      <c r="FSF135" s="3507"/>
      <c r="FSG135" s="3507"/>
      <c r="FSH135" s="3507"/>
      <c r="FSI135" s="3507"/>
      <c r="FSJ135" s="3507"/>
      <c r="FSK135" s="3507"/>
      <c r="FSL135" s="3507"/>
      <c r="FSM135" s="3507"/>
      <c r="FSN135" s="3507"/>
      <c r="FSO135" s="3507"/>
      <c r="FSP135" s="3507"/>
      <c r="FSQ135" s="3507"/>
      <c r="FSR135" s="3507"/>
      <c r="FSS135" s="3507"/>
      <c r="FST135" s="3507"/>
      <c r="FSU135" s="3507"/>
      <c r="FSV135" s="3507"/>
      <c r="FSW135" s="3507"/>
      <c r="FSX135" s="3507"/>
      <c r="FSY135" s="3507"/>
      <c r="FSZ135" s="3507"/>
      <c r="FTA135" s="3507"/>
      <c r="FTB135" s="3507"/>
      <c r="FTC135" s="3507"/>
      <c r="FTD135" s="3507"/>
      <c r="FTE135" s="3507"/>
      <c r="FTF135" s="3507"/>
      <c r="FTG135" s="3507"/>
      <c r="FTH135" s="3507"/>
      <c r="FTI135" s="3507"/>
      <c r="FTJ135" s="3507"/>
      <c r="FTK135" s="3507"/>
      <c r="FTL135" s="3507"/>
      <c r="FTM135" s="3507"/>
      <c r="FTN135" s="3507"/>
      <c r="FTO135" s="3507"/>
      <c r="FTP135" s="3507"/>
      <c r="FTQ135" s="3507"/>
      <c r="FTR135" s="3507"/>
      <c r="FTS135" s="3507"/>
      <c r="FTT135" s="3507"/>
      <c r="FTU135" s="3507"/>
      <c r="FTV135" s="3507"/>
      <c r="FTW135" s="3507"/>
      <c r="FTX135" s="3507"/>
      <c r="FTY135" s="3507"/>
      <c r="FTZ135" s="3507"/>
      <c r="FUA135" s="3507"/>
      <c r="FUB135" s="3507"/>
      <c r="FUC135" s="3507"/>
      <c r="FUD135" s="3507"/>
      <c r="FUE135" s="3507"/>
      <c r="FUF135" s="3507"/>
      <c r="FUG135" s="3507"/>
      <c r="FUH135" s="3507"/>
      <c r="FUI135" s="3507"/>
      <c r="FUJ135" s="3507"/>
      <c r="FUK135" s="3507"/>
      <c r="FUL135" s="3507"/>
      <c r="FUM135" s="3507"/>
      <c r="FUN135" s="3507"/>
      <c r="FUO135" s="3507"/>
      <c r="FUP135" s="3507"/>
      <c r="FUQ135" s="3507"/>
      <c r="FUR135" s="3507"/>
      <c r="FUS135" s="3507"/>
      <c r="FUT135" s="3507"/>
      <c r="FUU135" s="3507"/>
      <c r="FUV135" s="3507"/>
      <c r="FUW135" s="3507"/>
      <c r="FUX135" s="3507"/>
      <c r="FUY135" s="3507"/>
      <c r="FUZ135" s="3507"/>
      <c r="FVA135" s="3507"/>
      <c r="FVB135" s="3507"/>
      <c r="FVC135" s="3507"/>
      <c r="FVD135" s="3507"/>
      <c r="FVE135" s="3507"/>
      <c r="FVF135" s="3507"/>
      <c r="FVG135" s="3507"/>
      <c r="FVH135" s="3507"/>
      <c r="FVI135" s="3507"/>
      <c r="FVJ135" s="3507"/>
      <c r="FVK135" s="3507"/>
      <c r="FVL135" s="3507"/>
      <c r="FVM135" s="3507"/>
      <c r="FVN135" s="3507"/>
      <c r="FVO135" s="3507"/>
      <c r="FVP135" s="3507"/>
      <c r="FVQ135" s="3507"/>
      <c r="FVR135" s="3507"/>
      <c r="FVS135" s="3507"/>
      <c r="FVT135" s="3507"/>
      <c r="FVU135" s="3507"/>
      <c r="FVV135" s="3507"/>
      <c r="FVW135" s="3507"/>
      <c r="FVX135" s="3507"/>
      <c r="FVY135" s="3507"/>
      <c r="FVZ135" s="3507"/>
      <c r="FWA135" s="3507"/>
      <c r="FWB135" s="3507"/>
      <c r="FWC135" s="3507"/>
      <c r="FWD135" s="3507"/>
      <c r="FWE135" s="3507"/>
      <c r="FWF135" s="3507"/>
      <c r="FWG135" s="3507"/>
      <c r="FWH135" s="3507"/>
      <c r="FWI135" s="3507"/>
      <c r="FWJ135" s="3507"/>
      <c r="FWK135" s="3507"/>
      <c r="FWL135" s="3507"/>
      <c r="FWM135" s="3507"/>
      <c r="FWN135" s="3507"/>
      <c r="FWO135" s="3507"/>
      <c r="FWP135" s="3507"/>
      <c r="FWQ135" s="3507"/>
      <c r="FWR135" s="3507"/>
      <c r="FWS135" s="3507"/>
      <c r="FWT135" s="3507"/>
      <c r="FWU135" s="3507"/>
      <c r="FWV135" s="3507"/>
      <c r="FWW135" s="3507"/>
      <c r="FWX135" s="3507"/>
      <c r="FWY135" s="3507"/>
      <c r="FWZ135" s="3507"/>
      <c r="FXA135" s="3507"/>
      <c r="FXB135" s="3507"/>
      <c r="FXC135" s="3507"/>
      <c r="FXD135" s="3507"/>
      <c r="FXE135" s="3507"/>
      <c r="FXF135" s="3507"/>
      <c r="FXG135" s="3507"/>
      <c r="FXH135" s="3507"/>
      <c r="FXI135" s="3507"/>
      <c r="FXJ135" s="3507"/>
      <c r="FXK135" s="3507"/>
      <c r="FXL135" s="3507"/>
      <c r="FXM135" s="3507"/>
      <c r="FXN135" s="3507"/>
      <c r="FXO135" s="3507"/>
      <c r="FXP135" s="3507"/>
      <c r="FXQ135" s="3507"/>
      <c r="FXR135" s="3507"/>
      <c r="FXS135" s="3507"/>
      <c r="FXT135" s="3507"/>
      <c r="FXU135" s="3507"/>
      <c r="FXV135" s="3507"/>
      <c r="FXW135" s="3507"/>
      <c r="FXX135" s="3507"/>
      <c r="FXY135" s="3507"/>
      <c r="FXZ135" s="3507"/>
      <c r="FYA135" s="3507"/>
      <c r="FYB135" s="3507"/>
      <c r="FYC135" s="3507"/>
      <c r="FYD135" s="3507"/>
      <c r="FYE135" s="3507"/>
      <c r="FYF135" s="3507"/>
      <c r="FYG135" s="3507"/>
      <c r="FYH135" s="3507"/>
      <c r="FYI135" s="3507"/>
      <c r="FYJ135" s="3507"/>
      <c r="FYK135" s="3507"/>
      <c r="FYL135" s="3507"/>
      <c r="FYM135" s="3507"/>
      <c r="FYN135" s="3507"/>
      <c r="FYO135" s="3507"/>
      <c r="FYP135" s="3507"/>
      <c r="FYQ135" s="3507"/>
      <c r="FYR135" s="3507"/>
      <c r="FYS135" s="3507"/>
      <c r="FYT135" s="3507"/>
      <c r="FYU135" s="3507"/>
      <c r="FYV135" s="3507"/>
      <c r="FYW135" s="3507"/>
      <c r="FYX135" s="3507"/>
      <c r="FYY135" s="3507"/>
      <c r="FYZ135" s="3507"/>
      <c r="FZA135" s="3507"/>
      <c r="FZB135" s="3507"/>
      <c r="FZC135" s="3507"/>
      <c r="FZD135" s="3507"/>
      <c r="FZE135" s="3507"/>
      <c r="FZF135" s="3507"/>
      <c r="FZG135" s="3507"/>
      <c r="FZH135" s="3507"/>
      <c r="FZI135" s="3507"/>
      <c r="FZJ135" s="3507"/>
      <c r="FZK135" s="3507"/>
      <c r="FZL135" s="3507"/>
      <c r="FZM135" s="3507"/>
      <c r="FZN135" s="3507"/>
      <c r="FZO135" s="3507"/>
      <c r="FZP135" s="3507"/>
      <c r="FZQ135" s="3507"/>
      <c r="FZR135" s="3507"/>
      <c r="FZS135" s="3507"/>
      <c r="FZT135" s="3507"/>
      <c r="FZU135" s="3507"/>
      <c r="FZV135" s="3507"/>
      <c r="FZW135" s="3507"/>
      <c r="FZX135" s="3507"/>
      <c r="FZY135" s="3507"/>
      <c r="FZZ135" s="3507"/>
      <c r="GAA135" s="3507"/>
      <c r="GAB135" s="3507"/>
      <c r="GAC135" s="3507"/>
      <c r="GAD135" s="3507"/>
      <c r="GAE135" s="3507"/>
      <c r="GAF135" s="3507"/>
      <c r="GAG135" s="3507"/>
      <c r="GAH135" s="3507"/>
      <c r="GAI135" s="3507"/>
      <c r="GAJ135" s="3507"/>
      <c r="GAK135" s="3507"/>
      <c r="GAL135" s="3507"/>
      <c r="GAM135" s="3507"/>
      <c r="GAN135" s="3507"/>
      <c r="GAO135" s="3507"/>
      <c r="GAP135" s="3507"/>
      <c r="GAQ135" s="3507"/>
      <c r="GAR135" s="3507"/>
      <c r="GAS135" s="3507"/>
      <c r="GAT135" s="3507"/>
      <c r="GAU135" s="3507"/>
      <c r="GAV135" s="3507"/>
      <c r="GAW135" s="3507"/>
      <c r="GAX135" s="3507"/>
      <c r="GAY135" s="3507"/>
      <c r="GAZ135" s="3507"/>
      <c r="GBA135" s="3507"/>
      <c r="GBB135" s="3507"/>
      <c r="GBC135" s="3507"/>
      <c r="GBD135" s="3507"/>
      <c r="GBE135" s="3507"/>
      <c r="GBF135" s="3507"/>
      <c r="GBG135" s="3507"/>
      <c r="GBH135" s="3507"/>
      <c r="GBI135" s="3507"/>
      <c r="GBJ135" s="3507"/>
      <c r="GBK135" s="3507"/>
      <c r="GBL135" s="3507"/>
      <c r="GBM135" s="3507"/>
      <c r="GBN135" s="3507"/>
      <c r="GBO135" s="3507"/>
      <c r="GBP135" s="3507"/>
      <c r="GBQ135" s="3507"/>
      <c r="GBR135" s="3507"/>
      <c r="GBS135" s="3507"/>
      <c r="GBT135" s="3507"/>
      <c r="GBU135" s="3507"/>
      <c r="GBV135" s="3507"/>
      <c r="GBW135" s="3507"/>
      <c r="GBX135" s="3507"/>
      <c r="GBY135" s="3507"/>
      <c r="GBZ135" s="3507"/>
      <c r="GCA135" s="3507"/>
      <c r="GCB135" s="3507"/>
      <c r="GCC135" s="3507"/>
      <c r="GCD135" s="3507"/>
      <c r="GCE135" s="3507"/>
      <c r="GCF135" s="3507"/>
      <c r="GCG135" s="3507"/>
      <c r="GCH135" s="3507"/>
      <c r="GCI135" s="3507"/>
      <c r="GCJ135" s="3507"/>
      <c r="GCK135" s="3507"/>
      <c r="GCL135" s="3507"/>
      <c r="GCM135" s="3507"/>
      <c r="GCN135" s="3507"/>
      <c r="GCO135" s="3507"/>
      <c r="GCP135" s="3507"/>
      <c r="GCQ135" s="3507"/>
      <c r="GCR135" s="3507"/>
      <c r="GCS135" s="3507"/>
      <c r="GCT135" s="3507"/>
      <c r="GCU135" s="3507"/>
      <c r="GCV135" s="3507"/>
      <c r="GCW135" s="3507"/>
      <c r="GCX135" s="3507"/>
      <c r="GCY135" s="3507"/>
      <c r="GCZ135" s="3507"/>
      <c r="GDA135" s="3507"/>
      <c r="GDB135" s="3507"/>
      <c r="GDC135" s="3507"/>
      <c r="GDD135" s="3507"/>
      <c r="GDE135" s="3507"/>
      <c r="GDF135" s="3507"/>
      <c r="GDG135" s="3507"/>
      <c r="GDH135" s="3507"/>
      <c r="GDI135" s="3507"/>
      <c r="GDJ135" s="3507"/>
      <c r="GDK135" s="3507"/>
      <c r="GDL135" s="3507"/>
      <c r="GDM135" s="3507"/>
      <c r="GDN135" s="3507"/>
      <c r="GDO135" s="3507"/>
      <c r="GDP135" s="3507"/>
      <c r="GDQ135" s="3507"/>
      <c r="GDR135" s="3507"/>
      <c r="GDS135" s="3507"/>
      <c r="GDT135" s="3507"/>
      <c r="GDU135" s="3507"/>
      <c r="GDV135" s="3507"/>
      <c r="GDW135" s="3507"/>
      <c r="GDX135" s="3507"/>
      <c r="GDY135" s="3507"/>
      <c r="GDZ135" s="3507"/>
      <c r="GEA135" s="3507"/>
      <c r="GEB135" s="3507"/>
      <c r="GEC135" s="3507"/>
      <c r="GED135" s="3507"/>
      <c r="GEE135" s="3507"/>
      <c r="GEF135" s="3507"/>
      <c r="GEG135" s="3507"/>
      <c r="GEH135" s="3507"/>
      <c r="GEI135" s="3507"/>
      <c r="GEJ135" s="3507"/>
      <c r="GEK135" s="3507"/>
      <c r="GEL135" s="3507"/>
      <c r="GEM135" s="3507"/>
      <c r="GEN135" s="3507"/>
      <c r="GEO135" s="3507"/>
      <c r="GEP135" s="3507"/>
      <c r="GEQ135" s="3507"/>
      <c r="GER135" s="3507"/>
      <c r="GES135" s="3507"/>
      <c r="GET135" s="3507"/>
      <c r="GEU135" s="3507"/>
      <c r="GEV135" s="3507"/>
      <c r="GEW135" s="3507"/>
      <c r="GEX135" s="3507"/>
      <c r="GEY135" s="3507"/>
      <c r="GEZ135" s="3507"/>
      <c r="GFA135" s="3507"/>
      <c r="GFB135" s="3507"/>
      <c r="GFC135" s="3507"/>
      <c r="GFD135" s="3507"/>
      <c r="GFE135" s="3507"/>
      <c r="GFF135" s="3507"/>
      <c r="GFG135" s="3507"/>
      <c r="GFH135" s="3507"/>
      <c r="GFI135" s="3507"/>
      <c r="GFJ135" s="3507"/>
      <c r="GFK135" s="3507"/>
      <c r="GFL135" s="3507"/>
      <c r="GFM135" s="3507"/>
      <c r="GFN135" s="3507"/>
      <c r="GFO135" s="3507"/>
      <c r="GFP135" s="3507"/>
      <c r="GFQ135" s="3507"/>
      <c r="GFR135" s="3507"/>
      <c r="GFS135" s="3507"/>
      <c r="GFT135" s="3507"/>
      <c r="GFU135" s="3507"/>
      <c r="GFV135" s="3507"/>
      <c r="GFW135" s="3507"/>
      <c r="GFX135" s="3507"/>
      <c r="GFY135" s="3507"/>
      <c r="GFZ135" s="3507"/>
      <c r="GGA135" s="3507"/>
      <c r="GGB135" s="3507"/>
      <c r="GGC135" s="3507"/>
      <c r="GGD135" s="3507"/>
      <c r="GGE135" s="3507"/>
      <c r="GGF135" s="3507"/>
      <c r="GGG135" s="3507"/>
      <c r="GGH135" s="3507"/>
      <c r="GGI135" s="3507"/>
      <c r="GGJ135" s="3507"/>
      <c r="GGK135" s="3507"/>
      <c r="GGL135" s="3507"/>
      <c r="GGM135" s="3507"/>
      <c r="GGN135" s="3507"/>
      <c r="GGO135" s="3507"/>
      <c r="GGP135" s="3507"/>
      <c r="GGQ135" s="3507"/>
      <c r="GGR135" s="3507"/>
      <c r="GGS135" s="3507"/>
      <c r="GGT135" s="3507"/>
      <c r="GGU135" s="3507"/>
      <c r="GGV135" s="3507"/>
      <c r="GGW135" s="3507"/>
      <c r="GGX135" s="3507"/>
      <c r="GGY135" s="3507"/>
      <c r="GGZ135" s="3507"/>
      <c r="GHA135" s="3507"/>
      <c r="GHB135" s="3507"/>
      <c r="GHC135" s="3507"/>
      <c r="GHD135" s="3507"/>
      <c r="GHE135" s="3507"/>
      <c r="GHF135" s="3507"/>
      <c r="GHG135" s="3507"/>
      <c r="GHH135" s="3507"/>
      <c r="GHI135" s="3507"/>
      <c r="GHJ135" s="3507"/>
      <c r="GHK135" s="3507"/>
      <c r="GHL135" s="3507"/>
      <c r="GHM135" s="3507"/>
      <c r="GHN135" s="3507"/>
      <c r="GHO135" s="3507"/>
      <c r="GHP135" s="3507"/>
      <c r="GHQ135" s="3507"/>
      <c r="GHR135" s="3507"/>
      <c r="GHS135" s="3507"/>
      <c r="GHT135" s="3507"/>
      <c r="GHU135" s="3507"/>
      <c r="GHV135" s="3507"/>
      <c r="GHW135" s="3507"/>
      <c r="GHX135" s="3507"/>
      <c r="GHY135" s="3507"/>
      <c r="GHZ135" s="3507"/>
      <c r="GIA135" s="3507"/>
      <c r="GIB135" s="3507"/>
      <c r="GIC135" s="3507"/>
      <c r="GID135" s="3507"/>
      <c r="GIE135" s="3507"/>
      <c r="GIF135" s="3507"/>
      <c r="GIG135" s="3507"/>
      <c r="GIH135" s="3507"/>
      <c r="GII135" s="3507"/>
      <c r="GIJ135" s="3507"/>
      <c r="GIK135" s="3507"/>
      <c r="GIL135" s="3507"/>
      <c r="GIM135" s="3507"/>
      <c r="GIN135" s="3507"/>
      <c r="GIO135" s="3507"/>
      <c r="GIP135" s="3507"/>
      <c r="GIQ135" s="3507"/>
      <c r="GIR135" s="3507"/>
      <c r="GIS135" s="3507"/>
      <c r="GIT135" s="3507"/>
      <c r="GIU135" s="3507"/>
      <c r="GIV135" s="3507"/>
      <c r="GIW135" s="3507"/>
      <c r="GIX135" s="3507"/>
      <c r="GIY135" s="3507"/>
      <c r="GIZ135" s="3507"/>
      <c r="GJA135" s="3507"/>
      <c r="GJB135" s="3507"/>
      <c r="GJC135" s="3507"/>
      <c r="GJD135" s="3507"/>
      <c r="GJE135" s="3507"/>
      <c r="GJF135" s="3507"/>
      <c r="GJG135" s="3507"/>
      <c r="GJH135" s="3507"/>
      <c r="GJI135" s="3507"/>
      <c r="GJJ135" s="3507"/>
      <c r="GJK135" s="3507"/>
      <c r="GJL135" s="3507"/>
      <c r="GJM135" s="3507"/>
      <c r="GJN135" s="3507"/>
      <c r="GJO135" s="3507"/>
      <c r="GJP135" s="3507"/>
      <c r="GJQ135" s="3507"/>
      <c r="GJR135" s="3507"/>
      <c r="GJS135" s="3507"/>
      <c r="GJT135" s="3507"/>
      <c r="GJU135" s="3507"/>
      <c r="GJV135" s="3507"/>
      <c r="GJW135" s="3507"/>
      <c r="GJX135" s="3507"/>
      <c r="GJY135" s="3507"/>
      <c r="GJZ135" s="3507"/>
      <c r="GKA135" s="3507"/>
      <c r="GKB135" s="3507"/>
      <c r="GKC135" s="3507"/>
      <c r="GKD135" s="3507"/>
      <c r="GKE135" s="3507"/>
      <c r="GKF135" s="3507"/>
      <c r="GKG135" s="3507"/>
      <c r="GKH135" s="3507"/>
      <c r="GKI135" s="3507"/>
      <c r="GKJ135" s="3507"/>
      <c r="GKK135" s="3507"/>
      <c r="GKL135" s="3507"/>
      <c r="GKM135" s="3507"/>
      <c r="GKN135" s="3507"/>
      <c r="GKO135" s="3507"/>
      <c r="GKP135" s="3507"/>
      <c r="GKQ135" s="3507"/>
      <c r="GKR135" s="3507"/>
      <c r="GKS135" s="3507"/>
      <c r="GKT135" s="3507"/>
      <c r="GKU135" s="3507"/>
      <c r="GKV135" s="3507"/>
      <c r="GKW135" s="3507"/>
      <c r="GKX135" s="3507"/>
      <c r="GKY135" s="3507"/>
      <c r="GKZ135" s="3507"/>
      <c r="GLA135" s="3507"/>
      <c r="GLB135" s="3507"/>
      <c r="GLC135" s="3507"/>
      <c r="GLD135" s="3507"/>
      <c r="GLE135" s="3507"/>
      <c r="GLF135" s="3507"/>
      <c r="GLG135" s="3507"/>
      <c r="GLH135" s="3507"/>
      <c r="GLI135" s="3507"/>
      <c r="GLJ135" s="3507"/>
      <c r="GLK135" s="3507"/>
      <c r="GLL135" s="3507"/>
      <c r="GLM135" s="3507"/>
      <c r="GLN135" s="3507"/>
      <c r="GLO135" s="3507"/>
      <c r="GLP135" s="3507"/>
      <c r="GLQ135" s="3507"/>
      <c r="GLR135" s="3507"/>
      <c r="GLS135" s="3507"/>
      <c r="GLT135" s="3507"/>
      <c r="GLU135" s="3507"/>
      <c r="GLV135" s="3507"/>
      <c r="GLW135" s="3507"/>
      <c r="GLX135" s="3507"/>
      <c r="GLY135" s="3507"/>
      <c r="GLZ135" s="3507"/>
      <c r="GMA135" s="3507"/>
      <c r="GMB135" s="3507"/>
      <c r="GMC135" s="3507"/>
      <c r="GMD135" s="3507"/>
      <c r="GME135" s="3507"/>
      <c r="GMF135" s="3507"/>
      <c r="GMG135" s="3507"/>
      <c r="GMH135" s="3507"/>
      <c r="GMI135" s="3507"/>
      <c r="GMJ135" s="3507"/>
      <c r="GMK135" s="3507"/>
      <c r="GML135" s="3507"/>
      <c r="GMM135" s="3507"/>
      <c r="GMN135" s="3507"/>
      <c r="GMO135" s="3507"/>
      <c r="GMP135" s="3507"/>
      <c r="GMQ135" s="3507"/>
      <c r="GMR135" s="3507"/>
      <c r="GMS135" s="3507"/>
      <c r="GMT135" s="3507"/>
      <c r="GMU135" s="3507"/>
      <c r="GMV135" s="3507"/>
      <c r="GMW135" s="3507"/>
      <c r="GMX135" s="3507"/>
      <c r="GMY135" s="3507"/>
      <c r="GMZ135" s="3507"/>
      <c r="GNA135" s="3507"/>
      <c r="GNB135" s="3507"/>
      <c r="GNC135" s="3507"/>
      <c r="GND135" s="3507"/>
      <c r="GNE135" s="3507"/>
      <c r="GNF135" s="3507"/>
      <c r="GNG135" s="3507"/>
      <c r="GNH135" s="3507"/>
      <c r="GNI135" s="3507"/>
      <c r="GNJ135" s="3507"/>
      <c r="GNK135" s="3507"/>
      <c r="GNL135" s="3507"/>
      <c r="GNM135" s="3507"/>
      <c r="GNN135" s="3507"/>
      <c r="GNO135" s="3507"/>
      <c r="GNP135" s="3507"/>
      <c r="GNQ135" s="3507"/>
      <c r="GNR135" s="3507"/>
      <c r="GNS135" s="3507"/>
      <c r="GNT135" s="3507"/>
      <c r="GNU135" s="3507"/>
      <c r="GNV135" s="3507"/>
      <c r="GNW135" s="3507"/>
      <c r="GNX135" s="3507"/>
      <c r="GNY135" s="3507"/>
      <c r="GNZ135" s="3507"/>
      <c r="GOA135" s="3507"/>
      <c r="GOB135" s="3507"/>
      <c r="GOC135" s="3507"/>
      <c r="GOD135" s="3507"/>
      <c r="GOE135" s="3507"/>
      <c r="GOF135" s="3507"/>
      <c r="GOG135" s="3507"/>
      <c r="GOH135" s="3507"/>
      <c r="GOI135" s="3507"/>
      <c r="GOJ135" s="3507"/>
      <c r="GOK135" s="3507"/>
      <c r="GOL135" s="3507"/>
      <c r="GOM135" s="3507"/>
      <c r="GON135" s="3507"/>
      <c r="GOO135" s="3507"/>
      <c r="GOP135" s="3507"/>
      <c r="GOQ135" s="3507"/>
      <c r="GOR135" s="3507"/>
      <c r="GOS135" s="3507"/>
      <c r="GOT135" s="3507"/>
      <c r="GOU135" s="3507"/>
      <c r="GOV135" s="3507"/>
      <c r="GOW135" s="3507"/>
      <c r="GOX135" s="3507"/>
      <c r="GOY135" s="3507"/>
      <c r="GOZ135" s="3507"/>
      <c r="GPA135" s="3507"/>
      <c r="GPB135" s="3507"/>
      <c r="GPC135" s="3507"/>
      <c r="GPD135" s="3507"/>
      <c r="GPE135" s="3507"/>
      <c r="GPF135" s="3507"/>
      <c r="GPG135" s="3507"/>
      <c r="GPH135" s="3507"/>
      <c r="GPI135" s="3507"/>
      <c r="GPJ135" s="3507"/>
      <c r="GPK135" s="3507"/>
      <c r="GPL135" s="3507"/>
      <c r="GPM135" s="3507"/>
      <c r="GPN135" s="3507"/>
      <c r="GPO135" s="3507"/>
      <c r="GPP135" s="3507"/>
      <c r="GPQ135" s="3507"/>
      <c r="GPR135" s="3507"/>
      <c r="GPS135" s="3507"/>
      <c r="GPT135" s="3507"/>
      <c r="GPU135" s="3507"/>
      <c r="GPV135" s="3507"/>
      <c r="GPW135" s="3507"/>
      <c r="GPX135" s="3507"/>
      <c r="GPY135" s="3507"/>
      <c r="GPZ135" s="3507"/>
      <c r="GQA135" s="3507"/>
      <c r="GQB135" s="3507"/>
      <c r="GQC135" s="3507"/>
      <c r="GQD135" s="3507"/>
      <c r="GQE135" s="3507"/>
      <c r="GQF135" s="3507"/>
      <c r="GQG135" s="3507"/>
      <c r="GQH135" s="3507"/>
      <c r="GQI135" s="3507"/>
      <c r="GQJ135" s="3507"/>
      <c r="GQK135" s="3507"/>
      <c r="GQL135" s="3507"/>
      <c r="GQM135" s="3507"/>
      <c r="GQN135" s="3507"/>
      <c r="GQO135" s="3507"/>
      <c r="GQP135" s="3507"/>
      <c r="GQQ135" s="3507"/>
      <c r="GQR135" s="3507"/>
      <c r="GQS135" s="3507"/>
      <c r="GQT135" s="3507"/>
      <c r="GQU135" s="3507"/>
      <c r="GQV135" s="3507"/>
      <c r="GQW135" s="3507"/>
      <c r="GQX135" s="3507"/>
      <c r="GQY135" s="3507"/>
      <c r="GQZ135" s="3507"/>
      <c r="GRA135" s="3507"/>
      <c r="GRB135" s="3507"/>
      <c r="GRC135" s="3507"/>
      <c r="GRD135" s="3507"/>
      <c r="GRE135" s="3507"/>
      <c r="GRF135" s="3507"/>
      <c r="GRG135" s="3507"/>
      <c r="GRH135" s="3507"/>
      <c r="GRI135" s="3507"/>
      <c r="GRJ135" s="3507"/>
      <c r="GRK135" s="3507"/>
      <c r="GRL135" s="3507"/>
      <c r="GRM135" s="3507"/>
      <c r="GRN135" s="3507"/>
      <c r="GRO135" s="3507"/>
      <c r="GRP135" s="3507"/>
      <c r="GRQ135" s="3507"/>
      <c r="GRR135" s="3507"/>
      <c r="GRS135" s="3507"/>
      <c r="GRT135" s="3507"/>
      <c r="GRU135" s="3507"/>
      <c r="GRV135" s="3507"/>
      <c r="GRW135" s="3507"/>
      <c r="GRX135" s="3507"/>
      <c r="GRY135" s="3507"/>
      <c r="GRZ135" s="3507"/>
      <c r="GSA135" s="3507"/>
      <c r="GSB135" s="3507"/>
      <c r="GSC135" s="3507"/>
      <c r="GSD135" s="3507"/>
      <c r="GSE135" s="3507"/>
      <c r="GSF135" s="3507"/>
      <c r="GSG135" s="3507"/>
      <c r="GSH135" s="3507"/>
      <c r="GSI135" s="3507"/>
      <c r="GSJ135" s="3507"/>
      <c r="GSK135" s="3507"/>
      <c r="GSL135" s="3507"/>
      <c r="GSM135" s="3507"/>
      <c r="GSN135" s="3507"/>
      <c r="GSO135" s="3507"/>
      <c r="GSP135" s="3507"/>
      <c r="GSQ135" s="3507"/>
      <c r="GSR135" s="3507"/>
      <c r="GSS135" s="3507"/>
      <c r="GST135" s="3507"/>
      <c r="GSU135" s="3507"/>
      <c r="GSV135" s="3507"/>
      <c r="GSW135" s="3507"/>
      <c r="GSX135" s="3507"/>
      <c r="GSY135" s="3507"/>
      <c r="GSZ135" s="3507"/>
      <c r="GTA135" s="3507"/>
      <c r="GTB135" s="3507"/>
      <c r="GTC135" s="3507"/>
      <c r="GTD135" s="3507"/>
      <c r="GTE135" s="3507"/>
      <c r="GTF135" s="3507"/>
      <c r="GTG135" s="3507"/>
      <c r="GTH135" s="3507"/>
      <c r="GTI135" s="3507"/>
      <c r="GTJ135" s="3507"/>
      <c r="GTK135" s="3507"/>
      <c r="GTL135" s="3507"/>
      <c r="GTM135" s="3507"/>
      <c r="GTN135" s="3507"/>
      <c r="GTO135" s="3507"/>
      <c r="GTP135" s="3507"/>
      <c r="GTQ135" s="3507"/>
      <c r="GTR135" s="3507"/>
      <c r="GTS135" s="3507"/>
      <c r="GTT135" s="3507"/>
      <c r="GTU135" s="3507"/>
      <c r="GTV135" s="3507"/>
      <c r="GTW135" s="3507"/>
      <c r="GTX135" s="3507"/>
      <c r="GTY135" s="3507"/>
      <c r="GTZ135" s="3507"/>
      <c r="GUA135" s="3507"/>
      <c r="GUB135" s="3507"/>
      <c r="GUC135" s="3507"/>
      <c r="GUD135" s="3507"/>
      <c r="GUE135" s="3507"/>
      <c r="GUF135" s="3507"/>
      <c r="GUG135" s="3507"/>
      <c r="GUH135" s="3507"/>
      <c r="GUI135" s="3507"/>
      <c r="GUJ135" s="3507"/>
      <c r="GUK135" s="3507"/>
      <c r="GUL135" s="3507"/>
      <c r="GUM135" s="3507"/>
      <c r="GUN135" s="3507"/>
      <c r="GUO135" s="3507"/>
      <c r="GUP135" s="3507"/>
      <c r="GUQ135" s="3507"/>
      <c r="GUR135" s="3507"/>
      <c r="GUS135" s="3507"/>
      <c r="GUT135" s="3507"/>
      <c r="GUU135" s="3507"/>
      <c r="GUV135" s="3507"/>
      <c r="GUW135" s="3507"/>
      <c r="GUX135" s="3507"/>
      <c r="GUY135" s="3507"/>
      <c r="GUZ135" s="3507"/>
      <c r="GVA135" s="3507"/>
      <c r="GVB135" s="3507"/>
      <c r="GVC135" s="3507"/>
      <c r="GVD135" s="3507"/>
      <c r="GVE135" s="3507"/>
      <c r="GVF135" s="3507"/>
      <c r="GVG135" s="3507"/>
      <c r="GVH135" s="3507"/>
      <c r="GVI135" s="3507"/>
      <c r="GVJ135" s="3507"/>
      <c r="GVK135" s="3507"/>
      <c r="GVL135" s="3507"/>
      <c r="GVM135" s="3507"/>
      <c r="GVN135" s="3507"/>
      <c r="GVO135" s="3507"/>
      <c r="GVP135" s="3507"/>
      <c r="GVQ135" s="3507"/>
      <c r="GVR135" s="3507"/>
      <c r="GVS135" s="3507"/>
      <c r="GVT135" s="3507"/>
      <c r="GVU135" s="3507"/>
      <c r="GVV135" s="3507"/>
      <c r="GVW135" s="3507"/>
      <c r="GVX135" s="3507"/>
      <c r="GVY135" s="3507"/>
      <c r="GVZ135" s="3507"/>
      <c r="GWA135" s="3507"/>
      <c r="GWB135" s="3507"/>
      <c r="GWC135" s="3507"/>
      <c r="GWD135" s="3507"/>
      <c r="GWE135" s="3507"/>
      <c r="GWF135" s="3507"/>
      <c r="GWG135" s="3507"/>
      <c r="GWH135" s="3507"/>
      <c r="GWI135" s="3507"/>
      <c r="GWJ135" s="3507"/>
      <c r="GWK135" s="3507"/>
      <c r="GWL135" s="3507"/>
      <c r="GWM135" s="3507"/>
      <c r="GWN135" s="3507"/>
      <c r="GWO135" s="3507"/>
      <c r="GWP135" s="3507"/>
      <c r="GWQ135" s="3507"/>
      <c r="GWR135" s="3507"/>
      <c r="GWS135" s="3507"/>
      <c r="GWT135" s="3507"/>
      <c r="GWU135" s="3507"/>
      <c r="GWV135" s="3507"/>
      <c r="GWW135" s="3507"/>
      <c r="GWX135" s="3507"/>
      <c r="GWY135" s="3507"/>
      <c r="GWZ135" s="3507"/>
      <c r="GXA135" s="3507"/>
      <c r="GXB135" s="3507"/>
      <c r="GXC135" s="3507"/>
      <c r="GXD135" s="3507"/>
      <c r="GXE135" s="3507"/>
      <c r="GXF135" s="3507"/>
      <c r="GXG135" s="3507"/>
      <c r="GXH135" s="3507"/>
      <c r="GXI135" s="3507"/>
      <c r="GXJ135" s="3507"/>
      <c r="GXK135" s="3507"/>
      <c r="GXL135" s="3507"/>
      <c r="GXM135" s="3507"/>
      <c r="GXN135" s="3507"/>
      <c r="GXO135" s="3507"/>
      <c r="GXP135" s="3507"/>
      <c r="GXQ135" s="3507"/>
      <c r="GXR135" s="3507"/>
      <c r="GXS135" s="3507"/>
      <c r="GXT135" s="3507"/>
      <c r="GXU135" s="3507"/>
      <c r="GXV135" s="3507"/>
      <c r="GXW135" s="3507"/>
      <c r="GXX135" s="3507"/>
      <c r="GXY135" s="3507"/>
      <c r="GXZ135" s="3507"/>
      <c r="GYA135" s="3507"/>
      <c r="GYB135" s="3507"/>
      <c r="GYC135" s="3507"/>
      <c r="GYD135" s="3507"/>
      <c r="GYE135" s="3507"/>
      <c r="GYF135" s="3507"/>
      <c r="GYG135" s="3507"/>
      <c r="GYH135" s="3507"/>
      <c r="GYI135" s="3507"/>
      <c r="GYJ135" s="3507"/>
      <c r="GYK135" s="3507"/>
      <c r="GYL135" s="3507"/>
      <c r="GYM135" s="3507"/>
      <c r="GYN135" s="3507"/>
      <c r="GYO135" s="3507"/>
      <c r="GYP135" s="3507"/>
      <c r="GYQ135" s="3507"/>
      <c r="GYR135" s="3507"/>
      <c r="GYS135" s="3507"/>
      <c r="GYT135" s="3507"/>
      <c r="GYU135" s="3507"/>
      <c r="GYV135" s="3507"/>
      <c r="GYW135" s="3507"/>
      <c r="GYX135" s="3507"/>
      <c r="GYY135" s="3507"/>
      <c r="GYZ135" s="3507"/>
      <c r="GZA135" s="3507"/>
      <c r="GZB135" s="3507"/>
      <c r="GZC135" s="3507"/>
      <c r="GZD135" s="3507"/>
      <c r="GZE135" s="3507"/>
      <c r="GZF135" s="3507"/>
      <c r="GZG135" s="3507"/>
      <c r="GZH135" s="3507"/>
      <c r="GZI135" s="3507"/>
      <c r="GZJ135" s="3507"/>
      <c r="GZK135" s="3507"/>
      <c r="GZL135" s="3507"/>
      <c r="GZM135" s="3507"/>
      <c r="GZN135" s="3507"/>
      <c r="GZO135" s="3507"/>
      <c r="GZP135" s="3507"/>
      <c r="GZQ135" s="3507"/>
      <c r="GZR135" s="3507"/>
      <c r="GZS135" s="3507"/>
      <c r="GZT135" s="3507"/>
      <c r="GZU135" s="3507"/>
      <c r="GZV135" s="3507"/>
      <c r="GZW135" s="3507"/>
      <c r="GZX135" s="3507"/>
      <c r="GZY135" s="3507"/>
      <c r="GZZ135" s="3507"/>
      <c r="HAA135" s="3507"/>
      <c r="HAB135" s="3507"/>
      <c r="HAC135" s="3507"/>
      <c r="HAD135" s="3507"/>
      <c r="HAE135" s="3507"/>
      <c r="HAF135" s="3507"/>
      <c r="HAG135" s="3507"/>
      <c r="HAH135" s="3507"/>
      <c r="HAI135" s="3507"/>
      <c r="HAJ135" s="3507"/>
      <c r="HAK135" s="3507"/>
      <c r="HAL135" s="3507"/>
      <c r="HAM135" s="3507"/>
      <c r="HAN135" s="3507"/>
      <c r="HAO135" s="3507"/>
      <c r="HAP135" s="3507"/>
      <c r="HAQ135" s="3507"/>
      <c r="HAR135" s="3507"/>
      <c r="HAS135" s="3507"/>
      <c r="HAT135" s="3507"/>
      <c r="HAU135" s="3507"/>
      <c r="HAV135" s="3507"/>
      <c r="HAW135" s="3507"/>
      <c r="HAX135" s="3507"/>
      <c r="HAY135" s="3507"/>
      <c r="HAZ135" s="3507"/>
      <c r="HBA135" s="3507"/>
      <c r="HBB135" s="3507"/>
      <c r="HBC135" s="3507"/>
      <c r="HBD135" s="3507"/>
      <c r="HBE135" s="3507"/>
      <c r="HBF135" s="3507"/>
      <c r="HBG135" s="3507"/>
      <c r="HBH135" s="3507"/>
      <c r="HBI135" s="3507"/>
      <c r="HBJ135" s="3507"/>
      <c r="HBK135" s="3507"/>
      <c r="HBL135" s="3507"/>
      <c r="HBM135" s="3507"/>
      <c r="HBN135" s="3507"/>
      <c r="HBO135" s="3507"/>
      <c r="HBP135" s="3507"/>
      <c r="HBQ135" s="3507"/>
      <c r="HBR135" s="3507"/>
      <c r="HBS135" s="3507"/>
      <c r="HBT135" s="3507"/>
      <c r="HBU135" s="3507"/>
      <c r="HBV135" s="3507"/>
      <c r="HBW135" s="3507"/>
      <c r="HBX135" s="3507"/>
      <c r="HBY135" s="3507"/>
      <c r="HBZ135" s="3507"/>
      <c r="HCA135" s="3507"/>
      <c r="HCB135" s="3507"/>
      <c r="HCC135" s="3507"/>
      <c r="HCD135" s="3507"/>
      <c r="HCE135" s="3507"/>
      <c r="HCF135" s="3507"/>
      <c r="HCG135" s="3507"/>
      <c r="HCH135" s="3507"/>
      <c r="HCI135" s="3507"/>
      <c r="HCJ135" s="3507"/>
      <c r="HCK135" s="3507"/>
      <c r="HCL135" s="3507"/>
      <c r="HCM135" s="3507"/>
      <c r="HCN135" s="3507"/>
      <c r="HCO135" s="3507"/>
      <c r="HCP135" s="3507"/>
      <c r="HCQ135" s="3507"/>
      <c r="HCR135" s="3507"/>
      <c r="HCS135" s="3507"/>
      <c r="HCT135" s="3507"/>
      <c r="HCU135" s="3507"/>
      <c r="HCV135" s="3507"/>
      <c r="HCW135" s="3507"/>
      <c r="HCX135" s="3507"/>
      <c r="HCY135" s="3507"/>
      <c r="HCZ135" s="3507"/>
      <c r="HDA135" s="3507"/>
      <c r="HDB135" s="3507"/>
      <c r="HDC135" s="3507"/>
      <c r="HDD135" s="3507"/>
      <c r="HDE135" s="3507"/>
      <c r="HDF135" s="3507"/>
      <c r="HDG135" s="3507"/>
      <c r="HDH135" s="3507"/>
      <c r="HDI135" s="3507"/>
      <c r="HDJ135" s="3507"/>
      <c r="HDK135" s="3507"/>
      <c r="HDL135" s="3507"/>
      <c r="HDM135" s="3507"/>
      <c r="HDN135" s="3507"/>
      <c r="HDO135" s="3507"/>
      <c r="HDP135" s="3507"/>
      <c r="HDQ135" s="3507"/>
      <c r="HDR135" s="3507"/>
      <c r="HDS135" s="3507"/>
      <c r="HDT135" s="3507"/>
      <c r="HDU135" s="3507"/>
      <c r="HDV135" s="3507"/>
      <c r="HDW135" s="3507"/>
      <c r="HDX135" s="3507"/>
      <c r="HDY135" s="3507"/>
      <c r="HDZ135" s="3507"/>
      <c r="HEA135" s="3507"/>
      <c r="HEB135" s="3507"/>
      <c r="HEC135" s="3507"/>
      <c r="HED135" s="3507"/>
      <c r="HEE135" s="3507"/>
      <c r="HEF135" s="3507"/>
      <c r="HEG135" s="3507"/>
      <c r="HEH135" s="3507"/>
      <c r="HEI135" s="3507"/>
      <c r="HEJ135" s="3507"/>
      <c r="HEK135" s="3507"/>
      <c r="HEL135" s="3507"/>
      <c r="HEM135" s="3507"/>
      <c r="HEN135" s="3507"/>
      <c r="HEO135" s="3507"/>
      <c r="HEP135" s="3507"/>
      <c r="HEQ135" s="3507"/>
      <c r="HER135" s="3507"/>
      <c r="HES135" s="3507"/>
      <c r="HET135" s="3507"/>
      <c r="HEU135" s="3507"/>
      <c r="HEV135" s="3507"/>
      <c r="HEW135" s="3507"/>
      <c r="HEX135" s="3507"/>
      <c r="HEY135" s="3507"/>
      <c r="HEZ135" s="3507"/>
      <c r="HFA135" s="3507"/>
      <c r="HFB135" s="3507"/>
      <c r="HFC135" s="3507"/>
      <c r="HFD135" s="3507"/>
      <c r="HFE135" s="3507"/>
      <c r="HFF135" s="3507"/>
      <c r="HFG135" s="3507"/>
      <c r="HFH135" s="3507"/>
      <c r="HFI135" s="3507"/>
      <c r="HFJ135" s="3507"/>
      <c r="HFK135" s="3507"/>
      <c r="HFL135" s="3507"/>
      <c r="HFM135" s="3507"/>
      <c r="HFN135" s="3507"/>
      <c r="HFO135" s="3507"/>
      <c r="HFP135" s="3507"/>
      <c r="HFQ135" s="3507"/>
      <c r="HFR135" s="3507"/>
      <c r="HFS135" s="3507"/>
      <c r="HFT135" s="3507"/>
      <c r="HFU135" s="3507"/>
      <c r="HFV135" s="3507"/>
      <c r="HFW135" s="3507"/>
      <c r="HFX135" s="3507"/>
      <c r="HFY135" s="3507"/>
      <c r="HFZ135" s="3507"/>
      <c r="HGA135" s="3507"/>
      <c r="HGB135" s="3507"/>
      <c r="HGC135" s="3507"/>
      <c r="HGD135" s="3507"/>
      <c r="HGE135" s="3507"/>
      <c r="HGF135" s="3507"/>
      <c r="HGG135" s="3507"/>
      <c r="HGH135" s="3507"/>
      <c r="HGI135" s="3507"/>
      <c r="HGJ135" s="3507"/>
      <c r="HGK135" s="3507"/>
      <c r="HGL135" s="3507"/>
      <c r="HGM135" s="3507"/>
      <c r="HGN135" s="3507"/>
      <c r="HGO135" s="3507"/>
      <c r="HGP135" s="3507"/>
      <c r="HGQ135" s="3507"/>
      <c r="HGR135" s="3507"/>
      <c r="HGS135" s="3507"/>
      <c r="HGT135" s="3507"/>
      <c r="HGU135" s="3507"/>
      <c r="HGV135" s="3507"/>
      <c r="HGW135" s="3507"/>
      <c r="HGX135" s="3507"/>
      <c r="HGY135" s="3507"/>
      <c r="HGZ135" s="3507"/>
      <c r="HHA135" s="3507"/>
      <c r="HHB135" s="3507"/>
      <c r="HHC135" s="3507"/>
      <c r="HHD135" s="3507"/>
      <c r="HHE135" s="3507"/>
      <c r="HHF135" s="3507"/>
      <c r="HHG135" s="3507"/>
      <c r="HHH135" s="3507"/>
      <c r="HHI135" s="3507"/>
      <c r="HHJ135" s="3507"/>
      <c r="HHK135" s="3507"/>
      <c r="HHL135" s="3507"/>
      <c r="HHM135" s="3507"/>
      <c r="HHN135" s="3507"/>
      <c r="HHO135" s="3507"/>
      <c r="HHP135" s="3507"/>
      <c r="HHQ135" s="3507"/>
      <c r="HHR135" s="3507"/>
      <c r="HHS135" s="3507"/>
      <c r="HHT135" s="3507"/>
      <c r="HHU135" s="3507"/>
      <c r="HHV135" s="3507"/>
      <c r="HHW135" s="3507"/>
      <c r="HHX135" s="3507"/>
      <c r="HHY135" s="3507"/>
      <c r="HHZ135" s="3507"/>
      <c r="HIA135" s="3507"/>
      <c r="HIB135" s="3507"/>
      <c r="HIC135" s="3507"/>
      <c r="HID135" s="3507"/>
      <c r="HIE135" s="3507"/>
      <c r="HIF135" s="3507"/>
      <c r="HIG135" s="3507"/>
      <c r="HIH135" s="3507"/>
      <c r="HII135" s="3507"/>
      <c r="HIJ135" s="3507"/>
      <c r="HIK135" s="3507"/>
      <c r="HIL135" s="3507"/>
      <c r="HIM135" s="3507"/>
      <c r="HIN135" s="3507"/>
      <c r="HIO135" s="3507"/>
      <c r="HIP135" s="3507"/>
      <c r="HIQ135" s="3507"/>
      <c r="HIR135" s="3507"/>
      <c r="HIS135" s="3507"/>
      <c r="HIT135" s="3507"/>
      <c r="HIU135" s="3507"/>
      <c r="HIV135" s="3507"/>
      <c r="HIW135" s="3507"/>
      <c r="HIX135" s="3507"/>
      <c r="HIY135" s="3507"/>
      <c r="HIZ135" s="3507"/>
      <c r="HJA135" s="3507"/>
      <c r="HJB135" s="3507"/>
      <c r="HJC135" s="3507"/>
      <c r="HJD135" s="3507"/>
      <c r="HJE135" s="3507"/>
      <c r="HJF135" s="3507"/>
      <c r="HJG135" s="3507"/>
      <c r="HJH135" s="3507"/>
      <c r="HJI135" s="3507"/>
      <c r="HJJ135" s="3507"/>
      <c r="HJK135" s="3507"/>
      <c r="HJL135" s="3507"/>
      <c r="HJM135" s="3507"/>
      <c r="HJN135" s="3507"/>
      <c r="HJO135" s="3507"/>
      <c r="HJP135" s="3507"/>
      <c r="HJQ135" s="3507"/>
      <c r="HJR135" s="3507"/>
      <c r="HJS135" s="3507"/>
      <c r="HJT135" s="3507"/>
      <c r="HJU135" s="3507"/>
      <c r="HJV135" s="3507"/>
      <c r="HJW135" s="3507"/>
      <c r="HJX135" s="3507"/>
      <c r="HJY135" s="3507"/>
      <c r="HJZ135" s="3507"/>
      <c r="HKA135" s="3507"/>
      <c r="HKB135" s="3507"/>
      <c r="HKC135" s="3507"/>
      <c r="HKD135" s="3507"/>
      <c r="HKE135" s="3507"/>
      <c r="HKF135" s="3507"/>
      <c r="HKG135" s="3507"/>
      <c r="HKH135" s="3507"/>
      <c r="HKI135" s="3507"/>
      <c r="HKJ135" s="3507"/>
      <c r="HKK135" s="3507"/>
      <c r="HKL135" s="3507"/>
      <c r="HKM135" s="3507"/>
      <c r="HKN135" s="3507"/>
      <c r="HKO135" s="3507"/>
      <c r="HKP135" s="3507"/>
      <c r="HKQ135" s="3507"/>
      <c r="HKR135" s="3507"/>
      <c r="HKS135" s="3507"/>
      <c r="HKT135" s="3507"/>
      <c r="HKU135" s="3507"/>
      <c r="HKV135" s="3507"/>
      <c r="HKW135" s="3507"/>
      <c r="HKX135" s="3507"/>
      <c r="HKY135" s="3507"/>
      <c r="HKZ135" s="3507"/>
      <c r="HLA135" s="3507"/>
      <c r="HLB135" s="3507"/>
      <c r="HLC135" s="3507"/>
      <c r="HLD135" s="3507"/>
      <c r="HLE135" s="3507"/>
      <c r="HLF135" s="3507"/>
      <c r="HLG135" s="3507"/>
      <c r="HLH135" s="3507"/>
      <c r="HLI135" s="3507"/>
      <c r="HLJ135" s="3507"/>
      <c r="HLK135" s="3507"/>
      <c r="HLL135" s="3507"/>
      <c r="HLM135" s="3507"/>
      <c r="HLN135" s="3507"/>
      <c r="HLO135" s="3507"/>
      <c r="HLP135" s="3507"/>
      <c r="HLQ135" s="3507"/>
      <c r="HLR135" s="3507"/>
      <c r="HLS135" s="3507"/>
      <c r="HLT135" s="3507"/>
      <c r="HLU135" s="3507"/>
      <c r="HLV135" s="3507"/>
      <c r="HLW135" s="3507"/>
      <c r="HLX135" s="3507"/>
      <c r="HLY135" s="3507"/>
      <c r="HLZ135" s="3507"/>
      <c r="HMA135" s="3507"/>
      <c r="HMB135" s="3507"/>
      <c r="HMC135" s="3507"/>
      <c r="HMD135" s="3507"/>
      <c r="HME135" s="3507"/>
      <c r="HMF135" s="3507"/>
      <c r="HMG135" s="3507"/>
      <c r="HMH135" s="3507"/>
      <c r="HMI135" s="3507"/>
      <c r="HMJ135" s="3507"/>
      <c r="HMK135" s="3507"/>
      <c r="HML135" s="3507"/>
      <c r="HMM135" s="3507"/>
      <c r="HMN135" s="3507"/>
      <c r="HMO135" s="3507"/>
      <c r="HMP135" s="3507"/>
      <c r="HMQ135" s="3507"/>
      <c r="HMR135" s="3507"/>
      <c r="HMS135" s="3507"/>
      <c r="HMT135" s="3507"/>
      <c r="HMU135" s="3507"/>
      <c r="HMV135" s="3507"/>
      <c r="HMW135" s="3507"/>
      <c r="HMX135" s="3507"/>
      <c r="HMY135" s="3507"/>
      <c r="HMZ135" s="3507"/>
      <c r="HNA135" s="3507"/>
      <c r="HNB135" s="3507"/>
      <c r="HNC135" s="3507"/>
      <c r="HND135" s="3507"/>
      <c r="HNE135" s="3507"/>
      <c r="HNF135" s="3507"/>
      <c r="HNG135" s="3507"/>
      <c r="HNH135" s="3507"/>
      <c r="HNI135" s="3507"/>
      <c r="HNJ135" s="3507"/>
      <c r="HNK135" s="3507"/>
      <c r="HNL135" s="3507"/>
      <c r="HNM135" s="3507"/>
      <c r="HNN135" s="3507"/>
      <c r="HNO135" s="3507"/>
      <c r="HNP135" s="3507"/>
      <c r="HNQ135" s="3507"/>
      <c r="HNR135" s="3507"/>
      <c r="HNS135" s="3507"/>
      <c r="HNT135" s="3507"/>
      <c r="HNU135" s="3507"/>
      <c r="HNV135" s="3507"/>
      <c r="HNW135" s="3507"/>
      <c r="HNX135" s="3507"/>
      <c r="HNY135" s="3507"/>
      <c r="HNZ135" s="3507"/>
      <c r="HOA135" s="3507"/>
      <c r="HOB135" s="3507"/>
      <c r="HOC135" s="3507"/>
      <c r="HOD135" s="3507"/>
      <c r="HOE135" s="3507"/>
      <c r="HOF135" s="3507"/>
      <c r="HOG135" s="3507"/>
      <c r="HOH135" s="3507"/>
      <c r="HOI135" s="3507"/>
      <c r="HOJ135" s="3507"/>
      <c r="HOK135" s="3507"/>
      <c r="HOL135" s="3507"/>
      <c r="HOM135" s="3507"/>
      <c r="HON135" s="3507"/>
      <c r="HOO135" s="3507"/>
      <c r="HOP135" s="3507"/>
      <c r="HOQ135" s="3507"/>
      <c r="HOR135" s="3507"/>
      <c r="HOS135" s="3507"/>
      <c r="HOT135" s="3507"/>
      <c r="HOU135" s="3507"/>
      <c r="HOV135" s="3507"/>
      <c r="HOW135" s="3507"/>
      <c r="HOX135" s="3507"/>
      <c r="HOY135" s="3507"/>
      <c r="HOZ135" s="3507"/>
      <c r="HPA135" s="3507"/>
      <c r="HPB135" s="3507"/>
      <c r="HPC135" s="3507"/>
      <c r="HPD135" s="3507"/>
      <c r="HPE135" s="3507"/>
      <c r="HPF135" s="3507"/>
      <c r="HPG135" s="3507"/>
      <c r="HPH135" s="3507"/>
      <c r="HPI135" s="3507"/>
      <c r="HPJ135" s="3507"/>
      <c r="HPK135" s="3507"/>
      <c r="HPL135" s="3507"/>
      <c r="HPM135" s="3507"/>
      <c r="HPN135" s="3507"/>
      <c r="HPO135" s="3507"/>
      <c r="HPP135" s="3507"/>
      <c r="HPQ135" s="3507"/>
      <c r="HPR135" s="3507"/>
      <c r="HPS135" s="3507"/>
      <c r="HPT135" s="3507"/>
      <c r="HPU135" s="3507"/>
      <c r="HPV135" s="3507"/>
      <c r="HPW135" s="3507"/>
      <c r="HPX135" s="3507"/>
      <c r="HPY135" s="3507"/>
      <c r="HPZ135" s="3507"/>
      <c r="HQA135" s="3507"/>
      <c r="HQB135" s="3507"/>
      <c r="HQC135" s="3507"/>
      <c r="HQD135" s="3507"/>
      <c r="HQE135" s="3507"/>
      <c r="HQF135" s="3507"/>
      <c r="HQG135" s="3507"/>
      <c r="HQH135" s="3507"/>
      <c r="HQI135" s="3507"/>
      <c r="HQJ135" s="3507"/>
      <c r="HQK135" s="3507"/>
      <c r="HQL135" s="3507"/>
      <c r="HQM135" s="3507"/>
      <c r="HQN135" s="3507"/>
      <c r="HQO135" s="3507"/>
      <c r="HQP135" s="3507"/>
      <c r="HQQ135" s="3507"/>
      <c r="HQR135" s="3507"/>
      <c r="HQS135" s="3507"/>
      <c r="HQT135" s="3507"/>
      <c r="HQU135" s="3507"/>
      <c r="HQV135" s="3507"/>
      <c r="HQW135" s="3507"/>
      <c r="HQX135" s="3507"/>
      <c r="HQY135" s="3507"/>
      <c r="HQZ135" s="3507"/>
      <c r="HRA135" s="3507"/>
      <c r="HRB135" s="3507"/>
      <c r="HRC135" s="3507"/>
      <c r="HRD135" s="3507"/>
      <c r="HRE135" s="3507"/>
      <c r="HRF135" s="3507"/>
      <c r="HRG135" s="3507"/>
      <c r="HRH135" s="3507"/>
      <c r="HRI135" s="3507"/>
      <c r="HRJ135" s="3507"/>
      <c r="HRK135" s="3507"/>
      <c r="HRL135" s="3507"/>
      <c r="HRM135" s="3507"/>
      <c r="HRN135" s="3507"/>
      <c r="HRO135" s="3507"/>
      <c r="HRP135" s="3507"/>
      <c r="HRQ135" s="3507"/>
      <c r="HRR135" s="3507"/>
      <c r="HRS135" s="3507"/>
      <c r="HRT135" s="3507"/>
      <c r="HRU135" s="3507"/>
      <c r="HRV135" s="3507"/>
      <c r="HRW135" s="3507"/>
      <c r="HRX135" s="3507"/>
      <c r="HRY135" s="3507"/>
      <c r="HRZ135" s="3507"/>
      <c r="HSA135" s="3507"/>
      <c r="HSB135" s="3507"/>
      <c r="HSC135" s="3507"/>
      <c r="HSD135" s="3507"/>
      <c r="HSE135" s="3507"/>
      <c r="HSF135" s="3507"/>
      <c r="HSG135" s="3507"/>
      <c r="HSH135" s="3507"/>
      <c r="HSI135" s="3507"/>
      <c r="HSJ135" s="3507"/>
      <c r="HSK135" s="3507"/>
      <c r="HSL135" s="3507"/>
      <c r="HSM135" s="3507"/>
      <c r="HSN135" s="3507"/>
      <c r="HSO135" s="3507"/>
      <c r="HSP135" s="3507"/>
      <c r="HSQ135" s="3507"/>
      <c r="HSR135" s="3507"/>
      <c r="HSS135" s="3507"/>
      <c r="HST135" s="3507"/>
      <c r="HSU135" s="3507"/>
      <c r="HSV135" s="3507"/>
      <c r="HSW135" s="3507"/>
      <c r="HSX135" s="3507"/>
      <c r="HSY135" s="3507"/>
      <c r="HSZ135" s="3507"/>
      <c r="HTA135" s="3507"/>
      <c r="HTB135" s="3507"/>
      <c r="HTC135" s="3507"/>
      <c r="HTD135" s="3507"/>
      <c r="HTE135" s="3507"/>
      <c r="HTF135" s="3507"/>
      <c r="HTG135" s="3507"/>
      <c r="HTH135" s="3507"/>
      <c r="HTI135" s="3507"/>
      <c r="HTJ135" s="3507"/>
      <c r="HTK135" s="3507"/>
      <c r="HTL135" s="3507"/>
      <c r="HTM135" s="3507"/>
      <c r="HTN135" s="3507"/>
      <c r="HTO135" s="3507"/>
      <c r="HTP135" s="3507"/>
      <c r="HTQ135" s="3507"/>
      <c r="HTR135" s="3507"/>
      <c r="HTS135" s="3507"/>
      <c r="HTT135" s="3507"/>
      <c r="HTU135" s="3507"/>
      <c r="HTV135" s="3507"/>
      <c r="HTW135" s="3507"/>
      <c r="HTX135" s="3507"/>
      <c r="HTY135" s="3507"/>
      <c r="HTZ135" s="3507"/>
      <c r="HUA135" s="3507"/>
      <c r="HUB135" s="3507"/>
      <c r="HUC135" s="3507"/>
      <c r="HUD135" s="3507"/>
      <c r="HUE135" s="3507"/>
      <c r="HUF135" s="3507"/>
      <c r="HUG135" s="3507"/>
      <c r="HUH135" s="3507"/>
      <c r="HUI135" s="3507"/>
      <c r="HUJ135" s="3507"/>
      <c r="HUK135" s="3507"/>
      <c r="HUL135" s="3507"/>
      <c r="HUM135" s="3507"/>
      <c r="HUN135" s="3507"/>
      <c r="HUO135" s="3507"/>
      <c r="HUP135" s="3507"/>
      <c r="HUQ135" s="3507"/>
      <c r="HUR135" s="3507"/>
      <c r="HUS135" s="3507"/>
      <c r="HUT135" s="3507"/>
      <c r="HUU135" s="3507"/>
      <c r="HUV135" s="3507"/>
      <c r="HUW135" s="3507"/>
      <c r="HUX135" s="3507"/>
      <c r="HUY135" s="3507"/>
      <c r="HUZ135" s="3507"/>
      <c r="HVA135" s="3507"/>
      <c r="HVB135" s="3507"/>
      <c r="HVC135" s="3507"/>
      <c r="HVD135" s="3507"/>
      <c r="HVE135" s="3507"/>
      <c r="HVF135" s="3507"/>
      <c r="HVG135" s="3507"/>
      <c r="HVH135" s="3507"/>
      <c r="HVI135" s="3507"/>
      <c r="HVJ135" s="3507"/>
      <c r="HVK135" s="3507"/>
      <c r="HVL135" s="3507"/>
      <c r="HVM135" s="3507"/>
      <c r="HVN135" s="3507"/>
      <c r="HVO135" s="3507"/>
      <c r="HVP135" s="3507"/>
      <c r="HVQ135" s="3507"/>
      <c r="HVR135" s="3507"/>
      <c r="HVS135" s="3507"/>
      <c r="HVT135" s="3507"/>
      <c r="HVU135" s="3507"/>
      <c r="HVV135" s="3507"/>
      <c r="HVW135" s="3507"/>
      <c r="HVX135" s="3507"/>
      <c r="HVY135" s="3507"/>
      <c r="HVZ135" s="3507"/>
      <c r="HWA135" s="3507"/>
      <c r="HWB135" s="3507"/>
      <c r="HWC135" s="3507"/>
      <c r="HWD135" s="3507"/>
      <c r="HWE135" s="3507"/>
      <c r="HWF135" s="3507"/>
      <c r="HWG135" s="3507"/>
      <c r="HWH135" s="3507"/>
      <c r="HWI135" s="3507"/>
      <c r="HWJ135" s="3507"/>
      <c r="HWK135" s="3507"/>
      <c r="HWL135" s="3507"/>
      <c r="HWM135" s="3507"/>
      <c r="HWN135" s="3507"/>
      <c r="HWO135" s="3507"/>
      <c r="HWP135" s="3507"/>
      <c r="HWQ135" s="3507"/>
      <c r="HWR135" s="3507"/>
      <c r="HWS135" s="3507"/>
      <c r="HWT135" s="3507"/>
      <c r="HWU135" s="3507"/>
      <c r="HWV135" s="3507"/>
      <c r="HWW135" s="3507"/>
      <c r="HWX135" s="3507"/>
      <c r="HWY135" s="3507"/>
      <c r="HWZ135" s="3507"/>
      <c r="HXA135" s="3507"/>
      <c r="HXB135" s="3507"/>
      <c r="HXC135" s="3507"/>
      <c r="HXD135" s="3507"/>
      <c r="HXE135" s="3507"/>
      <c r="HXF135" s="3507"/>
      <c r="HXG135" s="3507"/>
      <c r="HXH135" s="3507"/>
      <c r="HXI135" s="3507"/>
      <c r="HXJ135" s="3507"/>
      <c r="HXK135" s="3507"/>
      <c r="HXL135" s="3507"/>
      <c r="HXM135" s="3507"/>
      <c r="HXN135" s="3507"/>
      <c r="HXO135" s="3507"/>
      <c r="HXP135" s="3507"/>
      <c r="HXQ135" s="3507"/>
      <c r="HXR135" s="3507"/>
      <c r="HXS135" s="3507"/>
      <c r="HXT135" s="3507"/>
      <c r="HXU135" s="3507"/>
      <c r="HXV135" s="3507"/>
      <c r="HXW135" s="3507"/>
      <c r="HXX135" s="3507"/>
      <c r="HXY135" s="3507"/>
      <c r="HXZ135" s="3507"/>
      <c r="HYA135" s="3507"/>
      <c r="HYB135" s="3507"/>
      <c r="HYC135" s="3507"/>
      <c r="HYD135" s="3507"/>
      <c r="HYE135" s="3507"/>
      <c r="HYF135" s="3507"/>
      <c r="HYG135" s="3507"/>
      <c r="HYH135" s="3507"/>
      <c r="HYI135" s="3507"/>
      <c r="HYJ135" s="3507"/>
      <c r="HYK135" s="3507"/>
      <c r="HYL135" s="3507"/>
      <c r="HYM135" s="3507"/>
      <c r="HYN135" s="3507"/>
      <c r="HYO135" s="3507"/>
      <c r="HYP135" s="3507"/>
      <c r="HYQ135" s="3507"/>
      <c r="HYR135" s="3507"/>
      <c r="HYS135" s="3507"/>
      <c r="HYT135" s="3507"/>
      <c r="HYU135" s="3507"/>
      <c r="HYV135" s="3507"/>
      <c r="HYW135" s="3507"/>
      <c r="HYX135" s="3507"/>
      <c r="HYY135" s="3507"/>
      <c r="HYZ135" s="3507"/>
      <c r="HZA135" s="3507"/>
      <c r="HZB135" s="3507"/>
      <c r="HZC135" s="3507"/>
      <c r="HZD135" s="3507"/>
      <c r="HZE135" s="3507"/>
      <c r="HZF135" s="3507"/>
      <c r="HZG135" s="3507"/>
      <c r="HZH135" s="3507"/>
      <c r="HZI135" s="3507"/>
      <c r="HZJ135" s="3507"/>
      <c r="HZK135" s="3507"/>
      <c r="HZL135" s="3507"/>
      <c r="HZM135" s="3507"/>
      <c r="HZN135" s="3507"/>
      <c r="HZO135" s="3507"/>
      <c r="HZP135" s="3507"/>
      <c r="HZQ135" s="3507"/>
      <c r="HZR135" s="3507"/>
      <c r="HZS135" s="3507"/>
      <c r="HZT135" s="3507"/>
      <c r="HZU135" s="3507"/>
      <c r="HZV135" s="3507"/>
      <c r="HZW135" s="3507"/>
      <c r="HZX135" s="3507"/>
      <c r="HZY135" s="3507"/>
      <c r="HZZ135" s="3507"/>
      <c r="IAA135" s="3507"/>
      <c r="IAB135" s="3507"/>
      <c r="IAC135" s="3507"/>
      <c r="IAD135" s="3507"/>
      <c r="IAE135" s="3507"/>
      <c r="IAF135" s="3507"/>
      <c r="IAG135" s="3507"/>
      <c r="IAH135" s="3507"/>
      <c r="IAI135" s="3507"/>
      <c r="IAJ135" s="3507"/>
      <c r="IAK135" s="3507"/>
      <c r="IAL135" s="3507"/>
      <c r="IAM135" s="3507"/>
      <c r="IAN135" s="3507"/>
      <c r="IAO135" s="3507"/>
      <c r="IAP135" s="3507"/>
      <c r="IAQ135" s="3507"/>
      <c r="IAR135" s="3507"/>
      <c r="IAS135" s="3507"/>
      <c r="IAT135" s="3507"/>
      <c r="IAU135" s="3507"/>
      <c r="IAV135" s="3507"/>
      <c r="IAW135" s="3507"/>
      <c r="IAX135" s="3507"/>
      <c r="IAY135" s="3507"/>
      <c r="IAZ135" s="3507"/>
      <c r="IBA135" s="3507"/>
      <c r="IBB135" s="3507"/>
      <c r="IBC135" s="3507"/>
      <c r="IBD135" s="3507"/>
      <c r="IBE135" s="3507"/>
      <c r="IBF135" s="3507"/>
      <c r="IBG135" s="3507"/>
      <c r="IBH135" s="3507"/>
      <c r="IBI135" s="3507"/>
      <c r="IBJ135" s="3507"/>
      <c r="IBK135" s="3507"/>
      <c r="IBL135" s="3507"/>
      <c r="IBM135" s="3507"/>
      <c r="IBN135" s="3507"/>
      <c r="IBO135" s="3507"/>
      <c r="IBP135" s="3507"/>
      <c r="IBQ135" s="3507"/>
      <c r="IBR135" s="3507"/>
      <c r="IBS135" s="3507"/>
      <c r="IBT135" s="3507"/>
      <c r="IBU135" s="3507"/>
      <c r="IBV135" s="3507"/>
      <c r="IBW135" s="3507"/>
      <c r="IBX135" s="3507"/>
      <c r="IBY135" s="3507"/>
      <c r="IBZ135" s="3507"/>
      <c r="ICA135" s="3507"/>
      <c r="ICB135" s="3507"/>
      <c r="ICC135" s="3507"/>
      <c r="ICD135" s="3507"/>
      <c r="ICE135" s="3507"/>
      <c r="ICF135" s="3507"/>
      <c r="ICG135" s="3507"/>
      <c r="ICH135" s="3507"/>
      <c r="ICI135" s="3507"/>
      <c r="ICJ135" s="3507"/>
      <c r="ICK135" s="3507"/>
      <c r="ICL135" s="3507"/>
      <c r="ICM135" s="3507"/>
      <c r="ICN135" s="3507"/>
      <c r="ICO135" s="3507"/>
      <c r="ICP135" s="3507"/>
      <c r="ICQ135" s="3507"/>
      <c r="ICR135" s="3507"/>
      <c r="ICS135" s="3507"/>
      <c r="ICT135" s="3507"/>
      <c r="ICU135" s="3507"/>
      <c r="ICV135" s="3507"/>
      <c r="ICW135" s="3507"/>
      <c r="ICX135" s="3507"/>
      <c r="ICY135" s="3507"/>
      <c r="ICZ135" s="3507"/>
      <c r="IDA135" s="3507"/>
      <c r="IDB135" s="3507"/>
      <c r="IDC135" s="3507"/>
      <c r="IDD135" s="3507"/>
      <c r="IDE135" s="3507"/>
      <c r="IDF135" s="3507"/>
      <c r="IDG135" s="3507"/>
      <c r="IDH135" s="3507"/>
      <c r="IDI135" s="3507"/>
      <c r="IDJ135" s="3507"/>
      <c r="IDK135" s="3507"/>
      <c r="IDL135" s="3507"/>
      <c r="IDM135" s="3507"/>
      <c r="IDN135" s="3507"/>
      <c r="IDO135" s="3507"/>
      <c r="IDP135" s="3507"/>
      <c r="IDQ135" s="3507"/>
      <c r="IDR135" s="3507"/>
      <c r="IDS135" s="3507"/>
      <c r="IDT135" s="3507"/>
      <c r="IDU135" s="3507"/>
      <c r="IDV135" s="3507"/>
      <c r="IDW135" s="3507"/>
      <c r="IDX135" s="3507"/>
      <c r="IDY135" s="3507"/>
      <c r="IDZ135" s="3507"/>
      <c r="IEA135" s="3507"/>
      <c r="IEB135" s="3507"/>
      <c r="IEC135" s="3507"/>
      <c r="IED135" s="3507"/>
      <c r="IEE135" s="3507"/>
      <c r="IEF135" s="3507"/>
      <c r="IEG135" s="3507"/>
      <c r="IEH135" s="3507"/>
      <c r="IEI135" s="3507"/>
      <c r="IEJ135" s="3507"/>
      <c r="IEK135" s="3507"/>
      <c r="IEL135" s="3507"/>
      <c r="IEM135" s="3507"/>
      <c r="IEN135" s="3507"/>
      <c r="IEO135" s="3507"/>
      <c r="IEP135" s="3507"/>
      <c r="IEQ135" s="3507"/>
      <c r="IER135" s="3507"/>
      <c r="IES135" s="3507"/>
      <c r="IET135" s="3507"/>
      <c r="IEU135" s="3507"/>
      <c r="IEV135" s="3507"/>
      <c r="IEW135" s="3507"/>
      <c r="IEX135" s="3507"/>
      <c r="IEY135" s="3507"/>
      <c r="IEZ135" s="3507"/>
      <c r="IFA135" s="3507"/>
      <c r="IFB135" s="3507"/>
      <c r="IFC135" s="3507"/>
      <c r="IFD135" s="3507"/>
      <c r="IFE135" s="3507"/>
      <c r="IFF135" s="3507"/>
      <c r="IFG135" s="3507"/>
      <c r="IFH135" s="3507"/>
      <c r="IFI135" s="3507"/>
      <c r="IFJ135" s="3507"/>
      <c r="IFK135" s="3507"/>
      <c r="IFL135" s="3507"/>
      <c r="IFM135" s="3507"/>
      <c r="IFN135" s="3507"/>
      <c r="IFO135" s="3507"/>
      <c r="IFP135" s="3507"/>
      <c r="IFQ135" s="3507"/>
      <c r="IFR135" s="3507"/>
      <c r="IFS135" s="3507"/>
      <c r="IFT135" s="3507"/>
      <c r="IFU135" s="3507"/>
      <c r="IFV135" s="3507"/>
      <c r="IFW135" s="3507"/>
      <c r="IFX135" s="3507"/>
      <c r="IFY135" s="3507"/>
      <c r="IFZ135" s="3507"/>
      <c r="IGA135" s="3507"/>
      <c r="IGB135" s="3507"/>
      <c r="IGC135" s="3507"/>
      <c r="IGD135" s="3507"/>
      <c r="IGE135" s="3507"/>
      <c r="IGF135" s="3507"/>
      <c r="IGG135" s="3507"/>
      <c r="IGH135" s="3507"/>
      <c r="IGI135" s="3507"/>
      <c r="IGJ135" s="3507"/>
      <c r="IGK135" s="3507"/>
      <c r="IGL135" s="3507"/>
      <c r="IGM135" s="3507"/>
      <c r="IGN135" s="3507"/>
      <c r="IGO135" s="3507"/>
      <c r="IGP135" s="3507"/>
      <c r="IGQ135" s="3507"/>
      <c r="IGR135" s="3507"/>
      <c r="IGS135" s="3507"/>
      <c r="IGT135" s="3507"/>
      <c r="IGU135" s="3507"/>
      <c r="IGV135" s="3507"/>
      <c r="IGW135" s="3507"/>
      <c r="IGX135" s="3507"/>
      <c r="IGY135" s="3507"/>
      <c r="IGZ135" s="3507"/>
      <c r="IHA135" s="3507"/>
      <c r="IHB135" s="3507"/>
      <c r="IHC135" s="3507"/>
      <c r="IHD135" s="3507"/>
      <c r="IHE135" s="3507"/>
      <c r="IHF135" s="3507"/>
      <c r="IHG135" s="3507"/>
      <c r="IHH135" s="3507"/>
      <c r="IHI135" s="3507"/>
      <c r="IHJ135" s="3507"/>
      <c r="IHK135" s="3507"/>
      <c r="IHL135" s="3507"/>
      <c r="IHM135" s="3507"/>
      <c r="IHN135" s="3507"/>
      <c r="IHO135" s="3507"/>
      <c r="IHP135" s="3507"/>
      <c r="IHQ135" s="3507"/>
      <c r="IHR135" s="3507"/>
      <c r="IHS135" s="3507"/>
      <c r="IHT135" s="3507"/>
      <c r="IHU135" s="3507"/>
      <c r="IHV135" s="3507"/>
      <c r="IHW135" s="3507"/>
      <c r="IHX135" s="3507"/>
      <c r="IHY135" s="3507"/>
      <c r="IHZ135" s="3507"/>
      <c r="IIA135" s="3507"/>
      <c r="IIB135" s="3507"/>
      <c r="IIC135" s="3507"/>
      <c r="IID135" s="3507"/>
      <c r="IIE135" s="3507"/>
      <c r="IIF135" s="3507"/>
      <c r="IIG135" s="3507"/>
      <c r="IIH135" s="3507"/>
      <c r="III135" s="3507"/>
      <c r="IIJ135" s="3507"/>
      <c r="IIK135" s="3507"/>
      <c r="IIL135" s="3507"/>
      <c r="IIM135" s="3507"/>
      <c r="IIN135" s="3507"/>
      <c r="IIO135" s="3507"/>
      <c r="IIP135" s="3507"/>
      <c r="IIQ135" s="3507"/>
      <c r="IIR135" s="3507"/>
      <c r="IIS135" s="3507"/>
      <c r="IIT135" s="3507"/>
      <c r="IIU135" s="3507"/>
      <c r="IIV135" s="3507"/>
      <c r="IIW135" s="3507"/>
      <c r="IIX135" s="3507"/>
      <c r="IIY135" s="3507"/>
      <c r="IIZ135" s="3507"/>
      <c r="IJA135" s="3507"/>
      <c r="IJB135" s="3507"/>
      <c r="IJC135" s="3507"/>
      <c r="IJD135" s="3507"/>
      <c r="IJE135" s="3507"/>
      <c r="IJF135" s="3507"/>
      <c r="IJG135" s="3507"/>
      <c r="IJH135" s="3507"/>
      <c r="IJI135" s="3507"/>
      <c r="IJJ135" s="3507"/>
      <c r="IJK135" s="3507"/>
      <c r="IJL135" s="3507"/>
      <c r="IJM135" s="3507"/>
      <c r="IJN135" s="3507"/>
      <c r="IJO135" s="3507"/>
      <c r="IJP135" s="3507"/>
      <c r="IJQ135" s="3507"/>
      <c r="IJR135" s="3507"/>
      <c r="IJS135" s="3507"/>
      <c r="IJT135" s="3507"/>
      <c r="IJU135" s="3507"/>
      <c r="IJV135" s="3507"/>
      <c r="IJW135" s="3507"/>
      <c r="IJX135" s="3507"/>
      <c r="IJY135" s="3507"/>
      <c r="IJZ135" s="3507"/>
      <c r="IKA135" s="3507"/>
      <c r="IKB135" s="3507"/>
      <c r="IKC135" s="3507"/>
      <c r="IKD135" s="3507"/>
      <c r="IKE135" s="3507"/>
      <c r="IKF135" s="3507"/>
      <c r="IKG135" s="3507"/>
      <c r="IKH135" s="3507"/>
      <c r="IKI135" s="3507"/>
      <c r="IKJ135" s="3507"/>
      <c r="IKK135" s="3507"/>
      <c r="IKL135" s="3507"/>
      <c r="IKM135" s="3507"/>
      <c r="IKN135" s="3507"/>
      <c r="IKO135" s="3507"/>
      <c r="IKP135" s="3507"/>
      <c r="IKQ135" s="3507"/>
      <c r="IKR135" s="3507"/>
      <c r="IKS135" s="3507"/>
      <c r="IKT135" s="3507"/>
      <c r="IKU135" s="3507"/>
      <c r="IKV135" s="3507"/>
      <c r="IKW135" s="3507"/>
      <c r="IKX135" s="3507"/>
      <c r="IKY135" s="3507"/>
      <c r="IKZ135" s="3507"/>
      <c r="ILA135" s="3507"/>
      <c r="ILB135" s="3507"/>
      <c r="ILC135" s="3507"/>
      <c r="ILD135" s="3507"/>
      <c r="ILE135" s="3507"/>
      <c r="ILF135" s="3507"/>
      <c r="ILG135" s="3507"/>
      <c r="ILH135" s="3507"/>
      <c r="ILI135" s="3507"/>
      <c r="ILJ135" s="3507"/>
      <c r="ILK135" s="3507"/>
      <c r="ILL135" s="3507"/>
      <c r="ILM135" s="3507"/>
      <c r="ILN135" s="3507"/>
      <c r="ILO135" s="3507"/>
      <c r="ILP135" s="3507"/>
      <c r="ILQ135" s="3507"/>
      <c r="ILR135" s="3507"/>
      <c r="ILS135" s="3507"/>
      <c r="ILT135" s="3507"/>
      <c r="ILU135" s="3507"/>
      <c r="ILV135" s="3507"/>
      <c r="ILW135" s="3507"/>
      <c r="ILX135" s="3507"/>
      <c r="ILY135" s="3507"/>
      <c r="ILZ135" s="3507"/>
      <c r="IMA135" s="3507"/>
      <c r="IMB135" s="3507"/>
      <c r="IMC135" s="3507"/>
      <c r="IMD135" s="3507"/>
      <c r="IME135" s="3507"/>
      <c r="IMF135" s="3507"/>
      <c r="IMG135" s="3507"/>
      <c r="IMH135" s="3507"/>
      <c r="IMI135" s="3507"/>
      <c r="IMJ135" s="3507"/>
      <c r="IMK135" s="3507"/>
      <c r="IML135" s="3507"/>
      <c r="IMM135" s="3507"/>
      <c r="IMN135" s="3507"/>
      <c r="IMO135" s="3507"/>
      <c r="IMP135" s="3507"/>
      <c r="IMQ135" s="3507"/>
      <c r="IMR135" s="3507"/>
      <c r="IMS135" s="3507"/>
      <c r="IMT135" s="3507"/>
      <c r="IMU135" s="3507"/>
      <c r="IMV135" s="3507"/>
      <c r="IMW135" s="3507"/>
      <c r="IMX135" s="3507"/>
      <c r="IMY135" s="3507"/>
      <c r="IMZ135" s="3507"/>
      <c r="INA135" s="3507"/>
      <c r="INB135" s="3507"/>
      <c r="INC135" s="3507"/>
      <c r="IND135" s="3507"/>
      <c r="INE135" s="3507"/>
      <c r="INF135" s="3507"/>
      <c r="ING135" s="3507"/>
      <c r="INH135" s="3507"/>
      <c r="INI135" s="3507"/>
      <c r="INJ135" s="3507"/>
      <c r="INK135" s="3507"/>
      <c r="INL135" s="3507"/>
      <c r="INM135" s="3507"/>
      <c r="INN135" s="3507"/>
      <c r="INO135" s="3507"/>
      <c r="INP135" s="3507"/>
      <c r="INQ135" s="3507"/>
      <c r="INR135" s="3507"/>
      <c r="INS135" s="3507"/>
      <c r="INT135" s="3507"/>
      <c r="INU135" s="3507"/>
      <c r="INV135" s="3507"/>
      <c r="INW135" s="3507"/>
      <c r="INX135" s="3507"/>
      <c r="INY135" s="3507"/>
      <c r="INZ135" s="3507"/>
      <c r="IOA135" s="3507"/>
      <c r="IOB135" s="3507"/>
      <c r="IOC135" s="3507"/>
      <c r="IOD135" s="3507"/>
      <c r="IOE135" s="3507"/>
      <c r="IOF135" s="3507"/>
      <c r="IOG135" s="3507"/>
      <c r="IOH135" s="3507"/>
      <c r="IOI135" s="3507"/>
      <c r="IOJ135" s="3507"/>
      <c r="IOK135" s="3507"/>
      <c r="IOL135" s="3507"/>
      <c r="IOM135" s="3507"/>
      <c r="ION135" s="3507"/>
      <c r="IOO135" s="3507"/>
      <c r="IOP135" s="3507"/>
      <c r="IOQ135" s="3507"/>
      <c r="IOR135" s="3507"/>
      <c r="IOS135" s="3507"/>
      <c r="IOT135" s="3507"/>
      <c r="IOU135" s="3507"/>
      <c r="IOV135" s="3507"/>
      <c r="IOW135" s="3507"/>
      <c r="IOX135" s="3507"/>
      <c r="IOY135" s="3507"/>
      <c r="IOZ135" s="3507"/>
      <c r="IPA135" s="3507"/>
      <c r="IPB135" s="3507"/>
      <c r="IPC135" s="3507"/>
      <c r="IPD135" s="3507"/>
      <c r="IPE135" s="3507"/>
      <c r="IPF135" s="3507"/>
      <c r="IPG135" s="3507"/>
      <c r="IPH135" s="3507"/>
      <c r="IPI135" s="3507"/>
      <c r="IPJ135" s="3507"/>
      <c r="IPK135" s="3507"/>
      <c r="IPL135" s="3507"/>
      <c r="IPM135" s="3507"/>
      <c r="IPN135" s="3507"/>
      <c r="IPO135" s="3507"/>
      <c r="IPP135" s="3507"/>
      <c r="IPQ135" s="3507"/>
      <c r="IPR135" s="3507"/>
      <c r="IPS135" s="3507"/>
      <c r="IPT135" s="3507"/>
      <c r="IPU135" s="3507"/>
      <c r="IPV135" s="3507"/>
      <c r="IPW135" s="3507"/>
      <c r="IPX135" s="3507"/>
      <c r="IPY135" s="3507"/>
      <c r="IPZ135" s="3507"/>
      <c r="IQA135" s="3507"/>
      <c r="IQB135" s="3507"/>
      <c r="IQC135" s="3507"/>
      <c r="IQD135" s="3507"/>
      <c r="IQE135" s="3507"/>
      <c r="IQF135" s="3507"/>
      <c r="IQG135" s="3507"/>
      <c r="IQH135" s="3507"/>
      <c r="IQI135" s="3507"/>
      <c r="IQJ135" s="3507"/>
      <c r="IQK135" s="3507"/>
      <c r="IQL135" s="3507"/>
      <c r="IQM135" s="3507"/>
      <c r="IQN135" s="3507"/>
      <c r="IQO135" s="3507"/>
      <c r="IQP135" s="3507"/>
      <c r="IQQ135" s="3507"/>
      <c r="IQR135" s="3507"/>
      <c r="IQS135" s="3507"/>
      <c r="IQT135" s="3507"/>
      <c r="IQU135" s="3507"/>
      <c r="IQV135" s="3507"/>
      <c r="IQW135" s="3507"/>
      <c r="IQX135" s="3507"/>
      <c r="IQY135" s="3507"/>
      <c r="IQZ135" s="3507"/>
      <c r="IRA135" s="3507"/>
      <c r="IRB135" s="3507"/>
      <c r="IRC135" s="3507"/>
      <c r="IRD135" s="3507"/>
      <c r="IRE135" s="3507"/>
      <c r="IRF135" s="3507"/>
      <c r="IRG135" s="3507"/>
      <c r="IRH135" s="3507"/>
      <c r="IRI135" s="3507"/>
      <c r="IRJ135" s="3507"/>
      <c r="IRK135" s="3507"/>
      <c r="IRL135" s="3507"/>
      <c r="IRM135" s="3507"/>
      <c r="IRN135" s="3507"/>
      <c r="IRO135" s="3507"/>
      <c r="IRP135" s="3507"/>
      <c r="IRQ135" s="3507"/>
      <c r="IRR135" s="3507"/>
      <c r="IRS135" s="3507"/>
      <c r="IRT135" s="3507"/>
      <c r="IRU135" s="3507"/>
      <c r="IRV135" s="3507"/>
      <c r="IRW135" s="3507"/>
      <c r="IRX135" s="3507"/>
      <c r="IRY135" s="3507"/>
      <c r="IRZ135" s="3507"/>
      <c r="ISA135" s="3507"/>
      <c r="ISB135" s="3507"/>
      <c r="ISC135" s="3507"/>
      <c r="ISD135" s="3507"/>
      <c r="ISE135" s="3507"/>
      <c r="ISF135" s="3507"/>
      <c r="ISG135" s="3507"/>
      <c r="ISH135" s="3507"/>
      <c r="ISI135" s="3507"/>
      <c r="ISJ135" s="3507"/>
      <c r="ISK135" s="3507"/>
      <c r="ISL135" s="3507"/>
      <c r="ISM135" s="3507"/>
      <c r="ISN135" s="3507"/>
      <c r="ISO135" s="3507"/>
      <c r="ISP135" s="3507"/>
      <c r="ISQ135" s="3507"/>
      <c r="ISR135" s="3507"/>
      <c r="ISS135" s="3507"/>
      <c r="IST135" s="3507"/>
      <c r="ISU135" s="3507"/>
      <c r="ISV135" s="3507"/>
      <c r="ISW135" s="3507"/>
      <c r="ISX135" s="3507"/>
      <c r="ISY135" s="3507"/>
      <c r="ISZ135" s="3507"/>
      <c r="ITA135" s="3507"/>
      <c r="ITB135" s="3507"/>
      <c r="ITC135" s="3507"/>
      <c r="ITD135" s="3507"/>
      <c r="ITE135" s="3507"/>
      <c r="ITF135" s="3507"/>
      <c r="ITG135" s="3507"/>
      <c r="ITH135" s="3507"/>
      <c r="ITI135" s="3507"/>
      <c r="ITJ135" s="3507"/>
      <c r="ITK135" s="3507"/>
      <c r="ITL135" s="3507"/>
      <c r="ITM135" s="3507"/>
      <c r="ITN135" s="3507"/>
      <c r="ITO135" s="3507"/>
      <c r="ITP135" s="3507"/>
      <c r="ITQ135" s="3507"/>
      <c r="ITR135" s="3507"/>
      <c r="ITS135" s="3507"/>
      <c r="ITT135" s="3507"/>
      <c r="ITU135" s="3507"/>
      <c r="ITV135" s="3507"/>
      <c r="ITW135" s="3507"/>
      <c r="ITX135" s="3507"/>
      <c r="ITY135" s="3507"/>
      <c r="ITZ135" s="3507"/>
      <c r="IUA135" s="3507"/>
      <c r="IUB135" s="3507"/>
      <c r="IUC135" s="3507"/>
      <c r="IUD135" s="3507"/>
      <c r="IUE135" s="3507"/>
      <c r="IUF135" s="3507"/>
      <c r="IUG135" s="3507"/>
      <c r="IUH135" s="3507"/>
      <c r="IUI135" s="3507"/>
      <c r="IUJ135" s="3507"/>
      <c r="IUK135" s="3507"/>
      <c r="IUL135" s="3507"/>
      <c r="IUM135" s="3507"/>
      <c r="IUN135" s="3507"/>
      <c r="IUO135" s="3507"/>
      <c r="IUP135" s="3507"/>
      <c r="IUQ135" s="3507"/>
      <c r="IUR135" s="3507"/>
      <c r="IUS135" s="3507"/>
      <c r="IUT135" s="3507"/>
      <c r="IUU135" s="3507"/>
      <c r="IUV135" s="3507"/>
      <c r="IUW135" s="3507"/>
      <c r="IUX135" s="3507"/>
      <c r="IUY135" s="3507"/>
      <c r="IUZ135" s="3507"/>
      <c r="IVA135" s="3507"/>
      <c r="IVB135" s="3507"/>
      <c r="IVC135" s="3507"/>
      <c r="IVD135" s="3507"/>
      <c r="IVE135" s="3507"/>
      <c r="IVF135" s="3507"/>
      <c r="IVG135" s="3507"/>
      <c r="IVH135" s="3507"/>
      <c r="IVI135" s="3507"/>
      <c r="IVJ135" s="3507"/>
      <c r="IVK135" s="3507"/>
      <c r="IVL135" s="3507"/>
      <c r="IVM135" s="3507"/>
      <c r="IVN135" s="3507"/>
      <c r="IVO135" s="3507"/>
      <c r="IVP135" s="3507"/>
      <c r="IVQ135" s="3507"/>
      <c r="IVR135" s="3507"/>
      <c r="IVS135" s="3507"/>
      <c r="IVT135" s="3507"/>
      <c r="IVU135" s="3507"/>
      <c r="IVV135" s="3507"/>
      <c r="IVW135" s="3507"/>
      <c r="IVX135" s="3507"/>
      <c r="IVY135" s="3507"/>
      <c r="IVZ135" s="3507"/>
      <c r="IWA135" s="3507"/>
      <c r="IWB135" s="3507"/>
      <c r="IWC135" s="3507"/>
      <c r="IWD135" s="3507"/>
      <c r="IWE135" s="3507"/>
      <c r="IWF135" s="3507"/>
      <c r="IWG135" s="3507"/>
      <c r="IWH135" s="3507"/>
      <c r="IWI135" s="3507"/>
      <c r="IWJ135" s="3507"/>
      <c r="IWK135" s="3507"/>
      <c r="IWL135" s="3507"/>
      <c r="IWM135" s="3507"/>
      <c r="IWN135" s="3507"/>
      <c r="IWO135" s="3507"/>
      <c r="IWP135" s="3507"/>
      <c r="IWQ135" s="3507"/>
      <c r="IWR135" s="3507"/>
      <c r="IWS135" s="3507"/>
      <c r="IWT135" s="3507"/>
      <c r="IWU135" s="3507"/>
      <c r="IWV135" s="3507"/>
      <c r="IWW135" s="3507"/>
      <c r="IWX135" s="3507"/>
      <c r="IWY135" s="3507"/>
      <c r="IWZ135" s="3507"/>
      <c r="IXA135" s="3507"/>
      <c r="IXB135" s="3507"/>
      <c r="IXC135" s="3507"/>
      <c r="IXD135" s="3507"/>
      <c r="IXE135" s="3507"/>
      <c r="IXF135" s="3507"/>
      <c r="IXG135" s="3507"/>
      <c r="IXH135" s="3507"/>
      <c r="IXI135" s="3507"/>
      <c r="IXJ135" s="3507"/>
      <c r="IXK135" s="3507"/>
      <c r="IXL135" s="3507"/>
      <c r="IXM135" s="3507"/>
      <c r="IXN135" s="3507"/>
      <c r="IXO135" s="3507"/>
      <c r="IXP135" s="3507"/>
      <c r="IXQ135" s="3507"/>
      <c r="IXR135" s="3507"/>
      <c r="IXS135" s="3507"/>
      <c r="IXT135" s="3507"/>
      <c r="IXU135" s="3507"/>
      <c r="IXV135" s="3507"/>
      <c r="IXW135" s="3507"/>
      <c r="IXX135" s="3507"/>
      <c r="IXY135" s="3507"/>
      <c r="IXZ135" s="3507"/>
      <c r="IYA135" s="3507"/>
      <c r="IYB135" s="3507"/>
      <c r="IYC135" s="3507"/>
      <c r="IYD135" s="3507"/>
      <c r="IYE135" s="3507"/>
      <c r="IYF135" s="3507"/>
      <c r="IYG135" s="3507"/>
      <c r="IYH135" s="3507"/>
      <c r="IYI135" s="3507"/>
      <c r="IYJ135" s="3507"/>
      <c r="IYK135" s="3507"/>
      <c r="IYL135" s="3507"/>
      <c r="IYM135" s="3507"/>
      <c r="IYN135" s="3507"/>
      <c r="IYO135" s="3507"/>
      <c r="IYP135" s="3507"/>
      <c r="IYQ135" s="3507"/>
      <c r="IYR135" s="3507"/>
      <c r="IYS135" s="3507"/>
      <c r="IYT135" s="3507"/>
      <c r="IYU135" s="3507"/>
      <c r="IYV135" s="3507"/>
      <c r="IYW135" s="3507"/>
      <c r="IYX135" s="3507"/>
      <c r="IYY135" s="3507"/>
      <c r="IYZ135" s="3507"/>
      <c r="IZA135" s="3507"/>
      <c r="IZB135" s="3507"/>
      <c r="IZC135" s="3507"/>
      <c r="IZD135" s="3507"/>
      <c r="IZE135" s="3507"/>
      <c r="IZF135" s="3507"/>
      <c r="IZG135" s="3507"/>
      <c r="IZH135" s="3507"/>
      <c r="IZI135" s="3507"/>
      <c r="IZJ135" s="3507"/>
      <c r="IZK135" s="3507"/>
      <c r="IZL135" s="3507"/>
      <c r="IZM135" s="3507"/>
      <c r="IZN135" s="3507"/>
      <c r="IZO135" s="3507"/>
      <c r="IZP135" s="3507"/>
      <c r="IZQ135" s="3507"/>
      <c r="IZR135" s="3507"/>
      <c r="IZS135" s="3507"/>
      <c r="IZT135" s="3507"/>
      <c r="IZU135" s="3507"/>
      <c r="IZV135" s="3507"/>
      <c r="IZW135" s="3507"/>
      <c r="IZX135" s="3507"/>
      <c r="IZY135" s="3507"/>
      <c r="IZZ135" s="3507"/>
      <c r="JAA135" s="3507"/>
      <c r="JAB135" s="3507"/>
      <c r="JAC135" s="3507"/>
      <c r="JAD135" s="3507"/>
      <c r="JAE135" s="3507"/>
      <c r="JAF135" s="3507"/>
      <c r="JAG135" s="3507"/>
      <c r="JAH135" s="3507"/>
      <c r="JAI135" s="3507"/>
      <c r="JAJ135" s="3507"/>
      <c r="JAK135" s="3507"/>
      <c r="JAL135" s="3507"/>
      <c r="JAM135" s="3507"/>
      <c r="JAN135" s="3507"/>
      <c r="JAO135" s="3507"/>
      <c r="JAP135" s="3507"/>
      <c r="JAQ135" s="3507"/>
      <c r="JAR135" s="3507"/>
      <c r="JAS135" s="3507"/>
      <c r="JAT135" s="3507"/>
      <c r="JAU135" s="3507"/>
      <c r="JAV135" s="3507"/>
      <c r="JAW135" s="3507"/>
      <c r="JAX135" s="3507"/>
      <c r="JAY135" s="3507"/>
      <c r="JAZ135" s="3507"/>
      <c r="JBA135" s="3507"/>
      <c r="JBB135" s="3507"/>
      <c r="JBC135" s="3507"/>
      <c r="JBD135" s="3507"/>
      <c r="JBE135" s="3507"/>
      <c r="JBF135" s="3507"/>
      <c r="JBG135" s="3507"/>
      <c r="JBH135" s="3507"/>
      <c r="JBI135" s="3507"/>
      <c r="JBJ135" s="3507"/>
      <c r="JBK135" s="3507"/>
      <c r="JBL135" s="3507"/>
      <c r="JBM135" s="3507"/>
      <c r="JBN135" s="3507"/>
      <c r="JBO135" s="3507"/>
      <c r="JBP135" s="3507"/>
      <c r="JBQ135" s="3507"/>
      <c r="JBR135" s="3507"/>
      <c r="JBS135" s="3507"/>
      <c r="JBT135" s="3507"/>
      <c r="JBU135" s="3507"/>
      <c r="JBV135" s="3507"/>
      <c r="JBW135" s="3507"/>
      <c r="JBX135" s="3507"/>
      <c r="JBY135" s="3507"/>
      <c r="JBZ135" s="3507"/>
      <c r="JCA135" s="3507"/>
      <c r="JCB135" s="3507"/>
      <c r="JCC135" s="3507"/>
      <c r="JCD135" s="3507"/>
      <c r="JCE135" s="3507"/>
      <c r="JCF135" s="3507"/>
      <c r="JCG135" s="3507"/>
      <c r="JCH135" s="3507"/>
      <c r="JCI135" s="3507"/>
      <c r="JCJ135" s="3507"/>
      <c r="JCK135" s="3507"/>
      <c r="JCL135" s="3507"/>
      <c r="JCM135" s="3507"/>
      <c r="JCN135" s="3507"/>
      <c r="JCO135" s="3507"/>
      <c r="JCP135" s="3507"/>
      <c r="JCQ135" s="3507"/>
      <c r="JCR135" s="3507"/>
      <c r="JCS135" s="3507"/>
      <c r="JCT135" s="3507"/>
      <c r="JCU135" s="3507"/>
      <c r="JCV135" s="3507"/>
      <c r="JCW135" s="3507"/>
      <c r="JCX135" s="3507"/>
      <c r="JCY135" s="3507"/>
      <c r="JCZ135" s="3507"/>
      <c r="JDA135" s="3507"/>
      <c r="JDB135" s="3507"/>
      <c r="JDC135" s="3507"/>
      <c r="JDD135" s="3507"/>
      <c r="JDE135" s="3507"/>
      <c r="JDF135" s="3507"/>
      <c r="JDG135" s="3507"/>
      <c r="JDH135" s="3507"/>
      <c r="JDI135" s="3507"/>
      <c r="JDJ135" s="3507"/>
      <c r="JDK135" s="3507"/>
      <c r="JDL135" s="3507"/>
      <c r="JDM135" s="3507"/>
      <c r="JDN135" s="3507"/>
      <c r="JDO135" s="3507"/>
      <c r="JDP135" s="3507"/>
      <c r="JDQ135" s="3507"/>
      <c r="JDR135" s="3507"/>
      <c r="JDS135" s="3507"/>
      <c r="JDT135" s="3507"/>
      <c r="JDU135" s="3507"/>
      <c r="JDV135" s="3507"/>
      <c r="JDW135" s="3507"/>
      <c r="JDX135" s="3507"/>
      <c r="JDY135" s="3507"/>
      <c r="JDZ135" s="3507"/>
      <c r="JEA135" s="3507"/>
      <c r="JEB135" s="3507"/>
      <c r="JEC135" s="3507"/>
      <c r="JED135" s="3507"/>
      <c r="JEE135" s="3507"/>
      <c r="JEF135" s="3507"/>
      <c r="JEG135" s="3507"/>
      <c r="JEH135" s="3507"/>
      <c r="JEI135" s="3507"/>
      <c r="JEJ135" s="3507"/>
      <c r="JEK135" s="3507"/>
      <c r="JEL135" s="3507"/>
      <c r="JEM135" s="3507"/>
      <c r="JEN135" s="3507"/>
      <c r="JEO135" s="3507"/>
      <c r="JEP135" s="3507"/>
      <c r="JEQ135" s="3507"/>
      <c r="JER135" s="3507"/>
      <c r="JES135" s="3507"/>
      <c r="JET135" s="3507"/>
      <c r="JEU135" s="3507"/>
      <c r="JEV135" s="3507"/>
      <c r="JEW135" s="3507"/>
      <c r="JEX135" s="3507"/>
      <c r="JEY135" s="3507"/>
      <c r="JEZ135" s="3507"/>
      <c r="JFA135" s="3507"/>
      <c r="JFB135" s="3507"/>
      <c r="JFC135" s="3507"/>
      <c r="JFD135" s="3507"/>
      <c r="JFE135" s="3507"/>
      <c r="JFF135" s="3507"/>
      <c r="JFG135" s="3507"/>
      <c r="JFH135" s="3507"/>
      <c r="JFI135" s="3507"/>
      <c r="JFJ135" s="3507"/>
      <c r="JFK135" s="3507"/>
      <c r="JFL135" s="3507"/>
      <c r="JFM135" s="3507"/>
      <c r="JFN135" s="3507"/>
      <c r="JFO135" s="3507"/>
      <c r="JFP135" s="3507"/>
      <c r="JFQ135" s="3507"/>
      <c r="JFR135" s="3507"/>
      <c r="JFS135" s="3507"/>
      <c r="JFT135" s="3507"/>
      <c r="JFU135" s="3507"/>
      <c r="JFV135" s="3507"/>
      <c r="JFW135" s="3507"/>
      <c r="JFX135" s="3507"/>
      <c r="JFY135" s="3507"/>
      <c r="JFZ135" s="3507"/>
      <c r="JGA135" s="3507"/>
      <c r="JGB135" s="3507"/>
      <c r="JGC135" s="3507"/>
      <c r="JGD135" s="3507"/>
      <c r="JGE135" s="3507"/>
      <c r="JGF135" s="3507"/>
      <c r="JGG135" s="3507"/>
      <c r="JGH135" s="3507"/>
      <c r="JGI135" s="3507"/>
      <c r="JGJ135" s="3507"/>
      <c r="JGK135" s="3507"/>
      <c r="JGL135" s="3507"/>
      <c r="JGM135" s="3507"/>
      <c r="JGN135" s="3507"/>
      <c r="JGO135" s="3507"/>
      <c r="JGP135" s="3507"/>
      <c r="JGQ135" s="3507"/>
      <c r="JGR135" s="3507"/>
      <c r="JGS135" s="3507"/>
      <c r="JGT135" s="3507"/>
      <c r="JGU135" s="3507"/>
      <c r="JGV135" s="3507"/>
      <c r="JGW135" s="3507"/>
      <c r="JGX135" s="3507"/>
      <c r="JGY135" s="3507"/>
      <c r="JGZ135" s="3507"/>
      <c r="JHA135" s="3507"/>
      <c r="JHB135" s="3507"/>
      <c r="JHC135" s="3507"/>
      <c r="JHD135" s="3507"/>
      <c r="JHE135" s="3507"/>
      <c r="JHF135" s="3507"/>
      <c r="JHG135" s="3507"/>
      <c r="JHH135" s="3507"/>
      <c r="JHI135" s="3507"/>
      <c r="JHJ135" s="3507"/>
      <c r="JHK135" s="3507"/>
      <c r="JHL135" s="3507"/>
      <c r="JHM135" s="3507"/>
      <c r="JHN135" s="3507"/>
      <c r="JHO135" s="3507"/>
      <c r="JHP135" s="3507"/>
      <c r="JHQ135" s="3507"/>
      <c r="JHR135" s="3507"/>
      <c r="JHS135" s="3507"/>
      <c r="JHT135" s="3507"/>
      <c r="JHU135" s="3507"/>
      <c r="JHV135" s="3507"/>
      <c r="JHW135" s="3507"/>
      <c r="JHX135" s="3507"/>
      <c r="JHY135" s="3507"/>
      <c r="JHZ135" s="3507"/>
      <c r="JIA135" s="3507"/>
      <c r="JIB135" s="3507"/>
      <c r="JIC135" s="3507"/>
      <c r="JID135" s="3507"/>
      <c r="JIE135" s="3507"/>
      <c r="JIF135" s="3507"/>
      <c r="JIG135" s="3507"/>
      <c r="JIH135" s="3507"/>
      <c r="JII135" s="3507"/>
      <c r="JIJ135" s="3507"/>
      <c r="JIK135" s="3507"/>
      <c r="JIL135" s="3507"/>
      <c r="JIM135" s="3507"/>
      <c r="JIN135" s="3507"/>
      <c r="JIO135" s="3507"/>
      <c r="JIP135" s="3507"/>
      <c r="JIQ135" s="3507"/>
      <c r="JIR135" s="3507"/>
      <c r="JIS135" s="3507"/>
      <c r="JIT135" s="3507"/>
      <c r="JIU135" s="3507"/>
      <c r="JIV135" s="3507"/>
      <c r="JIW135" s="3507"/>
      <c r="JIX135" s="3507"/>
      <c r="JIY135" s="3507"/>
      <c r="JIZ135" s="3507"/>
      <c r="JJA135" s="3507"/>
      <c r="JJB135" s="3507"/>
      <c r="JJC135" s="3507"/>
      <c r="JJD135" s="3507"/>
      <c r="JJE135" s="3507"/>
      <c r="JJF135" s="3507"/>
      <c r="JJG135" s="3507"/>
      <c r="JJH135" s="3507"/>
      <c r="JJI135" s="3507"/>
      <c r="JJJ135" s="3507"/>
      <c r="JJK135" s="3507"/>
      <c r="JJL135" s="3507"/>
      <c r="JJM135" s="3507"/>
      <c r="JJN135" s="3507"/>
      <c r="JJO135" s="3507"/>
      <c r="JJP135" s="3507"/>
      <c r="JJQ135" s="3507"/>
      <c r="JJR135" s="3507"/>
      <c r="JJS135" s="3507"/>
      <c r="JJT135" s="3507"/>
      <c r="JJU135" s="3507"/>
      <c r="JJV135" s="3507"/>
      <c r="JJW135" s="3507"/>
      <c r="JJX135" s="3507"/>
      <c r="JJY135" s="3507"/>
      <c r="JJZ135" s="3507"/>
      <c r="JKA135" s="3507"/>
      <c r="JKB135" s="3507"/>
      <c r="JKC135" s="3507"/>
      <c r="JKD135" s="3507"/>
      <c r="JKE135" s="3507"/>
      <c r="JKF135" s="3507"/>
      <c r="JKG135" s="3507"/>
      <c r="JKH135" s="3507"/>
      <c r="JKI135" s="3507"/>
      <c r="JKJ135" s="3507"/>
      <c r="JKK135" s="3507"/>
      <c r="JKL135" s="3507"/>
      <c r="JKM135" s="3507"/>
      <c r="JKN135" s="3507"/>
      <c r="JKO135" s="3507"/>
      <c r="JKP135" s="3507"/>
      <c r="JKQ135" s="3507"/>
      <c r="JKR135" s="3507"/>
      <c r="JKS135" s="3507"/>
      <c r="JKT135" s="3507"/>
      <c r="JKU135" s="3507"/>
      <c r="JKV135" s="3507"/>
      <c r="JKW135" s="3507"/>
      <c r="JKX135" s="3507"/>
      <c r="JKY135" s="3507"/>
      <c r="JKZ135" s="3507"/>
      <c r="JLA135" s="3507"/>
      <c r="JLB135" s="3507"/>
      <c r="JLC135" s="3507"/>
      <c r="JLD135" s="3507"/>
      <c r="JLE135" s="3507"/>
      <c r="JLF135" s="3507"/>
      <c r="JLG135" s="3507"/>
      <c r="JLH135" s="3507"/>
      <c r="JLI135" s="3507"/>
      <c r="JLJ135" s="3507"/>
      <c r="JLK135" s="3507"/>
      <c r="JLL135" s="3507"/>
      <c r="JLM135" s="3507"/>
      <c r="JLN135" s="3507"/>
      <c r="JLO135" s="3507"/>
      <c r="JLP135" s="3507"/>
      <c r="JLQ135" s="3507"/>
      <c r="JLR135" s="3507"/>
      <c r="JLS135" s="3507"/>
      <c r="JLT135" s="3507"/>
      <c r="JLU135" s="3507"/>
      <c r="JLV135" s="3507"/>
      <c r="JLW135" s="3507"/>
      <c r="JLX135" s="3507"/>
      <c r="JLY135" s="3507"/>
      <c r="JLZ135" s="3507"/>
      <c r="JMA135" s="3507"/>
      <c r="JMB135" s="3507"/>
      <c r="JMC135" s="3507"/>
      <c r="JMD135" s="3507"/>
      <c r="JME135" s="3507"/>
      <c r="JMF135" s="3507"/>
      <c r="JMG135" s="3507"/>
      <c r="JMH135" s="3507"/>
      <c r="JMI135" s="3507"/>
      <c r="JMJ135" s="3507"/>
      <c r="JMK135" s="3507"/>
      <c r="JML135" s="3507"/>
      <c r="JMM135" s="3507"/>
      <c r="JMN135" s="3507"/>
      <c r="JMO135" s="3507"/>
      <c r="JMP135" s="3507"/>
      <c r="JMQ135" s="3507"/>
      <c r="JMR135" s="3507"/>
      <c r="JMS135" s="3507"/>
      <c r="JMT135" s="3507"/>
      <c r="JMU135" s="3507"/>
      <c r="JMV135" s="3507"/>
      <c r="JMW135" s="3507"/>
      <c r="JMX135" s="3507"/>
      <c r="JMY135" s="3507"/>
      <c r="JMZ135" s="3507"/>
      <c r="JNA135" s="3507"/>
      <c r="JNB135" s="3507"/>
      <c r="JNC135" s="3507"/>
      <c r="JND135" s="3507"/>
      <c r="JNE135" s="3507"/>
      <c r="JNF135" s="3507"/>
      <c r="JNG135" s="3507"/>
      <c r="JNH135" s="3507"/>
      <c r="JNI135" s="3507"/>
      <c r="JNJ135" s="3507"/>
      <c r="JNK135" s="3507"/>
      <c r="JNL135" s="3507"/>
      <c r="JNM135" s="3507"/>
      <c r="JNN135" s="3507"/>
      <c r="JNO135" s="3507"/>
      <c r="JNP135" s="3507"/>
      <c r="JNQ135" s="3507"/>
      <c r="JNR135" s="3507"/>
      <c r="JNS135" s="3507"/>
      <c r="JNT135" s="3507"/>
      <c r="JNU135" s="3507"/>
      <c r="JNV135" s="3507"/>
      <c r="JNW135" s="3507"/>
      <c r="JNX135" s="3507"/>
      <c r="JNY135" s="3507"/>
      <c r="JNZ135" s="3507"/>
      <c r="JOA135" s="3507"/>
      <c r="JOB135" s="3507"/>
      <c r="JOC135" s="3507"/>
      <c r="JOD135" s="3507"/>
      <c r="JOE135" s="3507"/>
      <c r="JOF135" s="3507"/>
      <c r="JOG135" s="3507"/>
      <c r="JOH135" s="3507"/>
      <c r="JOI135" s="3507"/>
      <c r="JOJ135" s="3507"/>
      <c r="JOK135" s="3507"/>
      <c r="JOL135" s="3507"/>
      <c r="JOM135" s="3507"/>
      <c r="JON135" s="3507"/>
      <c r="JOO135" s="3507"/>
      <c r="JOP135" s="3507"/>
      <c r="JOQ135" s="3507"/>
      <c r="JOR135" s="3507"/>
      <c r="JOS135" s="3507"/>
      <c r="JOT135" s="3507"/>
      <c r="JOU135" s="3507"/>
      <c r="JOV135" s="3507"/>
      <c r="JOW135" s="3507"/>
      <c r="JOX135" s="3507"/>
      <c r="JOY135" s="3507"/>
      <c r="JOZ135" s="3507"/>
      <c r="JPA135" s="3507"/>
      <c r="JPB135" s="3507"/>
      <c r="JPC135" s="3507"/>
      <c r="JPD135" s="3507"/>
      <c r="JPE135" s="3507"/>
      <c r="JPF135" s="3507"/>
      <c r="JPG135" s="3507"/>
      <c r="JPH135" s="3507"/>
      <c r="JPI135" s="3507"/>
      <c r="JPJ135" s="3507"/>
      <c r="JPK135" s="3507"/>
      <c r="JPL135" s="3507"/>
      <c r="JPM135" s="3507"/>
      <c r="JPN135" s="3507"/>
      <c r="JPO135" s="3507"/>
      <c r="JPP135" s="3507"/>
      <c r="JPQ135" s="3507"/>
      <c r="JPR135" s="3507"/>
      <c r="JPS135" s="3507"/>
      <c r="JPT135" s="3507"/>
      <c r="JPU135" s="3507"/>
      <c r="JPV135" s="3507"/>
      <c r="JPW135" s="3507"/>
      <c r="JPX135" s="3507"/>
      <c r="JPY135" s="3507"/>
      <c r="JPZ135" s="3507"/>
      <c r="JQA135" s="3507"/>
      <c r="JQB135" s="3507"/>
      <c r="JQC135" s="3507"/>
      <c r="JQD135" s="3507"/>
      <c r="JQE135" s="3507"/>
      <c r="JQF135" s="3507"/>
      <c r="JQG135" s="3507"/>
      <c r="JQH135" s="3507"/>
      <c r="JQI135" s="3507"/>
      <c r="JQJ135" s="3507"/>
      <c r="JQK135" s="3507"/>
      <c r="JQL135" s="3507"/>
      <c r="JQM135" s="3507"/>
      <c r="JQN135" s="3507"/>
      <c r="JQO135" s="3507"/>
      <c r="JQP135" s="3507"/>
      <c r="JQQ135" s="3507"/>
      <c r="JQR135" s="3507"/>
      <c r="JQS135" s="3507"/>
      <c r="JQT135" s="3507"/>
      <c r="JQU135" s="3507"/>
      <c r="JQV135" s="3507"/>
      <c r="JQW135" s="3507"/>
      <c r="JQX135" s="3507"/>
      <c r="JQY135" s="3507"/>
      <c r="JQZ135" s="3507"/>
      <c r="JRA135" s="3507"/>
      <c r="JRB135" s="3507"/>
      <c r="JRC135" s="3507"/>
      <c r="JRD135" s="3507"/>
      <c r="JRE135" s="3507"/>
      <c r="JRF135" s="3507"/>
      <c r="JRG135" s="3507"/>
      <c r="JRH135" s="3507"/>
      <c r="JRI135" s="3507"/>
      <c r="JRJ135" s="3507"/>
      <c r="JRK135" s="3507"/>
      <c r="JRL135" s="3507"/>
      <c r="JRM135" s="3507"/>
      <c r="JRN135" s="3507"/>
      <c r="JRO135" s="3507"/>
      <c r="JRP135" s="3507"/>
      <c r="JRQ135" s="3507"/>
      <c r="JRR135" s="3507"/>
      <c r="JRS135" s="3507"/>
      <c r="JRT135" s="3507"/>
      <c r="JRU135" s="3507"/>
      <c r="JRV135" s="3507"/>
      <c r="JRW135" s="3507"/>
      <c r="JRX135" s="3507"/>
      <c r="JRY135" s="3507"/>
      <c r="JRZ135" s="3507"/>
      <c r="JSA135" s="3507"/>
      <c r="JSB135" s="3507"/>
      <c r="JSC135" s="3507"/>
      <c r="JSD135" s="3507"/>
      <c r="JSE135" s="3507"/>
      <c r="JSF135" s="3507"/>
      <c r="JSG135" s="3507"/>
      <c r="JSH135" s="3507"/>
      <c r="JSI135" s="3507"/>
      <c r="JSJ135" s="3507"/>
      <c r="JSK135" s="3507"/>
      <c r="JSL135" s="3507"/>
      <c r="JSM135" s="3507"/>
      <c r="JSN135" s="3507"/>
      <c r="JSO135" s="3507"/>
      <c r="JSP135" s="3507"/>
      <c r="JSQ135" s="3507"/>
      <c r="JSR135" s="3507"/>
      <c r="JSS135" s="3507"/>
      <c r="JST135" s="3507"/>
      <c r="JSU135" s="3507"/>
      <c r="JSV135" s="3507"/>
      <c r="JSW135" s="3507"/>
      <c r="JSX135" s="3507"/>
      <c r="JSY135" s="3507"/>
      <c r="JSZ135" s="3507"/>
      <c r="JTA135" s="3507"/>
      <c r="JTB135" s="3507"/>
      <c r="JTC135" s="3507"/>
      <c r="JTD135" s="3507"/>
      <c r="JTE135" s="3507"/>
      <c r="JTF135" s="3507"/>
      <c r="JTG135" s="3507"/>
      <c r="JTH135" s="3507"/>
      <c r="JTI135" s="3507"/>
      <c r="JTJ135" s="3507"/>
      <c r="JTK135" s="3507"/>
      <c r="JTL135" s="3507"/>
      <c r="JTM135" s="3507"/>
      <c r="JTN135" s="3507"/>
      <c r="JTO135" s="3507"/>
      <c r="JTP135" s="3507"/>
      <c r="JTQ135" s="3507"/>
      <c r="JTR135" s="3507"/>
      <c r="JTS135" s="3507"/>
      <c r="JTT135" s="3507"/>
      <c r="JTU135" s="3507"/>
      <c r="JTV135" s="3507"/>
      <c r="JTW135" s="3507"/>
      <c r="JTX135" s="3507"/>
      <c r="JTY135" s="3507"/>
      <c r="JTZ135" s="3507"/>
      <c r="JUA135" s="3507"/>
      <c r="JUB135" s="3507"/>
      <c r="JUC135" s="3507"/>
      <c r="JUD135" s="3507"/>
      <c r="JUE135" s="3507"/>
      <c r="JUF135" s="3507"/>
      <c r="JUG135" s="3507"/>
      <c r="JUH135" s="3507"/>
      <c r="JUI135" s="3507"/>
      <c r="JUJ135" s="3507"/>
      <c r="JUK135" s="3507"/>
      <c r="JUL135" s="3507"/>
      <c r="JUM135" s="3507"/>
      <c r="JUN135" s="3507"/>
      <c r="JUO135" s="3507"/>
      <c r="JUP135" s="3507"/>
      <c r="JUQ135" s="3507"/>
      <c r="JUR135" s="3507"/>
      <c r="JUS135" s="3507"/>
      <c r="JUT135" s="3507"/>
      <c r="JUU135" s="3507"/>
      <c r="JUV135" s="3507"/>
      <c r="JUW135" s="3507"/>
      <c r="JUX135" s="3507"/>
      <c r="JUY135" s="3507"/>
      <c r="JUZ135" s="3507"/>
      <c r="JVA135" s="3507"/>
      <c r="JVB135" s="3507"/>
      <c r="JVC135" s="3507"/>
      <c r="JVD135" s="3507"/>
      <c r="JVE135" s="3507"/>
      <c r="JVF135" s="3507"/>
      <c r="JVG135" s="3507"/>
      <c r="JVH135" s="3507"/>
      <c r="JVI135" s="3507"/>
      <c r="JVJ135" s="3507"/>
      <c r="JVK135" s="3507"/>
      <c r="JVL135" s="3507"/>
      <c r="JVM135" s="3507"/>
      <c r="JVN135" s="3507"/>
      <c r="JVO135" s="3507"/>
      <c r="JVP135" s="3507"/>
      <c r="JVQ135" s="3507"/>
      <c r="JVR135" s="3507"/>
      <c r="JVS135" s="3507"/>
      <c r="JVT135" s="3507"/>
      <c r="JVU135" s="3507"/>
      <c r="JVV135" s="3507"/>
      <c r="JVW135" s="3507"/>
      <c r="JVX135" s="3507"/>
      <c r="JVY135" s="3507"/>
      <c r="JVZ135" s="3507"/>
      <c r="JWA135" s="3507"/>
      <c r="JWB135" s="3507"/>
      <c r="JWC135" s="3507"/>
      <c r="JWD135" s="3507"/>
      <c r="JWE135" s="3507"/>
      <c r="JWF135" s="3507"/>
      <c r="JWG135" s="3507"/>
      <c r="JWH135" s="3507"/>
      <c r="JWI135" s="3507"/>
      <c r="JWJ135" s="3507"/>
      <c r="JWK135" s="3507"/>
      <c r="JWL135" s="3507"/>
      <c r="JWM135" s="3507"/>
      <c r="JWN135" s="3507"/>
      <c r="JWO135" s="3507"/>
      <c r="JWP135" s="3507"/>
      <c r="JWQ135" s="3507"/>
      <c r="JWR135" s="3507"/>
      <c r="JWS135" s="3507"/>
      <c r="JWT135" s="3507"/>
      <c r="JWU135" s="3507"/>
      <c r="JWV135" s="3507"/>
      <c r="JWW135" s="3507"/>
      <c r="JWX135" s="3507"/>
      <c r="JWY135" s="3507"/>
      <c r="JWZ135" s="3507"/>
      <c r="JXA135" s="3507"/>
      <c r="JXB135" s="3507"/>
      <c r="JXC135" s="3507"/>
      <c r="JXD135" s="3507"/>
      <c r="JXE135" s="3507"/>
      <c r="JXF135" s="3507"/>
      <c r="JXG135" s="3507"/>
      <c r="JXH135" s="3507"/>
      <c r="JXI135" s="3507"/>
      <c r="JXJ135" s="3507"/>
      <c r="JXK135" s="3507"/>
      <c r="JXL135" s="3507"/>
      <c r="JXM135" s="3507"/>
      <c r="JXN135" s="3507"/>
      <c r="JXO135" s="3507"/>
      <c r="JXP135" s="3507"/>
      <c r="JXQ135" s="3507"/>
      <c r="JXR135" s="3507"/>
      <c r="JXS135" s="3507"/>
      <c r="JXT135" s="3507"/>
      <c r="JXU135" s="3507"/>
      <c r="JXV135" s="3507"/>
      <c r="JXW135" s="3507"/>
      <c r="JXX135" s="3507"/>
      <c r="JXY135" s="3507"/>
      <c r="JXZ135" s="3507"/>
      <c r="JYA135" s="3507"/>
      <c r="JYB135" s="3507"/>
      <c r="JYC135" s="3507"/>
      <c r="JYD135" s="3507"/>
      <c r="JYE135" s="3507"/>
      <c r="JYF135" s="3507"/>
      <c r="JYG135" s="3507"/>
      <c r="JYH135" s="3507"/>
      <c r="JYI135" s="3507"/>
      <c r="JYJ135" s="3507"/>
      <c r="JYK135" s="3507"/>
      <c r="JYL135" s="3507"/>
      <c r="JYM135" s="3507"/>
      <c r="JYN135" s="3507"/>
      <c r="JYO135" s="3507"/>
      <c r="JYP135" s="3507"/>
      <c r="JYQ135" s="3507"/>
      <c r="JYR135" s="3507"/>
      <c r="JYS135" s="3507"/>
      <c r="JYT135" s="3507"/>
      <c r="JYU135" s="3507"/>
      <c r="JYV135" s="3507"/>
      <c r="JYW135" s="3507"/>
      <c r="JYX135" s="3507"/>
      <c r="JYY135" s="3507"/>
      <c r="JYZ135" s="3507"/>
      <c r="JZA135" s="3507"/>
      <c r="JZB135" s="3507"/>
      <c r="JZC135" s="3507"/>
      <c r="JZD135" s="3507"/>
      <c r="JZE135" s="3507"/>
      <c r="JZF135" s="3507"/>
      <c r="JZG135" s="3507"/>
      <c r="JZH135" s="3507"/>
      <c r="JZI135" s="3507"/>
      <c r="JZJ135" s="3507"/>
      <c r="JZK135" s="3507"/>
      <c r="JZL135" s="3507"/>
      <c r="JZM135" s="3507"/>
      <c r="JZN135" s="3507"/>
      <c r="JZO135" s="3507"/>
      <c r="JZP135" s="3507"/>
      <c r="JZQ135" s="3507"/>
      <c r="JZR135" s="3507"/>
      <c r="JZS135" s="3507"/>
      <c r="JZT135" s="3507"/>
      <c r="JZU135" s="3507"/>
      <c r="JZV135" s="3507"/>
      <c r="JZW135" s="3507"/>
      <c r="JZX135" s="3507"/>
      <c r="JZY135" s="3507"/>
      <c r="JZZ135" s="3507"/>
      <c r="KAA135" s="3507"/>
      <c r="KAB135" s="3507"/>
      <c r="KAC135" s="3507"/>
      <c r="KAD135" s="3507"/>
      <c r="KAE135" s="3507"/>
      <c r="KAF135" s="3507"/>
      <c r="KAG135" s="3507"/>
      <c r="KAH135" s="3507"/>
      <c r="KAI135" s="3507"/>
      <c r="KAJ135" s="3507"/>
      <c r="KAK135" s="3507"/>
      <c r="KAL135" s="3507"/>
      <c r="KAM135" s="3507"/>
      <c r="KAN135" s="3507"/>
      <c r="KAO135" s="3507"/>
      <c r="KAP135" s="3507"/>
      <c r="KAQ135" s="3507"/>
      <c r="KAR135" s="3507"/>
      <c r="KAS135" s="3507"/>
      <c r="KAT135" s="3507"/>
      <c r="KAU135" s="3507"/>
      <c r="KAV135" s="3507"/>
      <c r="KAW135" s="3507"/>
      <c r="KAX135" s="3507"/>
      <c r="KAY135" s="3507"/>
      <c r="KAZ135" s="3507"/>
      <c r="KBA135" s="3507"/>
      <c r="KBB135" s="3507"/>
      <c r="KBC135" s="3507"/>
      <c r="KBD135" s="3507"/>
      <c r="KBE135" s="3507"/>
      <c r="KBF135" s="3507"/>
      <c r="KBG135" s="3507"/>
      <c r="KBH135" s="3507"/>
      <c r="KBI135" s="3507"/>
      <c r="KBJ135" s="3507"/>
      <c r="KBK135" s="3507"/>
      <c r="KBL135" s="3507"/>
      <c r="KBM135" s="3507"/>
      <c r="KBN135" s="3507"/>
      <c r="KBO135" s="3507"/>
      <c r="KBP135" s="3507"/>
      <c r="KBQ135" s="3507"/>
      <c r="KBR135" s="3507"/>
      <c r="KBS135" s="3507"/>
      <c r="KBT135" s="3507"/>
      <c r="KBU135" s="3507"/>
      <c r="KBV135" s="3507"/>
      <c r="KBW135" s="3507"/>
      <c r="KBX135" s="3507"/>
      <c r="KBY135" s="3507"/>
      <c r="KBZ135" s="3507"/>
      <c r="KCA135" s="3507"/>
      <c r="KCB135" s="3507"/>
      <c r="KCC135" s="3507"/>
      <c r="KCD135" s="3507"/>
      <c r="KCE135" s="3507"/>
      <c r="KCF135" s="3507"/>
      <c r="KCG135" s="3507"/>
      <c r="KCH135" s="3507"/>
      <c r="KCI135" s="3507"/>
      <c r="KCJ135" s="3507"/>
      <c r="KCK135" s="3507"/>
      <c r="KCL135" s="3507"/>
      <c r="KCM135" s="3507"/>
      <c r="KCN135" s="3507"/>
      <c r="KCO135" s="3507"/>
      <c r="KCP135" s="3507"/>
      <c r="KCQ135" s="3507"/>
      <c r="KCR135" s="3507"/>
      <c r="KCS135" s="3507"/>
      <c r="KCT135" s="3507"/>
      <c r="KCU135" s="3507"/>
      <c r="KCV135" s="3507"/>
      <c r="KCW135" s="3507"/>
      <c r="KCX135" s="3507"/>
      <c r="KCY135" s="3507"/>
      <c r="KCZ135" s="3507"/>
      <c r="KDA135" s="3507"/>
      <c r="KDB135" s="3507"/>
      <c r="KDC135" s="3507"/>
      <c r="KDD135" s="3507"/>
      <c r="KDE135" s="3507"/>
      <c r="KDF135" s="3507"/>
      <c r="KDG135" s="3507"/>
      <c r="KDH135" s="3507"/>
      <c r="KDI135" s="3507"/>
      <c r="KDJ135" s="3507"/>
      <c r="KDK135" s="3507"/>
      <c r="KDL135" s="3507"/>
      <c r="KDM135" s="3507"/>
      <c r="KDN135" s="3507"/>
      <c r="KDO135" s="3507"/>
      <c r="KDP135" s="3507"/>
      <c r="KDQ135" s="3507"/>
      <c r="KDR135" s="3507"/>
      <c r="KDS135" s="3507"/>
      <c r="KDT135" s="3507"/>
      <c r="KDU135" s="3507"/>
      <c r="KDV135" s="3507"/>
      <c r="KDW135" s="3507"/>
      <c r="KDX135" s="3507"/>
      <c r="KDY135" s="3507"/>
      <c r="KDZ135" s="3507"/>
      <c r="KEA135" s="3507"/>
      <c r="KEB135" s="3507"/>
      <c r="KEC135" s="3507"/>
      <c r="KED135" s="3507"/>
      <c r="KEE135" s="3507"/>
      <c r="KEF135" s="3507"/>
      <c r="KEG135" s="3507"/>
      <c r="KEH135" s="3507"/>
      <c r="KEI135" s="3507"/>
      <c r="KEJ135" s="3507"/>
      <c r="KEK135" s="3507"/>
      <c r="KEL135" s="3507"/>
      <c r="KEM135" s="3507"/>
      <c r="KEN135" s="3507"/>
      <c r="KEO135" s="3507"/>
      <c r="KEP135" s="3507"/>
      <c r="KEQ135" s="3507"/>
      <c r="KER135" s="3507"/>
      <c r="KES135" s="3507"/>
      <c r="KET135" s="3507"/>
      <c r="KEU135" s="3507"/>
      <c r="KEV135" s="3507"/>
      <c r="KEW135" s="3507"/>
      <c r="KEX135" s="3507"/>
      <c r="KEY135" s="3507"/>
      <c r="KEZ135" s="3507"/>
      <c r="KFA135" s="3507"/>
      <c r="KFB135" s="3507"/>
      <c r="KFC135" s="3507"/>
      <c r="KFD135" s="3507"/>
      <c r="KFE135" s="3507"/>
      <c r="KFF135" s="3507"/>
      <c r="KFG135" s="3507"/>
      <c r="KFH135" s="3507"/>
      <c r="KFI135" s="3507"/>
      <c r="KFJ135" s="3507"/>
      <c r="KFK135" s="3507"/>
      <c r="KFL135" s="3507"/>
      <c r="KFM135" s="3507"/>
      <c r="KFN135" s="3507"/>
      <c r="KFO135" s="3507"/>
      <c r="KFP135" s="3507"/>
      <c r="KFQ135" s="3507"/>
      <c r="KFR135" s="3507"/>
      <c r="KFS135" s="3507"/>
      <c r="KFT135" s="3507"/>
      <c r="KFU135" s="3507"/>
      <c r="KFV135" s="3507"/>
      <c r="KFW135" s="3507"/>
      <c r="KFX135" s="3507"/>
      <c r="KFY135" s="3507"/>
      <c r="KFZ135" s="3507"/>
      <c r="KGA135" s="3507"/>
      <c r="KGB135" s="3507"/>
      <c r="KGC135" s="3507"/>
      <c r="KGD135" s="3507"/>
      <c r="KGE135" s="3507"/>
      <c r="KGF135" s="3507"/>
      <c r="KGG135" s="3507"/>
      <c r="KGH135" s="3507"/>
      <c r="KGI135" s="3507"/>
      <c r="KGJ135" s="3507"/>
      <c r="KGK135" s="3507"/>
      <c r="KGL135" s="3507"/>
      <c r="KGM135" s="3507"/>
      <c r="KGN135" s="3507"/>
      <c r="KGO135" s="3507"/>
      <c r="KGP135" s="3507"/>
      <c r="KGQ135" s="3507"/>
      <c r="KGR135" s="3507"/>
      <c r="KGS135" s="3507"/>
      <c r="KGT135" s="3507"/>
      <c r="KGU135" s="3507"/>
      <c r="KGV135" s="3507"/>
      <c r="KGW135" s="3507"/>
      <c r="KGX135" s="3507"/>
      <c r="KGY135" s="3507"/>
      <c r="KGZ135" s="3507"/>
      <c r="KHA135" s="3507"/>
      <c r="KHB135" s="3507"/>
      <c r="KHC135" s="3507"/>
      <c r="KHD135" s="3507"/>
      <c r="KHE135" s="3507"/>
      <c r="KHF135" s="3507"/>
      <c r="KHG135" s="3507"/>
      <c r="KHH135" s="3507"/>
      <c r="KHI135" s="3507"/>
      <c r="KHJ135" s="3507"/>
      <c r="KHK135" s="3507"/>
      <c r="KHL135" s="3507"/>
      <c r="KHM135" s="3507"/>
      <c r="KHN135" s="3507"/>
      <c r="KHO135" s="3507"/>
      <c r="KHP135" s="3507"/>
      <c r="KHQ135" s="3507"/>
      <c r="KHR135" s="3507"/>
      <c r="KHS135" s="3507"/>
      <c r="KHT135" s="3507"/>
      <c r="KHU135" s="3507"/>
      <c r="KHV135" s="3507"/>
      <c r="KHW135" s="3507"/>
      <c r="KHX135" s="3507"/>
      <c r="KHY135" s="3507"/>
      <c r="KHZ135" s="3507"/>
      <c r="KIA135" s="3507"/>
      <c r="KIB135" s="3507"/>
      <c r="KIC135" s="3507"/>
      <c r="KID135" s="3507"/>
      <c r="KIE135" s="3507"/>
      <c r="KIF135" s="3507"/>
      <c r="KIG135" s="3507"/>
      <c r="KIH135" s="3507"/>
      <c r="KII135" s="3507"/>
      <c r="KIJ135" s="3507"/>
      <c r="KIK135" s="3507"/>
      <c r="KIL135" s="3507"/>
      <c r="KIM135" s="3507"/>
      <c r="KIN135" s="3507"/>
      <c r="KIO135" s="3507"/>
      <c r="KIP135" s="3507"/>
      <c r="KIQ135" s="3507"/>
      <c r="KIR135" s="3507"/>
      <c r="KIS135" s="3507"/>
      <c r="KIT135" s="3507"/>
      <c r="KIU135" s="3507"/>
      <c r="KIV135" s="3507"/>
      <c r="KIW135" s="3507"/>
      <c r="KIX135" s="3507"/>
      <c r="KIY135" s="3507"/>
      <c r="KIZ135" s="3507"/>
      <c r="KJA135" s="3507"/>
      <c r="KJB135" s="3507"/>
      <c r="KJC135" s="3507"/>
      <c r="KJD135" s="3507"/>
      <c r="KJE135" s="3507"/>
      <c r="KJF135" s="3507"/>
      <c r="KJG135" s="3507"/>
      <c r="KJH135" s="3507"/>
      <c r="KJI135" s="3507"/>
      <c r="KJJ135" s="3507"/>
      <c r="KJK135" s="3507"/>
      <c r="KJL135" s="3507"/>
      <c r="KJM135" s="3507"/>
      <c r="KJN135" s="3507"/>
      <c r="KJO135" s="3507"/>
      <c r="KJP135" s="3507"/>
      <c r="KJQ135" s="3507"/>
      <c r="KJR135" s="3507"/>
      <c r="KJS135" s="3507"/>
      <c r="KJT135" s="3507"/>
      <c r="KJU135" s="3507"/>
      <c r="KJV135" s="3507"/>
      <c r="KJW135" s="3507"/>
      <c r="KJX135" s="3507"/>
      <c r="KJY135" s="3507"/>
      <c r="KJZ135" s="3507"/>
      <c r="KKA135" s="3507"/>
      <c r="KKB135" s="3507"/>
      <c r="KKC135" s="3507"/>
      <c r="KKD135" s="3507"/>
      <c r="KKE135" s="3507"/>
      <c r="KKF135" s="3507"/>
      <c r="KKG135" s="3507"/>
      <c r="KKH135" s="3507"/>
      <c r="KKI135" s="3507"/>
      <c r="KKJ135" s="3507"/>
      <c r="KKK135" s="3507"/>
      <c r="KKL135" s="3507"/>
      <c r="KKM135" s="3507"/>
      <c r="KKN135" s="3507"/>
      <c r="KKO135" s="3507"/>
      <c r="KKP135" s="3507"/>
      <c r="KKQ135" s="3507"/>
      <c r="KKR135" s="3507"/>
      <c r="KKS135" s="3507"/>
      <c r="KKT135" s="3507"/>
      <c r="KKU135" s="3507"/>
      <c r="KKV135" s="3507"/>
      <c r="KKW135" s="3507"/>
      <c r="KKX135" s="3507"/>
      <c r="KKY135" s="3507"/>
      <c r="KKZ135" s="3507"/>
      <c r="KLA135" s="3507"/>
      <c r="KLB135" s="3507"/>
      <c r="KLC135" s="3507"/>
      <c r="KLD135" s="3507"/>
      <c r="KLE135" s="3507"/>
      <c r="KLF135" s="3507"/>
      <c r="KLG135" s="3507"/>
      <c r="KLH135" s="3507"/>
      <c r="KLI135" s="3507"/>
      <c r="KLJ135" s="3507"/>
      <c r="KLK135" s="3507"/>
      <c r="KLL135" s="3507"/>
      <c r="KLM135" s="3507"/>
      <c r="KLN135" s="3507"/>
      <c r="KLO135" s="3507"/>
      <c r="KLP135" s="3507"/>
      <c r="KLQ135" s="3507"/>
      <c r="KLR135" s="3507"/>
      <c r="KLS135" s="3507"/>
      <c r="KLT135" s="3507"/>
      <c r="KLU135" s="3507"/>
      <c r="KLV135" s="3507"/>
      <c r="KLW135" s="3507"/>
      <c r="KLX135" s="3507"/>
      <c r="KLY135" s="3507"/>
      <c r="KLZ135" s="3507"/>
      <c r="KMA135" s="3507"/>
      <c r="KMB135" s="3507"/>
      <c r="KMC135" s="3507"/>
      <c r="KMD135" s="3507"/>
      <c r="KME135" s="3507"/>
      <c r="KMF135" s="3507"/>
      <c r="KMG135" s="3507"/>
      <c r="KMH135" s="3507"/>
      <c r="KMI135" s="3507"/>
      <c r="KMJ135" s="3507"/>
      <c r="KMK135" s="3507"/>
      <c r="KML135" s="3507"/>
      <c r="KMM135" s="3507"/>
      <c r="KMN135" s="3507"/>
      <c r="KMO135" s="3507"/>
      <c r="KMP135" s="3507"/>
      <c r="KMQ135" s="3507"/>
      <c r="KMR135" s="3507"/>
      <c r="KMS135" s="3507"/>
      <c r="KMT135" s="3507"/>
      <c r="KMU135" s="3507"/>
      <c r="KMV135" s="3507"/>
      <c r="KMW135" s="3507"/>
      <c r="KMX135" s="3507"/>
      <c r="KMY135" s="3507"/>
      <c r="KMZ135" s="3507"/>
      <c r="KNA135" s="3507"/>
      <c r="KNB135" s="3507"/>
      <c r="KNC135" s="3507"/>
      <c r="KND135" s="3507"/>
      <c r="KNE135" s="3507"/>
      <c r="KNF135" s="3507"/>
      <c r="KNG135" s="3507"/>
      <c r="KNH135" s="3507"/>
      <c r="KNI135" s="3507"/>
      <c r="KNJ135" s="3507"/>
      <c r="KNK135" s="3507"/>
      <c r="KNL135" s="3507"/>
      <c r="KNM135" s="3507"/>
      <c r="KNN135" s="3507"/>
      <c r="KNO135" s="3507"/>
      <c r="KNP135" s="3507"/>
      <c r="KNQ135" s="3507"/>
      <c r="KNR135" s="3507"/>
      <c r="KNS135" s="3507"/>
      <c r="KNT135" s="3507"/>
      <c r="KNU135" s="3507"/>
      <c r="KNV135" s="3507"/>
      <c r="KNW135" s="3507"/>
      <c r="KNX135" s="3507"/>
      <c r="KNY135" s="3507"/>
      <c r="KNZ135" s="3507"/>
      <c r="KOA135" s="3507"/>
      <c r="KOB135" s="3507"/>
      <c r="KOC135" s="3507"/>
      <c r="KOD135" s="3507"/>
      <c r="KOE135" s="3507"/>
      <c r="KOF135" s="3507"/>
      <c r="KOG135" s="3507"/>
      <c r="KOH135" s="3507"/>
      <c r="KOI135" s="3507"/>
      <c r="KOJ135" s="3507"/>
      <c r="KOK135" s="3507"/>
      <c r="KOL135" s="3507"/>
      <c r="KOM135" s="3507"/>
      <c r="KON135" s="3507"/>
      <c r="KOO135" s="3507"/>
      <c r="KOP135" s="3507"/>
      <c r="KOQ135" s="3507"/>
      <c r="KOR135" s="3507"/>
      <c r="KOS135" s="3507"/>
      <c r="KOT135" s="3507"/>
      <c r="KOU135" s="3507"/>
      <c r="KOV135" s="3507"/>
      <c r="KOW135" s="3507"/>
      <c r="KOX135" s="3507"/>
      <c r="KOY135" s="3507"/>
      <c r="KOZ135" s="3507"/>
      <c r="KPA135" s="3507"/>
      <c r="KPB135" s="3507"/>
      <c r="KPC135" s="3507"/>
      <c r="KPD135" s="3507"/>
      <c r="KPE135" s="3507"/>
      <c r="KPF135" s="3507"/>
      <c r="KPG135" s="3507"/>
      <c r="KPH135" s="3507"/>
      <c r="KPI135" s="3507"/>
      <c r="KPJ135" s="3507"/>
      <c r="KPK135" s="3507"/>
      <c r="KPL135" s="3507"/>
      <c r="KPM135" s="3507"/>
      <c r="KPN135" s="3507"/>
      <c r="KPO135" s="3507"/>
      <c r="KPP135" s="3507"/>
      <c r="KPQ135" s="3507"/>
      <c r="KPR135" s="3507"/>
      <c r="KPS135" s="3507"/>
      <c r="KPT135" s="3507"/>
      <c r="KPU135" s="3507"/>
      <c r="KPV135" s="3507"/>
      <c r="KPW135" s="3507"/>
      <c r="KPX135" s="3507"/>
      <c r="KPY135" s="3507"/>
      <c r="KPZ135" s="3507"/>
      <c r="KQA135" s="3507"/>
      <c r="KQB135" s="3507"/>
      <c r="KQC135" s="3507"/>
      <c r="KQD135" s="3507"/>
      <c r="KQE135" s="3507"/>
      <c r="KQF135" s="3507"/>
      <c r="KQG135" s="3507"/>
      <c r="KQH135" s="3507"/>
      <c r="KQI135" s="3507"/>
      <c r="KQJ135" s="3507"/>
      <c r="KQK135" s="3507"/>
      <c r="KQL135" s="3507"/>
      <c r="KQM135" s="3507"/>
      <c r="KQN135" s="3507"/>
      <c r="KQO135" s="3507"/>
      <c r="KQP135" s="3507"/>
      <c r="KQQ135" s="3507"/>
      <c r="KQR135" s="3507"/>
      <c r="KQS135" s="3507"/>
      <c r="KQT135" s="3507"/>
      <c r="KQU135" s="3507"/>
      <c r="KQV135" s="3507"/>
      <c r="KQW135" s="3507"/>
      <c r="KQX135" s="3507"/>
      <c r="KQY135" s="3507"/>
      <c r="KQZ135" s="3507"/>
      <c r="KRA135" s="3507"/>
      <c r="KRB135" s="3507"/>
      <c r="KRC135" s="3507"/>
      <c r="KRD135" s="3507"/>
      <c r="KRE135" s="3507"/>
      <c r="KRF135" s="3507"/>
      <c r="KRG135" s="3507"/>
      <c r="KRH135" s="3507"/>
      <c r="KRI135" s="3507"/>
      <c r="KRJ135" s="3507"/>
      <c r="KRK135" s="3507"/>
      <c r="KRL135" s="3507"/>
      <c r="KRM135" s="3507"/>
      <c r="KRN135" s="3507"/>
      <c r="KRO135" s="3507"/>
      <c r="KRP135" s="3507"/>
      <c r="KRQ135" s="3507"/>
      <c r="KRR135" s="3507"/>
      <c r="KRS135" s="3507"/>
      <c r="KRT135" s="3507"/>
      <c r="KRU135" s="3507"/>
      <c r="KRV135" s="3507"/>
      <c r="KRW135" s="3507"/>
      <c r="KRX135" s="3507"/>
      <c r="KRY135" s="3507"/>
      <c r="KRZ135" s="3507"/>
      <c r="KSA135" s="3507"/>
      <c r="KSB135" s="3507"/>
      <c r="KSC135" s="3507"/>
      <c r="KSD135" s="3507"/>
      <c r="KSE135" s="3507"/>
      <c r="KSF135" s="3507"/>
      <c r="KSG135" s="3507"/>
      <c r="KSH135" s="3507"/>
      <c r="KSI135" s="3507"/>
      <c r="KSJ135" s="3507"/>
      <c r="KSK135" s="3507"/>
      <c r="KSL135" s="3507"/>
      <c r="KSM135" s="3507"/>
      <c r="KSN135" s="3507"/>
      <c r="KSO135" s="3507"/>
      <c r="KSP135" s="3507"/>
      <c r="KSQ135" s="3507"/>
      <c r="KSR135" s="3507"/>
      <c r="KSS135" s="3507"/>
      <c r="KST135" s="3507"/>
      <c r="KSU135" s="3507"/>
      <c r="KSV135" s="3507"/>
      <c r="KSW135" s="3507"/>
      <c r="KSX135" s="3507"/>
      <c r="KSY135" s="3507"/>
      <c r="KSZ135" s="3507"/>
      <c r="KTA135" s="3507"/>
      <c r="KTB135" s="3507"/>
      <c r="KTC135" s="3507"/>
      <c r="KTD135" s="3507"/>
      <c r="KTE135" s="3507"/>
      <c r="KTF135" s="3507"/>
      <c r="KTG135" s="3507"/>
      <c r="KTH135" s="3507"/>
      <c r="KTI135" s="3507"/>
      <c r="KTJ135" s="3507"/>
      <c r="KTK135" s="3507"/>
      <c r="KTL135" s="3507"/>
      <c r="KTM135" s="3507"/>
      <c r="KTN135" s="3507"/>
      <c r="KTO135" s="3507"/>
      <c r="KTP135" s="3507"/>
      <c r="KTQ135" s="3507"/>
      <c r="KTR135" s="3507"/>
      <c r="KTS135" s="3507"/>
      <c r="KTT135" s="3507"/>
      <c r="KTU135" s="3507"/>
      <c r="KTV135" s="3507"/>
      <c r="KTW135" s="3507"/>
      <c r="KTX135" s="3507"/>
      <c r="KTY135" s="3507"/>
      <c r="KTZ135" s="3507"/>
      <c r="KUA135" s="3507"/>
      <c r="KUB135" s="3507"/>
      <c r="KUC135" s="3507"/>
      <c r="KUD135" s="3507"/>
      <c r="KUE135" s="3507"/>
      <c r="KUF135" s="3507"/>
      <c r="KUG135" s="3507"/>
      <c r="KUH135" s="3507"/>
      <c r="KUI135" s="3507"/>
      <c r="KUJ135" s="3507"/>
      <c r="KUK135" s="3507"/>
      <c r="KUL135" s="3507"/>
      <c r="KUM135" s="3507"/>
      <c r="KUN135" s="3507"/>
      <c r="KUO135" s="3507"/>
      <c r="KUP135" s="3507"/>
      <c r="KUQ135" s="3507"/>
      <c r="KUR135" s="3507"/>
      <c r="KUS135" s="3507"/>
      <c r="KUT135" s="3507"/>
      <c r="KUU135" s="3507"/>
      <c r="KUV135" s="3507"/>
      <c r="KUW135" s="3507"/>
      <c r="KUX135" s="3507"/>
      <c r="KUY135" s="3507"/>
      <c r="KUZ135" s="3507"/>
      <c r="KVA135" s="3507"/>
      <c r="KVB135" s="3507"/>
      <c r="KVC135" s="3507"/>
      <c r="KVD135" s="3507"/>
      <c r="KVE135" s="3507"/>
      <c r="KVF135" s="3507"/>
      <c r="KVG135" s="3507"/>
      <c r="KVH135" s="3507"/>
      <c r="KVI135" s="3507"/>
      <c r="KVJ135" s="3507"/>
      <c r="KVK135" s="3507"/>
      <c r="KVL135" s="3507"/>
      <c r="KVM135" s="3507"/>
      <c r="KVN135" s="3507"/>
      <c r="KVO135" s="3507"/>
      <c r="KVP135" s="3507"/>
      <c r="KVQ135" s="3507"/>
      <c r="KVR135" s="3507"/>
      <c r="KVS135" s="3507"/>
      <c r="KVT135" s="3507"/>
      <c r="KVU135" s="3507"/>
      <c r="KVV135" s="3507"/>
      <c r="KVW135" s="3507"/>
      <c r="KVX135" s="3507"/>
      <c r="KVY135" s="3507"/>
      <c r="KVZ135" s="3507"/>
      <c r="KWA135" s="3507"/>
      <c r="KWB135" s="3507"/>
      <c r="KWC135" s="3507"/>
      <c r="KWD135" s="3507"/>
      <c r="KWE135" s="3507"/>
      <c r="KWF135" s="3507"/>
      <c r="KWG135" s="3507"/>
      <c r="KWH135" s="3507"/>
      <c r="KWI135" s="3507"/>
      <c r="KWJ135" s="3507"/>
      <c r="KWK135" s="3507"/>
      <c r="KWL135" s="3507"/>
      <c r="KWM135" s="3507"/>
      <c r="KWN135" s="3507"/>
      <c r="KWO135" s="3507"/>
      <c r="KWP135" s="3507"/>
      <c r="KWQ135" s="3507"/>
      <c r="KWR135" s="3507"/>
      <c r="KWS135" s="3507"/>
      <c r="KWT135" s="3507"/>
      <c r="KWU135" s="3507"/>
      <c r="KWV135" s="3507"/>
      <c r="KWW135" s="3507"/>
      <c r="KWX135" s="3507"/>
      <c r="KWY135" s="3507"/>
      <c r="KWZ135" s="3507"/>
      <c r="KXA135" s="3507"/>
      <c r="KXB135" s="3507"/>
      <c r="KXC135" s="3507"/>
      <c r="KXD135" s="3507"/>
      <c r="KXE135" s="3507"/>
      <c r="KXF135" s="3507"/>
      <c r="KXG135" s="3507"/>
      <c r="KXH135" s="3507"/>
      <c r="KXI135" s="3507"/>
      <c r="KXJ135" s="3507"/>
      <c r="KXK135" s="3507"/>
      <c r="KXL135" s="3507"/>
      <c r="KXM135" s="3507"/>
      <c r="KXN135" s="3507"/>
      <c r="KXO135" s="3507"/>
      <c r="KXP135" s="3507"/>
      <c r="KXQ135" s="3507"/>
      <c r="KXR135" s="3507"/>
      <c r="KXS135" s="3507"/>
      <c r="KXT135" s="3507"/>
      <c r="KXU135" s="3507"/>
      <c r="KXV135" s="3507"/>
      <c r="KXW135" s="3507"/>
      <c r="KXX135" s="3507"/>
      <c r="KXY135" s="3507"/>
      <c r="KXZ135" s="3507"/>
      <c r="KYA135" s="3507"/>
      <c r="KYB135" s="3507"/>
      <c r="KYC135" s="3507"/>
      <c r="KYD135" s="3507"/>
      <c r="KYE135" s="3507"/>
      <c r="KYF135" s="3507"/>
      <c r="KYG135" s="3507"/>
      <c r="KYH135" s="3507"/>
      <c r="KYI135" s="3507"/>
      <c r="KYJ135" s="3507"/>
      <c r="KYK135" s="3507"/>
      <c r="KYL135" s="3507"/>
      <c r="KYM135" s="3507"/>
      <c r="KYN135" s="3507"/>
      <c r="KYO135" s="3507"/>
      <c r="KYP135" s="3507"/>
      <c r="KYQ135" s="3507"/>
      <c r="KYR135" s="3507"/>
      <c r="KYS135" s="3507"/>
      <c r="KYT135" s="3507"/>
      <c r="KYU135" s="3507"/>
      <c r="KYV135" s="3507"/>
      <c r="KYW135" s="3507"/>
      <c r="KYX135" s="3507"/>
      <c r="KYY135" s="3507"/>
      <c r="KYZ135" s="3507"/>
      <c r="KZA135" s="3507"/>
      <c r="KZB135" s="3507"/>
      <c r="KZC135" s="3507"/>
      <c r="KZD135" s="3507"/>
      <c r="KZE135" s="3507"/>
      <c r="KZF135" s="3507"/>
      <c r="KZG135" s="3507"/>
      <c r="KZH135" s="3507"/>
      <c r="KZI135" s="3507"/>
      <c r="KZJ135" s="3507"/>
      <c r="KZK135" s="3507"/>
      <c r="KZL135" s="3507"/>
      <c r="KZM135" s="3507"/>
      <c r="KZN135" s="3507"/>
      <c r="KZO135" s="3507"/>
      <c r="KZP135" s="3507"/>
      <c r="KZQ135" s="3507"/>
      <c r="KZR135" s="3507"/>
      <c r="KZS135" s="3507"/>
      <c r="KZT135" s="3507"/>
      <c r="KZU135" s="3507"/>
      <c r="KZV135" s="3507"/>
      <c r="KZW135" s="3507"/>
      <c r="KZX135" s="3507"/>
      <c r="KZY135" s="3507"/>
      <c r="KZZ135" s="3507"/>
      <c r="LAA135" s="3507"/>
      <c r="LAB135" s="3507"/>
      <c r="LAC135" s="3507"/>
      <c r="LAD135" s="3507"/>
      <c r="LAE135" s="3507"/>
      <c r="LAF135" s="3507"/>
      <c r="LAG135" s="3507"/>
      <c r="LAH135" s="3507"/>
      <c r="LAI135" s="3507"/>
      <c r="LAJ135" s="3507"/>
      <c r="LAK135" s="3507"/>
      <c r="LAL135" s="3507"/>
      <c r="LAM135" s="3507"/>
      <c r="LAN135" s="3507"/>
      <c r="LAO135" s="3507"/>
      <c r="LAP135" s="3507"/>
      <c r="LAQ135" s="3507"/>
      <c r="LAR135" s="3507"/>
      <c r="LAS135" s="3507"/>
      <c r="LAT135" s="3507"/>
      <c r="LAU135" s="3507"/>
      <c r="LAV135" s="3507"/>
      <c r="LAW135" s="3507"/>
      <c r="LAX135" s="3507"/>
      <c r="LAY135" s="3507"/>
      <c r="LAZ135" s="3507"/>
      <c r="LBA135" s="3507"/>
      <c r="LBB135" s="3507"/>
      <c r="LBC135" s="3507"/>
      <c r="LBD135" s="3507"/>
      <c r="LBE135" s="3507"/>
      <c r="LBF135" s="3507"/>
      <c r="LBG135" s="3507"/>
      <c r="LBH135" s="3507"/>
      <c r="LBI135" s="3507"/>
      <c r="LBJ135" s="3507"/>
      <c r="LBK135" s="3507"/>
      <c r="LBL135" s="3507"/>
      <c r="LBM135" s="3507"/>
      <c r="LBN135" s="3507"/>
      <c r="LBO135" s="3507"/>
      <c r="LBP135" s="3507"/>
      <c r="LBQ135" s="3507"/>
      <c r="LBR135" s="3507"/>
      <c r="LBS135" s="3507"/>
      <c r="LBT135" s="3507"/>
      <c r="LBU135" s="3507"/>
      <c r="LBV135" s="3507"/>
      <c r="LBW135" s="3507"/>
      <c r="LBX135" s="3507"/>
      <c r="LBY135" s="3507"/>
      <c r="LBZ135" s="3507"/>
      <c r="LCA135" s="3507"/>
      <c r="LCB135" s="3507"/>
      <c r="LCC135" s="3507"/>
      <c r="LCD135" s="3507"/>
      <c r="LCE135" s="3507"/>
      <c r="LCF135" s="3507"/>
      <c r="LCG135" s="3507"/>
      <c r="LCH135" s="3507"/>
      <c r="LCI135" s="3507"/>
      <c r="LCJ135" s="3507"/>
      <c r="LCK135" s="3507"/>
      <c r="LCL135" s="3507"/>
      <c r="LCM135" s="3507"/>
      <c r="LCN135" s="3507"/>
      <c r="LCO135" s="3507"/>
      <c r="LCP135" s="3507"/>
      <c r="LCQ135" s="3507"/>
      <c r="LCR135" s="3507"/>
      <c r="LCS135" s="3507"/>
      <c r="LCT135" s="3507"/>
      <c r="LCU135" s="3507"/>
      <c r="LCV135" s="3507"/>
      <c r="LCW135" s="3507"/>
      <c r="LCX135" s="3507"/>
      <c r="LCY135" s="3507"/>
      <c r="LCZ135" s="3507"/>
      <c r="LDA135" s="3507"/>
      <c r="LDB135" s="3507"/>
      <c r="LDC135" s="3507"/>
      <c r="LDD135" s="3507"/>
      <c r="LDE135" s="3507"/>
      <c r="LDF135" s="3507"/>
      <c r="LDG135" s="3507"/>
      <c r="LDH135" s="3507"/>
      <c r="LDI135" s="3507"/>
      <c r="LDJ135" s="3507"/>
      <c r="LDK135" s="3507"/>
      <c r="LDL135" s="3507"/>
      <c r="LDM135" s="3507"/>
      <c r="LDN135" s="3507"/>
      <c r="LDO135" s="3507"/>
      <c r="LDP135" s="3507"/>
      <c r="LDQ135" s="3507"/>
      <c r="LDR135" s="3507"/>
      <c r="LDS135" s="3507"/>
      <c r="LDT135" s="3507"/>
      <c r="LDU135" s="3507"/>
      <c r="LDV135" s="3507"/>
      <c r="LDW135" s="3507"/>
      <c r="LDX135" s="3507"/>
      <c r="LDY135" s="3507"/>
      <c r="LDZ135" s="3507"/>
      <c r="LEA135" s="3507"/>
      <c r="LEB135" s="3507"/>
      <c r="LEC135" s="3507"/>
      <c r="LED135" s="3507"/>
      <c r="LEE135" s="3507"/>
      <c r="LEF135" s="3507"/>
      <c r="LEG135" s="3507"/>
      <c r="LEH135" s="3507"/>
      <c r="LEI135" s="3507"/>
      <c r="LEJ135" s="3507"/>
      <c r="LEK135" s="3507"/>
      <c r="LEL135" s="3507"/>
      <c r="LEM135" s="3507"/>
      <c r="LEN135" s="3507"/>
      <c r="LEO135" s="3507"/>
      <c r="LEP135" s="3507"/>
      <c r="LEQ135" s="3507"/>
      <c r="LER135" s="3507"/>
      <c r="LES135" s="3507"/>
      <c r="LET135" s="3507"/>
      <c r="LEU135" s="3507"/>
      <c r="LEV135" s="3507"/>
      <c r="LEW135" s="3507"/>
      <c r="LEX135" s="3507"/>
      <c r="LEY135" s="3507"/>
      <c r="LEZ135" s="3507"/>
      <c r="LFA135" s="3507"/>
      <c r="LFB135" s="3507"/>
      <c r="LFC135" s="3507"/>
      <c r="LFD135" s="3507"/>
      <c r="LFE135" s="3507"/>
      <c r="LFF135" s="3507"/>
      <c r="LFG135" s="3507"/>
      <c r="LFH135" s="3507"/>
      <c r="LFI135" s="3507"/>
      <c r="LFJ135" s="3507"/>
      <c r="LFK135" s="3507"/>
      <c r="LFL135" s="3507"/>
      <c r="LFM135" s="3507"/>
      <c r="LFN135" s="3507"/>
      <c r="LFO135" s="3507"/>
      <c r="LFP135" s="3507"/>
      <c r="LFQ135" s="3507"/>
      <c r="LFR135" s="3507"/>
      <c r="LFS135" s="3507"/>
      <c r="LFT135" s="3507"/>
      <c r="LFU135" s="3507"/>
      <c r="LFV135" s="3507"/>
      <c r="LFW135" s="3507"/>
      <c r="LFX135" s="3507"/>
      <c r="LFY135" s="3507"/>
      <c r="LFZ135" s="3507"/>
      <c r="LGA135" s="3507"/>
      <c r="LGB135" s="3507"/>
      <c r="LGC135" s="3507"/>
      <c r="LGD135" s="3507"/>
      <c r="LGE135" s="3507"/>
      <c r="LGF135" s="3507"/>
      <c r="LGG135" s="3507"/>
      <c r="LGH135" s="3507"/>
      <c r="LGI135" s="3507"/>
      <c r="LGJ135" s="3507"/>
      <c r="LGK135" s="3507"/>
      <c r="LGL135" s="3507"/>
      <c r="LGM135" s="3507"/>
      <c r="LGN135" s="3507"/>
      <c r="LGO135" s="3507"/>
      <c r="LGP135" s="3507"/>
      <c r="LGQ135" s="3507"/>
      <c r="LGR135" s="3507"/>
      <c r="LGS135" s="3507"/>
      <c r="LGT135" s="3507"/>
      <c r="LGU135" s="3507"/>
      <c r="LGV135" s="3507"/>
      <c r="LGW135" s="3507"/>
      <c r="LGX135" s="3507"/>
      <c r="LGY135" s="3507"/>
      <c r="LGZ135" s="3507"/>
      <c r="LHA135" s="3507"/>
      <c r="LHB135" s="3507"/>
      <c r="LHC135" s="3507"/>
      <c r="LHD135" s="3507"/>
      <c r="LHE135" s="3507"/>
      <c r="LHF135" s="3507"/>
      <c r="LHG135" s="3507"/>
      <c r="LHH135" s="3507"/>
      <c r="LHI135" s="3507"/>
      <c r="LHJ135" s="3507"/>
      <c r="LHK135" s="3507"/>
      <c r="LHL135" s="3507"/>
      <c r="LHM135" s="3507"/>
      <c r="LHN135" s="3507"/>
      <c r="LHO135" s="3507"/>
      <c r="LHP135" s="3507"/>
      <c r="LHQ135" s="3507"/>
      <c r="LHR135" s="3507"/>
      <c r="LHS135" s="3507"/>
      <c r="LHT135" s="3507"/>
      <c r="LHU135" s="3507"/>
      <c r="LHV135" s="3507"/>
      <c r="LHW135" s="3507"/>
      <c r="LHX135" s="3507"/>
      <c r="LHY135" s="3507"/>
      <c r="LHZ135" s="3507"/>
      <c r="LIA135" s="3507"/>
      <c r="LIB135" s="3507"/>
      <c r="LIC135" s="3507"/>
      <c r="LID135" s="3507"/>
      <c r="LIE135" s="3507"/>
      <c r="LIF135" s="3507"/>
      <c r="LIG135" s="3507"/>
      <c r="LIH135" s="3507"/>
      <c r="LII135" s="3507"/>
      <c r="LIJ135" s="3507"/>
      <c r="LIK135" s="3507"/>
      <c r="LIL135" s="3507"/>
      <c r="LIM135" s="3507"/>
      <c r="LIN135" s="3507"/>
      <c r="LIO135" s="3507"/>
      <c r="LIP135" s="3507"/>
      <c r="LIQ135" s="3507"/>
      <c r="LIR135" s="3507"/>
      <c r="LIS135" s="3507"/>
      <c r="LIT135" s="3507"/>
      <c r="LIU135" s="3507"/>
      <c r="LIV135" s="3507"/>
      <c r="LIW135" s="3507"/>
      <c r="LIX135" s="3507"/>
      <c r="LIY135" s="3507"/>
      <c r="LIZ135" s="3507"/>
      <c r="LJA135" s="3507"/>
      <c r="LJB135" s="3507"/>
      <c r="LJC135" s="3507"/>
      <c r="LJD135" s="3507"/>
      <c r="LJE135" s="3507"/>
      <c r="LJF135" s="3507"/>
      <c r="LJG135" s="3507"/>
      <c r="LJH135" s="3507"/>
      <c r="LJI135" s="3507"/>
      <c r="LJJ135" s="3507"/>
      <c r="LJK135" s="3507"/>
      <c r="LJL135" s="3507"/>
      <c r="LJM135" s="3507"/>
      <c r="LJN135" s="3507"/>
      <c r="LJO135" s="3507"/>
      <c r="LJP135" s="3507"/>
      <c r="LJQ135" s="3507"/>
      <c r="LJR135" s="3507"/>
      <c r="LJS135" s="3507"/>
      <c r="LJT135" s="3507"/>
      <c r="LJU135" s="3507"/>
      <c r="LJV135" s="3507"/>
      <c r="LJW135" s="3507"/>
      <c r="LJX135" s="3507"/>
      <c r="LJY135" s="3507"/>
      <c r="LJZ135" s="3507"/>
      <c r="LKA135" s="3507"/>
      <c r="LKB135" s="3507"/>
      <c r="LKC135" s="3507"/>
      <c r="LKD135" s="3507"/>
      <c r="LKE135" s="3507"/>
      <c r="LKF135" s="3507"/>
      <c r="LKG135" s="3507"/>
      <c r="LKH135" s="3507"/>
      <c r="LKI135" s="3507"/>
      <c r="LKJ135" s="3507"/>
      <c r="LKK135" s="3507"/>
      <c r="LKL135" s="3507"/>
      <c r="LKM135" s="3507"/>
      <c r="LKN135" s="3507"/>
      <c r="LKO135" s="3507"/>
      <c r="LKP135" s="3507"/>
      <c r="LKQ135" s="3507"/>
      <c r="LKR135" s="3507"/>
      <c r="LKS135" s="3507"/>
      <c r="LKT135" s="3507"/>
      <c r="LKU135" s="3507"/>
      <c r="LKV135" s="3507"/>
      <c r="LKW135" s="3507"/>
      <c r="LKX135" s="3507"/>
      <c r="LKY135" s="3507"/>
      <c r="LKZ135" s="3507"/>
      <c r="LLA135" s="3507"/>
      <c r="LLB135" s="3507"/>
      <c r="LLC135" s="3507"/>
      <c r="LLD135" s="3507"/>
      <c r="LLE135" s="3507"/>
      <c r="LLF135" s="3507"/>
      <c r="LLG135" s="3507"/>
      <c r="LLH135" s="3507"/>
      <c r="LLI135" s="3507"/>
      <c r="LLJ135" s="3507"/>
      <c r="LLK135" s="3507"/>
      <c r="LLL135" s="3507"/>
      <c r="LLM135" s="3507"/>
      <c r="LLN135" s="3507"/>
      <c r="LLO135" s="3507"/>
      <c r="LLP135" s="3507"/>
      <c r="LLQ135" s="3507"/>
      <c r="LLR135" s="3507"/>
      <c r="LLS135" s="3507"/>
      <c r="LLT135" s="3507"/>
      <c r="LLU135" s="3507"/>
      <c r="LLV135" s="3507"/>
      <c r="LLW135" s="3507"/>
      <c r="LLX135" s="3507"/>
      <c r="LLY135" s="3507"/>
      <c r="LLZ135" s="3507"/>
      <c r="LMA135" s="3507"/>
      <c r="LMB135" s="3507"/>
      <c r="LMC135" s="3507"/>
      <c r="LMD135" s="3507"/>
      <c r="LME135" s="3507"/>
      <c r="LMF135" s="3507"/>
      <c r="LMG135" s="3507"/>
      <c r="LMH135" s="3507"/>
      <c r="LMI135" s="3507"/>
      <c r="LMJ135" s="3507"/>
      <c r="LMK135" s="3507"/>
      <c r="LML135" s="3507"/>
      <c r="LMM135" s="3507"/>
      <c r="LMN135" s="3507"/>
      <c r="LMO135" s="3507"/>
      <c r="LMP135" s="3507"/>
      <c r="LMQ135" s="3507"/>
      <c r="LMR135" s="3507"/>
      <c r="LMS135" s="3507"/>
      <c r="LMT135" s="3507"/>
      <c r="LMU135" s="3507"/>
      <c r="LMV135" s="3507"/>
      <c r="LMW135" s="3507"/>
      <c r="LMX135" s="3507"/>
      <c r="LMY135" s="3507"/>
      <c r="LMZ135" s="3507"/>
      <c r="LNA135" s="3507"/>
      <c r="LNB135" s="3507"/>
      <c r="LNC135" s="3507"/>
      <c r="LND135" s="3507"/>
      <c r="LNE135" s="3507"/>
      <c r="LNF135" s="3507"/>
      <c r="LNG135" s="3507"/>
      <c r="LNH135" s="3507"/>
      <c r="LNI135" s="3507"/>
      <c r="LNJ135" s="3507"/>
      <c r="LNK135" s="3507"/>
      <c r="LNL135" s="3507"/>
      <c r="LNM135" s="3507"/>
      <c r="LNN135" s="3507"/>
      <c r="LNO135" s="3507"/>
      <c r="LNP135" s="3507"/>
      <c r="LNQ135" s="3507"/>
      <c r="LNR135" s="3507"/>
      <c r="LNS135" s="3507"/>
      <c r="LNT135" s="3507"/>
      <c r="LNU135" s="3507"/>
      <c r="LNV135" s="3507"/>
      <c r="LNW135" s="3507"/>
      <c r="LNX135" s="3507"/>
      <c r="LNY135" s="3507"/>
      <c r="LNZ135" s="3507"/>
      <c r="LOA135" s="3507"/>
      <c r="LOB135" s="3507"/>
      <c r="LOC135" s="3507"/>
      <c r="LOD135" s="3507"/>
      <c r="LOE135" s="3507"/>
      <c r="LOF135" s="3507"/>
      <c r="LOG135" s="3507"/>
      <c r="LOH135" s="3507"/>
      <c r="LOI135" s="3507"/>
      <c r="LOJ135" s="3507"/>
      <c r="LOK135" s="3507"/>
      <c r="LOL135" s="3507"/>
      <c r="LOM135" s="3507"/>
      <c r="LON135" s="3507"/>
      <c r="LOO135" s="3507"/>
      <c r="LOP135" s="3507"/>
      <c r="LOQ135" s="3507"/>
      <c r="LOR135" s="3507"/>
      <c r="LOS135" s="3507"/>
      <c r="LOT135" s="3507"/>
      <c r="LOU135" s="3507"/>
      <c r="LOV135" s="3507"/>
      <c r="LOW135" s="3507"/>
      <c r="LOX135" s="3507"/>
      <c r="LOY135" s="3507"/>
      <c r="LOZ135" s="3507"/>
      <c r="LPA135" s="3507"/>
      <c r="LPB135" s="3507"/>
      <c r="LPC135" s="3507"/>
      <c r="LPD135" s="3507"/>
      <c r="LPE135" s="3507"/>
      <c r="LPF135" s="3507"/>
      <c r="LPG135" s="3507"/>
      <c r="LPH135" s="3507"/>
      <c r="LPI135" s="3507"/>
      <c r="LPJ135" s="3507"/>
      <c r="LPK135" s="3507"/>
      <c r="LPL135" s="3507"/>
      <c r="LPM135" s="3507"/>
      <c r="LPN135" s="3507"/>
      <c r="LPO135" s="3507"/>
      <c r="LPP135" s="3507"/>
      <c r="LPQ135" s="3507"/>
      <c r="LPR135" s="3507"/>
      <c r="LPS135" s="3507"/>
      <c r="LPT135" s="3507"/>
      <c r="LPU135" s="3507"/>
      <c r="LPV135" s="3507"/>
      <c r="LPW135" s="3507"/>
      <c r="LPX135" s="3507"/>
      <c r="LPY135" s="3507"/>
      <c r="LPZ135" s="3507"/>
      <c r="LQA135" s="3507"/>
      <c r="LQB135" s="3507"/>
      <c r="LQC135" s="3507"/>
      <c r="LQD135" s="3507"/>
      <c r="LQE135" s="3507"/>
      <c r="LQF135" s="3507"/>
      <c r="LQG135" s="3507"/>
      <c r="LQH135" s="3507"/>
      <c r="LQI135" s="3507"/>
      <c r="LQJ135" s="3507"/>
      <c r="LQK135" s="3507"/>
      <c r="LQL135" s="3507"/>
      <c r="LQM135" s="3507"/>
      <c r="LQN135" s="3507"/>
      <c r="LQO135" s="3507"/>
      <c r="LQP135" s="3507"/>
      <c r="LQQ135" s="3507"/>
      <c r="LQR135" s="3507"/>
      <c r="LQS135" s="3507"/>
      <c r="LQT135" s="3507"/>
      <c r="LQU135" s="3507"/>
      <c r="LQV135" s="3507"/>
      <c r="LQW135" s="3507"/>
      <c r="LQX135" s="3507"/>
      <c r="LQY135" s="3507"/>
      <c r="LQZ135" s="3507"/>
      <c r="LRA135" s="3507"/>
      <c r="LRB135" s="3507"/>
      <c r="LRC135" s="3507"/>
      <c r="LRD135" s="3507"/>
      <c r="LRE135" s="3507"/>
      <c r="LRF135" s="3507"/>
      <c r="LRG135" s="3507"/>
      <c r="LRH135" s="3507"/>
      <c r="LRI135" s="3507"/>
      <c r="LRJ135" s="3507"/>
      <c r="LRK135" s="3507"/>
      <c r="LRL135" s="3507"/>
      <c r="LRM135" s="3507"/>
      <c r="LRN135" s="3507"/>
      <c r="LRO135" s="3507"/>
      <c r="LRP135" s="3507"/>
      <c r="LRQ135" s="3507"/>
      <c r="LRR135" s="3507"/>
      <c r="LRS135" s="3507"/>
      <c r="LRT135" s="3507"/>
      <c r="LRU135" s="3507"/>
      <c r="LRV135" s="3507"/>
      <c r="LRW135" s="3507"/>
      <c r="LRX135" s="3507"/>
      <c r="LRY135" s="3507"/>
      <c r="LRZ135" s="3507"/>
      <c r="LSA135" s="3507"/>
      <c r="LSB135" s="3507"/>
      <c r="LSC135" s="3507"/>
      <c r="LSD135" s="3507"/>
      <c r="LSE135" s="3507"/>
      <c r="LSF135" s="3507"/>
      <c r="LSG135" s="3507"/>
      <c r="LSH135" s="3507"/>
      <c r="LSI135" s="3507"/>
      <c r="LSJ135" s="3507"/>
      <c r="LSK135" s="3507"/>
      <c r="LSL135" s="3507"/>
      <c r="LSM135" s="3507"/>
      <c r="LSN135" s="3507"/>
      <c r="LSO135" s="3507"/>
      <c r="LSP135" s="3507"/>
      <c r="LSQ135" s="3507"/>
      <c r="LSR135" s="3507"/>
      <c r="LSS135" s="3507"/>
      <c r="LST135" s="3507"/>
      <c r="LSU135" s="3507"/>
      <c r="LSV135" s="3507"/>
      <c r="LSW135" s="3507"/>
      <c r="LSX135" s="3507"/>
      <c r="LSY135" s="3507"/>
      <c r="LSZ135" s="3507"/>
      <c r="LTA135" s="3507"/>
      <c r="LTB135" s="3507"/>
      <c r="LTC135" s="3507"/>
      <c r="LTD135" s="3507"/>
      <c r="LTE135" s="3507"/>
      <c r="LTF135" s="3507"/>
      <c r="LTG135" s="3507"/>
      <c r="LTH135" s="3507"/>
      <c r="LTI135" s="3507"/>
      <c r="LTJ135" s="3507"/>
      <c r="LTK135" s="3507"/>
      <c r="LTL135" s="3507"/>
      <c r="LTM135" s="3507"/>
      <c r="LTN135" s="3507"/>
      <c r="LTO135" s="3507"/>
      <c r="LTP135" s="3507"/>
      <c r="LTQ135" s="3507"/>
      <c r="LTR135" s="3507"/>
      <c r="LTS135" s="3507"/>
      <c r="LTT135" s="3507"/>
      <c r="LTU135" s="3507"/>
      <c r="LTV135" s="3507"/>
      <c r="LTW135" s="3507"/>
      <c r="LTX135" s="3507"/>
      <c r="LTY135" s="3507"/>
      <c r="LTZ135" s="3507"/>
      <c r="LUA135" s="3507"/>
      <c r="LUB135" s="3507"/>
      <c r="LUC135" s="3507"/>
      <c r="LUD135" s="3507"/>
      <c r="LUE135" s="3507"/>
      <c r="LUF135" s="3507"/>
      <c r="LUG135" s="3507"/>
      <c r="LUH135" s="3507"/>
      <c r="LUI135" s="3507"/>
      <c r="LUJ135" s="3507"/>
      <c r="LUK135" s="3507"/>
      <c r="LUL135" s="3507"/>
      <c r="LUM135" s="3507"/>
      <c r="LUN135" s="3507"/>
      <c r="LUO135" s="3507"/>
      <c r="LUP135" s="3507"/>
      <c r="LUQ135" s="3507"/>
      <c r="LUR135" s="3507"/>
      <c r="LUS135" s="3507"/>
      <c r="LUT135" s="3507"/>
      <c r="LUU135" s="3507"/>
      <c r="LUV135" s="3507"/>
      <c r="LUW135" s="3507"/>
      <c r="LUX135" s="3507"/>
      <c r="LUY135" s="3507"/>
      <c r="LUZ135" s="3507"/>
      <c r="LVA135" s="3507"/>
      <c r="LVB135" s="3507"/>
      <c r="LVC135" s="3507"/>
      <c r="LVD135" s="3507"/>
      <c r="LVE135" s="3507"/>
      <c r="LVF135" s="3507"/>
      <c r="LVG135" s="3507"/>
      <c r="LVH135" s="3507"/>
      <c r="LVI135" s="3507"/>
      <c r="LVJ135" s="3507"/>
      <c r="LVK135" s="3507"/>
      <c r="LVL135" s="3507"/>
      <c r="LVM135" s="3507"/>
      <c r="LVN135" s="3507"/>
      <c r="LVO135" s="3507"/>
      <c r="LVP135" s="3507"/>
      <c r="LVQ135" s="3507"/>
      <c r="LVR135" s="3507"/>
      <c r="LVS135" s="3507"/>
      <c r="LVT135" s="3507"/>
      <c r="LVU135" s="3507"/>
      <c r="LVV135" s="3507"/>
      <c r="LVW135" s="3507"/>
      <c r="LVX135" s="3507"/>
      <c r="LVY135" s="3507"/>
      <c r="LVZ135" s="3507"/>
      <c r="LWA135" s="3507"/>
      <c r="LWB135" s="3507"/>
      <c r="LWC135" s="3507"/>
      <c r="LWD135" s="3507"/>
      <c r="LWE135" s="3507"/>
      <c r="LWF135" s="3507"/>
      <c r="LWG135" s="3507"/>
      <c r="LWH135" s="3507"/>
      <c r="LWI135" s="3507"/>
      <c r="LWJ135" s="3507"/>
      <c r="LWK135" s="3507"/>
      <c r="LWL135" s="3507"/>
      <c r="LWM135" s="3507"/>
      <c r="LWN135" s="3507"/>
      <c r="LWO135" s="3507"/>
      <c r="LWP135" s="3507"/>
      <c r="LWQ135" s="3507"/>
      <c r="LWR135" s="3507"/>
      <c r="LWS135" s="3507"/>
      <c r="LWT135" s="3507"/>
      <c r="LWU135" s="3507"/>
      <c r="LWV135" s="3507"/>
      <c r="LWW135" s="3507"/>
      <c r="LWX135" s="3507"/>
      <c r="LWY135" s="3507"/>
      <c r="LWZ135" s="3507"/>
      <c r="LXA135" s="3507"/>
      <c r="LXB135" s="3507"/>
      <c r="LXC135" s="3507"/>
      <c r="LXD135" s="3507"/>
      <c r="LXE135" s="3507"/>
      <c r="LXF135" s="3507"/>
      <c r="LXG135" s="3507"/>
      <c r="LXH135" s="3507"/>
      <c r="LXI135" s="3507"/>
      <c r="LXJ135" s="3507"/>
      <c r="LXK135" s="3507"/>
      <c r="LXL135" s="3507"/>
      <c r="LXM135" s="3507"/>
      <c r="LXN135" s="3507"/>
      <c r="LXO135" s="3507"/>
      <c r="LXP135" s="3507"/>
      <c r="LXQ135" s="3507"/>
      <c r="LXR135" s="3507"/>
      <c r="LXS135" s="3507"/>
      <c r="LXT135" s="3507"/>
      <c r="LXU135" s="3507"/>
      <c r="LXV135" s="3507"/>
      <c r="LXW135" s="3507"/>
      <c r="LXX135" s="3507"/>
      <c r="LXY135" s="3507"/>
      <c r="LXZ135" s="3507"/>
      <c r="LYA135" s="3507"/>
      <c r="LYB135" s="3507"/>
      <c r="LYC135" s="3507"/>
      <c r="LYD135" s="3507"/>
      <c r="LYE135" s="3507"/>
      <c r="LYF135" s="3507"/>
      <c r="LYG135" s="3507"/>
      <c r="LYH135" s="3507"/>
      <c r="LYI135" s="3507"/>
      <c r="LYJ135" s="3507"/>
      <c r="LYK135" s="3507"/>
      <c r="LYL135" s="3507"/>
      <c r="LYM135" s="3507"/>
      <c r="LYN135" s="3507"/>
      <c r="LYO135" s="3507"/>
      <c r="LYP135" s="3507"/>
      <c r="LYQ135" s="3507"/>
      <c r="LYR135" s="3507"/>
      <c r="LYS135" s="3507"/>
      <c r="LYT135" s="3507"/>
      <c r="LYU135" s="3507"/>
      <c r="LYV135" s="3507"/>
      <c r="LYW135" s="3507"/>
      <c r="LYX135" s="3507"/>
      <c r="LYY135" s="3507"/>
      <c r="LYZ135" s="3507"/>
      <c r="LZA135" s="3507"/>
      <c r="LZB135" s="3507"/>
      <c r="LZC135" s="3507"/>
      <c r="LZD135" s="3507"/>
      <c r="LZE135" s="3507"/>
      <c r="LZF135" s="3507"/>
      <c r="LZG135" s="3507"/>
      <c r="LZH135" s="3507"/>
      <c r="LZI135" s="3507"/>
      <c r="LZJ135" s="3507"/>
      <c r="LZK135" s="3507"/>
      <c r="LZL135" s="3507"/>
      <c r="LZM135" s="3507"/>
      <c r="LZN135" s="3507"/>
      <c r="LZO135" s="3507"/>
      <c r="LZP135" s="3507"/>
      <c r="LZQ135" s="3507"/>
      <c r="LZR135" s="3507"/>
      <c r="LZS135" s="3507"/>
      <c r="LZT135" s="3507"/>
      <c r="LZU135" s="3507"/>
      <c r="LZV135" s="3507"/>
      <c r="LZW135" s="3507"/>
      <c r="LZX135" s="3507"/>
      <c r="LZY135" s="3507"/>
      <c r="LZZ135" s="3507"/>
      <c r="MAA135" s="3507"/>
      <c r="MAB135" s="3507"/>
      <c r="MAC135" s="3507"/>
      <c r="MAD135" s="3507"/>
      <c r="MAE135" s="3507"/>
      <c r="MAF135" s="3507"/>
      <c r="MAG135" s="3507"/>
      <c r="MAH135" s="3507"/>
      <c r="MAI135" s="3507"/>
      <c r="MAJ135" s="3507"/>
      <c r="MAK135" s="3507"/>
      <c r="MAL135" s="3507"/>
      <c r="MAM135" s="3507"/>
      <c r="MAN135" s="3507"/>
      <c r="MAO135" s="3507"/>
      <c r="MAP135" s="3507"/>
      <c r="MAQ135" s="3507"/>
      <c r="MAR135" s="3507"/>
      <c r="MAS135" s="3507"/>
      <c r="MAT135" s="3507"/>
      <c r="MAU135" s="3507"/>
      <c r="MAV135" s="3507"/>
      <c r="MAW135" s="3507"/>
      <c r="MAX135" s="3507"/>
      <c r="MAY135" s="3507"/>
      <c r="MAZ135" s="3507"/>
      <c r="MBA135" s="3507"/>
      <c r="MBB135" s="3507"/>
      <c r="MBC135" s="3507"/>
      <c r="MBD135" s="3507"/>
      <c r="MBE135" s="3507"/>
      <c r="MBF135" s="3507"/>
      <c r="MBG135" s="3507"/>
      <c r="MBH135" s="3507"/>
      <c r="MBI135" s="3507"/>
      <c r="MBJ135" s="3507"/>
      <c r="MBK135" s="3507"/>
      <c r="MBL135" s="3507"/>
      <c r="MBM135" s="3507"/>
      <c r="MBN135" s="3507"/>
      <c r="MBO135" s="3507"/>
      <c r="MBP135" s="3507"/>
      <c r="MBQ135" s="3507"/>
      <c r="MBR135" s="3507"/>
      <c r="MBS135" s="3507"/>
      <c r="MBT135" s="3507"/>
      <c r="MBU135" s="3507"/>
      <c r="MBV135" s="3507"/>
      <c r="MBW135" s="3507"/>
      <c r="MBX135" s="3507"/>
      <c r="MBY135" s="3507"/>
      <c r="MBZ135" s="3507"/>
      <c r="MCA135" s="3507"/>
      <c r="MCB135" s="3507"/>
      <c r="MCC135" s="3507"/>
      <c r="MCD135" s="3507"/>
      <c r="MCE135" s="3507"/>
      <c r="MCF135" s="3507"/>
      <c r="MCG135" s="3507"/>
      <c r="MCH135" s="3507"/>
      <c r="MCI135" s="3507"/>
      <c r="MCJ135" s="3507"/>
      <c r="MCK135" s="3507"/>
      <c r="MCL135" s="3507"/>
      <c r="MCM135" s="3507"/>
      <c r="MCN135" s="3507"/>
      <c r="MCO135" s="3507"/>
      <c r="MCP135" s="3507"/>
      <c r="MCQ135" s="3507"/>
      <c r="MCR135" s="3507"/>
      <c r="MCS135" s="3507"/>
      <c r="MCT135" s="3507"/>
      <c r="MCU135" s="3507"/>
      <c r="MCV135" s="3507"/>
      <c r="MCW135" s="3507"/>
      <c r="MCX135" s="3507"/>
      <c r="MCY135" s="3507"/>
      <c r="MCZ135" s="3507"/>
      <c r="MDA135" s="3507"/>
      <c r="MDB135" s="3507"/>
      <c r="MDC135" s="3507"/>
      <c r="MDD135" s="3507"/>
      <c r="MDE135" s="3507"/>
      <c r="MDF135" s="3507"/>
      <c r="MDG135" s="3507"/>
      <c r="MDH135" s="3507"/>
      <c r="MDI135" s="3507"/>
      <c r="MDJ135" s="3507"/>
      <c r="MDK135" s="3507"/>
      <c r="MDL135" s="3507"/>
      <c r="MDM135" s="3507"/>
      <c r="MDN135" s="3507"/>
      <c r="MDO135" s="3507"/>
      <c r="MDP135" s="3507"/>
      <c r="MDQ135" s="3507"/>
      <c r="MDR135" s="3507"/>
      <c r="MDS135" s="3507"/>
      <c r="MDT135" s="3507"/>
      <c r="MDU135" s="3507"/>
      <c r="MDV135" s="3507"/>
      <c r="MDW135" s="3507"/>
      <c r="MDX135" s="3507"/>
      <c r="MDY135" s="3507"/>
      <c r="MDZ135" s="3507"/>
      <c r="MEA135" s="3507"/>
      <c r="MEB135" s="3507"/>
      <c r="MEC135" s="3507"/>
      <c r="MED135" s="3507"/>
      <c r="MEE135" s="3507"/>
      <c r="MEF135" s="3507"/>
      <c r="MEG135" s="3507"/>
      <c r="MEH135" s="3507"/>
      <c r="MEI135" s="3507"/>
      <c r="MEJ135" s="3507"/>
      <c r="MEK135" s="3507"/>
      <c r="MEL135" s="3507"/>
      <c r="MEM135" s="3507"/>
      <c r="MEN135" s="3507"/>
      <c r="MEO135" s="3507"/>
      <c r="MEP135" s="3507"/>
      <c r="MEQ135" s="3507"/>
      <c r="MER135" s="3507"/>
      <c r="MES135" s="3507"/>
      <c r="MET135" s="3507"/>
      <c r="MEU135" s="3507"/>
      <c r="MEV135" s="3507"/>
      <c r="MEW135" s="3507"/>
      <c r="MEX135" s="3507"/>
      <c r="MEY135" s="3507"/>
      <c r="MEZ135" s="3507"/>
      <c r="MFA135" s="3507"/>
      <c r="MFB135" s="3507"/>
      <c r="MFC135" s="3507"/>
      <c r="MFD135" s="3507"/>
      <c r="MFE135" s="3507"/>
      <c r="MFF135" s="3507"/>
      <c r="MFG135" s="3507"/>
      <c r="MFH135" s="3507"/>
      <c r="MFI135" s="3507"/>
      <c r="MFJ135" s="3507"/>
      <c r="MFK135" s="3507"/>
      <c r="MFL135" s="3507"/>
      <c r="MFM135" s="3507"/>
      <c r="MFN135" s="3507"/>
      <c r="MFO135" s="3507"/>
      <c r="MFP135" s="3507"/>
      <c r="MFQ135" s="3507"/>
      <c r="MFR135" s="3507"/>
      <c r="MFS135" s="3507"/>
      <c r="MFT135" s="3507"/>
      <c r="MFU135" s="3507"/>
      <c r="MFV135" s="3507"/>
      <c r="MFW135" s="3507"/>
      <c r="MFX135" s="3507"/>
      <c r="MFY135" s="3507"/>
      <c r="MFZ135" s="3507"/>
      <c r="MGA135" s="3507"/>
      <c r="MGB135" s="3507"/>
      <c r="MGC135" s="3507"/>
      <c r="MGD135" s="3507"/>
      <c r="MGE135" s="3507"/>
      <c r="MGF135" s="3507"/>
      <c r="MGG135" s="3507"/>
      <c r="MGH135" s="3507"/>
      <c r="MGI135" s="3507"/>
      <c r="MGJ135" s="3507"/>
      <c r="MGK135" s="3507"/>
      <c r="MGL135" s="3507"/>
      <c r="MGM135" s="3507"/>
      <c r="MGN135" s="3507"/>
      <c r="MGO135" s="3507"/>
      <c r="MGP135" s="3507"/>
      <c r="MGQ135" s="3507"/>
      <c r="MGR135" s="3507"/>
      <c r="MGS135" s="3507"/>
      <c r="MGT135" s="3507"/>
      <c r="MGU135" s="3507"/>
      <c r="MGV135" s="3507"/>
      <c r="MGW135" s="3507"/>
      <c r="MGX135" s="3507"/>
      <c r="MGY135" s="3507"/>
      <c r="MGZ135" s="3507"/>
      <c r="MHA135" s="3507"/>
      <c r="MHB135" s="3507"/>
      <c r="MHC135" s="3507"/>
      <c r="MHD135" s="3507"/>
      <c r="MHE135" s="3507"/>
      <c r="MHF135" s="3507"/>
      <c r="MHG135" s="3507"/>
      <c r="MHH135" s="3507"/>
      <c r="MHI135" s="3507"/>
      <c r="MHJ135" s="3507"/>
      <c r="MHK135" s="3507"/>
      <c r="MHL135" s="3507"/>
      <c r="MHM135" s="3507"/>
      <c r="MHN135" s="3507"/>
      <c r="MHO135" s="3507"/>
      <c r="MHP135" s="3507"/>
      <c r="MHQ135" s="3507"/>
      <c r="MHR135" s="3507"/>
      <c r="MHS135" s="3507"/>
      <c r="MHT135" s="3507"/>
      <c r="MHU135" s="3507"/>
      <c r="MHV135" s="3507"/>
      <c r="MHW135" s="3507"/>
      <c r="MHX135" s="3507"/>
      <c r="MHY135" s="3507"/>
      <c r="MHZ135" s="3507"/>
      <c r="MIA135" s="3507"/>
      <c r="MIB135" s="3507"/>
      <c r="MIC135" s="3507"/>
      <c r="MID135" s="3507"/>
      <c r="MIE135" s="3507"/>
      <c r="MIF135" s="3507"/>
      <c r="MIG135" s="3507"/>
      <c r="MIH135" s="3507"/>
      <c r="MII135" s="3507"/>
      <c r="MIJ135" s="3507"/>
      <c r="MIK135" s="3507"/>
      <c r="MIL135" s="3507"/>
      <c r="MIM135" s="3507"/>
      <c r="MIN135" s="3507"/>
      <c r="MIO135" s="3507"/>
      <c r="MIP135" s="3507"/>
      <c r="MIQ135" s="3507"/>
      <c r="MIR135" s="3507"/>
      <c r="MIS135" s="3507"/>
      <c r="MIT135" s="3507"/>
      <c r="MIU135" s="3507"/>
      <c r="MIV135" s="3507"/>
      <c r="MIW135" s="3507"/>
      <c r="MIX135" s="3507"/>
      <c r="MIY135" s="3507"/>
      <c r="MIZ135" s="3507"/>
      <c r="MJA135" s="3507"/>
      <c r="MJB135" s="3507"/>
      <c r="MJC135" s="3507"/>
      <c r="MJD135" s="3507"/>
      <c r="MJE135" s="3507"/>
      <c r="MJF135" s="3507"/>
      <c r="MJG135" s="3507"/>
      <c r="MJH135" s="3507"/>
      <c r="MJI135" s="3507"/>
      <c r="MJJ135" s="3507"/>
      <c r="MJK135" s="3507"/>
      <c r="MJL135" s="3507"/>
      <c r="MJM135" s="3507"/>
      <c r="MJN135" s="3507"/>
      <c r="MJO135" s="3507"/>
      <c r="MJP135" s="3507"/>
      <c r="MJQ135" s="3507"/>
      <c r="MJR135" s="3507"/>
      <c r="MJS135" s="3507"/>
      <c r="MJT135" s="3507"/>
      <c r="MJU135" s="3507"/>
      <c r="MJV135" s="3507"/>
      <c r="MJW135" s="3507"/>
      <c r="MJX135" s="3507"/>
      <c r="MJY135" s="3507"/>
      <c r="MJZ135" s="3507"/>
      <c r="MKA135" s="3507"/>
      <c r="MKB135" s="3507"/>
      <c r="MKC135" s="3507"/>
      <c r="MKD135" s="3507"/>
      <c r="MKE135" s="3507"/>
      <c r="MKF135" s="3507"/>
      <c r="MKG135" s="3507"/>
      <c r="MKH135" s="3507"/>
      <c r="MKI135" s="3507"/>
      <c r="MKJ135" s="3507"/>
      <c r="MKK135" s="3507"/>
      <c r="MKL135" s="3507"/>
      <c r="MKM135" s="3507"/>
      <c r="MKN135" s="3507"/>
      <c r="MKO135" s="3507"/>
      <c r="MKP135" s="3507"/>
      <c r="MKQ135" s="3507"/>
      <c r="MKR135" s="3507"/>
      <c r="MKS135" s="3507"/>
      <c r="MKT135" s="3507"/>
      <c r="MKU135" s="3507"/>
      <c r="MKV135" s="3507"/>
      <c r="MKW135" s="3507"/>
      <c r="MKX135" s="3507"/>
      <c r="MKY135" s="3507"/>
      <c r="MKZ135" s="3507"/>
      <c r="MLA135" s="3507"/>
      <c r="MLB135" s="3507"/>
      <c r="MLC135" s="3507"/>
      <c r="MLD135" s="3507"/>
      <c r="MLE135" s="3507"/>
      <c r="MLF135" s="3507"/>
      <c r="MLG135" s="3507"/>
      <c r="MLH135" s="3507"/>
      <c r="MLI135" s="3507"/>
      <c r="MLJ135" s="3507"/>
      <c r="MLK135" s="3507"/>
      <c r="MLL135" s="3507"/>
      <c r="MLM135" s="3507"/>
      <c r="MLN135" s="3507"/>
      <c r="MLO135" s="3507"/>
      <c r="MLP135" s="3507"/>
      <c r="MLQ135" s="3507"/>
      <c r="MLR135" s="3507"/>
      <c r="MLS135" s="3507"/>
      <c r="MLT135" s="3507"/>
      <c r="MLU135" s="3507"/>
      <c r="MLV135" s="3507"/>
      <c r="MLW135" s="3507"/>
      <c r="MLX135" s="3507"/>
      <c r="MLY135" s="3507"/>
      <c r="MLZ135" s="3507"/>
      <c r="MMA135" s="3507"/>
      <c r="MMB135" s="3507"/>
      <c r="MMC135" s="3507"/>
      <c r="MMD135" s="3507"/>
      <c r="MME135" s="3507"/>
      <c r="MMF135" s="3507"/>
      <c r="MMG135" s="3507"/>
      <c r="MMH135" s="3507"/>
      <c r="MMI135" s="3507"/>
      <c r="MMJ135" s="3507"/>
      <c r="MMK135" s="3507"/>
      <c r="MML135" s="3507"/>
      <c r="MMM135" s="3507"/>
      <c r="MMN135" s="3507"/>
      <c r="MMO135" s="3507"/>
      <c r="MMP135" s="3507"/>
      <c r="MMQ135" s="3507"/>
      <c r="MMR135" s="3507"/>
      <c r="MMS135" s="3507"/>
      <c r="MMT135" s="3507"/>
      <c r="MMU135" s="3507"/>
      <c r="MMV135" s="3507"/>
      <c r="MMW135" s="3507"/>
      <c r="MMX135" s="3507"/>
      <c r="MMY135" s="3507"/>
      <c r="MMZ135" s="3507"/>
      <c r="MNA135" s="3507"/>
      <c r="MNB135" s="3507"/>
      <c r="MNC135" s="3507"/>
      <c r="MND135" s="3507"/>
      <c r="MNE135" s="3507"/>
      <c r="MNF135" s="3507"/>
      <c r="MNG135" s="3507"/>
      <c r="MNH135" s="3507"/>
      <c r="MNI135" s="3507"/>
      <c r="MNJ135" s="3507"/>
      <c r="MNK135" s="3507"/>
      <c r="MNL135" s="3507"/>
      <c r="MNM135" s="3507"/>
      <c r="MNN135" s="3507"/>
      <c r="MNO135" s="3507"/>
      <c r="MNP135" s="3507"/>
      <c r="MNQ135" s="3507"/>
      <c r="MNR135" s="3507"/>
      <c r="MNS135" s="3507"/>
      <c r="MNT135" s="3507"/>
      <c r="MNU135" s="3507"/>
      <c r="MNV135" s="3507"/>
      <c r="MNW135" s="3507"/>
      <c r="MNX135" s="3507"/>
      <c r="MNY135" s="3507"/>
      <c r="MNZ135" s="3507"/>
      <c r="MOA135" s="3507"/>
      <c r="MOB135" s="3507"/>
      <c r="MOC135" s="3507"/>
      <c r="MOD135" s="3507"/>
      <c r="MOE135" s="3507"/>
      <c r="MOF135" s="3507"/>
      <c r="MOG135" s="3507"/>
      <c r="MOH135" s="3507"/>
      <c r="MOI135" s="3507"/>
      <c r="MOJ135" s="3507"/>
      <c r="MOK135" s="3507"/>
      <c r="MOL135" s="3507"/>
      <c r="MOM135" s="3507"/>
      <c r="MON135" s="3507"/>
      <c r="MOO135" s="3507"/>
      <c r="MOP135" s="3507"/>
      <c r="MOQ135" s="3507"/>
      <c r="MOR135" s="3507"/>
      <c r="MOS135" s="3507"/>
      <c r="MOT135" s="3507"/>
      <c r="MOU135" s="3507"/>
      <c r="MOV135" s="3507"/>
      <c r="MOW135" s="3507"/>
      <c r="MOX135" s="3507"/>
      <c r="MOY135" s="3507"/>
      <c r="MOZ135" s="3507"/>
      <c r="MPA135" s="3507"/>
      <c r="MPB135" s="3507"/>
      <c r="MPC135" s="3507"/>
      <c r="MPD135" s="3507"/>
      <c r="MPE135" s="3507"/>
      <c r="MPF135" s="3507"/>
      <c r="MPG135" s="3507"/>
      <c r="MPH135" s="3507"/>
      <c r="MPI135" s="3507"/>
      <c r="MPJ135" s="3507"/>
      <c r="MPK135" s="3507"/>
      <c r="MPL135" s="3507"/>
      <c r="MPM135" s="3507"/>
      <c r="MPN135" s="3507"/>
      <c r="MPO135" s="3507"/>
      <c r="MPP135" s="3507"/>
      <c r="MPQ135" s="3507"/>
      <c r="MPR135" s="3507"/>
      <c r="MPS135" s="3507"/>
      <c r="MPT135" s="3507"/>
      <c r="MPU135" s="3507"/>
      <c r="MPV135" s="3507"/>
      <c r="MPW135" s="3507"/>
      <c r="MPX135" s="3507"/>
      <c r="MPY135" s="3507"/>
      <c r="MPZ135" s="3507"/>
      <c r="MQA135" s="3507"/>
      <c r="MQB135" s="3507"/>
      <c r="MQC135" s="3507"/>
      <c r="MQD135" s="3507"/>
      <c r="MQE135" s="3507"/>
      <c r="MQF135" s="3507"/>
      <c r="MQG135" s="3507"/>
      <c r="MQH135" s="3507"/>
      <c r="MQI135" s="3507"/>
      <c r="MQJ135" s="3507"/>
      <c r="MQK135" s="3507"/>
      <c r="MQL135" s="3507"/>
      <c r="MQM135" s="3507"/>
      <c r="MQN135" s="3507"/>
      <c r="MQO135" s="3507"/>
      <c r="MQP135" s="3507"/>
      <c r="MQQ135" s="3507"/>
      <c r="MQR135" s="3507"/>
      <c r="MQS135" s="3507"/>
      <c r="MQT135" s="3507"/>
      <c r="MQU135" s="3507"/>
      <c r="MQV135" s="3507"/>
      <c r="MQW135" s="3507"/>
      <c r="MQX135" s="3507"/>
      <c r="MQY135" s="3507"/>
      <c r="MQZ135" s="3507"/>
      <c r="MRA135" s="3507"/>
      <c r="MRB135" s="3507"/>
      <c r="MRC135" s="3507"/>
      <c r="MRD135" s="3507"/>
      <c r="MRE135" s="3507"/>
      <c r="MRF135" s="3507"/>
      <c r="MRG135" s="3507"/>
      <c r="MRH135" s="3507"/>
      <c r="MRI135" s="3507"/>
      <c r="MRJ135" s="3507"/>
      <c r="MRK135" s="3507"/>
      <c r="MRL135" s="3507"/>
      <c r="MRM135" s="3507"/>
      <c r="MRN135" s="3507"/>
      <c r="MRO135" s="3507"/>
      <c r="MRP135" s="3507"/>
      <c r="MRQ135" s="3507"/>
      <c r="MRR135" s="3507"/>
      <c r="MRS135" s="3507"/>
      <c r="MRT135" s="3507"/>
      <c r="MRU135" s="3507"/>
      <c r="MRV135" s="3507"/>
      <c r="MRW135" s="3507"/>
      <c r="MRX135" s="3507"/>
      <c r="MRY135" s="3507"/>
      <c r="MRZ135" s="3507"/>
      <c r="MSA135" s="3507"/>
      <c r="MSB135" s="3507"/>
      <c r="MSC135" s="3507"/>
      <c r="MSD135" s="3507"/>
      <c r="MSE135" s="3507"/>
      <c r="MSF135" s="3507"/>
      <c r="MSG135" s="3507"/>
      <c r="MSH135" s="3507"/>
      <c r="MSI135" s="3507"/>
      <c r="MSJ135" s="3507"/>
      <c r="MSK135" s="3507"/>
      <c r="MSL135" s="3507"/>
      <c r="MSM135" s="3507"/>
      <c r="MSN135" s="3507"/>
      <c r="MSO135" s="3507"/>
      <c r="MSP135" s="3507"/>
      <c r="MSQ135" s="3507"/>
      <c r="MSR135" s="3507"/>
      <c r="MSS135" s="3507"/>
      <c r="MST135" s="3507"/>
      <c r="MSU135" s="3507"/>
      <c r="MSV135" s="3507"/>
      <c r="MSW135" s="3507"/>
      <c r="MSX135" s="3507"/>
      <c r="MSY135" s="3507"/>
      <c r="MSZ135" s="3507"/>
      <c r="MTA135" s="3507"/>
      <c r="MTB135" s="3507"/>
      <c r="MTC135" s="3507"/>
      <c r="MTD135" s="3507"/>
      <c r="MTE135" s="3507"/>
      <c r="MTF135" s="3507"/>
      <c r="MTG135" s="3507"/>
      <c r="MTH135" s="3507"/>
      <c r="MTI135" s="3507"/>
      <c r="MTJ135" s="3507"/>
      <c r="MTK135" s="3507"/>
      <c r="MTL135" s="3507"/>
      <c r="MTM135" s="3507"/>
      <c r="MTN135" s="3507"/>
      <c r="MTO135" s="3507"/>
      <c r="MTP135" s="3507"/>
      <c r="MTQ135" s="3507"/>
      <c r="MTR135" s="3507"/>
      <c r="MTS135" s="3507"/>
      <c r="MTT135" s="3507"/>
      <c r="MTU135" s="3507"/>
      <c r="MTV135" s="3507"/>
      <c r="MTW135" s="3507"/>
      <c r="MTX135" s="3507"/>
      <c r="MTY135" s="3507"/>
      <c r="MTZ135" s="3507"/>
      <c r="MUA135" s="3507"/>
      <c r="MUB135" s="3507"/>
      <c r="MUC135" s="3507"/>
      <c r="MUD135" s="3507"/>
      <c r="MUE135" s="3507"/>
      <c r="MUF135" s="3507"/>
      <c r="MUG135" s="3507"/>
      <c r="MUH135" s="3507"/>
      <c r="MUI135" s="3507"/>
      <c r="MUJ135" s="3507"/>
      <c r="MUK135" s="3507"/>
      <c r="MUL135" s="3507"/>
      <c r="MUM135" s="3507"/>
      <c r="MUN135" s="3507"/>
      <c r="MUO135" s="3507"/>
      <c r="MUP135" s="3507"/>
      <c r="MUQ135" s="3507"/>
      <c r="MUR135" s="3507"/>
      <c r="MUS135" s="3507"/>
      <c r="MUT135" s="3507"/>
      <c r="MUU135" s="3507"/>
      <c r="MUV135" s="3507"/>
      <c r="MUW135" s="3507"/>
      <c r="MUX135" s="3507"/>
      <c r="MUY135" s="3507"/>
      <c r="MUZ135" s="3507"/>
      <c r="MVA135" s="3507"/>
      <c r="MVB135" s="3507"/>
      <c r="MVC135" s="3507"/>
      <c r="MVD135" s="3507"/>
      <c r="MVE135" s="3507"/>
      <c r="MVF135" s="3507"/>
      <c r="MVG135" s="3507"/>
      <c r="MVH135" s="3507"/>
      <c r="MVI135" s="3507"/>
      <c r="MVJ135" s="3507"/>
      <c r="MVK135" s="3507"/>
      <c r="MVL135" s="3507"/>
      <c r="MVM135" s="3507"/>
      <c r="MVN135" s="3507"/>
      <c r="MVO135" s="3507"/>
      <c r="MVP135" s="3507"/>
      <c r="MVQ135" s="3507"/>
      <c r="MVR135" s="3507"/>
      <c r="MVS135" s="3507"/>
      <c r="MVT135" s="3507"/>
      <c r="MVU135" s="3507"/>
      <c r="MVV135" s="3507"/>
      <c r="MVW135" s="3507"/>
      <c r="MVX135" s="3507"/>
      <c r="MVY135" s="3507"/>
      <c r="MVZ135" s="3507"/>
      <c r="MWA135" s="3507"/>
      <c r="MWB135" s="3507"/>
      <c r="MWC135" s="3507"/>
      <c r="MWD135" s="3507"/>
      <c r="MWE135" s="3507"/>
      <c r="MWF135" s="3507"/>
      <c r="MWG135" s="3507"/>
      <c r="MWH135" s="3507"/>
      <c r="MWI135" s="3507"/>
      <c r="MWJ135" s="3507"/>
      <c r="MWK135" s="3507"/>
      <c r="MWL135" s="3507"/>
      <c r="MWM135" s="3507"/>
      <c r="MWN135" s="3507"/>
      <c r="MWO135" s="3507"/>
      <c r="MWP135" s="3507"/>
      <c r="MWQ135" s="3507"/>
      <c r="MWR135" s="3507"/>
      <c r="MWS135" s="3507"/>
      <c r="MWT135" s="3507"/>
      <c r="MWU135" s="3507"/>
      <c r="MWV135" s="3507"/>
      <c r="MWW135" s="3507"/>
      <c r="MWX135" s="3507"/>
      <c r="MWY135" s="3507"/>
      <c r="MWZ135" s="3507"/>
      <c r="MXA135" s="3507"/>
      <c r="MXB135" s="3507"/>
      <c r="MXC135" s="3507"/>
      <c r="MXD135" s="3507"/>
      <c r="MXE135" s="3507"/>
      <c r="MXF135" s="3507"/>
      <c r="MXG135" s="3507"/>
      <c r="MXH135" s="3507"/>
      <c r="MXI135" s="3507"/>
      <c r="MXJ135" s="3507"/>
      <c r="MXK135" s="3507"/>
      <c r="MXL135" s="3507"/>
      <c r="MXM135" s="3507"/>
      <c r="MXN135" s="3507"/>
      <c r="MXO135" s="3507"/>
      <c r="MXP135" s="3507"/>
      <c r="MXQ135" s="3507"/>
      <c r="MXR135" s="3507"/>
      <c r="MXS135" s="3507"/>
      <c r="MXT135" s="3507"/>
      <c r="MXU135" s="3507"/>
      <c r="MXV135" s="3507"/>
      <c r="MXW135" s="3507"/>
      <c r="MXX135" s="3507"/>
      <c r="MXY135" s="3507"/>
      <c r="MXZ135" s="3507"/>
      <c r="MYA135" s="3507"/>
      <c r="MYB135" s="3507"/>
      <c r="MYC135" s="3507"/>
      <c r="MYD135" s="3507"/>
      <c r="MYE135" s="3507"/>
      <c r="MYF135" s="3507"/>
      <c r="MYG135" s="3507"/>
      <c r="MYH135" s="3507"/>
      <c r="MYI135" s="3507"/>
      <c r="MYJ135" s="3507"/>
      <c r="MYK135" s="3507"/>
      <c r="MYL135" s="3507"/>
      <c r="MYM135" s="3507"/>
      <c r="MYN135" s="3507"/>
      <c r="MYO135" s="3507"/>
      <c r="MYP135" s="3507"/>
      <c r="MYQ135" s="3507"/>
      <c r="MYR135" s="3507"/>
      <c r="MYS135" s="3507"/>
      <c r="MYT135" s="3507"/>
      <c r="MYU135" s="3507"/>
      <c r="MYV135" s="3507"/>
      <c r="MYW135" s="3507"/>
      <c r="MYX135" s="3507"/>
      <c r="MYY135" s="3507"/>
      <c r="MYZ135" s="3507"/>
      <c r="MZA135" s="3507"/>
      <c r="MZB135" s="3507"/>
      <c r="MZC135" s="3507"/>
      <c r="MZD135" s="3507"/>
      <c r="MZE135" s="3507"/>
      <c r="MZF135" s="3507"/>
      <c r="MZG135" s="3507"/>
      <c r="MZH135" s="3507"/>
      <c r="MZI135" s="3507"/>
      <c r="MZJ135" s="3507"/>
      <c r="MZK135" s="3507"/>
      <c r="MZL135" s="3507"/>
      <c r="MZM135" s="3507"/>
      <c r="MZN135" s="3507"/>
      <c r="MZO135" s="3507"/>
      <c r="MZP135" s="3507"/>
      <c r="MZQ135" s="3507"/>
      <c r="MZR135" s="3507"/>
      <c r="MZS135" s="3507"/>
      <c r="MZT135" s="3507"/>
      <c r="MZU135" s="3507"/>
      <c r="MZV135" s="3507"/>
      <c r="MZW135" s="3507"/>
      <c r="MZX135" s="3507"/>
      <c r="MZY135" s="3507"/>
      <c r="MZZ135" s="3507"/>
      <c r="NAA135" s="3507"/>
      <c r="NAB135" s="3507"/>
      <c r="NAC135" s="3507"/>
      <c r="NAD135" s="3507"/>
      <c r="NAE135" s="3507"/>
      <c r="NAF135" s="3507"/>
      <c r="NAG135" s="3507"/>
      <c r="NAH135" s="3507"/>
      <c r="NAI135" s="3507"/>
      <c r="NAJ135" s="3507"/>
      <c r="NAK135" s="3507"/>
      <c r="NAL135" s="3507"/>
      <c r="NAM135" s="3507"/>
      <c r="NAN135" s="3507"/>
      <c r="NAO135" s="3507"/>
      <c r="NAP135" s="3507"/>
      <c r="NAQ135" s="3507"/>
      <c r="NAR135" s="3507"/>
      <c r="NAS135" s="3507"/>
      <c r="NAT135" s="3507"/>
      <c r="NAU135" s="3507"/>
      <c r="NAV135" s="3507"/>
      <c r="NAW135" s="3507"/>
      <c r="NAX135" s="3507"/>
      <c r="NAY135" s="3507"/>
      <c r="NAZ135" s="3507"/>
      <c r="NBA135" s="3507"/>
      <c r="NBB135" s="3507"/>
      <c r="NBC135" s="3507"/>
      <c r="NBD135" s="3507"/>
      <c r="NBE135" s="3507"/>
      <c r="NBF135" s="3507"/>
      <c r="NBG135" s="3507"/>
      <c r="NBH135" s="3507"/>
      <c r="NBI135" s="3507"/>
      <c r="NBJ135" s="3507"/>
      <c r="NBK135" s="3507"/>
      <c r="NBL135" s="3507"/>
      <c r="NBM135" s="3507"/>
      <c r="NBN135" s="3507"/>
      <c r="NBO135" s="3507"/>
      <c r="NBP135" s="3507"/>
      <c r="NBQ135" s="3507"/>
      <c r="NBR135" s="3507"/>
      <c r="NBS135" s="3507"/>
      <c r="NBT135" s="3507"/>
      <c r="NBU135" s="3507"/>
      <c r="NBV135" s="3507"/>
      <c r="NBW135" s="3507"/>
      <c r="NBX135" s="3507"/>
      <c r="NBY135" s="3507"/>
      <c r="NBZ135" s="3507"/>
      <c r="NCA135" s="3507"/>
      <c r="NCB135" s="3507"/>
      <c r="NCC135" s="3507"/>
      <c r="NCD135" s="3507"/>
      <c r="NCE135" s="3507"/>
      <c r="NCF135" s="3507"/>
      <c r="NCG135" s="3507"/>
      <c r="NCH135" s="3507"/>
      <c r="NCI135" s="3507"/>
      <c r="NCJ135" s="3507"/>
      <c r="NCK135" s="3507"/>
      <c r="NCL135" s="3507"/>
      <c r="NCM135" s="3507"/>
      <c r="NCN135" s="3507"/>
      <c r="NCO135" s="3507"/>
      <c r="NCP135" s="3507"/>
      <c r="NCQ135" s="3507"/>
      <c r="NCR135" s="3507"/>
      <c r="NCS135" s="3507"/>
      <c r="NCT135" s="3507"/>
      <c r="NCU135" s="3507"/>
      <c r="NCV135" s="3507"/>
      <c r="NCW135" s="3507"/>
      <c r="NCX135" s="3507"/>
      <c r="NCY135" s="3507"/>
      <c r="NCZ135" s="3507"/>
      <c r="NDA135" s="3507"/>
      <c r="NDB135" s="3507"/>
      <c r="NDC135" s="3507"/>
      <c r="NDD135" s="3507"/>
      <c r="NDE135" s="3507"/>
      <c r="NDF135" s="3507"/>
      <c r="NDG135" s="3507"/>
      <c r="NDH135" s="3507"/>
      <c r="NDI135" s="3507"/>
      <c r="NDJ135" s="3507"/>
      <c r="NDK135" s="3507"/>
      <c r="NDL135" s="3507"/>
      <c r="NDM135" s="3507"/>
      <c r="NDN135" s="3507"/>
      <c r="NDO135" s="3507"/>
      <c r="NDP135" s="3507"/>
      <c r="NDQ135" s="3507"/>
      <c r="NDR135" s="3507"/>
      <c r="NDS135" s="3507"/>
      <c r="NDT135" s="3507"/>
      <c r="NDU135" s="3507"/>
      <c r="NDV135" s="3507"/>
      <c r="NDW135" s="3507"/>
      <c r="NDX135" s="3507"/>
      <c r="NDY135" s="3507"/>
      <c r="NDZ135" s="3507"/>
      <c r="NEA135" s="3507"/>
      <c r="NEB135" s="3507"/>
      <c r="NEC135" s="3507"/>
      <c r="NED135" s="3507"/>
      <c r="NEE135" s="3507"/>
      <c r="NEF135" s="3507"/>
      <c r="NEG135" s="3507"/>
      <c r="NEH135" s="3507"/>
      <c r="NEI135" s="3507"/>
      <c r="NEJ135" s="3507"/>
      <c r="NEK135" s="3507"/>
      <c r="NEL135" s="3507"/>
      <c r="NEM135" s="3507"/>
      <c r="NEN135" s="3507"/>
      <c r="NEO135" s="3507"/>
      <c r="NEP135" s="3507"/>
      <c r="NEQ135" s="3507"/>
      <c r="NER135" s="3507"/>
      <c r="NES135" s="3507"/>
      <c r="NET135" s="3507"/>
      <c r="NEU135" s="3507"/>
      <c r="NEV135" s="3507"/>
      <c r="NEW135" s="3507"/>
      <c r="NEX135" s="3507"/>
      <c r="NEY135" s="3507"/>
      <c r="NEZ135" s="3507"/>
      <c r="NFA135" s="3507"/>
      <c r="NFB135" s="3507"/>
      <c r="NFC135" s="3507"/>
      <c r="NFD135" s="3507"/>
      <c r="NFE135" s="3507"/>
      <c r="NFF135" s="3507"/>
      <c r="NFG135" s="3507"/>
      <c r="NFH135" s="3507"/>
      <c r="NFI135" s="3507"/>
      <c r="NFJ135" s="3507"/>
      <c r="NFK135" s="3507"/>
      <c r="NFL135" s="3507"/>
      <c r="NFM135" s="3507"/>
      <c r="NFN135" s="3507"/>
      <c r="NFO135" s="3507"/>
      <c r="NFP135" s="3507"/>
      <c r="NFQ135" s="3507"/>
      <c r="NFR135" s="3507"/>
      <c r="NFS135" s="3507"/>
      <c r="NFT135" s="3507"/>
      <c r="NFU135" s="3507"/>
      <c r="NFV135" s="3507"/>
      <c r="NFW135" s="3507"/>
      <c r="NFX135" s="3507"/>
      <c r="NFY135" s="3507"/>
      <c r="NFZ135" s="3507"/>
      <c r="NGA135" s="3507"/>
      <c r="NGB135" s="3507"/>
      <c r="NGC135" s="3507"/>
      <c r="NGD135" s="3507"/>
      <c r="NGE135" s="3507"/>
      <c r="NGF135" s="3507"/>
      <c r="NGG135" s="3507"/>
      <c r="NGH135" s="3507"/>
      <c r="NGI135" s="3507"/>
      <c r="NGJ135" s="3507"/>
      <c r="NGK135" s="3507"/>
      <c r="NGL135" s="3507"/>
      <c r="NGM135" s="3507"/>
      <c r="NGN135" s="3507"/>
      <c r="NGO135" s="3507"/>
      <c r="NGP135" s="3507"/>
      <c r="NGQ135" s="3507"/>
      <c r="NGR135" s="3507"/>
      <c r="NGS135" s="3507"/>
      <c r="NGT135" s="3507"/>
      <c r="NGU135" s="3507"/>
      <c r="NGV135" s="3507"/>
      <c r="NGW135" s="3507"/>
      <c r="NGX135" s="3507"/>
      <c r="NGY135" s="3507"/>
      <c r="NGZ135" s="3507"/>
      <c r="NHA135" s="3507"/>
      <c r="NHB135" s="3507"/>
      <c r="NHC135" s="3507"/>
      <c r="NHD135" s="3507"/>
      <c r="NHE135" s="3507"/>
      <c r="NHF135" s="3507"/>
      <c r="NHG135" s="3507"/>
      <c r="NHH135" s="3507"/>
      <c r="NHI135" s="3507"/>
      <c r="NHJ135" s="3507"/>
      <c r="NHK135" s="3507"/>
      <c r="NHL135" s="3507"/>
      <c r="NHM135" s="3507"/>
      <c r="NHN135" s="3507"/>
      <c r="NHO135" s="3507"/>
      <c r="NHP135" s="3507"/>
      <c r="NHQ135" s="3507"/>
      <c r="NHR135" s="3507"/>
      <c r="NHS135" s="3507"/>
      <c r="NHT135" s="3507"/>
      <c r="NHU135" s="3507"/>
      <c r="NHV135" s="3507"/>
      <c r="NHW135" s="3507"/>
      <c r="NHX135" s="3507"/>
      <c r="NHY135" s="3507"/>
      <c r="NHZ135" s="3507"/>
      <c r="NIA135" s="3507"/>
      <c r="NIB135" s="3507"/>
      <c r="NIC135" s="3507"/>
      <c r="NID135" s="3507"/>
      <c r="NIE135" s="3507"/>
      <c r="NIF135" s="3507"/>
      <c r="NIG135" s="3507"/>
      <c r="NIH135" s="3507"/>
      <c r="NII135" s="3507"/>
      <c r="NIJ135" s="3507"/>
      <c r="NIK135" s="3507"/>
      <c r="NIL135" s="3507"/>
      <c r="NIM135" s="3507"/>
      <c r="NIN135" s="3507"/>
      <c r="NIO135" s="3507"/>
      <c r="NIP135" s="3507"/>
      <c r="NIQ135" s="3507"/>
      <c r="NIR135" s="3507"/>
      <c r="NIS135" s="3507"/>
      <c r="NIT135" s="3507"/>
      <c r="NIU135" s="3507"/>
      <c r="NIV135" s="3507"/>
      <c r="NIW135" s="3507"/>
      <c r="NIX135" s="3507"/>
      <c r="NIY135" s="3507"/>
      <c r="NIZ135" s="3507"/>
      <c r="NJA135" s="3507"/>
      <c r="NJB135" s="3507"/>
      <c r="NJC135" s="3507"/>
      <c r="NJD135" s="3507"/>
      <c r="NJE135" s="3507"/>
      <c r="NJF135" s="3507"/>
      <c r="NJG135" s="3507"/>
      <c r="NJH135" s="3507"/>
      <c r="NJI135" s="3507"/>
      <c r="NJJ135" s="3507"/>
      <c r="NJK135" s="3507"/>
      <c r="NJL135" s="3507"/>
      <c r="NJM135" s="3507"/>
      <c r="NJN135" s="3507"/>
      <c r="NJO135" s="3507"/>
      <c r="NJP135" s="3507"/>
      <c r="NJQ135" s="3507"/>
      <c r="NJR135" s="3507"/>
      <c r="NJS135" s="3507"/>
      <c r="NJT135" s="3507"/>
      <c r="NJU135" s="3507"/>
      <c r="NJV135" s="3507"/>
      <c r="NJW135" s="3507"/>
      <c r="NJX135" s="3507"/>
      <c r="NJY135" s="3507"/>
      <c r="NJZ135" s="3507"/>
      <c r="NKA135" s="3507"/>
      <c r="NKB135" s="3507"/>
      <c r="NKC135" s="3507"/>
      <c r="NKD135" s="3507"/>
      <c r="NKE135" s="3507"/>
      <c r="NKF135" s="3507"/>
      <c r="NKG135" s="3507"/>
      <c r="NKH135" s="3507"/>
      <c r="NKI135" s="3507"/>
      <c r="NKJ135" s="3507"/>
      <c r="NKK135" s="3507"/>
      <c r="NKL135" s="3507"/>
      <c r="NKM135" s="3507"/>
      <c r="NKN135" s="3507"/>
      <c r="NKO135" s="3507"/>
      <c r="NKP135" s="3507"/>
      <c r="NKQ135" s="3507"/>
      <c r="NKR135" s="3507"/>
      <c r="NKS135" s="3507"/>
      <c r="NKT135" s="3507"/>
      <c r="NKU135" s="3507"/>
      <c r="NKV135" s="3507"/>
      <c r="NKW135" s="3507"/>
      <c r="NKX135" s="3507"/>
      <c r="NKY135" s="3507"/>
      <c r="NKZ135" s="3507"/>
      <c r="NLA135" s="3507"/>
      <c r="NLB135" s="3507"/>
      <c r="NLC135" s="3507"/>
      <c r="NLD135" s="3507"/>
      <c r="NLE135" s="3507"/>
      <c r="NLF135" s="3507"/>
      <c r="NLG135" s="3507"/>
      <c r="NLH135" s="3507"/>
      <c r="NLI135" s="3507"/>
      <c r="NLJ135" s="3507"/>
      <c r="NLK135" s="3507"/>
      <c r="NLL135" s="3507"/>
      <c r="NLM135" s="3507"/>
      <c r="NLN135" s="3507"/>
      <c r="NLO135" s="3507"/>
      <c r="NLP135" s="3507"/>
      <c r="NLQ135" s="3507"/>
      <c r="NLR135" s="3507"/>
      <c r="NLS135" s="3507"/>
      <c r="NLT135" s="3507"/>
      <c r="NLU135" s="3507"/>
      <c r="NLV135" s="3507"/>
      <c r="NLW135" s="3507"/>
      <c r="NLX135" s="3507"/>
      <c r="NLY135" s="3507"/>
      <c r="NLZ135" s="3507"/>
      <c r="NMA135" s="3507"/>
      <c r="NMB135" s="3507"/>
      <c r="NMC135" s="3507"/>
      <c r="NMD135" s="3507"/>
      <c r="NME135" s="3507"/>
      <c r="NMF135" s="3507"/>
      <c r="NMG135" s="3507"/>
      <c r="NMH135" s="3507"/>
      <c r="NMI135" s="3507"/>
      <c r="NMJ135" s="3507"/>
      <c r="NMK135" s="3507"/>
      <c r="NML135" s="3507"/>
      <c r="NMM135" s="3507"/>
      <c r="NMN135" s="3507"/>
      <c r="NMO135" s="3507"/>
      <c r="NMP135" s="3507"/>
      <c r="NMQ135" s="3507"/>
      <c r="NMR135" s="3507"/>
      <c r="NMS135" s="3507"/>
      <c r="NMT135" s="3507"/>
      <c r="NMU135" s="3507"/>
      <c r="NMV135" s="3507"/>
      <c r="NMW135" s="3507"/>
      <c r="NMX135" s="3507"/>
      <c r="NMY135" s="3507"/>
      <c r="NMZ135" s="3507"/>
      <c r="NNA135" s="3507"/>
      <c r="NNB135" s="3507"/>
      <c r="NNC135" s="3507"/>
      <c r="NND135" s="3507"/>
      <c r="NNE135" s="3507"/>
      <c r="NNF135" s="3507"/>
      <c r="NNG135" s="3507"/>
      <c r="NNH135" s="3507"/>
      <c r="NNI135" s="3507"/>
      <c r="NNJ135" s="3507"/>
      <c r="NNK135" s="3507"/>
      <c r="NNL135" s="3507"/>
      <c r="NNM135" s="3507"/>
      <c r="NNN135" s="3507"/>
      <c r="NNO135" s="3507"/>
      <c r="NNP135" s="3507"/>
      <c r="NNQ135" s="3507"/>
      <c r="NNR135" s="3507"/>
      <c r="NNS135" s="3507"/>
      <c r="NNT135" s="3507"/>
      <c r="NNU135" s="3507"/>
      <c r="NNV135" s="3507"/>
      <c r="NNW135" s="3507"/>
      <c r="NNX135" s="3507"/>
      <c r="NNY135" s="3507"/>
      <c r="NNZ135" s="3507"/>
      <c r="NOA135" s="3507"/>
      <c r="NOB135" s="3507"/>
      <c r="NOC135" s="3507"/>
      <c r="NOD135" s="3507"/>
      <c r="NOE135" s="3507"/>
      <c r="NOF135" s="3507"/>
      <c r="NOG135" s="3507"/>
      <c r="NOH135" s="3507"/>
      <c r="NOI135" s="3507"/>
      <c r="NOJ135" s="3507"/>
      <c r="NOK135" s="3507"/>
      <c r="NOL135" s="3507"/>
      <c r="NOM135" s="3507"/>
      <c r="NON135" s="3507"/>
      <c r="NOO135" s="3507"/>
      <c r="NOP135" s="3507"/>
      <c r="NOQ135" s="3507"/>
      <c r="NOR135" s="3507"/>
      <c r="NOS135" s="3507"/>
      <c r="NOT135" s="3507"/>
      <c r="NOU135" s="3507"/>
      <c r="NOV135" s="3507"/>
      <c r="NOW135" s="3507"/>
      <c r="NOX135" s="3507"/>
      <c r="NOY135" s="3507"/>
      <c r="NOZ135" s="3507"/>
      <c r="NPA135" s="3507"/>
      <c r="NPB135" s="3507"/>
      <c r="NPC135" s="3507"/>
      <c r="NPD135" s="3507"/>
      <c r="NPE135" s="3507"/>
      <c r="NPF135" s="3507"/>
      <c r="NPG135" s="3507"/>
      <c r="NPH135" s="3507"/>
      <c r="NPI135" s="3507"/>
      <c r="NPJ135" s="3507"/>
      <c r="NPK135" s="3507"/>
      <c r="NPL135" s="3507"/>
      <c r="NPM135" s="3507"/>
      <c r="NPN135" s="3507"/>
      <c r="NPO135" s="3507"/>
      <c r="NPP135" s="3507"/>
      <c r="NPQ135" s="3507"/>
      <c r="NPR135" s="3507"/>
      <c r="NPS135" s="3507"/>
      <c r="NPT135" s="3507"/>
      <c r="NPU135" s="3507"/>
      <c r="NPV135" s="3507"/>
      <c r="NPW135" s="3507"/>
      <c r="NPX135" s="3507"/>
      <c r="NPY135" s="3507"/>
      <c r="NPZ135" s="3507"/>
      <c r="NQA135" s="3507"/>
      <c r="NQB135" s="3507"/>
      <c r="NQC135" s="3507"/>
      <c r="NQD135" s="3507"/>
      <c r="NQE135" s="3507"/>
      <c r="NQF135" s="3507"/>
      <c r="NQG135" s="3507"/>
      <c r="NQH135" s="3507"/>
      <c r="NQI135" s="3507"/>
      <c r="NQJ135" s="3507"/>
      <c r="NQK135" s="3507"/>
      <c r="NQL135" s="3507"/>
      <c r="NQM135" s="3507"/>
      <c r="NQN135" s="3507"/>
      <c r="NQO135" s="3507"/>
      <c r="NQP135" s="3507"/>
      <c r="NQQ135" s="3507"/>
      <c r="NQR135" s="3507"/>
      <c r="NQS135" s="3507"/>
      <c r="NQT135" s="3507"/>
      <c r="NQU135" s="3507"/>
      <c r="NQV135" s="3507"/>
      <c r="NQW135" s="3507"/>
      <c r="NQX135" s="3507"/>
      <c r="NQY135" s="3507"/>
      <c r="NQZ135" s="3507"/>
      <c r="NRA135" s="3507"/>
      <c r="NRB135" s="3507"/>
      <c r="NRC135" s="3507"/>
      <c r="NRD135" s="3507"/>
      <c r="NRE135" s="3507"/>
      <c r="NRF135" s="3507"/>
      <c r="NRG135" s="3507"/>
      <c r="NRH135" s="3507"/>
      <c r="NRI135" s="3507"/>
      <c r="NRJ135" s="3507"/>
      <c r="NRK135" s="3507"/>
      <c r="NRL135" s="3507"/>
      <c r="NRM135" s="3507"/>
      <c r="NRN135" s="3507"/>
      <c r="NRO135" s="3507"/>
      <c r="NRP135" s="3507"/>
      <c r="NRQ135" s="3507"/>
      <c r="NRR135" s="3507"/>
      <c r="NRS135" s="3507"/>
      <c r="NRT135" s="3507"/>
      <c r="NRU135" s="3507"/>
      <c r="NRV135" s="3507"/>
      <c r="NRW135" s="3507"/>
      <c r="NRX135" s="3507"/>
      <c r="NRY135" s="3507"/>
      <c r="NRZ135" s="3507"/>
      <c r="NSA135" s="3507"/>
      <c r="NSB135" s="3507"/>
      <c r="NSC135" s="3507"/>
      <c r="NSD135" s="3507"/>
      <c r="NSE135" s="3507"/>
      <c r="NSF135" s="3507"/>
      <c r="NSG135" s="3507"/>
      <c r="NSH135" s="3507"/>
      <c r="NSI135" s="3507"/>
      <c r="NSJ135" s="3507"/>
      <c r="NSK135" s="3507"/>
      <c r="NSL135" s="3507"/>
      <c r="NSM135" s="3507"/>
      <c r="NSN135" s="3507"/>
      <c r="NSO135" s="3507"/>
      <c r="NSP135" s="3507"/>
      <c r="NSQ135" s="3507"/>
      <c r="NSR135" s="3507"/>
      <c r="NSS135" s="3507"/>
      <c r="NST135" s="3507"/>
      <c r="NSU135" s="3507"/>
      <c r="NSV135" s="3507"/>
      <c r="NSW135" s="3507"/>
      <c r="NSX135" s="3507"/>
      <c r="NSY135" s="3507"/>
      <c r="NSZ135" s="3507"/>
      <c r="NTA135" s="3507"/>
      <c r="NTB135" s="3507"/>
      <c r="NTC135" s="3507"/>
      <c r="NTD135" s="3507"/>
      <c r="NTE135" s="3507"/>
      <c r="NTF135" s="3507"/>
      <c r="NTG135" s="3507"/>
      <c r="NTH135" s="3507"/>
      <c r="NTI135" s="3507"/>
      <c r="NTJ135" s="3507"/>
      <c r="NTK135" s="3507"/>
      <c r="NTL135" s="3507"/>
      <c r="NTM135" s="3507"/>
      <c r="NTN135" s="3507"/>
      <c r="NTO135" s="3507"/>
      <c r="NTP135" s="3507"/>
      <c r="NTQ135" s="3507"/>
      <c r="NTR135" s="3507"/>
      <c r="NTS135" s="3507"/>
      <c r="NTT135" s="3507"/>
      <c r="NTU135" s="3507"/>
      <c r="NTV135" s="3507"/>
      <c r="NTW135" s="3507"/>
      <c r="NTX135" s="3507"/>
      <c r="NTY135" s="3507"/>
      <c r="NTZ135" s="3507"/>
      <c r="NUA135" s="3507"/>
      <c r="NUB135" s="3507"/>
      <c r="NUC135" s="3507"/>
      <c r="NUD135" s="3507"/>
      <c r="NUE135" s="3507"/>
      <c r="NUF135" s="3507"/>
      <c r="NUG135" s="3507"/>
      <c r="NUH135" s="3507"/>
      <c r="NUI135" s="3507"/>
      <c r="NUJ135" s="3507"/>
      <c r="NUK135" s="3507"/>
      <c r="NUL135" s="3507"/>
      <c r="NUM135" s="3507"/>
      <c r="NUN135" s="3507"/>
      <c r="NUO135" s="3507"/>
      <c r="NUP135" s="3507"/>
      <c r="NUQ135" s="3507"/>
      <c r="NUR135" s="3507"/>
      <c r="NUS135" s="3507"/>
      <c r="NUT135" s="3507"/>
      <c r="NUU135" s="3507"/>
      <c r="NUV135" s="3507"/>
      <c r="NUW135" s="3507"/>
      <c r="NUX135" s="3507"/>
      <c r="NUY135" s="3507"/>
      <c r="NUZ135" s="3507"/>
      <c r="NVA135" s="3507"/>
      <c r="NVB135" s="3507"/>
      <c r="NVC135" s="3507"/>
      <c r="NVD135" s="3507"/>
      <c r="NVE135" s="3507"/>
      <c r="NVF135" s="3507"/>
      <c r="NVG135" s="3507"/>
      <c r="NVH135" s="3507"/>
      <c r="NVI135" s="3507"/>
      <c r="NVJ135" s="3507"/>
      <c r="NVK135" s="3507"/>
      <c r="NVL135" s="3507"/>
      <c r="NVM135" s="3507"/>
      <c r="NVN135" s="3507"/>
      <c r="NVO135" s="3507"/>
      <c r="NVP135" s="3507"/>
      <c r="NVQ135" s="3507"/>
      <c r="NVR135" s="3507"/>
      <c r="NVS135" s="3507"/>
      <c r="NVT135" s="3507"/>
      <c r="NVU135" s="3507"/>
      <c r="NVV135" s="3507"/>
      <c r="NVW135" s="3507"/>
      <c r="NVX135" s="3507"/>
      <c r="NVY135" s="3507"/>
      <c r="NVZ135" s="3507"/>
      <c r="NWA135" s="3507"/>
      <c r="NWB135" s="3507"/>
      <c r="NWC135" s="3507"/>
      <c r="NWD135" s="3507"/>
      <c r="NWE135" s="3507"/>
      <c r="NWF135" s="3507"/>
      <c r="NWG135" s="3507"/>
      <c r="NWH135" s="3507"/>
      <c r="NWI135" s="3507"/>
      <c r="NWJ135" s="3507"/>
      <c r="NWK135" s="3507"/>
      <c r="NWL135" s="3507"/>
      <c r="NWM135" s="3507"/>
      <c r="NWN135" s="3507"/>
      <c r="NWO135" s="3507"/>
      <c r="NWP135" s="3507"/>
      <c r="NWQ135" s="3507"/>
      <c r="NWR135" s="3507"/>
      <c r="NWS135" s="3507"/>
      <c r="NWT135" s="3507"/>
      <c r="NWU135" s="3507"/>
      <c r="NWV135" s="3507"/>
      <c r="NWW135" s="3507"/>
      <c r="NWX135" s="3507"/>
      <c r="NWY135" s="3507"/>
      <c r="NWZ135" s="3507"/>
      <c r="NXA135" s="3507"/>
      <c r="NXB135" s="3507"/>
      <c r="NXC135" s="3507"/>
      <c r="NXD135" s="3507"/>
      <c r="NXE135" s="3507"/>
      <c r="NXF135" s="3507"/>
      <c r="NXG135" s="3507"/>
      <c r="NXH135" s="3507"/>
      <c r="NXI135" s="3507"/>
      <c r="NXJ135" s="3507"/>
      <c r="NXK135" s="3507"/>
      <c r="NXL135" s="3507"/>
      <c r="NXM135" s="3507"/>
      <c r="NXN135" s="3507"/>
      <c r="NXO135" s="3507"/>
      <c r="NXP135" s="3507"/>
      <c r="NXQ135" s="3507"/>
      <c r="NXR135" s="3507"/>
      <c r="NXS135" s="3507"/>
      <c r="NXT135" s="3507"/>
      <c r="NXU135" s="3507"/>
      <c r="NXV135" s="3507"/>
      <c r="NXW135" s="3507"/>
      <c r="NXX135" s="3507"/>
      <c r="NXY135" s="3507"/>
      <c r="NXZ135" s="3507"/>
      <c r="NYA135" s="3507"/>
      <c r="NYB135" s="3507"/>
      <c r="NYC135" s="3507"/>
      <c r="NYD135" s="3507"/>
      <c r="NYE135" s="3507"/>
      <c r="NYF135" s="3507"/>
      <c r="NYG135" s="3507"/>
      <c r="NYH135" s="3507"/>
      <c r="NYI135" s="3507"/>
      <c r="NYJ135" s="3507"/>
      <c r="NYK135" s="3507"/>
      <c r="NYL135" s="3507"/>
      <c r="NYM135" s="3507"/>
      <c r="NYN135" s="3507"/>
      <c r="NYO135" s="3507"/>
      <c r="NYP135" s="3507"/>
      <c r="NYQ135" s="3507"/>
      <c r="NYR135" s="3507"/>
      <c r="NYS135" s="3507"/>
      <c r="NYT135" s="3507"/>
      <c r="NYU135" s="3507"/>
      <c r="NYV135" s="3507"/>
      <c r="NYW135" s="3507"/>
      <c r="NYX135" s="3507"/>
      <c r="NYY135" s="3507"/>
      <c r="NYZ135" s="3507"/>
      <c r="NZA135" s="3507"/>
      <c r="NZB135" s="3507"/>
      <c r="NZC135" s="3507"/>
      <c r="NZD135" s="3507"/>
      <c r="NZE135" s="3507"/>
      <c r="NZF135" s="3507"/>
      <c r="NZG135" s="3507"/>
      <c r="NZH135" s="3507"/>
      <c r="NZI135" s="3507"/>
      <c r="NZJ135" s="3507"/>
      <c r="NZK135" s="3507"/>
      <c r="NZL135" s="3507"/>
      <c r="NZM135" s="3507"/>
      <c r="NZN135" s="3507"/>
      <c r="NZO135" s="3507"/>
      <c r="NZP135" s="3507"/>
      <c r="NZQ135" s="3507"/>
      <c r="NZR135" s="3507"/>
      <c r="NZS135" s="3507"/>
      <c r="NZT135" s="3507"/>
      <c r="NZU135" s="3507"/>
      <c r="NZV135" s="3507"/>
      <c r="NZW135" s="3507"/>
      <c r="NZX135" s="3507"/>
      <c r="NZY135" s="3507"/>
      <c r="NZZ135" s="3507"/>
      <c r="OAA135" s="3507"/>
      <c r="OAB135" s="3507"/>
      <c r="OAC135" s="3507"/>
      <c r="OAD135" s="3507"/>
      <c r="OAE135" s="3507"/>
      <c r="OAF135" s="3507"/>
      <c r="OAG135" s="3507"/>
      <c r="OAH135" s="3507"/>
      <c r="OAI135" s="3507"/>
      <c r="OAJ135" s="3507"/>
      <c r="OAK135" s="3507"/>
      <c r="OAL135" s="3507"/>
      <c r="OAM135" s="3507"/>
      <c r="OAN135" s="3507"/>
      <c r="OAO135" s="3507"/>
      <c r="OAP135" s="3507"/>
      <c r="OAQ135" s="3507"/>
      <c r="OAR135" s="3507"/>
      <c r="OAS135" s="3507"/>
      <c r="OAT135" s="3507"/>
      <c r="OAU135" s="3507"/>
      <c r="OAV135" s="3507"/>
      <c r="OAW135" s="3507"/>
      <c r="OAX135" s="3507"/>
      <c r="OAY135" s="3507"/>
      <c r="OAZ135" s="3507"/>
      <c r="OBA135" s="3507"/>
      <c r="OBB135" s="3507"/>
      <c r="OBC135" s="3507"/>
      <c r="OBD135" s="3507"/>
      <c r="OBE135" s="3507"/>
      <c r="OBF135" s="3507"/>
      <c r="OBG135" s="3507"/>
      <c r="OBH135" s="3507"/>
      <c r="OBI135" s="3507"/>
      <c r="OBJ135" s="3507"/>
      <c r="OBK135" s="3507"/>
      <c r="OBL135" s="3507"/>
      <c r="OBM135" s="3507"/>
      <c r="OBN135" s="3507"/>
      <c r="OBO135" s="3507"/>
      <c r="OBP135" s="3507"/>
      <c r="OBQ135" s="3507"/>
      <c r="OBR135" s="3507"/>
      <c r="OBS135" s="3507"/>
      <c r="OBT135" s="3507"/>
      <c r="OBU135" s="3507"/>
      <c r="OBV135" s="3507"/>
      <c r="OBW135" s="3507"/>
      <c r="OBX135" s="3507"/>
      <c r="OBY135" s="3507"/>
      <c r="OBZ135" s="3507"/>
      <c r="OCA135" s="3507"/>
      <c r="OCB135" s="3507"/>
      <c r="OCC135" s="3507"/>
      <c r="OCD135" s="3507"/>
      <c r="OCE135" s="3507"/>
      <c r="OCF135" s="3507"/>
      <c r="OCG135" s="3507"/>
      <c r="OCH135" s="3507"/>
      <c r="OCI135" s="3507"/>
      <c r="OCJ135" s="3507"/>
      <c r="OCK135" s="3507"/>
      <c r="OCL135" s="3507"/>
      <c r="OCM135" s="3507"/>
      <c r="OCN135" s="3507"/>
      <c r="OCO135" s="3507"/>
      <c r="OCP135" s="3507"/>
      <c r="OCQ135" s="3507"/>
      <c r="OCR135" s="3507"/>
      <c r="OCS135" s="3507"/>
      <c r="OCT135" s="3507"/>
      <c r="OCU135" s="3507"/>
      <c r="OCV135" s="3507"/>
      <c r="OCW135" s="3507"/>
      <c r="OCX135" s="3507"/>
      <c r="OCY135" s="3507"/>
      <c r="OCZ135" s="3507"/>
      <c r="ODA135" s="3507"/>
      <c r="ODB135" s="3507"/>
      <c r="ODC135" s="3507"/>
      <c r="ODD135" s="3507"/>
      <c r="ODE135" s="3507"/>
      <c r="ODF135" s="3507"/>
      <c r="ODG135" s="3507"/>
      <c r="ODH135" s="3507"/>
      <c r="ODI135" s="3507"/>
      <c r="ODJ135" s="3507"/>
      <c r="ODK135" s="3507"/>
      <c r="ODL135" s="3507"/>
      <c r="ODM135" s="3507"/>
      <c r="ODN135" s="3507"/>
      <c r="ODO135" s="3507"/>
      <c r="ODP135" s="3507"/>
      <c r="ODQ135" s="3507"/>
      <c r="ODR135" s="3507"/>
      <c r="ODS135" s="3507"/>
      <c r="ODT135" s="3507"/>
      <c r="ODU135" s="3507"/>
      <c r="ODV135" s="3507"/>
      <c r="ODW135" s="3507"/>
      <c r="ODX135" s="3507"/>
      <c r="ODY135" s="3507"/>
      <c r="ODZ135" s="3507"/>
      <c r="OEA135" s="3507"/>
      <c r="OEB135" s="3507"/>
      <c r="OEC135" s="3507"/>
      <c r="OED135" s="3507"/>
      <c r="OEE135" s="3507"/>
      <c r="OEF135" s="3507"/>
      <c r="OEG135" s="3507"/>
      <c r="OEH135" s="3507"/>
      <c r="OEI135" s="3507"/>
      <c r="OEJ135" s="3507"/>
      <c r="OEK135" s="3507"/>
      <c r="OEL135" s="3507"/>
      <c r="OEM135" s="3507"/>
      <c r="OEN135" s="3507"/>
      <c r="OEO135" s="3507"/>
      <c r="OEP135" s="3507"/>
      <c r="OEQ135" s="3507"/>
      <c r="OER135" s="3507"/>
      <c r="OES135" s="3507"/>
      <c r="OET135" s="3507"/>
      <c r="OEU135" s="3507"/>
      <c r="OEV135" s="3507"/>
      <c r="OEW135" s="3507"/>
      <c r="OEX135" s="3507"/>
      <c r="OEY135" s="3507"/>
      <c r="OEZ135" s="3507"/>
      <c r="OFA135" s="3507"/>
      <c r="OFB135" s="3507"/>
      <c r="OFC135" s="3507"/>
      <c r="OFD135" s="3507"/>
      <c r="OFE135" s="3507"/>
      <c r="OFF135" s="3507"/>
      <c r="OFG135" s="3507"/>
      <c r="OFH135" s="3507"/>
      <c r="OFI135" s="3507"/>
      <c r="OFJ135" s="3507"/>
      <c r="OFK135" s="3507"/>
      <c r="OFL135" s="3507"/>
      <c r="OFM135" s="3507"/>
      <c r="OFN135" s="3507"/>
      <c r="OFO135" s="3507"/>
      <c r="OFP135" s="3507"/>
      <c r="OFQ135" s="3507"/>
      <c r="OFR135" s="3507"/>
      <c r="OFS135" s="3507"/>
      <c r="OFT135" s="3507"/>
      <c r="OFU135" s="3507"/>
      <c r="OFV135" s="3507"/>
      <c r="OFW135" s="3507"/>
      <c r="OFX135" s="3507"/>
      <c r="OFY135" s="3507"/>
      <c r="OFZ135" s="3507"/>
      <c r="OGA135" s="3507"/>
      <c r="OGB135" s="3507"/>
      <c r="OGC135" s="3507"/>
      <c r="OGD135" s="3507"/>
      <c r="OGE135" s="3507"/>
      <c r="OGF135" s="3507"/>
      <c r="OGG135" s="3507"/>
      <c r="OGH135" s="3507"/>
      <c r="OGI135" s="3507"/>
      <c r="OGJ135" s="3507"/>
      <c r="OGK135" s="3507"/>
      <c r="OGL135" s="3507"/>
      <c r="OGM135" s="3507"/>
      <c r="OGN135" s="3507"/>
      <c r="OGO135" s="3507"/>
      <c r="OGP135" s="3507"/>
      <c r="OGQ135" s="3507"/>
      <c r="OGR135" s="3507"/>
      <c r="OGS135" s="3507"/>
      <c r="OGT135" s="3507"/>
      <c r="OGU135" s="3507"/>
      <c r="OGV135" s="3507"/>
      <c r="OGW135" s="3507"/>
      <c r="OGX135" s="3507"/>
      <c r="OGY135" s="3507"/>
      <c r="OGZ135" s="3507"/>
      <c r="OHA135" s="3507"/>
      <c r="OHB135" s="3507"/>
      <c r="OHC135" s="3507"/>
      <c r="OHD135" s="3507"/>
      <c r="OHE135" s="3507"/>
      <c r="OHF135" s="3507"/>
      <c r="OHG135" s="3507"/>
      <c r="OHH135" s="3507"/>
      <c r="OHI135" s="3507"/>
      <c r="OHJ135" s="3507"/>
      <c r="OHK135" s="3507"/>
      <c r="OHL135" s="3507"/>
      <c r="OHM135" s="3507"/>
      <c r="OHN135" s="3507"/>
      <c r="OHO135" s="3507"/>
      <c r="OHP135" s="3507"/>
      <c r="OHQ135" s="3507"/>
      <c r="OHR135" s="3507"/>
      <c r="OHS135" s="3507"/>
      <c r="OHT135" s="3507"/>
      <c r="OHU135" s="3507"/>
      <c r="OHV135" s="3507"/>
      <c r="OHW135" s="3507"/>
      <c r="OHX135" s="3507"/>
      <c r="OHY135" s="3507"/>
      <c r="OHZ135" s="3507"/>
      <c r="OIA135" s="3507"/>
      <c r="OIB135" s="3507"/>
      <c r="OIC135" s="3507"/>
      <c r="OID135" s="3507"/>
      <c r="OIE135" s="3507"/>
      <c r="OIF135" s="3507"/>
      <c r="OIG135" s="3507"/>
      <c r="OIH135" s="3507"/>
      <c r="OII135" s="3507"/>
      <c r="OIJ135" s="3507"/>
      <c r="OIK135" s="3507"/>
      <c r="OIL135" s="3507"/>
      <c r="OIM135" s="3507"/>
      <c r="OIN135" s="3507"/>
      <c r="OIO135" s="3507"/>
      <c r="OIP135" s="3507"/>
      <c r="OIQ135" s="3507"/>
      <c r="OIR135" s="3507"/>
      <c r="OIS135" s="3507"/>
      <c r="OIT135" s="3507"/>
      <c r="OIU135" s="3507"/>
      <c r="OIV135" s="3507"/>
      <c r="OIW135" s="3507"/>
      <c r="OIX135" s="3507"/>
      <c r="OIY135" s="3507"/>
      <c r="OIZ135" s="3507"/>
      <c r="OJA135" s="3507"/>
      <c r="OJB135" s="3507"/>
      <c r="OJC135" s="3507"/>
      <c r="OJD135" s="3507"/>
      <c r="OJE135" s="3507"/>
      <c r="OJF135" s="3507"/>
      <c r="OJG135" s="3507"/>
      <c r="OJH135" s="3507"/>
      <c r="OJI135" s="3507"/>
      <c r="OJJ135" s="3507"/>
      <c r="OJK135" s="3507"/>
      <c r="OJL135" s="3507"/>
      <c r="OJM135" s="3507"/>
      <c r="OJN135" s="3507"/>
      <c r="OJO135" s="3507"/>
      <c r="OJP135" s="3507"/>
      <c r="OJQ135" s="3507"/>
      <c r="OJR135" s="3507"/>
      <c r="OJS135" s="3507"/>
      <c r="OJT135" s="3507"/>
      <c r="OJU135" s="3507"/>
      <c r="OJV135" s="3507"/>
      <c r="OJW135" s="3507"/>
      <c r="OJX135" s="3507"/>
      <c r="OJY135" s="3507"/>
      <c r="OJZ135" s="3507"/>
      <c r="OKA135" s="3507"/>
      <c r="OKB135" s="3507"/>
      <c r="OKC135" s="3507"/>
      <c r="OKD135" s="3507"/>
      <c r="OKE135" s="3507"/>
      <c r="OKF135" s="3507"/>
      <c r="OKG135" s="3507"/>
      <c r="OKH135" s="3507"/>
      <c r="OKI135" s="3507"/>
      <c r="OKJ135" s="3507"/>
      <c r="OKK135" s="3507"/>
      <c r="OKL135" s="3507"/>
      <c r="OKM135" s="3507"/>
      <c r="OKN135" s="3507"/>
      <c r="OKO135" s="3507"/>
      <c r="OKP135" s="3507"/>
      <c r="OKQ135" s="3507"/>
      <c r="OKR135" s="3507"/>
      <c r="OKS135" s="3507"/>
      <c r="OKT135" s="3507"/>
      <c r="OKU135" s="3507"/>
      <c r="OKV135" s="3507"/>
      <c r="OKW135" s="3507"/>
      <c r="OKX135" s="3507"/>
      <c r="OKY135" s="3507"/>
      <c r="OKZ135" s="3507"/>
      <c r="OLA135" s="3507"/>
      <c r="OLB135" s="3507"/>
      <c r="OLC135" s="3507"/>
      <c r="OLD135" s="3507"/>
      <c r="OLE135" s="3507"/>
      <c r="OLF135" s="3507"/>
      <c r="OLG135" s="3507"/>
      <c r="OLH135" s="3507"/>
      <c r="OLI135" s="3507"/>
      <c r="OLJ135" s="3507"/>
      <c r="OLK135" s="3507"/>
      <c r="OLL135" s="3507"/>
      <c r="OLM135" s="3507"/>
      <c r="OLN135" s="3507"/>
      <c r="OLO135" s="3507"/>
      <c r="OLP135" s="3507"/>
      <c r="OLQ135" s="3507"/>
      <c r="OLR135" s="3507"/>
      <c r="OLS135" s="3507"/>
      <c r="OLT135" s="3507"/>
      <c r="OLU135" s="3507"/>
      <c r="OLV135" s="3507"/>
      <c r="OLW135" s="3507"/>
      <c r="OLX135" s="3507"/>
      <c r="OLY135" s="3507"/>
      <c r="OLZ135" s="3507"/>
      <c r="OMA135" s="3507"/>
      <c r="OMB135" s="3507"/>
      <c r="OMC135" s="3507"/>
      <c r="OMD135" s="3507"/>
      <c r="OME135" s="3507"/>
      <c r="OMF135" s="3507"/>
      <c r="OMG135" s="3507"/>
      <c r="OMH135" s="3507"/>
      <c r="OMI135" s="3507"/>
      <c r="OMJ135" s="3507"/>
      <c r="OMK135" s="3507"/>
      <c r="OML135" s="3507"/>
      <c r="OMM135" s="3507"/>
      <c r="OMN135" s="3507"/>
      <c r="OMO135" s="3507"/>
      <c r="OMP135" s="3507"/>
      <c r="OMQ135" s="3507"/>
      <c r="OMR135" s="3507"/>
      <c r="OMS135" s="3507"/>
      <c r="OMT135" s="3507"/>
      <c r="OMU135" s="3507"/>
      <c r="OMV135" s="3507"/>
      <c r="OMW135" s="3507"/>
      <c r="OMX135" s="3507"/>
      <c r="OMY135" s="3507"/>
      <c r="OMZ135" s="3507"/>
      <c r="ONA135" s="3507"/>
      <c r="ONB135" s="3507"/>
      <c r="ONC135" s="3507"/>
      <c r="OND135" s="3507"/>
      <c r="ONE135" s="3507"/>
      <c r="ONF135" s="3507"/>
      <c r="ONG135" s="3507"/>
      <c r="ONH135" s="3507"/>
      <c r="ONI135" s="3507"/>
      <c r="ONJ135" s="3507"/>
      <c r="ONK135" s="3507"/>
      <c r="ONL135" s="3507"/>
      <c r="ONM135" s="3507"/>
      <c r="ONN135" s="3507"/>
      <c r="ONO135" s="3507"/>
      <c r="ONP135" s="3507"/>
      <c r="ONQ135" s="3507"/>
      <c r="ONR135" s="3507"/>
      <c r="ONS135" s="3507"/>
      <c r="ONT135" s="3507"/>
      <c r="ONU135" s="3507"/>
      <c r="ONV135" s="3507"/>
      <c r="ONW135" s="3507"/>
      <c r="ONX135" s="3507"/>
      <c r="ONY135" s="3507"/>
      <c r="ONZ135" s="3507"/>
      <c r="OOA135" s="3507"/>
      <c r="OOB135" s="3507"/>
      <c r="OOC135" s="3507"/>
      <c r="OOD135" s="3507"/>
      <c r="OOE135" s="3507"/>
      <c r="OOF135" s="3507"/>
      <c r="OOG135" s="3507"/>
      <c r="OOH135" s="3507"/>
      <c r="OOI135" s="3507"/>
      <c r="OOJ135" s="3507"/>
      <c r="OOK135" s="3507"/>
      <c r="OOL135" s="3507"/>
      <c r="OOM135" s="3507"/>
      <c r="OON135" s="3507"/>
      <c r="OOO135" s="3507"/>
      <c r="OOP135" s="3507"/>
      <c r="OOQ135" s="3507"/>
      <c r="OOR135" s="3507"/>
      <c r="OOS135" s="3507"/>
      <c r="OOT135" s="3507"/>
      <c r="OOU135" s="3507"/>
      <c r="OOV135" s="3507"/>
      <c r="OOW135" s="3507"/>
      <c r="OOX135" s="3507"/>
      <c r="OOY135" s="3507"/>
      <c r="OOZ135" s="3507"/>
      <c r="OPA135" s="3507"/>
      <c r="OPB135" s="3507"/>
      <c r="OPC135" s="3507"/>
      <c r="OPD135" s="3507"/>
      <c r="OPE135" s="3507"/>
      <c r="OPF135" s="3507"/>
      <c r="OPG135" s="3507"/>
      <c r="OPH135" s="3507"/>
      <c r="OPI135" s="3507"/>
      <c r="OPJ135" s="3507"/>
      <c r="OPK135" s="3507"/>
      <c r="OPL135" s="3507"/>
      <c r="OPM135" s="3507"/>
      <c r="OPN135" s="3507"/>
      <c r="OPO135" s="3507"/>
      <c r="OPP135" s="3507"/>
      <c r="OPQ135" s="3507"/>
      <c r="OPR135" s="3507"/>
      <c r="OPS135" s="3507"/>
      <c r="OPT135" s="3507"/>
      <c r="OPU135" s="3507"/>
      <c r="OPV135" s="3507"/>
      <c r="OPW135" s="3507"/>
      <c r="OPX135" s="3507"/>
      <c r="OPY135" s="3507"/>
      <c r="OPZ135" s="3507"/>
      <c r="OQA135" s="3507"/>
      <c r="OQB135" s="3507"/>
      <c r="OQC135" s="3507"/>
      <c r="OQD135" s="3507"/>
      <c r="OQE135" s="3507"/>
      <c r="OQF135" s="3507"/>
      <c r="OQG135" s="3507"/>
      <c r="OQH135" s="3507"/>
      <c r="OQI135" s="3507"/>
      <c r="OQJ135" s="3507"/>
      <c r="OQK135" s="3507"/>
      <c r="OQL135" s="3507"/>
      <c r="OQM135" s="3507"/>
      <c r="OQN135" s="3507"/>
      <c r="OQO135" s="3507"/>
      <c r="OQP135" s="3507"/>
      <c r="OQQ135" s="3507"/>
      <c r="OQR135" s="3507"/>
      <c r="OQS135" s="3507"/>
      <c r="OQT135" s="3507"/>
      <c r="OQU135" s="3507"/>
      <c r="OQV135" s="3507"/>
      <c r="OQW135" s="3507"/>
      <c r="OQX135" s="3507"/>
      <c r="OQY135" s="3507"/>
      <c r="OQZ135" s="3507"/>
      <c r="ORA135" s="3507"/>
      <c r="ORB135" s="3507"/>
      <c r="ORC135" s="3507"/>
      <c r="ORD135" s="3507"/>
      <c r="ORE135" s="3507"/>
      <c r="ORF135" s="3507"/>
      <c r="ORG135" s="3507"/>
      <c r="ORH135" s="3507"/>
      <c r="ORI135" s="3507"/>
      <c r="ORJ135" s="3507"/>
      <c r="ORK135" s="3507"/>
      <c r="ORL135" s="3507"/>
      <c r="ORM135" s="3507"/>
      <c r="ORN135" s="3507"/>
      <c r="ORO135" s="3507"/>
      <c r="ORP135" s="3507"/>
      <c r="ORQ135" s="3507"/>
      <c r="ORR135" s="3507"/>
      <c r="ORS135" s="3507"/>
      <c r="ORT135" s="3507"/>
      <c r="ORU135" s="3507"/>
      <c r="ORV135" s="3507"/>
      <c r="ORW135" s="3507"/>
      <c r="ORX135" s="3507"/>
      <c r="ORY135" s="3507"/>
      <c r="ORZ135" s="3507"/>
      <c r="OSA135" s="3507"/>
      <c r="OSB135" s="3507"/>
      <c r="OSC135" s="3507"/>
      <c r="OSD135" s="3507"/>
      <c r="OSE135" s="3507"/>
      <c r="OSF135" s="3507"/>
      <c r="OSG135" s="3507"/>
      <c r="OSH135" s="3507"/>
      <c r="OSI135" s="3507"/>
      <c r="OSJ135" s="3507"/>
      <c r="OSK135" s="3507"/>
      <c r="OSL135" s="3507"/>
      <c r="OSM135" s="3507"/>
      <c r="OSN135" s="3507"/>
      <c r="OSO135" s="3507"/>
      <c r="OSP135" s="3507"/>
      <c r="OSQ135" s="3507"/>
      <c r="OSR135" s="3507"/>
      <c r="OSS135" s="3507"/>
      <c r="OST135" s="3507"/>
      <c r="OSU135" s="3507"/>
      <c r="OSV135" s="3507"/>
      <c r="OSW135" s="3507"/>
      <c r="OSX135" s="3507"/>
      <c r="OSY135" s="3507"/>
      <c r="OSZ135" s="3507"/>
      <c r="OTA135" s="3507"/>
      <c r="OTB135" s="3507"/>
      <c r="OTC135" s="3507"/>
      <c r="OTD135" s="3507"/>
      <c r="OTE135" s="3507"/>
      <c r="OTF135" s="3507"/>
      <c r="OTG135" s="3507"/>
      <c r="OTH135" s="3507"/>
      <c r="OTI135" s="3507"/>
      <c r="OTJ135" s="3507"/>
      <c r="OTK135" s="3507"/>
      <c r="OTL135" s="3507"/>
      <c r="OTM135" s="3507"/>
      <c r="OTN135" s="3507"/>
      <c r="OTO135" s="3507"/>
      <c r="OTP135" s="3507"/>
      <c r="OTQ135" s="3507"/>
      <c r="OTR135" s="3507"/>
      <c r="OTS135" s="3507"/>
      <c r="OTT135" s="3507"/>
      <c r="OTU135" s="3507"/>
      <c r="OTV135" s="3507"/>
      <c r="OTW135" s="3507"/>
      <c r="OTX135" s="3507"/>
      <c r="OTY135" s="3507"/>
      <c r="OTZ135" s="3507"/>
      <c r="OUA135" s="3507"/>
      <c r="OUB135" s="3507"/>
      <c r="OUC135" s="3507"/>
      <c r="OUD135" s="3507"/>
      <c r="OUE135" s="3507"/>
      <c r="OUF135" s="3507"/>
      <c r="OUG135" s="3507"/>
      <c r="OUH135" s="3507"/>
      <c r="OUI135" s="3507"/>
      <c r="OUJ135" s="3507"/>
      <c r="OUK135" s="3507"/>
      <c r="OUL135" s="3507"/>
      <c r="OUM135" s="3507"/>
      <c r="OUN135" s="3507"/>
      <c r="OUO135" s="3507"/>
      <c r="OUP135" s="3507"/>
      <c r="OUQ135" s="3507"/>
      <c r="OUR135" s="3507"/>
      <c r="OUS135" s="3507"/>
      <c r="OUT135" s="3507"/>
      <c r="OUU135" s="3507"/>
      <c r="OUV135" s="3507"/>
      <c r="OUW135" s="3507"/>
      <c r="OUX135" s="3507"/>
      <c r="OUY135" s="3507"/>
      <c r="OUZ135" s="3507"/>
      <c r="OVA135" s="3507"/>
      <c r="OVB135" s="3507"/>
      <c r="OVC135" s="3507"/>
      <c r="OVD135" s="3507"/>
      <c r="OVE135" s="3507"/>
      <c r="OVF135" s="3507"/>
      <c r="OVG135" s="3507"/>
      <c r="OVH135" s="3507"/>
      <c r="OVI135" s="3507"/>
      <c r="OVJ135" s="3507"/>
      <c r="OVK135" s="3507"/>
      <c r="OVL135" s="3507"/>
      <c r="OVM135" s="3507"/>
      <c r="OVN135" s="3507"/>
      <c r="OVO135" s="3507"/>
      <c r="OVP135" s="3507"/>
      <c r="OVQ135" s="3507"/>
      <c r="OVR135" s="3507"/>
      <c r="OVS135" s="3507"/>
      <c r="OVT135" s="3507"/>
      <c r="OVU135" s="3507"/>
      <c r="OVV135" s="3507"/>
      <c r="OVW135" s="3507"/>
      <c r="OVX135" s="3507"/>
      <c r="OVY135" s="3507"/>
      <c r="OVZ135" s="3507"/>
      <c r="OWA135" s="3507"/>
      <c r="OWB135" s="3507"/>
      <c r="OWC135" s="3507"/>
      <c r="OWD135" s="3507"/>
      <c r="OWE135" s="3507"/>
      <c r="OWF135" s="3507"/>
      <c r="OWG135" s="3507"/>
      <c r="OWH135" s="3507"/>
      <c r="OWI135" s="3507"/>
      <c r="OWJ135" s="3507"/>
      <c r="OWK135" s="3507"/>
      <c r="OWL135" s="3507"/>
      <c r="OWM135" s="3507"/>
      <c r="OWN135" s="3507"/>
      <c r="OWO135" s="3507"/>
      <c r="OWP135" s="3507"/>
      <c r="OWQ135" s="3507"/>
      <c r="OWR135" s="3507"/>
      <c r="OWS135" s="3507"/>
      <c r="OWT135" s="3507"/>
      <c r="OWU135" s="3507"/>
      <c r="OWV135" s="3507"/>
      <c r="OWW135" s="3507"/>
      <c r="OWX135" s="3507"/>
      <c r="OWY135" s="3507"/>
      <c r="OWZ135" s="3507"/>
      <c r="OXA135" s="3507"/>
      <c r="OXB135" s="3507"/>
      <c r="OXC135" s="3507"/>
      <c r="OXD135" s="3507"/>
      <c r="OXE135" s="3507"/>
      <c r="OXF135" s="3507"/>
      <c r="OXG135" s="3507"/>
      <c r="OXH135" s="3507"/>
      <c r="OXI135" s="3507"/>
      <c r="OXJ135" s="3507"/>
      <c r="OXK135" s="3507"/>
      <c r="OXL135" s="3507"/>
      <c r="OXM135" s="3507"/>
      <c r="OXN135" s="3507"/>
      <c r="OXO135" s="3507"/>
      <c r="OXP135" s="3507"/>
      <c r="OXQ135" s="3507"/>
      <c r="OXR135" s="3507"/>
      <c r="OXS135" s="3507"/>
      <c r="OXT135" s="3507"/>
      <c r="OXU135" s="3507"/>
      <c r="OXV135" s="3507"/>
      <c r="OXW135" s="3507"/>
      <c r="OXX135" s="3507"/>
      <c r="OXY135" s="3507"/>
      <c r="OXZ135" s="3507"/>
      <c r="OYA135" s="3507"/>
      <c r="OYB135" s="3507"/>
      <c r="OYC135" s="3507"/>
      <c r="OYD135" s="3507"/>
      <c r="OYE135" s="3507"/>
      <c r="OYF135" s="3507"/>
      <c r="OYG135" s="3507"/>
      <c r="OYH135" s="3507"/>
      <c r="OYI135" s="3507"/>
      <c r="OYJ135" s="3507"/>
      <c r="OYK135" s="3507"/>
      <c r="OYL135" s="3507"/>
      <c r="OYM135" s="3507"/>
      <c r="OYN135" s="3507"/>
      <c r="OYO135" s="3507"/>
      <c r="OYP135" s="3507"/>
      <c r="OYQ135" s="3507"/>
      <c r="OYR135" s="3507"/>
      <c r="OYS135" s="3507"/>
      <c r="OYT135" s="3507"/>
      <c r="OYU135" s="3507"/>
      <c r="OYV135" s="3507"/>
      <c r="OYW135" s="3507"/>
      <c r="OYX135" s="3507"/>
      <c r="OYY135" s="3507"/>
      <c r="OYZ135" s="3507"/>
      <c r="OZA135" s="3507"/>
      <c r="OZB135" s="3507"/>
      <c r="OZC135" s="3507"/>
      <c r="OZD135" s="3507"/>
      <c r="OZE135" s="3507"/>
      <c r="OZF135" s="3507"/>
      <c r="OZG135" s="3507"/>
      <c r="OZH135" s="3507"/>
      <c r="OZI135" s="3507"/>
      <c r="OZJ135" s="3507"/>
      <c r="OZK135" s="3507"/>
      <c r="OZL135" s="3507"/>
      <c r="OZM135" s="3507"/>
      <c r="OZN135" s="3507"/>
      <c r="OZO135" s="3507"/>
      <c r="OZP135" s="3507"/>
      <c r="OZQ135" s="3507"/>
      <c r="OZR135" s="3507"/>
      <c r="OZS135" s="3507"/>
      <c r="OZT135" s="3507"/>
      <c r="OZU135" s="3507"/>
      <c r="OZV135" s="3507"/>
      <c r="OZW135" s="3507"/>
      <c r="OZX135" s="3507"/>
      <c r="OZY135" s="3507"/>
      <c r="OZZ135" s="3507"/>
      <c r="PAA135" s="3507"/>
      <c r="PAB135" s="3507"/>
      <c r="PAC135" s="3507"/>
      <c r="PAD135" s="3507"/>
      <c r="PAE135" s="3507"/>
      <c r="PAF135" s="3507"/>
      <c r="PAG135" s="3507"/>
      <c r="PAH135" s="3507"/>
      <c r="PAI135" s="3507"/>
      <c r="PAJ135" s="3507"/>
      <c r="PAK135" s="3507"/>
      <c r="PAL135" s="3507"/>
      <c r="PAM135" s="3507"/>
      <c r="PAN135" s="3507"/>
      <c r="PAO135" s="3507"/>
      <c r="PAP135" s="3507"/>
      <c r="PAQ135" s="3507"/>
      <c r="PAR135" s="3507"/>
      <c r="PAS135" s="3507"/>
      <c r="PAT135" s="3507"/>
      <c r="PAU135" s="3507"/>
      <c r="PAV135" s="3507"/>
      <c r="PAW135" s="3507"/>
      <c r="PAX135" s="3507"/>
      <c r="PAY135" s="3507"/>
      <c r="PAZ135" s="3507"/>
      <c r="PBA135" s="3507"/>
      <c r="PBB135" s="3507"/>
      <c r="PBC135" s="3507"/>
      <c r="PBD135" s="3507"/>
      <c r="PBE135" s="3507"/>
      <c r="PBF135" s="3507"/>
      <c r="PBG135" s="3507"/>
      <c r="PBH135" s="3507"/>
      <c r="PBI135" s="3507"/>
      <c r="PBJ135" s="3507"/>
      <c r="PBK135" s="3507"/>
      <c r="PBL135" s="3507"/>
      <c r="PBM135" s="3507"/>
      <c r="PBN135" s="3507"/>
      <c r="PBO135" s="3507"/>
      <c r="PBP135" s="3507"/>
      <c r="PBQ135" s="3507"/>
      <c r="PBR135" s="3507"/>
      <c r="PBS135" s="3507"/>
      <c r="PBT135" s="3507"/>
      <c r="PBU135" s="3507"/>
      <c r="PBV135" s="3507"/>
      <c r="PBW135" s="3507"/>
      <c r="PBX135" s="3507"/>
      <c r="PBY135" s="3507"/>
      <c r="PBZ135" s="3507"/>
      <c r="PCA135" s="3507"/>
      <c r="PCB135" s="3507"/>
      <c r="PCC135" s="3507"/>
      <c r="PCD135" s="3507"/>
      <c r="PCE135" s="3507"/>
      <c r="PCF135" s="3507"/>
      <c r="PCG135" s="3507"/>
      <c r="PCH135" s="3507"/>
      <c r="PCI135" s="3507"/>
      <c r="PCJ135" s="3507"/>
      <c r="PCK135" s="3507"/>
      <c r="PCL135" s="3507"/>
      <c r="PCM135" s="3507"/>
      <c r="PCN135" s="3507"/>
      <c r="PCO135" s="3507"/>
      <c r="PCP135" s="3507"/>
      <c r="PCQ135" s="3507"/>
      <c r="PCR135" s="3507"/>
      <c r="PCS135" s="3507"/>
      <c r="PCT135" s="3507"/>
      <c r="PCU135" s="3507"/>
      <c r="PCV135" s="3507"/>
      <c r="PCW135" s="3507"/>
      <c r="PCX135" s="3507"/>
      <c r="PCY135" s="3507"/>
      <c r="PCZ135" s="3507"/>
      <c r="PDA135" s="3507"/>
      <c r="PDB135" s="3507"/>
      <c r="PDC135" s="3507"/>
      <c r="PDD135" s="3507"/>
      <c r="PDE135" s="3507"/>
      <c r="PDF135" s="3507"/>
      <c r="PDG135" s="3507"/>
      <c r="PDH135" s="3507"/>
      <c r="PDI135" s="3507"/>
      <c r="PDJ135" s="3507"/>
      <c r="PDK135" s="3507"/>
      <c r="PDL135" s="3507"/>
      <c r="PDM135" s="3507"/>
      <c r="PDN135" s="3507"/>
      <c r="PDO135" s="3507"/>
      <c r="PDP135" s="3507"/>
      <c r="PDQ135" s="3507"/>
      <c r="PDR135" s="3507"/>
      <c r="PDS135" s="3507"/>
      <c r="PDT135" s="3507"/>
      <c r="PDU135" s="3507"/>
      <c r="PDV135" s="3507"/>
      <c r="PDW135" s="3507"/>
      <c r="PDX135" s="3507"/>
      <c r="PDY135" s="3507"/>
      <c r="PDZ135" s="3507"/>
      <c r="PEA135" s="3507"/>
      <c r="PEB135" s="3507"/>
      <c r="PEC135" s="3507"/>
      <c r="PED135" s="3507"/>
      <c r="PEE135" s="3507"/>
      <c r="PEF135" s="3507"/>
      <c r="PEG135" s="3507"/>
      <c r="PEH135" s="3507"/>
      <c r="PEI135" s="3507"/>
      <c r="PEJ135" s="3507"/>
      <c r="PEK135" s="3507"/>
      <c r="PEL135" s="3507"/>
      <c r="PEM135" s="3507"/>
      <c r="PEN135" s="3507"/>
      <c r="PEO135" s="3507"/>
      <c r="PEP135" s="3507"/>
      <c r="PEQ135" s="3507"/>
      <c r="PER135" s="3507"/>
      <c r="PES135" s="3507"/>
      <c r="PET135" s="3507"/>
      <c r="PEU135" s="3507"/>
      <c r="PEV135" s="3507"/>
      <c r="PEW135" s="3507"/>
      <c r="PEX135" s="3507"/>
      <c r="PEY135" s="3507"/>
      <c r="PEZ135" s="3507"/>
      <c r="PFA135" s="3507"/>
      <c r="PFB135" s="3507"/>
      <c r="PFC135" s="3507"/>
      <c r="PFD135" s="3507"/>
      <c r="PFE135" s="3507"/>
      <c r="PFF135" s="3507"/>
      <c r="PFG135" s="3507"/>
      <c r="PFH135" s="3507"/>
      <c r="PFI135" s="3507"/>
      <c r="PFJ135" s="3507"/>
      <c r="PFK135" s="3507"/>
      <c r="PFL135" s="3507"/>
      <c r="PFM135" s="3507"/>
      <c r="PFN135" s="3507"/>
      <c r="PFO135" s="3507"/>
      <c r="PFP135" s="3507"/>
      <c r="PFQ135" s="3507"/>
      <c r="PFR135" s="3507"/>
      <c r="PFS135" s="3507"/>
      <c r="PFT135" s="3507"/>
      <c r="PFU135" s="3507"/>
      <c r="PFV135" s="3507"/>
      <c r="PFW135" s="3507"/>
      <c r="PFX135" s="3507"/>
      <c r="PFY135" s="3507"/>
      <c r="PFZ135" s="3507"/>
      <c r="PGA135" s="3507"/>
      <c r="PGB135" s="3507"/>
      <c r="PGC135" s="3507"/>
      <c r="PGD135" s="3507"/>
      <c r="PGE135" s="3507"/>
      <c r="PGF135" s="3507"/>
      <c r="PGG135" s="3507"/>
      <c r="PGH135" s="3507"/>
      <c r="PGI135" s="3507"/>
      <c r="PGJ135" s="3507"/>
      <c r="PGK135" s="3507"/>
      <c r="PGL135" s="3507"/>
      <c r="PGM135" s="3507"/>
      <c r="PGN135" s="3507"/>
      <c r="PGO135" s="3507"/>
      <c r="PGP135" s="3507"/>
      <c r="PGQ135" s="3507"/>
      <c r="PGR135" s="3507"/>
      <c r="PGS135" s="3507"/>
      <c r="PGT135" s="3507"/>
      <c r="PGU135" s="3507"/>
      <c r="PGV135" s="3507"/>
      <c r="PGW135" s="3507"/>
      <c r="PGX135" s="3507"/>
      <c r="PGY135" s="3507"/>
      <c r="PGZ135" s="3507"/>
      <c r="PHA135" s="3507"/>
      <c r="PHB135" s="3507"/>
      <c r="PHC135" s="3507"/>
      <c r="PHD135" s="3507"/>
      <c r="PHE135" s="3507"/>
      <c r="PHF135" s="3507"/>
      <c r="PHG135" s="3507"/>
      <c r="PHH135" s="3507"/>
      <c r="PHI135" s="3507"/>
      <c r="PHJ135" s="3507"/>
      <c r="PHK135" s="3507"/>
      <c r="PHL135" s="3507"/>
      <c r="PHM135" s="3507"/>
      <c r="PHN135" s="3507"/>
      <c r="PHO135" s="3507"/>
      <c r="PHP135" s="3507"/>
      <c r="PHQ135" s="3507"/>
      <c r="PHR135" s="3507"/>
      <c r="PHS135" s="3507"/>
      <c r="PHT135" s="3507"/>
      <c r="PHU135" s="3507"/>
      <c r="PHV135" s="3507"/>
      <c r="PHW135" s="3507"/>
      <c r="PHX135" s="3507"/>
      <c r="PHY135" s="3507"/>
      <c r="PHZ135" s="3507"/>
      <c r="PIA135" s="3507"/>
      <c r="PIB135" s="3507"/>
      <c r="PIC135" s="3507"/>
      <c r="PID135" s="3507"/>
      <c r="PIE135" s="3507"/>
      <c r="PIF135" s="3507"/>
      <c r="PIG135" s="3507"/>
      <c r="PIH135" s="3507"/>
      <c r="PII135" s="3507"/>
      <c r="PIJ135" s="3507"/>
      <c r="PIK135" s="3507"/>
      <c r="PIL135" s="3507"/>
      <c r="PIM135" s="3507"/>
      <c r="PIN135" s="3507"/>
      <c r="PIO135" s="3507"/>
      <c r="PIP135" s="3507"/>
      <c r="PIQ135" s="3507"/>
      <c r="PIR135" s="3507"/>
      <c r="PIS135" s="3507"/>
      <c r="PIT135" s="3507"/>
      <c r="PIU135" s="3507"/>
      <c r="PIV135" s="3507"/>
      <c r="PIW135" s="3507"/>
      <c r="PIX135" s="3507"/>
      <c r="PIY135" s="3507"/>
      <c r="PIZ135" s="3507"/>
      <c r="PJA135" s="3507"/>
      <c r="PJB135" s="3507"/>
      <c r="PJC135" s="3507"/>
      <c r="PJD135" s="3507"/>
      <c r="PJE135" s="3507"/>
      <c r="PJF135" s="3507"/>
      <c r="PJG135" s="3507"/>
      <c r="PJH135" s="3507"/>
      <c r="PJI135" s="3507"/>
      <c r="PJJ135" s="3507"/>
      <c r="PJK135" s="3507"/>
      <c r="PJL135" s="3507"/>
      <c r="PJM135" s="3507"/>
      <c r="PJN135" s="3507"/>
      <c r="PJO135" s="3507"/>
      <c r="PJP135" s="3507"/>
      <c r="PJQ135" s="3507"/>
      <c r="PJR135" s="3507"/>
      <c r="PJS135" s="3507"/>
      <c r="PJT135" s="3507"/>
      <c r="PJU135" s="3507"/>
      <c r="PJV135" s="3507"/>
      <c r="PJW135" s="3507"/>
      <c r="PJX135" s="3507"/>
      <c r="PJY135" s="3507"/>
      <c r="PJZ135" s="3507"/>
      <c r="PKA135" s="3507"/>
      <c r="PKB135" s="3507"/>
      <c r="PKC135" s="3507"/>
      <c r="PKD135" s="3507"/>
      <c r="PKE135" s="3507"/>
      <c r="PKF135" s="3507"/>
      <c r="PKG135" s="3507"/>
      <c r="PKH135" s="3507"/>
      <c r="PKI135" s="3507"/>
      <c r="PKJ135" s="3507"/>
      <c r="PKK135" s="3507"/>
      <c r="PKL135" s="3507"/>
      <c r="PKM135" s="3507"/>
      <c r="PKN135" s="3507"/>
      <c r="PKO135" s="3507"/>
      <c r="PKP135" s="3507"/>
      <c r="PKQ135" s="3507"/>
      <c r="PKR135" s="3507"/>
      <c r="PKS135" s="3507"/>
      <c r="PKT135" s="3507"/>
      <c r="PKU135" s="3507"/>
      <c r="PKV135" s="3507"/>
      <c r="PKW135" s="3507"/>
      <c r="PKX135" s="3507"/>
      <c r="PKY135" s="3507"/>
      <c r="PKZ135" s="3507"/>
      <c r="PLA135" s="3507"/>
      <c r="PLB135" s="3507"/>
      <c r="PLC135" s="3507"/>
      <c r="PLD135" s="3507"/>
      <c r="PLE135" s="3507"/>
      <c r="PLF135" s="3507"/>
      <c r="PLG135" s="3507"/>
      <c r="PLH135" s="3507"/>
      <c r="PLI135" s="3507"/>
      <c r="PLJ135" s="3507"/>
      <c r="PLK135" s="3507"/>
      <c r="PLL135" s="3507"/>
      <c r="PLM135" s="3507"/>
      <c r="PLN135" s="3507"/>
      <c r="PLO135" s="3507"/>
      <c r="PLP135" s="3507"/>
      <c r="PLQ135" s="3507"/>
      <c r="PLR135" s="3507"/>
      <c r="PLS135" s="3507"/>
      <c r="PLT135" s="3507"/>
      <c r="PLU135" s="3507"/>
      <c r="PLV135" s="3507"/>
      <c r="PLW135" s="3507"/>
      <c r="PLX135" s="3507"/>
      <c r="PLY135" s="3507"/>
      <c r="PLZ135" s="3507"/>
      <c r="PMA135" s="3507"/>
      <c r="PMB135" s="3507"/>
      <c r="PMC135" s="3507"/>
      <c r="PMD135" s="3507"/>
      <c r="PME135" s="3507"/>
      <c r="PMF135" s="3507"/>
      <c r="PMG135" s="3507"/>
      <c r="PMH135" s="3507"/>
      <c r="PMI135" s="3507"/>
      <c r="PMJ135" s="3507"/>
      <c r="PMK135" s="3507"/>
      <c r="PML135" s="3507"/>
      <c r="PMM135" s="3507"/>
      <c r="PMN135" s="3507"/>
      <c r="PMO135" s="3507"/>
      <c r="PMP135" s="3507"/>
      <c r="PMQ135" s="3507"/>
      <c r="PMR135" s="3507"/>
      <c r="PMS135" s="3507"/>
      <c r="PMT135" s="3507"/>
      <c r="PMU135" s="3507"/>
      <c r="PMV135" s="3507"/>
      <c r="PMW135" s="3507"/>
      <c r="PMX135" s="3507"/>
      <c r="PMY135" s="3507"/>
      <c r="PMZ135" s="3507"/>
      <c r="PNA135" s="3507"/>
      <c r="PNB135" s="3507"/>
      <c r="PNC135" s="3507"/>
      <c r="PND135" s="3507"/>
      <c r="PNE135" s="3507"/>
      <c r="PNF135" s="3507"/>
      <c r="PNG135" s="3507"/>
      <c r="PNH135" s="3507"/>
      <c r="PNI135" s="3507"/>
      <c r="PNJ135" s="3507"/>
      <c r="PNK135" s="3507"/>
      <c r="PNL135" s="3507"/>
      <c r="PNM135" s="3507"/>
      <c r="PNN135" s="3507"/>
      <c r="PNO135" s="3507"/>
      <c r="PNP135" s="3507"/>
      <c r="PNQ135" s="3507"/>
      <c r="PNR135" s="3507"/>
      <c r="PNS135" s="3507"/>
      <c r="PNT135" s="3507"/>
      <c r="PNU135" s="3507"/>
      <c r="PNV135" s="3507"/>
      <c r="PNW135" s="3507"/>
      <c r="PNX135" s="3507"/>
      <c r="PNY135" s="3507"/>
      <c r="PNZ135" s="3507"/>
      <c r="POA135" s="3507"/>
      <c r="POB135" s="3507"/>
      <c r="POC135" s="3507"/>
      <c r="POD135" s="3507"/>
      <c r="POE135" s="3507"/>
      <c r="POF135" s="3507"/>
      <c r="POG135" s="3507"/>
      <c r="POH135" s="3507"/>
      <c r="POI135" s="3507"/>
      <c r="POJ135" s="3507"/>
      <c r="POK135" s="3507"/>
      <c r="POL135" s="3507"/>
      <c r="POM135" s="3507"/>
      <c r="PON135" s="3507"/>
      <c r="POO135" s="3507"/>
      <c r="POP135" s="3507"/>
      <c r="POQ135" s="3507"/>
      <c r="POR135" s="3507"/>
      <c r="POS135" s="3507"/>
      <c r="POT135" s="3507"/>
      <c r="POU135" s="3507"/>
      <c r="POV135" s="3507"/>
      <c r="POW135" s="3507"/>
      <c r="POX135" s="3507"/>
      <c r="POY135" s="3507"/>
      <c r="POZ135" s="3507"/>
      <c r="PPA135" s="3507"/>
      <c r="PPB135" s="3507"/>
      <c r="PPC135" s="3507"/>
      <c r="PPD135" s="3507"/>
      <c r="PPE135" s="3507"/>
      <c r="PPF135" s="3507"/>
      <c r="PPG135" s="3507"/>
      <c r="PPH135" s="3507"/>
      <c r="PPI135" s="3507"/>
      <c r="PPJ135" s="3507"/>
      <c r="PPK135" s="3507"/>
      <c r="PPL135" s="3507"/>
      <c r="PPM135" s="3507"/>
      <c r="PPN135" s="3507"/>
      <c r="PPO135" s="3507"/>
      <c r="PPP135" s="3507"/>
      <c r="PPQ135" s="3507"/>
      <c r="PPR135" s="3507"/>
      <c r="PPS135" s="3507"/>
      <c r="PPT135" s="3507"/>
      <c r="PPU135" s="3507"/>
      <c r="PPV135" s="3507"/>
      <c r="PPW135" s="3507"/>
      <c r="PPX135" s="3507"/>
      <c r="PPY135" s="3507"/>
      <c r="PPZ135" s="3507"/>
      <c r="PQA135" s="3507"/>
      <c r="PQB135" s="3507"/>
      <c r="PQC135" s="3507"/>
      <c r="PQD135" s="3507"/>
      <c r="PQE135" s="3507"/>
      <c r="PQF135" s="3507"/>
      <c r="PQG135" s="3507"/>
      <c r="PQH135" s="3507"/>
      <c r="PQI135" s="3507"/>
      <c r="PQJ135" s="3507"/>
      <c r="PQK135" s="3507"/>
      <c r="PQL135" s="3507"/>
      <c r="PQM135" s="3507"/>
      <c r="PQN135" s="3507"/>
      <c r="PQO135" s="3507"/>
      <c r="PQP135" s="3507"/>
      <c r="PQQ135" s="3507"/>
      <c r="PQR135" s="3507"/>
      <c r="PQS135" s="3507"/>
      <c r="PQT135" s="3507"/>
      <c r="PQU135" s="3507"/>
      <c r="PQV135" s="3507"/>
      <c r="PQW135" s="3507"/>
      <c r="PQX135" s="3507"/>
      <c r="PQY135" s="3507"/>
      <c r="PQZ135" s="3507"/>
      <c r="PRA135" s="3507"/>
      <c r="PRB135" s="3507"/>
      <c r="PRC135" s="3507"/>
      <c r="PRD135" s="3507"/>
      <c r="PRE135" s="3507"/>
      <c r="PRF135" s="3507"/>
      <c r="PRG135" s="3507"/>
      <c r="PRH135" s="3507"/>
      <c r="PRI135" s="3507"/>
      <c r="PRJ135" s="3507"/>
      <c r="PRK135" s="3507"/>
      <c r="PRL135" s="3507"/>
      <c r="PRM135" s="3507"/>
      <c r="PRN135" s="3507"/>
      <c r="PRO135" s="3507"/>
      <c r="PRP135" s="3507"/>
      <c r="PRQ135" s="3507"/>
      <c r="PRR135" s="3507"/>
      <c r="PRS135" s="3507"/>
      <c r="PRT135" s="3507"/>
      <c r="PRU135" s="3507"/>
      <c r="PRV135" s="3507"/>
      <c r="PRW135" s="3507"/>
      <c r="PRX135" s="3507"/>
      <c r="PRY135" s="3507"/>
      <c r="PRZ135" s="3507"/>
      <c r="PSA135" s="3507"/>
      <c r="PSB135" s="3507"/>
      <c r="PSC135" s="3507"/>
      <c r="PSD135" s="3507"/>
      <c r="PSE135" s="3507"/>
      <c r="PSF135" s="3507"/>
      <c r="PSG135" s="3507"/>
      <c r="PSH135" s="3507"/>
      <c r="PSI135" s="3507"/>
      <c r="PSJ135" s="3507"/>
      <c r="PSK135" s="3507"/>
      <c r="PSL135" s="3507"/>
      <c r="PSM135" s="3507"/>
      <c r="PSN135" s="3507"/>
      <c r="PSO135" s="3507"/>
      <c r="PSP135" s="3507"/>
      <c r="PSQ135" s="3507"/>
      <c r="PSR135" s="3507"/>
      <c r="PSS135" s="3507"/>
      <c r="PST135" s="3507"/>
      <c r="PSU135" s="3507"/>
      <c r="PSV135" s="3507"/>
      <c r="PSW135" s="3507"/>
      <c r="PSX135" s="3507"/>
      <c r="PSY135" s="3507"/>
      <c r="PSZ135" s="3507"/>
      <c r="PTA135" s="3507"/>
      <c r="PTB135" s="3507"/>
      <c r="PTC135" s="3507"/>
      <c r="PTD135" s="3507"/>
      <c r="PTE135" s="3507"/>
      <c r="PTF135" s="3507"/>
      <c r="PTG135" s="3507"/>
      <c r="PTH135" s="3507"/>
      <c r="PTI135" s="3507"/>
      <c r="PTJ135" s="3507"/>
      <c r="PTK135" s="3507"/>
      <c r="PTL135" s="3507"/>
      <c r="PTM135" s="3507"/>
      <c r="PTN135" s="3507"/>
      <c r="PTO135" s="3507"/>
      <c r="PTP135" s="3507"/>
      <c r="PTQ135" s="3507"/>
      <c r="PTR135" s="3507"/>
      <c r="PTS135" s="3507"/>
      <c r="PTT135" s="3507"/>
      <c r="PTU135" s="3507"/>
      <c r="PTV135" s="3507"/>
      <c r="PTW135" s="3507"/>
      <c r="PTX135" s="3507"/>
      <c r="PTY135" s="3507"/>
      <c r="PTZ135" s="3507"/>
      <c r="PUA135" s="3507"/>
      <c r="PUB135" s="3507"/>
      <c r="PUC135" s="3507"/>
      <c r="PUD135" s="3507"/>
      <c r="PUE135" s="3507"/>
      <c r="PUF135" s="3507"/>
      <c r="PUG135" s="3507"/>
      <c r="PUH135" s="3507"/>
      <c r="PUI135" s="3507"/>
      <c r="PUJ135" s="3507"/>
      <c r="PUK135" s="3507"/>
      <c r="PUL135" s="3507"/>
      <c r="PUM135" s="3507"/>
      <c r="PUN135" s="3507"/>
      <c r="PUO135" s="3507"/>
      <c r="PUP135" s="3507"/>
      <c r="PUQ135" s="3507"/>
      <c r="PUR135" s="3507"/>
      <c r="PUS135" s="3507"/>
      <c r="PUT135" s="3507"/>
      <c r="PUU135" s="3507"/>
      <c r="PUV135" s="3507"/>
      <c r="PUW135" s="3507"/>
      <c r="PUX135" s="3507"/>
      <c r="PUY135" s="3507"/>
      <c r="PUZ135" s="3507"/>
      <c r="PVA135" s="3507"/>
      <c r="PVB135" s="3507"/>
      <c r="PVC135" s="3507"/>
      <c r="PVD135" s="3507"/>
      <c r="PVE135" s="3507"/>
      <c r="PVF135" s="3507"/>
      <c r="PVG135" s="3507"/>
      <c r="PVH135" s="3507"/>
      <c r="PVI135" s="3507"/>
      <c r="PVJ135" s="3507"/>
      <c r="PVK135" s="3507"/>
      <c r="PVL135" s="3507"/>
      <c r="PVM135" s="3507"/>
      <c r="PVN135" s="3507"/>
      <c r="PVO135" s="3507"/>
      <c r="PVP135" s="3507"/>
      <c r="PVQ135" s="3507"/>
      <c r="PVR135" s="3507"/>
      <c r="PVS135" s="3507"/>
      <c r="PVT135" s="3507"/>
      <c r="PVU135" s="3507"/>
      <c r="PVV135" s="3507"/>
      <c r="PVW135" s="3507"/>
      <c r="PVX135" s="3507"/>
      <c r="PVY135" s="3507"/>
      <c r="PVZ135" s="3507"/>
      <c r="PWA135" s="3507"/>
      <c r="PWB135" s="3507"/>
      <c r="PWC135" s="3507"/>
      <c r="PWD135" s="3507"/>
      <c r="PWE135" s="3507"/>
      <c r="PWF135" s="3507"/>
      <c r="PWG135" s="3507"/>
      <c r="PWH135" s="3507"/>
      <c r="PWI135" s="3507"/>
      <c r="PWJ135" s="3507"/>
      <c r="PWK135" s="3507"/>
      <c r="PWL135" s="3507"/>
      <c r="PWM135" s="3507"/>
      <c r="PWN135" s="3507"/>
      <c r="PWO135" s="3507"/>
      <c r="PWP135" s="3507"/>
      <c r="PWQ135" s="3507"/>
      <c r="PWR135" s="3507"/>
      <c r="PWS135" s="3507"/>
      <c r="PWT135" s="3507"/>
      <c r="PWU135" s="3507"/>
      <c r="PWV135" s="3507"/>
      <c r="PWW135" s="3507"/>
      <c r="PWX135" s="3507"/>
      <c r="PWY135" s="3507"/>
      <c r="PWZ135" s="3507"/>
      <c r="PXA135" s="3507"/>
      <c r="PXB135" s="3507"/>
      <c r="PXC135" s="3507"/>
      <c r="PXD135" s="3507"/>
      <c r="PXE135" s="3507"/>
      <c r="PXF135" s="3507"/>
      <c r="PXG135" s="3507"/>
      <c r="PXH135" s="3507"/>
      <c r="PXI135" s="3507"/>
      <c r="PXJ135" s="3507"/>
      <c r="PXK135" s="3507"/>
      <c r="PXL135" s="3507"/>
      <c r="PXM135" s="3507"/>
      <c r="PXN135" s="3507"/>
      <c r="PXO135" s="3507"/>
      <c r="PXP135" s="3507"/>
      <c r="PXQ135" s="3507"/>
      <c r="PXR135" s="3507"/>
      <c r="PXS135" s="3507"/>
      <c r="PXT135" s="3507"/>
      <c r="PXU135" s="3507"/>
      <c r="PXV135" s="3507"/>
      <c r="PXW135" s="3507"/>
      <c r="PXX135" s="3507"/>
      <c r="PXY135" s="3507"/>
      <c r="PXZ135" s="3507"/>
      <c r="PYA135" s="3507"/>
      <c r="PYB135" s="3507"/>
      <c r="PYC135" s="3507"/>
      <c r="PYD135" s="3507"/>
      <c r="PYE135" s="3507"/>
      <c r="PYF135" s="3507"/>
      <c r="PYG135" s="3507"/>
      <c r="PYH135" s="3507"/>
      <c r="PYI135" s="3507"/>
      <c r="PYJ135" s="3507"/>
      <c r="PYK135" s="3507"/>
      <c r="PYL135" s="3507"/>
      <c r="PYM135" s="3507"/>
      <c r="PYN135" s="3507"/>
      <c r="PYO135" s="3507"/>
      <c r="PYP135" s="3507"/>
      <c r="PYQ135" s="3507"/>
      <c r="PYR135" s="3507"/>
      <c r="PYS135" s="3507"/>
      <c r="PYT135" s="3507"/>
      <c r="PYU135" s="3507"/>
      <c r="PYV135" s="3507"/>
      <c r="PYW135" s="3507"/>
      <c r="PYX135" s="3507"/>
      <c r="PYY135" s="3507"/>
      <c r="PYZ135" s="3507"/>
      <c r="PZA135" s="3507"/>
      <c r="PZB135" s="3507"/>
      <c r="PZC135" s="3507"/>
      <c r="PZD135" s="3507"/>
      <c r="PZE135" s="3507"/>
      <c r="PZF135" s="3507"/>
      <c r="PZG135" s="3507"/>
      <c r="PZH135" s="3507"/>
      <c r="PZI135" s="3507"/>
      <c r="PZJ135" s="3507"/>
      <c r="PZK135" s="3507"/>
      <c r="PZL135" s="3507"/>
      <c r="PZM135" s="3507"/>
      <c r="PZN135" s="3507"/>
      <c r="PZO135" s="3507"/>
      <c r="PZP135" s="3507"/>
      <c r="PZQ135" s="3507"/>
      <c r="PZR135" s="3507"/>
      <c r="PZS135" s="3507"/>
      <c r="PZT135" s="3507"/>
      <c r="PZU135" s="3507"/>
      <c r="PZV135" s="3507"/>
      <c r="PZW135" s="3507"/>
      <c r="PZX135" s="3507"/>
      <c r="PZY135" s="3507"/>
      <c r="PZZ135" s="3507"/>
      <c r="QAA135" s="3507"/>
      <c r="QAB135" s="3507"/>
      <c r="QAC135" s="3507"/>
      <c r="QAD135" s="3507"/>
      <c r="QAE135" s="3507"/>
      <c r="QAF135" s="3507"/>
      <c r="QAG135" s="3507"/>
      <c r="QAH135" s="3507"/>
      <c r="QAI135" s="3507"/>
      <c r="QAJ135" s="3507"/>
      <c r="QAK135" s="3507"/>
      <c r="QAL135" s="3507"/>
      <c r="QAM135" s="3507"/>
      <c r="QAN135" s="3507"/>
      <c r="QAO135" s="3507"/>
      <c r="QAP135" s="3507"/>
      <c r="QAQ135" s="3507"/>
      <c r="QAR135" s="3507"/>
      <c r="QAS135" s="3507"/>
      <c r="QAT135" s="3507"/>
      <c r="QAU135" s="3507"/>
      <c r="QAV135" s="3507"/>
      <c r="QAW135" s="3507"/>
      <c r="QAX135" s="3507"/>
      <c r="QAY135" s="3507"/>
      <c r="QAZ135" s="3507"/>
      <c r="QBA135" s="3507"/>
      <c r="QBB135" s="3507"/>
      <c r="QBC135" s="3507"/>
      <c r="QBD135" s="3507"/>
      <c r="QBE135" s="3507"/>
      <c r="QBF135" s="3507"/>
      <c r="QBG135" s="3507"/>
      <c r="QBH135" s="3507"/>
      <c r="QBI135" s="3507"/>
      <c r="QBJ135" s="3507"/>
      <c r="QBK135" s="3507"/>
      <c r="QBL135" s="3507"/>
      <c r="QBM135" s="3507"/>
      <c r="QBN135" s="3507"/>
      <c r="QBO135" s="3507"/>
      <c r="QBP135" s="3507"/>
      <c r="QBQ135" s="3507"/>
      <c r="QBR135" s="3507"/>
      <c r="QBS135" s="3507"/>
      <c r="QBT135" s="3507"/>
      <c r="QBU135" s="3507"/>
      <c r="QBV135" s="3507"/>
      <c r="QBW135" s="3507"/>
      <c r="QBX135" s="3507"/>
      <c r="QBY135" s="3507"/>
      <c r="QBZ135" s="3507"/>
      <c r="QCA135" s="3507"/>
      <c r="QCB135" s="3507"/>
      <c r="QCC135" s="3507"/>
      <c r="QCD135" s="3507"/>
      <c r="QCE135" s="3507"/>
      <c r="QCF135" s="3507"/>
      <c r="QCG135" s="3507"/>
      <c r="QCH135" s="3507"/>
      <c r="QCI135" s="3507"/>
      <c r="QCJ135" s="3507"/>
      <c r="QCK135" s="3507"/>
      <c r="QCL135" s="3507"/>
      <c r="QCM135" s="3507"/>
      <c r="QCN135" s="3507"/>
      <c r="QCO135" s="3507"/>
      <c r="QCP135" s="3507"/>
      <c r="QCQ135" s="3507"/>
      <c r="QCR135" s="3507"/>
      <c r="QCS135" s="3507"/>
      <c r="QCT135" s="3507"/>
      <c r="QCU135" s="3507"/>
      <c r="QCV135" s="3507"/>
      <c r="QCW135" s="3507"/>
      <c r="QCX135" s="3507"/>
      <c r="QCY135" s="3507"/>
      <c r="QCZ135" s="3507"/>
      <c r="QDA135" s="3507"/>
      <c r="QDB135" s="3507"/>
      <c r="QDC135" s="3507"/>
      <c r="QDD135" s="3507"/>
      <c r="QDE135" s="3507"/>
      <c r="QDF135" s="3507"/>
      <c r="QDG135" s="3507"/>
      <c r="QDH135" s="3507"/>
      <c r="QDI135" s="3507"/>
      <c r="QDJ135" s="3507"/>
      <c r="QDK135" s="3507"/>
      <c r="QDL135" s="3507"/>
      <c r="QDM135" s="3507"/>
      <c r="QDN135" s="3507"/>
      <c r="QDO135" s="3507"/>
      <c r="QDP135" s="3507"/>
      <c r="QDQ135" s="3507"/>
      <c r="QDR135" s="3507"/>
      <c r="QDS135" s="3507"/>
      <c r="QDT135" s="3507"/>
      <c r="QDU135" s="3507"/>
      <c r="QDV135" s="3507"/>
      <c r="QDW135" s="3507"/>
      <c r="QDX135" s="3507"/>
      <c r="QDY135" s="3507"/>
      <c r="QDZ135" s="3507"/>
      <c r="QEA135" s="3507"/>
      <c r="QEB135" s="3507"/>
      <c r="QEC135" s="3507"/>
      <c r="QED135" s="3507"/>
      <c r="QEE135" s="3507"/>
      <c r="QEF135" s="3507"/>
      <c r="QEG135" s="3507"/>
      <c r="QEH135" s="3507"/>
      <c r="QEI135" s="3507"/>
      <c r="QEJ135" s="3507"/>
      <c r="QEK135" s="3507"/>
      <c r="QEL135" s="3507"/>
      <c r="QEM135" s="3507"/>
      <c r="QEN135" s="3507"/>
      <c r="QEO135" s="3507"/>
      <c r="QEP135" s="3507"/>
      <c r="QEQ135" s="3507"/>
      <c r="QER135" s="3507"/>
      <c r="QES135" s="3507"/>
      <c r="QET135" s="3507"/>
      <c r="QEU135" s="3507"/>
      <c r="QEV135" s="3507"/>
      <c r="QEW135" s="3507"/>
      <c r="QEX135" s="3507"/>
      <c r="QEY135" s="3507"/>
      <c r="QEZ135" s="3507"/>
      <c r="QFA135" s="3507"/>
      <c r="QFB135" s="3507"/>
      <c r="QFC135" s="3507"/>
      <c r="QFD135" s="3507"/>
      <c r="QFE135" s="3507"/>
      <c r="QFF135" s="3507"/>
      <c r="QFG135" s="3507"/>
      <c r="QFH135" s="3507"/>
      <c r="QFI135" s="3507"/>
      <c r="QFJ135" s="3507"/>
      <c r="QFK135" s="3507"/>
      <c r="QFL135" s="3507"/>
      <c r="QFM135" s="3507"/>
      <c r="QFN135" s="3507"/>
      <c r="QFO135" s="3507"/>
      <c r="QFP135" s="3507"/>
      <c r="QFQ135" s="3507"/>
      <c r="QFR135" s="3507"/>
      <c r="QFS135" s="3507"/>
      <c r="QFT135" s="3507"/>
      <c r="QFU135" s="3507"/>
      <c r="QFV135" s="3507"/>
      <c r="QFW135" s="3507"/>
      <c r="QFX135" s="3507"/>
      <c r="QFY135" s="3507"/>
      <c r="QFZ135" s="3507"/>
      <c r="QGA135" s="3507"/>
      <c r="QGB135" s="3507"/>
      <c r="QGC135" s="3507"/>
      <c r="QGD135" s="3507"/>
      <c r="QGE135" s="3507"/>
      <c r="QGF135" s="3507"/>
      <c r="QGG135" s="3507"/>
      <c r="QGH135" s="3507"/>
      <c r="QGI135" s="3507"/>
      <c r="QGJ135" s="3507"/>
      <c r="QGK135" s="3507"/>
      <c r="QGL135" s="3507"/>
      <c r="QGM135" s="3507"/>
      <c r="QGN135" s="3507"/>
      <c r="QGO135" s="3507"/>
      <c r="QGP135" s="3507"/>
      <c r="QGQ135" s="3507"/>
      <c r="QGR135" s="3507"/>
      <c r="QGS135" s="3507"/>
      <c r="QGT135" s="3507"/>
      <c r="QGU135" s="3507"/>
      <c r="QGV135" s="3507"/>
      <c r="QGW135" s="3507"/>
      <c r="QGX135" s="3507"/>
      <c r="QGY135" s="3507"/>
      <c r="QGZ135" s="3507"/>
      <c r="QHA135" s="3507"/>
      <c r="QHB135" s="3507"/>
      <c r="QHC135" s="3507"/>
      <c r="QHD135" s="3507"/>
      <c r="QHE135" s="3507"/>
      <c r="QHF135" s="3507"/>
      <c r="QHG135" s="3507"/>
      <c r="QHH135" s="3507"/>
      <c r="QHI135" s="3507"/>
      <c r="QHJ135" s="3507"/>
      <c r="QHK135" s="3507"/>
      <c r="QHL135" s="3507"/>
      <c r="QHM135" s="3507"/>
      <c r="QHN135" s="3507"/>
      <c r="QHO135" s="3507"/>
      <c r="QHP135" s="3507"/>
      <c r="QHQ135" s="3507"/>
      <c r="QHR135" s="3507"/>
      <c r="QHS135" s="3507"/>
      <c r="QHT135" s="3507"/>
      <c r="QHU135" s="3507"/>
      <c r="QHV135" s="3507"/>
      <c r="QHW135" s="3507"/>
      <c r="QHX135" s="3507"/>
      <c r="QHY135" s="3507"/>
      <c r="QHZ135" s="3507"/>
      <c r="QIA135" s="3507"/>
      <c r="QIB135" s="3507"/>
      <c r="QIC135" s="3507"/>
      <c r="QID135" s="3507"/>
      <c r="QIE135" s="3507"/>
      <c r="QIF135" s="3507"/>
      <c r="QIG135" s="3507"/>
      <c r="QIH135" s="3507"/>
      <c r="QII135" s="3507"/>
      <c r="QIJ135" s="3507"/>
      <c r="QIK135" s="3507"/>
      <c r="QIL135" s="3507"/>
      <c r="QIM135" s="3507"/>
      <c r="QIN135" s="3507"/>
      <c r="QIO135" s="3507"/>
      <c r="QIP135" s="3507"/>
      <c r="QIQ135" s="3507"/>
      <c r="QIR135" s="3507"/>
      <c r="QIS135" s="3507"/>
      <c r="QIT135" s="3507"/>
      <c r="QIU135" s="3507"/>
      <c r="QIV135" s="3507"/>
      <c r="QIW135" s="3507"/>
      <c r="QIX135" s="3507"/>
      <c r="QIY135" s="3507"/>
      <c r="QIZ135" s="3507"/>
      <c r="QJA135" s="3507"/>
      <c r="QJB135" s="3507"/>
      <c r="QJC135" s="3507"/>
      <c r="QJD135" s="3507"/>
      <c r="QJE135" s="3507"/>
      <c r="QJF135" s="3507"/>
      <c r="QJG135" s="3507"/>
      <c r="QJH135" s="3507"/>
      <c r="QJI135" s="3507"/>
      <c r="QJJ135" s="3507"/>
      <c r="QJK135" s="3507"/>
      <c r="QJL135" s="3507"/>
      <c r="QJM135" s="3507"/>
      <c r="QJN135" s="3507"/>
      <c r="QJO135" s="3507"/>
      <c r="QJP135" s="3507"/>
      <c r="QJQ135" s="3507"/>
      <c r="QJR135" s="3507"/>
      <c r="QJS135" s="3507"/>
      <c r="QJT135" s="3507"/>
      <c r="QJU135" s="3507"/>
      <c r="QJV135" s="3507"/>
      <c r="QJW135" s="3507"/>
      <c r="QJX135" s="3507"/>
      <c r="QJY135" s="3507"/>
      <c r="QJZ135" s="3507"/>
      <c r="QKA135" s="3507"/>
      <c r="QKB135" s="3507"/>
      <c r="QKC135" s="3507"/>
      <c r="QKD135" s="3507"/>
      <c r="QKE135" s="3507"/>
      <c r="QKF135" s="3507"/>
      <c r="QKG135" s="3507"/>
      <c r="QKH135" s="3507"/>
      <c r="QKI135" s="3507"/>
      <c r="QKJ135" s="3507"/>
      <c r="QKK135" s="3507"/>
      <c r="QKL135" s="3507"/>
      <c r="QKM135" s="3507"/>
      <c r="QKN135" s="3507"/>
      <c r="QKO135" s="3507"/>
      <c r="QKP135" s="3507"/>
      <c r="QKQ135" s="3507"/>
      <c r="QKR135" s="3507"/>
      <c r="QKS135" s="3507"/>
      <c r="QKT135" s="3507"/>
      <c r="QKU135" s="3507"/>
      <c r="QKV135" s="3507"/>
      <c r="QKW135" s="3507"/>
      <c r="QKX135" s="3507"/>
      <c r="QKY135" s="3507"/>
      <c r="QKZ135" s="3507"/>
      <c r="QLA135" s="3507"/>
      <c r="QLB135" s="3507"/>
      <c r="QLC135" s="3507"/>
      <c r="QLD135" s="3507"/>
      <c r="QLE135" s="3507"/>
      <c r="QLF135" s="3507"/>
      <c r="QLG135" s="3507"/>
      <c r="QLH135" s="3507"/>
      <c r="QLI135" s="3507"/>
      <c r="QLJ135" s="3507"/>
      <c r="QLK135" s="3507"/>
      <c r="QLL135" s="3507"/>
      <c r="QLM135" s="3507"/>
      <c r="QLN135" s="3507"/>
      <c r="QLO135" s="3507"/>
      <c r="QLP135" s="3507"/>
      <c r="QLQ135" s="3507"/>
      <c r="QLR135" s="3507"/>
      <c r="QLS135" s="3507"/>
      <c r="QLT135" s="3507"/>
      <c r="QLU135" s="3507"/>
      <c r="QLV135" s="3507"/>
      <c r="QLW135" s="3507"/>
      <c r="QLX135" s="3507"/>
      <c r="QLY135" s="3507"/>
      <c r="QLZ135" s="3507"/>
      <c r="QMA135" s="3507"/>
      <c r="QMB135" s="3507"/>
      <c r="QMC135" s="3507"/>
      <c r="QMD135" s="3507"/>
      <c r="QME135" s="3507"/>
      <c r="QMF135" s="3507"/>
      <c r="QMG135" s="3507"/>
      <c r="QMH135" s="3507"/>
      <c r="QMI135" s="3507"/>
      <c r="QMJ135" s="3507"/>
      <c r="QMK135" s="3507"/>
      <c r="QML135" s="3507"/>
      <c r="QMM135" s="3507"/>
      <c r="QMN135" s="3507"/>
      <c r="QMO135" s="3507"/>
      <c r="QMP135" s="3507"/>
      <c r="QMQ135" s="3507"/>
      <c r="QMR135" s="3507"/>
      <c r="QMS135" s="3507"/>
      <c r="QMT135" s="3507"/>
      <c r="QMU135" s="3507"/>
      <c r="QMV135" s="3507"/>
      <c r="QMW135" s="3507"/>
      <c r="QMX135" s="3507"/>
      <c r="QMY135" s="3507"/>
      <c r="QMZ135" s="3507"/>
      <c r="QNA135" s="3507"/>
      <c r="QNB135" s="3507"/>
      <c r="QNC135" s="3507"/>
      <c r="QND135" s="3507"/>
      <c r="QNE135" s="3507"/>
      <c r="QNF135" s="3507"/>
      <c r="QNG135" s="3507"/>
      <c r="QNH135" s="3507"/>
      <c r="QNI135" s="3507"/>
      <c r="QNJ135" s="3507"/>
      <c r="QNK135" s="3507"/>
      <c r="QNL135" s="3507"/>
      <c r="QNM135" s="3507"/>
      <c r="QNN135" s="3507"/>
      <c r="QNO135" s="3507"/>
      <c r="QNP135" s="3507"/>
      <c r="QNQ135" s="3507"/>
      <c r="QNR135" s="3507"/>
      <c r="QNS135" s="3507"/>
      <c r="QNT135" s="3507"/>
      <c r="QNU135" s="3507"/>
      <c r="QNV135" s="3507"/>
      <c r="QNW135" s="3507"/>
      <c r="QNX135" s="3507"/>
      <c r="QNY135" s="3507"/>
      <c r="QNZ135" s="3507"/>
      <c r="QOA135" s="3507"/>
      <c r="QOB135" s="3507"/>
      <c r="QOC135" s="3507"/>
      <c r="QOD135" s="3507"/>
      <c r="QOE135" s="3507"/>
      <c r="QOF135" s="3507"/>
      <c r="QOG135" s="3507"/>
      <c r="QOH135" s="3507"/>
      <c r="QOI135" s="3507"/>
      <c r="QOJ135" s="3507"/>
      <c r="QOK135" s="3507"/>
      <c r="QOL135" s="3507"/>
      <c r="QOM135" s="3507"/>
      <c r="QON135" s="3507"/>
      <c r="QOO135" s="3507"/>
      <c r="QOP135" s="3507"/>
      <c r="QOQ135" s="3507"/>
      <c r="QOR135" s="3507"/>
      <c r="QOS135" s="3507"/>
      <c r="QOT135" s="3507"/>
      <c r="QOU135" s="3507"/>
      <c r="QOV135" s="3507"/>
      <c r="QOW135" s="3507"/>
      <c r="QOX135" s="3507"/>
      <c r="QOY135" s="3507"/>
      <c r="QOZ135" s="3507"/>
      <c r="QPA135" s="3507"/>
      <c r="QPB135" s="3507"/>
      <c r="QPC135" s="3507"/>
      <c r="QPD135" s="3507"/>
      <c r="QPE135" s="3507"/>
      <c r="QPF135" s="3507"/>
      <c r="QPG135" s="3507"/>
      <c r="QPH135" s="3507"/>
      <c r="QPI135" s="3507"/>
      <c r="QPJ135" s="3507"/>
      <c r="QPK135" s="3507"/>
      <c r="QPL135" s="3507"/>
      <c r="QPM135" s="3507"/>
      <c r="QPN135" s="3507"/>
      <c r="QPO135" s="3507"/>
      <c r="QPP135" s="3507"/>
      <c r="QPQ135" s="3507"/>
      <c r="QPR135" s="3507"/>
      <c r="QPS135" s="3507"/>
      <c r="QPT135" s="3507"/>
      <c r="QPU135" s="3507"/>
      <c r="QPV135" s="3507"/>
      <c r="QPW135" s="3507"/>
      <c r="QPX135" s="3507"/>
      <c r="QPY135" s="3507"/>
      <c r="QPZ135" s="3507"/>
      <c r="QQA135" s="3507"/>
      <c r="QQB135" s="3507"/>
      <c r="QQC135" s="3507"/>
      <c r="QQD135" s="3507"/>
      <c r="QQE135" s="3507"/>
      <c r="QQF135" s="3507"/>
      <c r="QQG135" s="3507"/>
      <c r="QQH135" s="3507"/>
      <c r="QQI135" s="3507"/>
      <c r="QQJ135" s="3507"/>
      <c r="QQK135" s="3507"/>
      <c r="QQL135" s="3507"/>
      <c r="QQM135" s="3507"/>
      <c r="QQN135" s="3507"/>
      <c r="QQO135" s="3507"/>
      <c r="QQP135" s="3507"/>
      <c r="QQQ135" s="3507"/>
      <c r="QQR135" s="3507"/>
      <c r="QQS135" s="3507"/>
      <c r="QQT135" s="3507"/>
      <c r="QQU135" s="3507"/>
      <c r="QQV135" s="3507"/>
      <c r="QQW135" s="3507"/>
      <c r="QQX135" s="3507"/>
      <c r="QQY135" s="3507"/>
      <c r="QQZ135" s="3507"/>
      <c r="QRA135" s="3507"/>
      <c r="QRB135" s="3507"/>
      <c r="QRC135" s="3507"/>
      <c r="QRD135" s="3507"/>
      <c r="QRE135" s="3507"/>
      <c r="QRF135" s="3507"/>
      <c r="QRG135" s="3507"/>
      <c r="QRH135" s="3507"/>
      <c r="QRI135" s="3507"/>
      <c r="QRJ135" s="3507"/>
      <c r="QRK135" s="3507"/>
      <c r="QRL135" s="3507"/>
      <c r="QRM135" s="3507"/>
      <c r="QRN135" s="3507"/>
      <c r="QRO135" s="3507"/>
      <c r="QRP135" s="3507"/>
      <c r="QRQ135" s="3507"/>
      <c r="QRR135" s="3507"/>
      <c r="QRS135" s="3507"/>
      <c r="QRT135" s="3507"/>
      <c r="QRU135" s="3507"/>
      <c r="QRV135" s="3507"/>
      <c r="QRW135" s="3507"/>
      <c r="QRX135" s="3507"/>
      <c r="QRY135" s="3507"/>
      <c r="QRZ135" s="3507"/>
      <c r="QSA135" s="3507"/>
      <c r="QSB135" s="3507"/>
      <c r="QSC135" s="3507"/>
      <c r="QSD135" s="3507"/>
      <c r="QSE135" s="3507"/>
      <c r="QSF135" s="3507"/>
      <c r="QSG135" s="3507"/>
      <c r="QSH135" s="3507"/>
      <c r="QSI135" s="3507"/>
      <c r="QSJ135" s="3507"/>
      <c r="QSK135" s="3507"/>
      <c r="QSL135" s="3507"/>
      <c r="QSM135" s="3507"/>
      <c r="QSN135" s="3507"/>
      <c r="QSO135" s="3507"/>
      <c r="QSP135" s="3507"/>
      <c r="QSQ135" s="3507"/>
      <c r="QSR135" s="3507"/>
      <c r="QSS135" s="3507"/>
      <c r="QST135" s="3507"/>
      <c r="QSU135" s="3507"/>
      <c r="QSV135" s="3507"/>
      <c r="QSW135" s="3507"/>
      <c r="QSX135" s="3507"/>
      <c r="QSY135" s="3507"/>
      <c r="QSZ135" s="3507"/>
      <c r="QTA135" s="3507"/>
      <c r="QTB135" s="3507"/>
      <c r="QTC135" s="3507"/>
      <c r="QTD135" s="3507"/>
      <c r="QTE135" s="3507"/>
      <c r="QTF135" s="3507"/>
      <c r="QTG135" s="3507"/>
      <c r="QTH135" s="3507"/>
      <c r="QTI135" s="3507"/>
      <c r="QTJ135" s="3507"/>
      <c r="QTK135" s="3507"/>
      <c r="QTL135" s="3507"/>
      <c r="QTM135" s="3507"/>
      <c r="QTN135" s="3507"/>
      <c r="QTO135" s="3507"/>
      <c r="QTP135" s="3507"/>
      <c r="QTQ135" s="3507"/>
      <c r="QTR135" s="3507"/>
      <c r="QTS135" s="3507"/>
      <c r="QTT135" s="3507"/>
      <c r="QTU135" s="3507"/>
      <c r="QTV135" s="3507"/>
      <c r="QTW135" s="3507"/>
      <c r="QTX135" s="3507"/>
      <c r="QTY135" s="3507"/>
      <c r="QTZ135" s="3507"/>
      <c r="QUA135" s="3507"/>
      <c r="QUB135" s="3507"/>
      <c r="QUC135" s="3507"/>
      <c r="QUD135" s="3507"/>
      <c r="QUE135" s="3507"/>
      <c r="QUF135" s="3507"/>
      <c r="QUG135" s="3507"/>
      <c r="QUH135" s="3507"/>
      <c r="QUI135" s="3507"/>
      <c r="QUJ135" s="3507"/>
      <c r="QUK135" s="3507"/>
      <c r="QUL135" s="3507"/>
      <c r="QUM135" s="3507"/>
      <c r="QUN135" s="3507"/>
      <c r="QUO135" s="3507"/>
      <c r="QUP135" s="3507"/>
      <c r="QUQ135" s="3507"/>
      <c r="QUR135" s="3507"/>
      <c r="QUS135" s="3507"/>
      <c r="QUT135" s="3507"/>
      <c r="QUU135" s="3507"/>
      <c r="QUV135" s="3507"/>
      <c r="QUW135" s="3507"/>
      <c r="QUX135" s="3507"/>
      <c r="QUY135" s="3507"/>
      <c r="QUZ135" s="3507"/>
      <c r="QVA135" s="3507"/>
      <c r="QVB135" s="3507"/>
      <c r="QVC135" s="3507"/>
      <c r="QVD135" s="3507"/>
      <c r="QVE135" s="3507"/>
      <c r="QVF135" s="3507"/>
      <c r="QVG135" s="3507"/>
      <c r="QVH135" s="3507"/>
      <c r="QVI135" s="3507"/>
      <c r="QVJ135" s="3507"/>
      <c r="QVK135" s="3507"/>
      <c r="QVL135" s="3507"/>
      <c r="QVM135" s="3507"/>
      <c r="QVN135" s="3507"/>
      <c r="QVO135" s="3507"/>
      <c r="QVP135" s="3507"/>
      <c r="QVQ135" s="3507"/>
      <c r="QVR135" s="3507"/>
      <c r="QVS135" s="3507"/>
      <c r="QVT135" s="3507"/>
      <c r="QVU135" s="3507"/>
      <c r="QVV135" s="3507"/>
      <c r="QVW135" s="3507"/>
      <c r="QVX135" s="3507"/>
      <c r="QVY135" s="3507"/>
      <c r="QVZ135" s="3507"/>
      <c r="QWA135" s="3507"/>
      <c r="QWB135" s="3507"/>
      <c r="QWC135" s="3507"/>
      <c r="QWD135" s="3507"/>
      <c r="QWE135" s="3507"/>
      <c r="QWF135" s="3507"/>
      <c r="QWG135" s="3507"/>
      <c r="QWH135" s="3507"/>
      <c r="QWI135" s="3507"/>
      <c r="QWJ135" s="3507"/>
      <c r="QWK135" s="3507"/>
      <c r="QWL135" s="3507"/>
      <c r="QWM135" s="3507"/>
      <c r="QWN135" s="3507"/>
      <c r="QWO135" s="3507"/>
      <c r="QWP135" s="3507"/>
      <c r="QWQ135" s="3507"/>
      <c r="QWR135" s="3507"/>
      <c r="QWS135" s="3507"/>
      <c r="QWT135" s="3507"/>
      <c r="QWU135" s="3507"/>
      <c r="QWV135" s="3507"/>
      <c r="QWW135" s="3507"/>
      <c r="QWX135" s="3507"/>
      <c r="QWY135" s="3507"/>
      <c r="QWZ135" s="3507"/>
      <c r="QXA135" s="3507"/>
      <c r="QXB135" s="3507"/>
      <c r="QXC135" s="3507"/>
      <c r="QXD135" s="3507"/>
      <c r="QXE135" s="3507"/>
      <c r="QXF135" s="3507"/>
      <c r="QXG135" s="3507"/>
      <c r="QXH135" s="3507"/>
      <c r="QXI135" s="3507"/>
      <c r="QXJ135" s="3507"/>
      <c r="QXK135" s="3507"/>
      <c r="QXL135" s="3507"/>
      <c r="QXM135" s="3507"/>
      <c r="QXN135" s="3507"/>
      <c r="QXO135" s="3507"/>
      <c r="QXP135" s="3507"/>
      <c r="QXQ135" s="3507"/>
      <c r="QXR135" s="3507"/>
      <c r="QXS135" s="3507"/>
      <c r="QXT135" s="3507"/>
      <c r="QXU135" s="3507"/>
      <c r="QXV135" s="3507"/>
      <c r="QXW135" s="3507"/>
      <c r="QXX135" s="3507"/>
      <c r="QXY135" s="3507"/>
      <c r="QXZ135" s="3507"/>
      <c r="QYA135" s="3507"/>
      <c r="QYB135" s="3507"/>
      <c r="QYC135" s="3507"/>
      <c r="QYD135" s="3507"/>
      <c r="QYE135" s="3507"/>
      <c r="QYF135" s="3507"/>
      <c r="QYG135" s="3507"/>
      <c r="QYH135" s="3507"/>
      <c r="QYI135" s="3507"/>
      <c r="QYJ135" s="3507"/>
      <c r="QYK135" s="3507"/>
      <c r="QYL135" s="3507"/>
      <c r="QYM135" s="3507"/>
      <c r="QYN135" s="3507"/>
      <c r="QYO135" s="3507"/>
      <c r="QYP135" s="3507"/>
      <c r="QYQ135" s="3507"/>
      <c r="QYR135" s="3507"/>
      <c r="QYS135" s="3507"/>
      <c r="QYT135" s="3507"/>
      <c r="QYU135" s="3507"/>
      <c r="QYV135" s="3507"/>
      <c r="QYW135" s="3507"/>
      <c r="QYX135" s="3507"/>
      <c r="QYY135" s="3507"/>
      <c r="QYZ135" s="3507"/>
      <c r="QZA135" s="3507"/>
      <c r="QZB135" s="3507"/>
      <c r="QZC135" s="3507"/>
      <c r="QZD135" s="3507"/>
      <c r="QZE135" s="3507"/>
      <c r="QZF135" s="3507"/>
      <c r="QZG135" s="3507"/>
      <c r="QZH135" s="3507"/>
      <c r="QZI135" s="3507"/>
      <c r="QZJ135" s="3507"/>
      <c r="QZK135" s="3507"/>
      <c r="QZL135" s="3507"/>
      <c r="QZM135" s="3507"/>
      <c r="QZN135" s="3507"/>
      <c r="QZO135" s="3507"/>
      <c r="QZP135" s="3507"/>
      <c r="QZQ135" s="3507"/>
      <c r="QZR135" s="3507"/>
      <c r="QZS135" s="3507"/>
      <c r="QZT135" s="3507"/>
      <c r="QZU135" s="3507"/>
      <c r="QZV135" s="3507"/>
      <c r="QZW135" s="3507"/>
      <c r="QZX135" s="3507"/>
      <c r="QZY135" s="3507"/>
      <c r="QZZ135" s="3507"/>
      <c r="RAA135" s="3507"/>
      <c r="RAB135" s="3507"/>
      <c r="RAC135" s="3507"/>
      <c r="RAD135" s="3507"/>
      <c r="RAE135" s="3507"/>
      <c r="RAF135" s="3507"/>
      <c r="RAG135" s="3507"/>
      <c r="RAH135" s="3507"/>
      <c r="RAI135" s="3507"/>
      <c r="RAJ135" s="3507"/>
      <c r="RAK135" s="3507"/>
      <c r="RAL135" s="3507"/>
      <c r="RAM135" s="3507"/>
      <c r="RAN135" s="3507"/>
      <c r="RAO135" s="3507"/>
      <c r="RAP135" s="3507"/>
      <c r="RAQ135" s="3507"/>
      <c r="RAR135" s="3507"/>
      <c r="RAS135" s="3507"/>
      <c r="RAT135" s="3507"/>
      <c r="RAU135" s="3507"/>
      <c r="RAV135" s="3507"/>
      <c r="RAW135" s="3507"/>
      <c r="RAX135" s="3507"/>
      <c r="RAY135" s="3507"/>
      <c r="RAZ135" s="3507"/>
      <c r="RBA135" s="3507"/>
      <c r="RBB135" s="3507"/>
      <c r="RBC135" s="3507"/>
      <c r="RBD135" s="3507"/>
      <c r="RBE135" s="3507"/>
      <c r="RBF135" s="3507"/>
      <c r="RBG135" s="3507"/>
      <c r="RBH135" s="3507"/>
      <c r="RBI135" s="3507"/>
      <c r="RBJ135" s="3507"/>
      <c r="RBK135" s="3507"/>
      <c r="RBL135" s="3507"/>
      <c r="RBM135" s="3507"/>
      <c r="RBN135" s="3507"/>
      <c r="RBO135" s="3507"/>
      <c r="RBP135" s="3507"/>
      <c r="RBQ135" s="3507"/>
      <c r="RBR135" s="3507"/>
      <c r="RBS135" s="3507"/>
      <c r="RBT135" s="3507"/>
      <c r="RBU135" s="3507"/>
      <c r="RBV135" s="3507"/>
      <c r="RBW135" s="3507"/>
      <c r="RBX135" s="3507"/>
      <c r="RBY135" s="3507"/>
      <c r="RBZ135" s="3507"/>
      <c r="RCA135" s="3507"/>
      <c r="RCB135" s="3507"/>
      <c r="RCC135" s="3507"/>
      <c r="RCD135" s="3507"/>
      <c r="RCE135" s="3507"/>
      <c r="RCF135" s="3507"/>
      <c r="RCG135" s="3507"/>
      <c r="RCH135" s="3507"/>
      <c r="RCI135" s="3507"/>
      <c r="RCJ135" s="3507"/>
      <c r="RCK135" s="3507"/>
      <c r="RCL135" s="3507"/>
      <c r="RCM135" s="3507"/>
      <c r="RCN135" s="3507"/>
      <c r="RCO135" s="3507"/>
      <c r="RCP135" s="3507"/>
      <c r="RCQ135" s="3507"/>
      <c r="RCR135" s="3507"/>
      <c r="RCS135" s="3507"/>
      <c r="RCT135" s="3507"/>
      <c r="RCU135" s="3507"/>
      <c r="RCV135" s="3507"/>
      <c r="RCW135" s="3507"/>
      <c r="RCX135" s="3507"/>
      <c r="RCY135" s="3507"/>
      <c r="RCZ135" s="3507"/>
      <c r="RDA135" s="3507"/>
      <c r="RDB135" s="3507"/>
      <c r="RDC135" s="3507"/>
      <c r="RDD135" s="3507"/>
      <c r="RDE135" s="3507"/>
      <c r="RDF135" s="3507"/>
      <c r="RDG135" s="3507"/>
      <c r="RDH135" s="3507"/>
      <c r="RDI135" s="3507"/>
      <c r="RDJ135" s="3507"/>
      <c r="RDK135" s="3507"/>
      <c r="RDL135" s="3507"/>
      <c r="RDM135" s="3507"/>
      <c r="RDN135" s="3507"/>
      <c r="RDO135" s="3507"/>
      <c r="RDP135" s="3507"/>
      <c r="RDQ135" s="3507"/>
      <c r="RDR135" s="3507"/>
      <c r="RDS135" s="3507"/>
      <c r="RDT135" s="3507"/>
      <c r="RDU135" s="3507"/>
      <c r="RDV135" s="3507"/>
      <c r="RDW135" s="3507"/>
      <c r="RDX135" s="3507"/>
      <c r="RDY135" s="3507"/>
      <c r="RDZ135" s="3507"/>
      <c r="REA135" s="3507"/>
      <c r="REB135" s="3507"/>
      <c r="REC135" s="3507"/>
      <c r="RED135" s="3507"/>
      <c r="REE135" s="3507"/>
      <c r="REF135" s="3507"/>
      <c r="REG135" s="3507"/>
      <c r="REH135" s="3507"/>
      <c r="REI135" s="3507"/>
      <c r="REJ135" s="3507"/>
      <c r="REK135" s="3507"/>
      <c r="REL135" s="3507"/>
      <c r="REM135" s="3507"/>
      <c r="REN135" s="3507"/>
      <c r="REO135" s="3507"/>
      <c r="REP135" s="3507"/>
      <c r="REQ135" s="3507"/>
      <c r="RER135" s="3507"/>
      <c r="RES135" s="3507"/>
      <c r="RET135" s="3507"/>
      <c r="REU135" s="3507"/>
      <c r="REV135" s="3507"/>
      <c r="REW135" s="3507"/>
      <c r="REX135" s="3507"/>
      <c r="REY135" s="3507"/>
      <c r="REZ135" s="3507"/>
      <c r="RFA135" s="3507"/>
      <c r="RFB135" s="3507"/>
      <c r="RFC135" s="3507"/>
      <c r="RFD135" s="3507"/>
      <c r="RFE135" s="3507"/>
      <c r="RFF135" s="3507"/>
      <c r="RFG135" s="3507"/>
      <c r="RFH135" s="3507"/>
      <c r="RFI135" s="3507"/>
      <c r="RFJ135" s="3507"/>
      <c r="RFK135" s="3507"/>
      <c r="RFL135" s="3507"/>
      <c r="RFM135" s="3507"/>
      <c r="RFN135" s="3507"/>
      <c r="RFO135" s="3507"/>
      <c r="RFP135" s="3507"/>
      <c r="RFQ135" s="3507"/>
      <c r="RFR135" s="3507"/>
      <c r="RFS135" s="3507"/>
      <c r="RFT135" s="3507"/>
      <c r="RFU135" s="3507"/>
      <c r="RFV135" s="3507"/>
      <c r="RFW135" s="3507"/>
      <c r="RFX135" s="3507"/>
      <c r="RFY135" s="3507"/>
      <c r="RFZ135" s="3507"/>
      <c r="RGA135" s="3507"/>
      <c r="RGB135" s="3507"/>
      <c r="RGC135" s="3507"/>
      <c r="RGD135" s="3507"/>
      <c r="RGE135" s="3507"/>
      <c r="RGF135" s="3507"/>
      <c r="RGG135" s="3507"/>
      <c r="RGH135" s="3507"/>
      <c r="RGI135" s="3507"/>
      <c r="RGJ135" s="3507"/>
      <c r="RGK135" s="3507"/>
      <c r="RGL135" s="3507"/>
      <c r="RGM135" s="3507"/>
      <c r="RGN135" s="3507"/>
      <c r="RGO135" s="3507"/>
      <c r="RGP135" s="3507"/>
      <c r="RGQ135" s="3507"/>
      <c r="RGR135" s="3507"/>
      <c r="RGS135" s="3507"/>
      <c r="RGT135" s="3507"/>
      <c r="RGU135" s="3507"/>
      <c r="RGV135" s="3507"/>
      <c r="RGW135" s="3507"/>
      <c r="RGX135" s="3507"/>
      <c r="RGY135" s="3507"/>
      <c r="RGZ135" s="3507"/>
      <c r="RHA135" s="3507"/>
      <c r="RHB135" s="3507"/>
      <c r="RHC135" s="3507"/>
      <c r="RHD135" s="3507"/>
      <c r="RHE135" s="3507"/>
      <c r="RHF135" s="3507"/>
      <c r="RHG135" s="3507"/>
      <c r="RHH135" s="3507"/>
      <c r="RHI135" s="3507"/>
      <c r="RHJ135" s="3507"/>
      <c r="RHK135" s="3507"/>
      <c r="RHL135" s="3507"/>
      <c r="RHM135" s="3507"/>
      <c r="RHN135" s="3507"/>
      <c r="RHO135" s="3507"/>
      <c r="RHP135" s="3507"/>
      <c r="RHQ135" s="3507"/>
      <c r="RHR135" s="3507"/>
      <c r="RHS135" s="3507"/>
      <c r="RHT135" s="3507"/>
      <c r="RHU135" s="3507"/>
      <c r="RHV135" s="3507"/>
      <c r="RHW135" s="3507"/>
      <c r="RHX135" s="3507"/>
      <c r="RHY135" s="3507"/>
      <c r="RHZ135" s="3507"/>
      <c r="RIA135" s="3507"/>
      <c r="RIB135" s="3507"/>
      <c r="RIC135" s="3507"/>
      <c r="RID135" s="3507"/>
      <c r="RIE135" s="3507"/>
      <c r="RIF135" s="3507"/>
      <c r="RIG135" s="3507"/>
      <c r="RIH135" s="3507"/>
      <c r="RII135" s="3507"/>
      <c r="RIJ135" s="3507"/>
      <c r="RIK135" s="3507"/>
      <c r="RIL135" s="3507"/>
      <c r="RIM135" s="3507"/>
      <c r="RIN135" s="3507"/>
      <c r="RIO135" s="3507"/>
      <c r="RIP135" s="3507"/>
      <c r="RIQ135" s="3507"/>
      <c r="RIR135" s="3507"/>
      <c r="RIS135" s="3507"/>
      <c r="RIT135" s="3507"/>
      <c r="RIU135" s="3507"/>
      <c r="RIV135" s="3507"/>
      <c r="RIW135" s="3507"/>
      <c r="RIX135" s="3507"/>
      <c r="RIY135" s="3507"/>
      <c r="RIZ135" s="3507"/>
      <c r="RJA135" s="3507"/>
      <c r="RJB135" s="3507"/>
      <c r="RJC135" s="3507"/>
      <c r="RJD135" s="3507"/>
      <c r="RJE135" s="3507"/>
      <c r="RJF135" s="3507"/>
      <c r="RJG135" s="3507"/>
      <c r="RJH135" s="3507"/>
      <c r="RJI135" s="3507"/>
      <c r="RJJ135" s="3507"/>
      <c r="RJK135" s="3507"/>
      <c r="RJL135" s="3507"/>
      <c r="RJM135" s="3507"/>
      <c r="RJN135" s="3507"/>
      <c r="RJO135" s="3507"/>
      <c r="RJP135" s="3507"/>
      <c r="RJQ135" s="3507"/>
      <c r="RJR135" s="3507"/>
      <c r="RJS135" s="3507"/>
      <c r="RJT135" s="3507"/>
      <c r="RJU135" s="3507"/>
      <c r="RJV135" s="3507"/>
      <c r="RJW135" s="3507"/>
      <c r="RJX135" s="3507"/>
      <c r="RJY135" s="3507"/>
      <c r="RJZ135" s="3507"/>
      <c r="RKA135" s="3507"/>
      <c r="RKB135" s="3507"/>
      <c r="RKC135" s="3507"/>
      <c r="RKD135" s="3507"/>
      <c r="RKE135" s="3507"/>
      <c r="RKF135" s="3507"/>
      <c r="RKG135" s="3507"/>
      <c r="RKH135" s="3507"/>
      <c r="RKI135" s="3507"/>
      <c r="RKJ135" s="3507"/>
      <c r="RKK135" s="3507"/>
      <c r="RKL135" s="3507"/>
      <c r="RKM135" s="3507"/>
      <c r="RKN135" s="3507"/>
      <c r="RKO135" s="3507"/>
      <c r="RKP135" s="3507"/>
      <c r="RKQ135" s="3507"/>
      <c r="RKR135" s="3507"/>
      <c r="RKS135" s="3507"/>
      <c r="RKT135" s="3507"/>
      <c r="RKU135" s="3507"/>
      <c r="RKV135" s="3507"/>
      <c r="RKW135" s="3507"/>
      <c r="RKX135" s="3507"/>
      <c r="RKY135" s="3507"/>
      <c r="RKZ135" s="3507"/>
      <c r="RLA135" s="3507"/>
      <c r="RLB135" s="3507"/>
      <c r="RLC135" s="3507"/>
      <c r="RLD135" s="3507"/>
      <c r="RLE135" s="3507"/>
      <c r="RLF135" s="3507"/>
      <c r="RLG135" s="3507"/>
      <c r="RLH135" s="3507"/>
      <c r="RLI135" s="3507"/>
      <c r="RLJ135" s="3507"/>
      <c r="RLK135" s="3507"/>
      <c r="RLL135" s="3507"/>
      <c r="RLM135" s="3507"/>
      <c r="RLN135" s="3507"/>
      <c r="RLO135" s="3507"/>
      <c r="RLP135" s="3507"/>
      <c r="RLQ135" s="3507"/>
      <c r="RLR135" s="3507"/>
      <c r="RLS135" s="3507"/>
      <c r="RLT135" s="3507"/>
      <c r="RLU135" s="3507"/>
      <c r="RLV135" s="3507"/>
      <c r="RLW135" s="3507"/>
      <c r="RLX135" s="3507"/>
      <c r="RLY135" s="3507"/>
      <c r="RLZ135" s="3507"/>
      <c r="RMA135" s="3507"/>
      <c r="RMB135" s="3507"/>
      <c r="RMC135" s="3507"/>
      <c r="RMD135" s="3507"/>
      <c r="RME135" s="3507"/>
      <c r="RMF135" s="3507"/>
      <c r="RMG135" s="3507"/>
      <c r="RMH135" s="3507"/>
      <c r="RMI135" s="3507"/>
      <c r="RMJ135" s="3507"/>
      <c r="RMK135" s="3507"/>
      <c r="RML135" s="3507"/>
      <c r="RMM135" s="3507"/>
      <c r="RMN135" s="3507"/>
      <c r="RMO135" s="3507"/>
      <c r="RMP135" s="3507"/>
      <c r="RMQ135" s="3507"/>
      <c r="RMR135" s="3507"/>
      <c r="RMS135" s="3507"/>
      <c r="RMT135" s="3507"/>
      <c r="RMU135" s="3507"/>
      <c r="RMV135" s="3507"/>
      <c r="RMW135" s="3507"/>
      <c r="RMX135" s="3507"/>
      <c r="RMY135" s="3507"/>
      <c r="RMZ135" s="3507"/>
      <c r="RNA135" s="3507"/>
      <c r="RNB135" s="3507"/>
      <c r="RNC135" s="3507"/>
      <c r="RND135" s="3507"/>
      <c r="RNE135" s="3507"/>
      <c r="RNF135" s="3507"/>
      <c r="RNG135" s="3507"/>
      <c r="RNH135" s="3507"/>
      <c r="RNI135" s="3507"/>
      <c r="RNJ135" s="3507"/>
      <c r="RNK135" s="3507"/>
      <c r="RNL135" s="3507"/>
      <c r="RNM135" s="3507"/>
      <c r="RNN135" s="3507"/>
      <c r="RNO135" s="3507"/>
      <c r="RNP135" s="3507"/>
      <c r="RNQ135" s="3507"/>
      <c r="RNR135" s="3507"/>
      <c r="RNS135" s="3507"/>
      <c r="RNT135" s="3507"/>
      <c r="RNU135" s="3507"/>
      <c r="RNV135" s="3507"/>
      <c r="RNW135" s="3507"/>
      <c r="RNX135" s="3507"/>
      <c r="RNY135" s="3507"/>
      <c r="RNZ135" s="3507"/>
      <c r="ROA135" s="3507"/>
      <c r="ROB135" s="3507"/>
      <c r="ROC135" s="3507"/>
      <c r="ROD135" s="3507"/>
      <c r="ROE135" s="3507"/>
      <c r="ROF135" s="3507"/>
      <c r="ROG135" s="3507"/>
      <c r="ROH135" s="3507"/>
      <c r="ROI135" s="3507"/>
      <c r="ROJ135" s="3507"/>
      <c r="ROK135" s="3507"/>
      <c r="ROL135" s="3507"/>
      <c r="ROM135" s="3507"/>
      <c r="RON135" s="3507"/>
      <c r="ROO135" s="3507"/>
      <c r="ROP135" s="3507"/>
      <c r="ROQ135" s="3507"/>
      <c r="ROR135" s="3507"/>
      <c r="ROS135" s="3507"/>
      <c r="ROT135" s="3507"/>
      <c r="ROU135" s="3507"/>
      <c r="ROV135" s="3507"/>
      <c r="ROW135" s="3507"/>
      <c r="ROX135" s="3507"/>
      <c r="ROY135" s="3507"/>
      <c r="ROZ135" s="3507"/>
      <c r="RPA135" s="3507"/>
      <c r="RPB135" s="3507"/>
      <c r="RPC135" s="3507"/>
      <c r="RPD135" s="3507"/>
      <c r="RPE135" s="3507"/>
      <c r="RPF135" s="3507"/>
      <c r="RPG135" s="3507"/>
      <c r="RPH135" s="3507"/>
      <c r="RPI135" s="3507"/>
      <c r="RPJ135" s="3507"/>
      <c r="RPK135" s="3507"/>
      <c r="RPL135" s="3507"/>
      <c r="RPM135" s="3507"/>
      <c r="RPN135" s="3507"/>
      <c r="RPO135" s="3507"/>
      <c r="RPP135" s="3507"/>
      <c r="RPQ135" s="3507"/>
      <c r="RPR135" s="3507"/>
      <c r="RPS135" s="3507"/>
      <c r="RPT135" s="3507"/>
      <c r="RPU135" s="3507"/>
      <c r="RPV135" s="3507"/>
      <c r="RPW135" s="3507"/>
      <c r="RPX135" s="3507"/>
      <c r="RPY135" s="3507"/>
      <c r="RPZ135" s="3507"/>
      <c r="RQA135" s="3507"/>
      <c r="RQB135" s="3507"/>
      <c r="RQC135" s="3507"/>
      <c r="RQD135" s="3507"/>
      <c r="RQE135" s="3507"/>
      <c r="RQF135" s="3507"/>
      <c r="RQG135" s="3507"/>
      <c r="RQH135" s="3507"/>
      <c r="RQI135" s="3507"/>
      <c r="RQJ135" s="3507"/>
      <c r="RQK135" s="3507"/>
      <c r="RQL135" s="3507"/>
      <c r="RQM135" s="3507"/>
      <c r="RQN135" s="3507"/>
      <c r="RQO135" s="3507"/>
      <c r="RQP135" s="3507"/>
      <c r="RQQ135" s="3507"/>
      <c r="RQR135" s="3507"/>
      <c r="RQS135" s="3507"/>
      <c r="RQT135" s="3507"/>
      <c r="RQU135" s="3507"/>
      <c r="RQV135" s="3507"/>
      <c r="RQW135" s="3507"/>
      <c r="RQX135" s="3507"/>
      <c r="RQY135" s="3507"/>
      <c r="RQZ135" s="3507"/>
      <c r="RRA135" s="3507"/>
      <c r="RRB135" s="3507"/>
      <c r="RRC135" s="3507"/>
      <c r="RRD135" s="3507"/>
      <c r="RRE135" s="3507"/>
      <c r="RRF135" s="3507"/>
      <c r="RRG135" s="3507"/>
      <c r="RRH135" s="3507"/>
      <c r="RRI135" s="3507"/>
      <c r="RRJ135" s="3507"/>
      <c r="RRK135" s="3507"/>
      <c r="RRL135" s="3507"/>
      <c r="RRM135" s="3507"/>
      <c r="RRN135" s="3507"/>
      <c r="RRO135" s="3507"/>
      <c r="RRP135" s="3507"/>
      <c r="RRQ135" s="3507"/>
      <c r="RRR135" s="3507"/>
      <c r="RRS135" s="3507"/>
      <c r="RRT135" s="3507"/>
      <c r="RRU135" s="3507"/>
      <c r="RRV135" s="3507"/>
      <c r="RRW135" s="3507"/>
      <c r="RRX135" s="3507"/>
      <c r="RRY135" s="3507"/>
      <c r="RRZ135" s="3507"/>
      <c r="RSA135" s="3507"/>
      <c r="RSB135" s="3507"/>
      <c r="RSC135" s="3507"/>
      <c r="RSD135" s="3507"/>
      <c r="RSE135" s="3507"/>
      <c r="RSF135" s="3507"/>
      <c r="RSG135" s="3507"/>
      <c r="RSH135" s="3507"/>
      <c r="RSI135" s="3507"/>
      <c r="RSJ135" s="3507"/>
      <c r="RSK135" s="3507"/>
      <c r="RSL135" s="3507"/>
      <c r="RSM135" s="3507"/>
      <c r="RSN135" s="3507"/>
      <c r="RSO135" s="3507"/>
      <c r="RSP135" s="3507"/>
      <c r="RSQ135" s="3507"/>
      <c r="RSR135" s="3507"/>
      <c r="RSS135" s="3507"/>
      <c r="RST135" s="3507"/>
      <c r="RSU135" s="3507"/>
      <c r="RSV135" s="3507"/>
      <c r="RSW135" s="3507"/>
      <c r="RSX135" s="3507"/>
      <c r="RSY135" s="3507"/>
      <c r="RSZ135" s="3507"/>
      <c r="RTA135" s="3507"/>
      <c r="RTB135" s="3507"/>
      <c r="RTC135" s="3507"/>
      <c r="RTD135" s="3507"/>
      <c r="RTE135" s="3507"/>
      <c r="RTF135" s="3507"/>
      <c r="RTG135" s="3507"/>
      <c r="RTH135" s="3507"/>
      <c r="RTI135" s="3507"/>
      <c r="RTJ135" s="3507"/>
      <c r="RTK135" s="3507"/>
      <c r="RTL135" s="3507"/>
      <c r="RTM135" s="3507"/>
      <c r="RTN135" s="3507"/>
      <c r="RTO135" s="3507"/>
      <c r="RTP135" s="3507"/>
      <c r="RTQ135" s="3507"/>
      <c r="RTR135" s="3507"/>
      <c r="RTS135" s="3507"/>
      <c r="RTT135" s="3507"/>
      <c r="RTU135" s="3507"/>
      <c r="RTV135" s="3507"/>
      <c r="RTW135" s="3507"/>
      <c r="RTX135" s="3507"/>
      <c r="RTY135" s="3507"/>
      <c r="RTZ135" s="3507"/>
      <c r="RUA135" s="3507"/>
      <c r="RUB135" s="3507"/>
      <c r="RUC135" s="3507"/>
      <c r="RUD135" s="3507"/>
      <c r="RUE135" s="3507"/>
      <c r="RUF135" s="3507"/>
      <c r="RUG135" s="3507"/>
      <c r="RUH135" s="3507"/>
      <c r="RUI135" s="3507"/>
      <c r="RUJ135" s="3507"/>
      <c r="RUK135" s="3507"/>
      <c r="RUL135" s="3507"/>
      <c r="RUM135" s="3507"/>
      <c r="RUN135" s="3507"/>
      <c r="RUO135" s="3507"/>
      <c r="RUP135" s="3507"/>
      <c r="RUQ135" s="3507"/>
      <c r="RUR135" s="3507"/>
      <c r="RUS135" s="3507"/>
      <c r="RUT135" s="3507"/>
      <c r="RUU135" s="3507"/>
      <c r="RUV135" s="3507"/>
      <c r="RUW135" s="3507"/>
      <c r="RUX135" s="3507"/>
      <c r="RUY135" s="3507"/>
      <c r="RUZ135" s="3507"/>
      <c r="RVA135" s="3507"/>
      <c r="RVB135" s="3507"/>
      <c r="RVC135" s="3507"/>
      <c r="RVD135" s="3507"/>
      <c r="RVE135" s="3507"/>
      <c r="RVF135" s="3507"/>
      <c r="RVG135" s="3507"/>
      <c r="RVH135" s="3507"/>
      <c r="RVI135" s="3507"/>
      <c r="RVJ135" s="3507"/>
      <c r="RVK135" s="3507"/>
      <c r="RVL135" s="3507"/>
      <c r="RVM135" s="3507"/>
      <c r="RVN135" s="3507"/>
      <c r="RVO135" s="3507"/>
      <c r="RVP135" s="3507"/>
      <c r="RVQ135" s="3507"/>
      <c r="RVR135" s="3507"/>
      <c r="RVS135" s="3507"/>
      <c r="RVT135" s="3507"/>
      <c r="RVU135" s="3507"/>
      <c r="RVV135" s="3507"/>
      <c r="RVW135" s="3507"/>
      <c r="RVX135" s="3507"/>
      <c r="RVY135" s="3507"/>
      <c r="RVZ135" s="3507"/>
      <c r="RWA135" s="3507"/>
      <c r="RWB135" s="3507"/>
      <c r="RWC135" s="3507"/>
      <c r="RWD135" s="3507"/>
      <c r="RWE135" s="3507"/>
      <c r="RWF135" s="3507"/>
      <c r="RWG135" s="3507"/>
      <c r="RWH135" s="3507"/>
      <c r="RWI135" s="3507"/>
      <c r="RWJ135" s="3507"/>
      <c r="RWK135" s="3507"/>
      <c r="RWL135" s="3507"/>
      <c r="RWM135" s="3507"/>
      <c r="RWN135" s="3507"/>
      <c r="RWO135" s="3507"/>
      <c r="RWP135" s="3507"/>
      <c r="RWQ135" s="3507"/>
      <c r="RWR135" s="3507"/>
      <c r="RWS135" s="3507"/>
      <c r="RWT135" s="3507"/>
      <c r="RWU135" s="3507"/>
      <c r="RWV135" s="3507"/>
      <c r="RWW135" s="3507"/>
      <c r="RWX135" s="3507"/>
      <c r="RWY135" s="3507"/>
      <c r="RWZ135" s="3507"/>
      <c r="RXA135" s="3507"/>
      <c r="RXB135" s="3507"/>
      <c r="RXC135" s="3507"/>
      <c r="RXD135" s="3507"/>
      <c r="RXE135" s="3507"/>
      <c r="RXF135" s="3507"/>
      <c r="RXG135" s="3507"/>
      <c r="RXH135" s="3507"/>
      <c r="RXI135" s="3507"/>
      <c r="RXJ135" s="3507"/>
      <c r="RXK135" s="3507"/>
      <c r="RXL135" s="3507"/>
      <c r="RXM135" s="3507"/>
      <c r="RXN135" s="3507"/>
      <c r="RXO135" s="3507"/>
      <c r="RXP135" s="3507"/>
      <c r="RXQ135" s="3507"/>
      <c r="RXR135" s="3507"/>
      <c r="RXS135" s="3507"/>
      <c r="RXT135" s="3507"/>
      <c r="RXU135" s="3507"/>
      <c r="RXV135" s="3507"/>
      <c r="RXW135" s="3507"/>
      <c r="RXX135" s="3507"/>
      <c r="RXY135" s="3507"/>
      <c r="RXZ135" s="3507"/>
      <c r="RYA135" s="3507"/>
      <c r="RYB135" s="3507"/>
      <c r="RYC135" s="3507"/>
      <c r="RYD135" s="3507"/>
      <c r="RYE135" s="3507"/>
      <c r="RYF135" s="3507"/>
      <c r="RYG135" s="3507"/>
      <c r="RYH135" s="3507"/>
      <c r="RYI135" s="3507"/>
      <c r="RYJ135" s="3507"/>
      <c r="RYK135" s="3507"/>
      <c r="RYL135" s="3507"/>
      <c r="RYM135" s="3507"/>
      <c r="RYN135" s="3507"/>
      <c r="RYO135" s="3507"/>
      <c r="RYP135" s="3507"/>
      <c r="RYQ135" s="3507"/>
      <c r="RYR135" s="3507"/>
      <c r="RYS135" s="3507"/>
      <c r="RYT135" s="3507"/>
      <c r="RYU135" s="3507"/>
      <c r="RYV135" s="3507"/>
      <c r="RYW135" s="3507"/>
      <c r="RYX135" s="3507"/>
      <c r="RYY135" s="3507"/>
      <c r="RYZ135" s="3507"/>
      <c r="RZA135" s="3507"/>
      <c r="RZB135" s="3507"/>
      <c r="RZC135" s="3507"/>
      <c r="RZD135" s="3507"/>
      <c r="RZE135" s="3507"/>
      <c r="RZF135" s="3507"/>
      <c r="RZG135" s="3507"/>
      <c r="RZH135" s="3507"/>
      <c r="RZI135" s="3507"/>
      <c r="RZJ135" s="3507"/>
      <c r="RZK135" s="3507"/>
      <c r="RZL135" s="3507"/>
      <c r="RZM135" s="3507"/>
      <c r="RZN135" s="3507"/>
      <c r="RZO135" s="3507"/>
      <c r="RZP135" s="3507"/>
      <c r="RZQ135" s="3507"/>
      <c r="RZR135" s="3507"/>
      <c r="RZS135" s="3507"/>
      <c r="RZT135" s="3507"/>
      <c r="RZU135" s="3507"/>
      <c r="RZV135" s="3507"/>
      <c r="RZW135" s="3507"/>
      <c r="RZX135" s="3507"/>
      <c r="RZY135" s="3507"/>
      <c r="RZZ135" s="3507"/>
      <c r="SAA135" s="3507"/>
      <c r="SAB135" s="3507"/>
      <c r="SAC135" s="3507"/>
      <c r="SAD135" s="3507"/>
      <c r="SAE135" s="3507"/>
      <c r="SAF135" s="3507"/>
      <c r="SAG135" s="3507"/>
      <c r="SAH135" s="3507"/>
      <c r="SAI135" s="3507"/>
      <c r="SAJ135" s="3507"/>
      <c r="SAK135" s="3507"/>
      <c r="SAL135" s="3507"/>
      <c r="SAM135" s="3507"/>
      <c r="SAN135" s="3507"/>
      <c r="SAO135" s="3507"/>
      <c r="SAP135" s="3507"/>
      <c r="SAQ135" s="3507"/>
      <c r="SAR135" s="3507"/>
      <c r="SAS135" s="3507"/>
      <c r="SAT135" s="3507"/>
      <c r="SAU135" s="3507"/>
      <c r="SAV135" s="3507"/>
      <c r="SAW135" s="3507"/>
      <c r="SAX135" s="3507"/>
      <c r="SAY135" s="3507"/>
      <c r="SAZ135" s="3507"/>
      <c r="SBA135" s="3507"/>
      <c r="SBB135" s="3507"/>
      <c r="SBC135" s="3507"/>
      <c r="SBD135" s="3507"/>
      <c r="SBE135" s="3507"/>
      <c r="SBF135" s="3507"/>
      <c r="SBG135" s="3507"/>
      <c r="SBH135" s="3507"/>
      <c r="SBI135" s="3507"/>
      <c r="SBJ135" s="3507"/>
      <c r="SBK135" s="3507"/>
      <c r="SBL135" s="3507"/>
      <c r="SBM135" s="3507"/>
      <c r="SBN135" s="3507"/>
      <c r="SBO135" s="3507"/>
      <c r="SBP135" s="3507"/>
      <c r="SBQ135" s="3507"/>
      <c r="SBR135" s="3507"/>
      <c r="SBS135" s="3507"/>
      <c r="SBT135" s="3507"/>
      <c r="SBU135" s="3507"/>
      <c r="SBV135" s="3507"/>
      <c r="SBW135" s="3507"/>
      <c r="SBX135" s="3507"/>
      <c r="SBY135" s="3507"/>
      <c r="SBZ135" s="3507"/>
      <c r="SCA135" s="3507"/>
      <c r="SCB135" s="3507"/>
      <c r="SCC135" s="3507"/>
      <c r="SCD135" s="3507"/>
      <c r="SCE135" s="3507"/>
      <c r="SCF135" s="3507"/>
      <c r="SCG135" s="3507"/>
      <c r="SCH135" s="3507"/>
      <c r="SCI135" s="3507"/>
      <c r="SCJ135" s="3507"/>
      <c r="SCK135" s="3507"/>
      <c r="SCL135" s="3507"/>
      <c r="SCM135" s="3507"/>
      <c r="SCN135" s="3507"/>
      <c r="SCO135" s="3507"/>
      <c r="SCP135" s="3507"/>
      <c r="SCQ135" s="3507"/>
      <c r="SCR135" s="3507"/>
      <c r="SCS135" s="3507"/>
      <c r="SCT135" s="3507"/>
      <c r="SCU135" s="3507"/>
      <c r="SCV135" s="3507"/>
      <c r="SCW135" s="3507"/>
      <c r="SCX135" s="3507"/>
      <c r="SCY135" s="3507"/>
      <c r="SCZ135" s="3507"/>
      <c r="SDA135" s="3507"/>
      <c r="SDB135" s="3507"/>
      <c r="SDC135" s="3507"/>
      <c r="SDD135" s="3507"/>
      <c r="SDE135" s="3507"/>
      <c r="SDF135" s="3507"/>
      <c r="SDG135" s="3507"/>
      <c r="SDH135" s="3507"/>
      <c r="SDI135" s="3507"/>
      <c r="SDJ135" s="3507"/>
      <c r="SDK135" s="3507"/>
      <c r="SDL135" s="3507"/>
      <c r="SDM135" s="3507"/>
      <c r="SDN135" s="3507"/>
      <c r="SDO135" s="3507"/>
      <c r="SDP135" s="3507"/>
      <c r="SDQ135" s="3507"/>
      <c r="SDR135" s="3507"/>
      <c r="SDS135" s="3507"/>
      <c r="SDT135" s="3507"/>
      <c r="SDU135" s="3507"/>
      <c r="SDV135" s="3507"/>
      <c r="SDW135" s="3507"/>
      <c r="SDX135" s="3507"/>
      <c r="SDY135" s="3507"/>
      <c r="SDZ135" s="3507"/>
      <c r="SEA135" s="3507"/>
      <c r="SEB135" s="3507"/>
      <c r="SEC135" s="3507"/>
      <c r="SED135" s="3507"/>
      <c r="SEE135" s="3507"/>
      <c r="SEF135" s="3507"/>
      <c r="SEG135" s="3507"/>
      <c r="SEH135" s="3507"/>
      <c r="SEI135" s="3507"/>
      <c r="SEJ135" s="3507"/>
      <c r="SEK135" s="3507"/>
      <c r="SEL135" s="3507"/>
      <c r="SEM135" s="3507"/>
      <c r="SEN135" s="3507"/>
      <c r="SEO135" s="3507"/>
      <c r="SEP135" s="3507"/>
      <c r="SEQ135" s="3507"/>
      <c r="SER135" s="3507"/>
      <c r="SES135" s="3507"/>
      <c r="SET135" s="3507"/>
      <c r="SEU135" s="3507"/>
      <c r="SEV135" s="3507"/>
      <c r="SEW135" s="3507"/>
      <c r="SEX135" s="3507"/>
      <c r="SEY135" s="3507"/>
      <c r="SEZ135" s="3507"/>
      <c r="SFA135" s="3507"/>
      <c r="SFB135" s="3507"/>
      <c r="SFC135" s="3507"/>
      <c r="SFD135" s="3507"/>
      <c r="SFE135" s="3507"/>
      <c r="SFF135" s="3507"/>
      <c r="SFG135" s="3507"/>
      <c r="SFH135" s="3507"/>
      <c r="SFI135" s="3507"/>
      <c r="SFJ135" s="3507"/>
      <c r="SFK135" s="3507"/>
      <c r="SFL135" s="3507"/>
      <c r="SFM135" s="3507"/>
      <c r="SFN135" s="3507"/>
      <c r="SFO135" s="3507"/>
      <c r="SFP135" s="3507"/>
      <c r="SFQ135" s="3507"/>
      <c r="SFR135" s="3507"/>
      <c r="SFS135" s="3507"/>
      <c r="SFT135" s="3507"/>
      <c r="SFU135" s="3507"/>
      <c r="SFV135" s="3507"/>
      <c r="SFW135" s="3507"/>
      <c r="SFX135" s="3507"/>
      <c r="SFY135" s="3507"/>
      <c r="SFZ135" s="3507"/>
      <c r="SGA135" s="3507"/>
      <c r="SGB135" s="3507"/>
      <c r="SGC135" s="3507"/>
      <c r="SGD135" s="3507"/>
      <c r="SGE135" s="3507"/>
      <c r="SGF135" s="3507"/>
      <c r="SGG135" s="3507"/>
      <c r="SGH135" s="3507"/>
      <c r="SGI135" s="3507"/>
      <c r="SGJ135" s="3507"/>
      <c r="SGK135" s="3507"/>
      <c r="SGL135" s="3507"/>
      <c r="SGM135" s="3507"/>
      <c r="SGN135" s="3507"/>
      <c r="SGO135" s="3507"/>
      <c r="SGP135" s="3507"/>
      <c r="SGQ135" s="3507"/>
      <c r="SGR135" s="3507"/>
      <c r="SGS135" s="3507"/>
      <c r="SGT135" s="3507"/>
      <c r="SGU135" s="3507"/>
      <c r="SGV135" s="3507"/>
      <c r="SGW135" s="3507"/>
      <c r="SGX135" s="3507"/>
      <c r="SGY135" s="3507"/>
      <c r="SGZ135" s="3507"/>
      <c r="SHA135" s="3507"/>
      <c r="SHB135" s="3507"/>
      <c r="SHC135" s="3507"/>
      <c r="SHD135" s="3507"/>
      <c r="SHE135" s="3507"/>
      <c r="SHF135" s="3507"/>
      <c r="SHG135" s="3507"/>
      <c r="SHH135" s="3507"/>
      <c r="SHI135" s="3507"/>
      <c r="SHJ135" s="3507"/>
      <c r="SHK135" s="3507"/>
      <c r="SHL135" s="3507"/>
      <c r="SHM135" s="3507"/>
      <c r="SHN135" s="3507"/>
      <c r="SHO135" s="3507"/>
      <c r="SHP135" s="3507"/>
      <c r="SHQ135" s="3507"/>
      <c r="SHR135" s="3507"/>
      <c r="SHS135" s="3507"/>
      <c r="SHT135" s="3507"/>
      <c r="SHU135" s="3507"/>
      <c r="SHV135" s="3507"/>
      <c r="SHW135" s="3507"/>
      <c r="SHX135" s="3507"/>
      <c r="SHY135" s="3507"/>
      <c r="SHZ135" s="3507"/>
      <c r="SIA135" s="3507"/>
      <c r="SIB135" s="3507"/>
      <c r="SIC135" s="3507"/>
      <c r="SID135" s="3507"/>
      <c r="SIE135" s="3507"/>
      <c r="SIF135" s="3507"/>
      <c r="SIG135" s="3507"/>
      <c r="SIH135" s="3507"/>
      <c r="SII135" s="3507"/>
      <c r="SIJ135" s="3507"/>
      <c r="SIK135" s="3507"/>
      <c r="SIL135" s="3507"/>
      <c r="SIM135" s="3507"/>
      <c r="SIN135" s="3507"/>
      <c r="SIO135" s="3507"/>
      <c r="SIP135" s="3507"/>
      <c r="SIQ135" s="3507"/>
      <c r="SIR135" s="3507"/>
      <c r="SIS135" s="3507"/>
      <c r="SIT135" s="3507"/>
      <c r="SIU135" s="3507"/>
      <c r="SIV135" s="3507"/>
      <c r="SIW135" s="3507"/>
      <c r="SIX135" s="3507"/>
      <c r="SIY135" s="3507"/>
      <c r="SIZ135" s="3507"/>
      <c r="SJA135" s="3507"/>
      <c r="SJB135" s="3507"/>
      <c r="SJC135" s="3507"/>
      <c r="SJD135" s="3507"/>
      <c r="SJE135" s="3507"/>
      <c r="SJF135" s="3507"/>
      <c r="SJG135" s="3507"/>
      <c r="SJH135" s="3507"/>
      <c r="SJI135" s="3507"/>
      <c r="SJJ135" s="3507"/>
      <c r="SJK135" s="3507"/>
      <c r="SJL135" s="3507"/>
      <c r="SJM135" s="3507"/>
      <c r="SJN135" s="3507"/>
      <c r="SJO135" s="3507"/>
      <c r="SJP135" s="3507"/>
      <c r="SJQ135" s="3507"/>
      <c r="SJR135" s="3507"/>
      <c r="SJS135" s="3507"/>
      <c r="SJT135" s="3507"/>
      <c r="SJU135" s="3507"/>
      <c r="SJV135" s="3507"/>
      <c r="SJW135" s="3507"/>
      <c r="SJX135" s="3507"/>
      <c r="SJY135" s="3507"/>
      <c r="SJZ135" s="3507"/>
      <c r="SKA135" s="3507"/>
      <c r="SKB135" s="3507"/>
      <c r="SKC135" s="3507"/>
      <c r="SKD135" s="3507"/>
      <c r="SKE135" s="3507"/>
      <c r="SKF135" s="3507"/>
      <c r="SKG135" s="3507"/>
      <c r="SKH135" s="3507"/>
      <c r="SKI135" s="3507"/>
      <c r="SKJ135" s="3507"/>
      <c r="SKK135" s="3507"/>
      <c r="SKL135" s="3507"/>
      <c r="SKM135" s="3507"/>
      <c r="SKN135" s="3507"/>
      <c r="SKO135" s="3507"/>
      <c r="SKP135" s="3507"/>
      <c r="SKQ135" s="3507"/>
      <c r="SKR135" s="3507"/>
      <c r="SKS135" s="3507"/>
      <c r="SKT135" s="3507"/>
      <c r="SKU135" s="3507"/>
      <c r="SKV135" s="3507"/>
      <c r="SKW135" s="3507"/>
      <c r="SKX135" s="3507"/>
      <c r="SKY135" s="3507"/>
      <c r="SKZ135" s="3507"/>
      <c r="SLA135" s="3507"/>
      <c r="SLB135" s="3507"/>
      <c r="SLC135" s="3507"/>
      <c r="SLD135" s="3507"/>
      <c r="SLE135" s="3507"/>
      <c r="SLF135" s="3507"/>
      <c r="SLG135" s="3507"/>
      <c r="SLH135" s="3507"/>
      <c r="SLI135" s="3507"/>
      <c r="SLJ135" s="3507"/>
      <c r="SLK135" s="3507"/>
      <c r="SLL135" s="3507"/>
      <c r="SLM135" s="3507"/>
      <c r="SLN135" s="3507"/>
      <c r="SLO135" s="3507"/>
      <c r="SLP135" s="3507"/>
      <c r="SLQ135" s="3507"/>
      <c r="SLR135" s="3507"/>
      <c r="SLS135" s="3507"/>
      <c r="SLT135" s="3507"/>
      <c r="SLU135" s="3507"/>
      <c r="SLV135" s="3507"/>
      <c r="SLW135" s="3507"/>
      <c r="SLX135" s="3507"/>
      <c r="SLY135" s="3507"/>
      <c r="SLZ135" s="3507"/>
      <c r="SMA135" s="3507"/>
      <c r="SMB135" s="3507"/>
      <c r="SMC135" s="3507"/>
      <c r="SMD135" s="3507"/>
      <c r="SME135" s="3507"/>
      <c r="SMF135" s="3507"/>
      <c r="SMG135" s="3507"/>
      <c r="SMH135" s="3507"/>
      <c r="SMI135" s="3507"/>
      <c r="SMJ135" s="3507"/>
      <c r="SMK135" s="3507"/>
      <c r="SML135" s="3507"/>
      <c r="SMM135" s="3507"/>
      <c r="SMN135" s="3507"/>
      <c r="SMO135" s="3507"/>
      <c r="SMP135" s="3507"/>
      <c r="SMQ135" s="3507"/>
      <c r="SMR135" s="3507"/>
      <c r="SMS135" s="3507"/>
      <c r="SMT135" s="3507"/>
      <c r="SMU135" s="3507"/>
      <c r="SMV135" s="3507"/>
      <c r="SMW135" s="3507"/>
      <c r="SMX135" s="3507"/>
      <c r="SMY135" s="3507"/>
      <c r="SMZ135" s="3507"/>
      <c r="SNA135" s="3507"/>
      <c r="SNB135" s="3507"/>
      <c r="SNC135" s="3507"/>
      <c r="SND135" s="3507"/>
      <c r="SNE135" s="3507"/>
      <c r="SNF135" s="3507"/>
      <c r="SNG135" s="3507"/>
      <c r="SNH135" s="3507"/>
      <c r="SNI135" s="3507"/>
      <c r="SNJ135" s="3507"/>
      <c r="SNK135" s="3507"/>
      <c r="SNL135" s="3507"/>
      <c r="SNM135" s="3507"/>
      <c r="SNN135" s="3507"/>
      <c r="SNO135" s="3507"/>
      <c r="SNP135" s="3507"/>
      <c r="SNQ135" s="3507"/>
      <c r="SNR135" s="3507"/>
      <c r="SNS135" s="3507"/>
      <c r="SNT135" s="3507"/>
      <c r="SNU135" s="3507"/>
      <c r="SNV135" s="3507"/>
      <c r="SNW135" s="3507"/>
      <c r="SNX135" s="3507"/>
      <c r="SNY135" s="3507"/>
      <c r="SNZ135" s="3507"/>
      <c r="SOA135" s="3507"/>
      <c r="SOB135" s="3507"/>
      <c r="SOC135" s="3507"/>
      <c r="SOD135" s="3507"/>
      <c r="SOE135" s="3507"/>
      <c r="SOF135" s="3507"/>
      <c r="SOG135" s="3507"/>
      <c r="SOH135" s="3507"/>
      <c r="SOI135" s="3507"/>
      <c r="SOJ135" s="3507"/>
      <c r="SOK135" s="3507"/>
      <c r="SOL135" s="3507"/>
      <c r="SOM135" s="3507"/>
      <c r="SON135" s="3507"/>
      <c r="SOO135" s="3507"/>
      <c r="SOP135" s="3507"/>
      <c r="SOQ135" s="3507"/>
      <c r="SOR135" s="3507"/>
      <c r="SOS135" s="3507"/>
      <c r="SOT135" s="3507"/>
      <c r="SOU135" s="3507"/>
      <c r="SOV135" s="3507"/>
      <c r="SOW135" s="3507"/>
      <c r="SOX135" s="3507"/>
      <c r="SOY135" s="3507"/>
      <c r="SOZ135" s="3507"/>
      <c r="SPA135" s="3507"/>
      <c r="SPB135" s="3507"/>
      <c r="SPC135" s="3507"/>
      <c r="SPD135" s="3507"/>
      <c r="SPE135" s="3507"/>
      <c r="SPF135" s="3507"/>
      <c r="SPG135" s="3507"/>
      <c r="SPH135" s="3507"/>
      <c r="SPI135" s="3507"/>
      <c r="SPJ135" s="3507"/>
      <c r="SPK135" s="3507"/>
      <c r="SPL135" s="3507"/>
      <c r="SPM135" s="3507"/>
      <c r="SPN135" s="3507"/>
      <c r="SPO135" s="3507"/>
      <c r="SPP135" s="3507"/>
      <c r="SPQ135" s="3507"/>
      <c r="SPR135" s="3507"/>
      <c r="SPS135" s="3507"/>
      <c r="SPT135" s="3507"/>
      <c r="SPU135" s="3507"/>
      <c r="SPV135" s="3507"/>
      <c r="SPW135" s="3507"/>
      <c r="SPX135" s="3507"/>
      <c r="SPY135" s="3507"/>
      <c r="SPZ135" s="3507"/>
      <c r="SQA135" s="3507"/>
      <c r="SQB135" s="3507"/>
      <c r="SQC135" s="3507"/>
      <c r="SQD135" s="3507"/>
      <c r="SQE135" s="3507"/>
      <c r="SQF135" s="3507"/>
      <c r="SQG135" s="3507"/>
      <c r="SQH135" s="3507"/>
      <c r="SQI135" s="3507"/>
      <c r="SQJ135" s="3507"/>
      <c r="SQK135" s="3507"/>
      <c r="SQL135" s="3507"/>
      <c r="SQM135" s="3507"/>
      <c r="SQN135" s="3507"/>
      <c r="SQO135" s="3507"/>
      <c r="SQP135" s="3507"/>
      <c r="SQQ135" s="3507"/>
      <c r="SQR135" s="3507"/>
      <c r="SQS135" s="3507"/>
      <c r="SQT135" s="3507"/>
      <c r="SQU135" s="3507"/>
      <c r="SQV135" s="3507"/>
      <c r="SQW135" s="3507"/>
      <c r="SQX135" s="3507"/>
      <c r="SQY135" s="3507"/>
      <c r="SQZ135" s="3507"/>
      <c r="SRA135" s="3507"/>
      <c r="SRB135" s="3507"/>
      <c r="SRC135" s="3507"/>
      <c r="SRD135" s="3507"/>
      <c r="SRE135" s="3507"/>
      <c r="SRF135" s="3507"/>
      <c r="SRG135" s="3507"/>
      <c r="SRH135" s="3507"/>
      <c r="SRI135" s="3507"/>
      <c r="SRJ135" s="3507"/>
      <c r="SRK135" s="3507"/>
      <c r="SRL135" s="3507"/>
      <c r="SRM135" s="3507"/>
      <c r="SRN135" s="3507"/>
      <c r="SRO135" s="3507"/>
      <c r="SRP135" s="3507"/>
      <c r="SRQ135" s="3507"/>
      <c r="SRR135" s="3507"/>
      <c r="SRS135" s="3507"/>
      <c r="SRT135" s="3507"/>
      <c r="SRU135" s="3507"/>
      <c r="SRV135" s="3507"/>
      <c r="SRW135" s="3507"/>
      <c r="SRX135" s="3507"/>
      <c r="SRY135" s="3507"/>
      <c r="SRZ135" s="3507"/>
      <c r="SSA135" s="3507"/>
      <c r="SSB135" s="3507"/>
      <c r="SSC135" s="3507"/>
      <c r="SSD135" s="3507"/>
      <c r="SSE135" s="3507"/>
      <c r="SSF135" s="3507"/>
      <c r="SSG135" s="3507"/>
      <c r="SSH135" s="3507"/>
      <c r="SSI135" s="3507"/>
      <c r="SSJ135" s="3507"/>
      <c r="SSK135" s="3507"/>
      <c r="SSL135" s="3507"/>
      <c r="SSM135" s="3507"/>
      <c r="SSN135" s="3507"/>
      <c r="SSO135" s="3507"/>
      <c r="SSP135" s="3507"/>
      <c r="SSQ135" s="3507"/>
      <c r="SSR135" s="3507"/>
      <c r="SSS135" s="3507"/>
      <c r="SST135" s="3507"/>
      <c r="SSU135" s="3507"/>
      <c r="SSV135" s="3507"/>
      <c r="SSW135" s="3507"/>
      <c r="SSX135" s="3507"/>
      <c r="SSY135" s="3507"/>
      <c r="SSZ135" s="3507"/>
      <c r="STA135" s="3507"/>
      <c r="STB135" s="3507"/>
      <c r="STC135" s="3507"/>
      <c r="STD135" s="3507"/>
      <c r="STE135" s="3507"/>
      <c r="STF135" s="3507"/>
      <c r="STG135" s="3507"/>
      <c r="STH135" s="3507"/>
      <c r="STI135" s="3507"/>
      <c r="STJ135" s="3507"/>
      <c r="STK135" s="3507"/>
      <c r="STL135" s="3507"/>
      <c r="STM135" s="3507"/>
      <c r="STN135" s="3507"/>
      <c r="STO135" s="3507"/>
      <c r="STP135" s="3507"/>
      <c r="STQ135" s="3507"/>
      <c r="STR135" s="3507"/>
      <c r="STS135" s="3507"/>
      <c r="STT135" s="3507"/>
      <c r="STU135" s="3507"/>
      <c r="STV135" s="3507"/>
      <c r="STW135" s="3507"/>
      <c r="STX135" s="3507"/>
      <c r="STY135" s="3507"/>
      <c r="STZ135" s="3507"/>
      <c r="SUA135" s="3507"/>
      <c r="SUB135" s="3507"/>
      <c r="SUC135" s="3507"/>
      <c r="SUD135" s="3507"/>
      <c r="SUE135" s="3507"/>
      <c r="SUF135" s="3507"/>
      <c r="SUG135" s="3507"/>
      <c r="SUH135" s="3507"/>
      <c r="SUI135" s="3507"/>
      <c r="SUJ135" s="3507"/>
      <c r="SUK135" s="3507"/>
      <c r="SUL135" s="3507"/>
      <c r="SUM135" s="3507"/>
      <c r="SUN135" s="3507"/>
      <c r="SUO135" s="3507"/>
      <c r="SUP135" s="3507"/>
      <c r="SUQ135" s="3507"/>
      <c r="SUR135" s="3507"/>
      <c r="SUS135" s="3507"/>
      <c r="SUT135" s="3507"/>
      <c r="SUU135" s="3507"/>
      <c r="SUV135" s="3507"/>
      <c r="SUW135" s="3507"/>
      <c r="SUX135" s="3507"/>
      <c r="SUY135" s="3507"/>
      <c r="SUZ135" s="3507"/>
      <c r="SVA135" s="3507"/>
      <c r="SVB135" s="3507"/>
      <c r="SVC135" s="3507"/>
      <c r="SVD135" s="3507"/>
      <c r="SVE135" s="3507"/>
      <c r="SVF135" s="3507"/>
      <c r="SVG135" s="3507"/>
      <c r="SVH135" s="3507"/>
      <c r="SVI135" s="3507"/>
      <c r="SVJ135" s="3507"/>
      <c r="SVK135" s="3507"/>
      <c r="SVL135" s="3507"/>
      <c r="SVM135" s="3507"/>
      <c r="SVN135" s="3507"/>
      <c r="SVO135" s="3507"/>
      <c r="SVP135" s="3507"/>
      <c r="SVQ135" s="3507"/>
      <c r="SVR135" s="3507"/>
      <c r="SVS135" s="3507"/>
      <c r="SVT135" s="3507"/>
      <c r="SVU135" s="3507"/>
      <c r="SVV135" s="3507"/>
      <c r="SVW135" s="3507"/>
      <c r="SVX135" s="3507"/>
      <c r="SVY135" s="3507"/>
      <c r="SVZ135" s="3507"/>
      <c r="SWA135" s="3507"/>
      <c r="SWB135" s="3507"/>
      <c r="SWC135" s="3507"/>
      <c r="SWD135" s="3507"/>
      <c r="SWE135" s="3507"/>
      <c r="SWF135" s="3507"/>
      <c r="SWG135" s="3507"/>
      <c r="SWH135" s="3507"/>
      <c r="SWI135" s="3507"/>
      <c r="SWJ135" s="3507"/>
      <c r="SWK135" s="3507"/>
      <c r="SWL135" s="3507"/>
      <c r="SWM135" s="3507"/>
      <c r="SWN135" s="3507"/>
      <c r="SWO135" s="3507"/>
      <c r="SWP135" s="3507"/>
      <c r="SWQ135" s="3507"/>
      <c r="SWR135" s="3507"/>
      <c r="SWS135" s="3507"/>
      <c r="SWT135" s="3507"/>
      <c r="SWU135" s="3507"/>
      <c r="SWV135" s="3507"/>
      <c r="SWW135" s="3507"/>
      <c r="SWX135" s="3507"/>
      <c r="SWY135" s="3507"/>
      <c r="SWZ135" s="3507"/>
      <c r="SXA135" s="3507"/>
      <c r="SXB135" s="3507"/>
      <c r="SXC135" s="3507"/>
      <c r="SXD135" s="3507"/>
      <c r="SXE135" s="3507"/>
      <c r="SXF135" s="3507"/>
      <c r="SXG135" s="3507"/>
      <c r="SXH135" s="3507"/>
      <c r="SXI135" s="3507"/>
      <c r="SXJ135" s="3507"/>
      <c r="SXK135" s="3507"/>
      <c r="SXL135" s="3507"/>
      <c r="SXM135" s="3507"/>
      <c r="SXN135" s="3507"/>
      <c r="SXO135" s="3507"/>
      <c r="SXP135" s="3507"/>
      <c r="SXQ135" s="3507"/>
      <c r="SXR135" s="3507"/>
      <c r="SXS135" s="3507"/>
      <c r="SXT135" s="3507"/>
      <c r="SXU135" s="3507"/>
      <c r="SXV135" s="3507"/>
      <c r="SXW135" s="3507"/>
      <c r="SXX135" s="3507"/>
      <c r="SXY135" s="3507"/>
      <c r="SXZ135" s="3507"/>
      <c r="SYA135" s="3507"/>
      <c r="SYB135" s="3507"/>
      <c r="SYC135" s="3507"/>
      <c r="SYD135" s="3507"/>
      <c r="SYE135" s="3507"/>
      <c r="SYF135" s="3507"/>
      <c r="SYG135" s="3507"/>
      <c r="SYH135" s="3507"/>
      <c r="SYI135" s="3507"/>
      <c r="SYJ135" s="3507"/>
      <c r="SYK135" s="3507"/>
      <c r="SYL135" s="3507"/>
      <c r="SYM135" s="3507"/>
      <c r="SYN135" s="3507"/>
      <c r="SYO135" s="3507"/>
      <c r="SYP135" s="3507"/>
      <c r="SYQ135" s="3507"/>
      <c r="SYR135" s="3507"/>
      <c r="SYS135" s="3507"/>
      <c r="SYT135" s="3507"/>
      <c r="SYU135" s="3507"/>
      <c r="SYV135" s="3507"/>
      <c r="SYW135" s="3507"/>
      <c r="SYX135" s="3507"/>
      <c r="SYY135" s="3507"/>
      <c r="SYZ135" s="3507"/>
      <c r="SZA135" s="3507"/>
      <c r="SZB135" s="3507"/>
      <c r="SZC135" s="3507"/>
      <c r="SZD135" s="3507"/>
      <c r="SZE135" s="3507"/>
      <c r="SZF135" s="3507"/>
      <c r="SZG135" s="3507"/>
      <c r="SZH135" s="3507"/>
      <c r="SZI135" s="3507"/>
      <c r="SZJ135" s="3507"/>
      <c r="SZK135" s="3507"/>
      <c r="SZL135" s="3507"/>
      <c r="SZM135" s="3507"/>
      <c r="SZN135" s="3507"/>
      <c r="SZO135" s="3507"/>
      <c r="SZP135" s="3507"/>
      <c r="SZQ135" s="3507"/>
      <c r="SZR135" s="3507"/>
      <c r="SZS135" s="3507"/>
      <c r="SZT135" s="3507"/>
      <c r="SZU135" s="3507"/>
      <c r="SZV135" s="3507"/>
      <c r="SZW135" s="3507"/>
      <c r="SZX135" s="3507"/>
      <c r="SZY135" s="3507"/>
      <c r="SZZ135" s="3507"/>
      <c r="TAA135" s="3507"/>
      <c r="TAB135" s="3507"/>
      <c r="TAC135" s="3507"/>
      <c r="TAD135" s="3507"/>
      <c r="TAE135" s="3507"/>
      <c r="TAF135" s="3507"/>
      <c r="TAG135" s="3507"/>
      <c r="TAH135" s="3507"/>
      <c r="TAI135" s="3507"/>
      <c r="TAJ135" s="3507"/>
      <c r="TAK135" s="3507"/>
      <c r="TAL135" s="3507"/>
      <c r="TAM135" s="3507"/>
      <c r="TAN135" s="3507"/>
      <c r="TAO135" s="3507"/>
      <c r="TAP135" s="3507"/>
      <c r="TAQ135" s="3507"/>
      <c r="TAR135" s="3507"/>
      <c r="TAS135" s="3507"/>
      <c r="TAT135" s="3507"/>
      <c r="TAU135" s="3507"/>
      <c r="TAV135" s="3507"/>
      <c r="TAW135" s="3507"/>
      <c r="TAX135" s="3507"/>
      <c r="TAY135" s="3507"/>
      <c r="TAZ135" s="3507"/>
      <c r="TBA135" s="3507"/>
      <c r="TBB135" s="3507"/>
      <c r="TBC135" s="3507"/>
      <c r="TBD135" s="3507"/>
      <c r="TBE135" s="3507"/>
      <c r="TBF135" s="3507"/>
      <c r="TBG135" s="3507"/>
      <c r="TBH135" s="3507"/>
      <c r="TBI135" s="3507"/>
      <c r="TBJ135" s="3507"/>
      <c r="TBK135" s="3507"/>
      <c r="TBL135" s="3507"/>
      <c r="TBM135" s="3507"/>
      <c r="TBN135" s="3507"/>
      <c r="TBO135" s="3507"/>
      <c r="TBP135" s="3507"/>
      <c r="TBQ135" s="3507"/>
      <c r="TBR135" s="3507"/>
      <c r="TBS135" s="3507"/>
      <c r="TBT135" s="3507"/>
      <c r="TBU135" s="3507"/>
      <c r="TBV135" s="3507"/>
      <c r="TBW135" s="3507"/>
      <c r="TBX135" s="3507"/>
      <c r="TBY135" s="3507"/>
      <c r="TBZ135" s="3507"/>
      <c r="TCA135" s="3507"/>
      <c r="TCB135" s="3507"/>
      <c r="TCC135" s="3507"/>
      <c r="TCD135" s="3507"/>
      <c r="TCE135" s="3507"/>
      <c r="TCF135" s="3507"/>
      <c r="TCG135" s="3507"/>
      <c r="TCH135" s="3507"/>
      <c r="TCI135" s="3507"/>
      <c r="TCJ135" s="3507"/>
      <c r="TCK135" s="3507"/>
      <c r="TCL135" s="3507"/>
      <c r="TCM135" s="3507"/>
      <c r="TCN135" s="3507"/>
      <c r="TCO135" s="3507"/>
      <c r="TCP135" s="3507"/>
      <c r="TCQ135" s="3507"/>
      <c r="TCR135" s="3507"/>
      <c r="TCS135" s="3507"/>
      <c r="TCT135" s="3507"/>
      <c r="TCU135" s="3507"/>
      <c r="TCV135" s="3507"/>
      <c r="TCW135" s="3507"/>
      <c r="TCX135" s="3507"/>
      <c r="TCY135" s="3507"/>
      <c r="TCZ135" s="3507"/>
      <c r="TDA135" s="3507"/>
      <c r="TDB135" s="3507"/>
      <c r="TDC135" s="3507"/>
      <c r="TDD135" s="3507"/>
      <c r="TDE135" s="3507"/>
      <c r="TDF135" s="3507"/>
      <c r="TDG135" s="3507"/>
      <c r="TDH135" s="3507"/>
      <c r="TDI135" s="3507"/>
      <c r="TDJ135" s="3507"/>
      <c r="TDK135" s="3507"/>
      <c r="TDL135" s="3507"/>
      <c r="TDM135" s="3507"/>
      <c r="TDN135" s="3507"/>
      <c r="TDO135" s="3507"/>
      <c r="TDP135" s="3507"/>
      <c r="TDQ135" s="3507"/>
      <c r="TDR135" s="3507"/>
      <c r="TDS135" s="3507"/>
      <c r="TDT135" s="3507"/>
      <c r="TDU135" s="3507"/>
      <c r="TDV135" s="3507"/>
      <c r="TDW135" s="3507"/>
      <c r="TDX135" s="3507"/>
      <c r="TDY135" s="3507"/>
      <c r="TDZ135" s="3507"/>
      <c r="TEA135" s="3507"/>
      <c r="TEB135" s="3507"/>
      <c r="TEC135" s="3507"/>
      <c r="TED135" s="3507"/>
      <c r="TEE135" s="3507"/>
      <c r="TEF135" s="3507"/>
      <c r="TEG135" s="3507"/>
      <c r="TEH135" s="3507"/>
      <c r="TEI135" s="3507"/>
      <c r="TEJ135" s="3507"/>
      <c r="TEK135" s="3507"/>
      <c r="TEL135" s="3507"/>
      <c r="TEM135" s="3507"/>
      <c r="TEN135" s="3507"/>
      <c r="TEO135" s="3507"/>
      <c r="TEP135" s="3507"/>
      <c r="TEQ135" s="3507"/>
      <c r="TER135" s="3507"/>
      <c r="TES135" s="3507"/>
      <c r="TET135" s="3507"/>
      <c r="TEU135" s="3507"/>
      <c r="TEV135" s="3507"/>
      <c r="TEW135" s="3507"/>
      <c r="TEX135" s="3507"/>
      <c r="TEY135" s="3507"/>
      <c r="TEZ135" s="3507"/>
      <c r="TFA135" s="3507"/>
      <c r="TFB135" s="3507"/>
      <c r="TFC135" s="3507"/>
      <c r="TFD135" s="3507"/>
      <c r="TFE135" s="3507"/>
      <c r="TFF135" s="3507"/>
      <c r="TFG135" s="3507"/>
      <c r="TFH135" s="3507"/>
      <c r="TFI135" s="3507"/>
      <c r="TFJ135" s="3507"/>
      <c r="TFK135" s="3507"/>
      <c r="TFL135" s="3507"/>
      <c r="TFM135" s="3507"/>
      <c r="TFN135" s="3507"/>
      <c r="TFO135" s="3507"/>
      <c r="TFP135" s="3507"/>
      <c r="TFQ135" s="3507"/>
      <c r="TFR135" s="3507"/>
      <c r="TFS135" s="3507"/>
      <c r="TFT135" s="3507"/>
      <c r="TFU135" s="3507"/>
      <c r="TFV135" s="3507"/>
      <c r="TFW135" s="3507"/>
      <c r="TFX135" s="3507"/>
      <c r="TFY135" s="3507"/>
      <c r="TFZ135" s="3507"/>
      <c r="TGA135" s="3507"/>
      <c r="TGB135" s="3507"/>
      <c r="TGC135" s="3507"/>
      <c r="TGD135" s="3507"/>
      <c r="TGE135" s="3507"/>
      <c r="TGF135" s="3507"/>
      <c r="TGG135" s="3507"/>
      <c r="TGH135" s="3507"/>
      <c r="TGI135" s="3507"/>
      <c r="TGJ135" s="3507"/>
      <c r="TGK135" s="3507"/>
      <c r="TGL135" s="3507"/>
      <c r="TGM135" s="3507"/>
      <c r="TGN135" s="3507"/>
      <c r="TGO135" s="3507"/>
      <c r="TGP135" s="3507"/>
      <c r="TGQ135" s="3507"/>
      <c r="TGR135" s="3507"/>
      <c r="TGS135" s="3507"/>
      <c r="TGT135" s="3507"/>
      <c r="TGU135" s="3507"/>
      <c r="TGV135" s="3507"/>
      <c r="TGW135" s="3507"/>
      <c r="TGX135" s="3507"/>
      <c r="TGY135" s="3507"/>
      <c r="TGZ135" s="3507"/>
      <c r="THA135" s="3507"/>
      <c r="THB135" s="3507"/>
      <c r="THC135" s="3507"/>
      <c r="THD135" s="3507"/>
      <c r="THE135" s="3507"/>
      <c r="THF135" s="3507"/>
      <c r="THG135" s="3507"/>
      <c r="THH135" s="3507"/>
      <c r="THI135" s="3507"/>
      <c r="THJ135" s="3507"/>
      <c r="THK135" s="3507"/>
      <c r="THL135" s="3507"/>
      <c r="THM135" s="3507"/>
      <c r="THN135" s="3507"/>
      <c r="THO135" s="3507"/>
      <c r="THP135" s="3507"/>
      <c r="THQ135" s="3507"/>
      <c r="THR135" s="3507"/>
      <c r="THS135" s="3507"/>
      <c r="THT135" s="3507"/>
      <c r="THU135" s="3507"/>
      <c r="THV135" s="3507"/>
      <c r="THW135" s="3507"/>
      <c r="THX135" s="3507"/>
      <c r="THY135" s="3507"/>
      <c r="THZ135" s="3507"/>
      <c r="TIA135" s="3507"/>
      <c r="TIB135" s="3507"/>
      <c r="TIC135" s="3507"/>
      <c r="TID135" s="3507"/>
      <c r="TIE135" s="3507"/>
      <c r="TIF135" s="3507"/>
      <c r="TIG135" s="3507"/>
      <c r="TIH135" s="3507"/>
      <c r="TII135" s="3507"/>
      <c r="TIJ135" s="3507"/>
      <c r="TIK135" s="3507"/>
      <c r="TIL135" s="3507"/>
      <c r="TIM135" s="3507"/>
      <c r="TIN135" s="3507"/>
      <c r="TIO135" s="3507"/>
      <c r="TIP135" s="3507"/>
      <c r="TIQ135" s="3507"/>
      <c r="TIR135" s="3507"/>
      <c r="TIS135" s="3507"/>
      <c r="TIT135" s="3507"/>
      <c r="TIU135" s="3507"/>
      <c r="TIV135" s="3507"/>
      <c r="TIW135" s="3507"/>
      <c r="TIX135" s="3507"/>
      <c r="TIY135" s="3507"/>
      <c r="TIZ135" s="3507"/>
      <c r="TJA135" s="3507"/>
      <c r="TJB135" s="3507"/>
      <c r="TJC135" s="3507"/>
      <c r="TJD135" s="3507"/>
      <c r="TJE135" s="3507"/>
      <c r="TJF135" s="3507"/>
      <c r="TJG135" s="3507"/>
      <c r="TJH135" s="3507"/>
      <c r="TJI135" s="3507"/>
      <c r="TJJ135" s="3507"/>
      <c r="TJK135" s="3507"/>
      <c r="TJL135" s="3507"/>
      <c r="TJM135" s="3507"/>
      <c r="TJN135" s="3507"/>
      <c r="TJO135" s="3507"/>
      <c r="TJP135" s="3507"/>
      <c r="TJQ135" s="3507"/>
      <c r="TJR135" s="3507"/>
      <c r="TJS135" s="3507"/>
      <c r="TJT135" s="3507"/>
      <c r="TJU135" s="3507"/>
      <c r="TJV135" s="3507"/>
      <c r="TJW135" s="3507"/>
      <c r="TJX135" s="3507"/>
      <c r="TJY135" s="3507"/>
      <c r="TJZ135" s="3507"/>
      <c r="TKA135" s="3507"/>
      <c r="TKB135" s="3507"/>
      <c r="TKC135" s="3507"/>
      <c r="TKD135" s="3507"/>
      <c r="TKE135" s="3507"/>
      <c r="TKF135" s="3507"/>
      <c r="TKG135" s="3507"/>
      <c r="TKH135" s="3507"/>
      <c r="TKI135" s="3507"/>
      <c r="TKJ135" s="3507"/>
      <c r="TKK135" s="3507"/>
      <c r="TKL135" s="3507"/>
      <c r="TKM135" s="3507"/>
      <c r="TKN135" s="3507"/>
      <c r="TKO135" s="3507"/>
      <c r="TKP135" s="3507"/>
      <c r="TKQ135" s="3507"/>
      <c r="TKR135" s="3507"/>
      <c r="TKS135" s="3507"/>
      <c r="TKT135" s="3507"/>
      <c r="TKU135" s="3507"/>
      <c r="TKV135" s="3507"/>
      <c r="TKW135" s="3507"/>
      <c r="TKX135" s="3507"/>
      <c r="TKY135" s="3507"/>
      <c r="TKZ135" s="3507"/>
      <c r="TLA135" s="3507"/>
      <c r="TLB135" s="3507"/>
      <c r="TLC135" s="3507"/>
      <c r="TLD135" s="3507"/>
      <c r="TLE135" s="3507"/>
      <c r="TLF135" s="3507"/>
      <c r="TLG135" s="3507"/>
      <c r="TLH135" s="3507"/>
      <c r="TLI135" s="3507"/>
      <c r="TLJ135" s="3507"/>
      <c r="TLK135" s="3507"/>
      <c r="TLL135" s="3507"/>
      <c r="TLM135" s="3507"/>
      <c r="TLN135" s="3507"/>
      <c r="TLO135" s="3507"/>
      <c r="TLP135" s="3507"/>
      <c r="TLQ135" s="3507"/>
      <c r="TLR135" s="3507"/>
      <c r="TLS135" s="3507"/>
      <c r="TLT135" s="3507"/>
      <c r="TLU135" s="3507"/>
      <c r="TLV135" s="3507"/>
      <c r="TLW135" s="3507"/>
      <c r="TLX135" s="3507"/>
      <c r="TLY135" s="3507"/>
      <c r="TLZ135" s="3507"/>
      <c r="TMA135" s="3507"/>
      <c r="TMB135" s="3507"/>
      <c r="TMC135" s="3507"/>
      <c r="TMD135" s="3507"/>
      <c r="TME135" s="3507"/>
      <c r="TMF135" s="3507"/>
      <c r="TMG135" s="3507"/>
      <c r="TMH135" s="3507"/>
      <c r="TMI135" s="3507"/>
      <c r="TMJ135" s="3507"/>
      <c r="TMK135" s="3507"/>
      <c r="TML135" s="3507"/>
      <c r="TMM135" s="3507"/>
      <c r="TMN135" s="3507"/>
      <c r="TMO135" s="3507"/>
      <c r="TMP135" s="3507"/>
      <c r="TMQ135" s="3507"/>
      <c r="TMR135" s="3507"/>
      <c r="TMS135" s="3507"/>
      <c r="TMT135" s="3507"/>
      <c r="TMU135" s="3507"/>
      <c r="TMV135" s="3507"/>
      <c r="TMW135" s="3507"/>
      <c r="TMX135" s="3507"/>
      <c r="TMY135" s="3507"/>
      <c r="TMZ135" s="3507"/>
      <c r="TNA135" s="3507"/>
      <c r="TNB135" s="3507"/>
      <c r="TNC135" s="3507"/>
      <c r="TND135" s="3507"/>
      <c r="TNE135" s="3507"/>
      <c r="TNF135" s="3507"/>
      <c r="TNG135" s="3507"/>
      <c r="TNH135" s="3507"/>
      <c r="TNI135" s="3507"/>
      <c r="TNJ135" s="3507"/>
      <c r="TNK135" s="3507"/>
      <c r="TNL135" s="3507"/>
      <c r="TNM135" s="3507"/>
      <c r="TNN135" s="3507"/>
      <c r="TNO135" s="3507"/>
      <c r="TNP135" s="3507"/>
      <c r="TNQ135" s="3507"/>
      <c r="TNR135" s="3507"/>
      <c r="TNS135" s="3507"/>
      <c r="TNT135" s="3507"/>
      <c r="TNU135" s="3507"/>
      <c r="TNV135" s="3507"/>
      <c r="TNW135" s="3507"/>
      <c r="TNX135" s="3507"/>
      <c r="TNY135" s="3507"/>
      <c r="TNZ135" s="3507"/>
      <c r="TOA135" s="3507"/>
      <c r="TOB135" s="3507"/>
      <c r="TOC135" s="3507"/>
      <c r="TOD135" s="3507"/>
      <c r="TOE135" s="3507"/>
      <c r="TOF135" s="3507"/>
      <c r="TOG135" s="3507"/>
      <c r="TOH135" s="3507"/>
      <c r="TOI135" s="3507"/>
      <c r="TOJ135" s="3507"/>
      <c r="TOK135" s="3507"/>
      <c r="TOL135" s="3507"/>
      <c r="TOM135" s="3507"/>
      <c r="TON135" s="3507"/>
      <c r="TOO135" s="3507"/>
      <c r="TOP135" s="3507"/>
      <c r="TOQ135" s="3507"/>
      <c r="TOR135" s="3507"/>
      <c r="TOS135" s="3507"/>
      <c r="TOT135" s="3507"/>
      <c r="TOU135" s="3507"/>
      <c r="TOV135" s="3507"/>
      <c r="TOW135" s="3507"/>
      <c r="TOX135" s="3507"/>
      <c r="TOY135" s="3507"/>
      <c r="TOZ135" s="3507"/>
      <c r="TPA135" s="3507"/>
      <c r="TPB135" s="3507"/>
      <c r="TPC135" s="3507"/>
      <c r="TPD135" s="3507"/>
      <c r="TPE135" s="3507"/>
      <c r="TPF135" s="3507"/>
      <c r="TPG135" s="3507"/>
      <c r="TPH135" s="3507"/>
      <c r="TPI135" s="3507"/>
      <c r="TPJ135" s="3507"/>
      <c r="TPK135" s="3507"/>
      <c r="TPL135" s="3507"/>
      <c r="TPM135" s="3507"/>
      <c r="TPN135" s="3507"/>
      <c r="TPO135" s="3507"/>
      <c r="TPP135" s="3507"/>
      <c r="TPQ135" s="3507"/>
      <c r="TPR135" s="3507"/>
      <c r="TPS135" s="3507"/>
      <c r="TPT135" s="3507"/>
      <c r="TPU135" s="3507"/>
      <c r="TPV135" s="3507"/>
      <c r="TPW135" s="3507"/>
      <c r="TPX135" s="3507"/>
      <c r="TPY135" s="3507"/>
      <c r="TPZ135" s="3507"/>
      <c r="TQA135" s="3507"/>
      <c r="TQB135" s="3507"/>
      <c r="TQC135" s="3507"/>
      <c r="TQD135" s="3507"/>
      <c r="TQE135" s="3507"/>
      <c r="TQF135" s="3507"/>
      <c r="TQG135" s="3507"/>
      <c r="TQH135" s="3507"/>
      <c r="TQI135" s="3507"/>
      <c r="TQJ135" s="3507"/>
      <c r="TQK135" s="3507"/>
      <c r="TQL135" s="3507"/>
      <c r="TQM135" s="3507"/>
      <c r="TQN135" s="3507"/>
      <c r="TQO135" s="3507"/>
      <c r="TQP135" s="3507"/>
      <c r="TQQ135" s="3507"/>
      <c r="TQR135" s="3507"/>
      <c r="TQS135" s="3507"/>
      <c r="TQT135" s="3507"/>
      <c r="TQU135" s="3507"/>
      <c r="TQV135" s="3507"/>
      <c r="TQW135" s="3507"/>
      <c r="TQX135" s="3507"/>
      <c r="TQY135" s="3507"/>
      <c r="TQZ135" s="3507"/>
      <c r="TRA135" s="3507"/>
      <c r="TRB135" s="3507"/>
      <c r="TRC135" s="3507"/>
      <c r="TRD135" s="3507"/>
      <c r="TRE135" s="3507"/>
      <c r="TRF135" s="3507"/>
      <c r="TRG135" s="3507"/>
      <c r="TRH135" s="3507"/>
      <c r="TRI135" s="3507"/>
      <c r="TRJ135" s="3507"/>
      <c r="TRK135" s="3507"/>
      <c r="TRL135" s="3507"/>
      <c r="TRM135" s="3507"/>
      <c r="TRN135" s="3507"/>
      <c r="TRO135" s="3507"/>
      <c r="TRP135" s="3507"/>
      <c r="TRQ135" s="3507"/>
      <c r="TRR135" s="3507"/>
      <c r="TRS135" s="3507"/>
      <c r="TRT135" s="3507"/>
      <c r="TRU135" s="3507"/>
      <c r="TRV135" s="3507"/>
      <c r="TRW135" s="3507"/>
      <c r="TRX135" s="3507"/>
      <c r="TRY135" s="3507"/>
      <c r="TRZ135" s="3507"/>
      <c r="TSA135" s="3507"/>
      <c r="TSB135" s="3507"/>
      <c r="TSC135" s="3507"/>
      <c r="TSD135" s="3507"/>
      <c r="TSE135" s="3507"/>
      <c r="TSF135" s="3507"/>
      <c r="TSG135" s="3507"/>
      <c r="TSH135" s="3507"/>
      <c r="TSI135" s="3507"/>
      <c r="TSJ135" s="3507"/>
      <c r="TSK135" s="3507"/>
      <c r="TSL135" s="3507"/>
      <c r="TSM135" s="3507"/>
      <c r="TSN135" s="3507"/>
      <c r="TSO135" s="3507"/>
      <c r="TSP135" s="3507"/>
      <c r="TSQ135" s="3507"/>
      <c r="TSR135" s="3507"/>
      <c r="TSS135" s="3507"/>
      <c r="TST135" s="3507"/>
      <c r="TSU135" s="3507"/>
      <c r="TSV135" s="3507"/>
      <c r="TSW135" s="3507"/>
      <c r="TSX135" s="3507"/>
      <c r="TSY135" s="3507"/>
      <c r="TSZ135" s="3507"/>
      <c r="TTA135" s="3507"/>
      <c r="TTB135" s="3507"/>
      <c r="TTC135" s="3507"/>
      <c r="TTD135" s="3507"/>
      <c r="TTE135" s="3507"/>
      <c r="TTF135" s="3507"/>
      <c r="TTG135" s="3507"/>
      <c r="TTH135" s="3507"/>
      <c r="TTI135" s="3507"/>
      <c r="TTJ135" s="3507"/>
      <c r="TTK135" s="3507"/>
      <c r="TTL135" s="3507"/>
      <c r="TTM135" s="3507"/>
      <c r="TTN135" s="3507"/>
      <c r="TTO135" s="3507"/>
      <c r="TTP135" s="3507"/>
      <c r="TTQ135" s="3507"/>
      <c r="TTR135" s="3507"/>
      <c r="TTS135" s="3507"/>
      <c r="TTT135" s="3507"/>
      <c r="TTU135" s="3507"/>
      <c r="TTV135" s="3507"/>
      <c r="TTW135" s="3507"/>
      <c r="TTX135" s="3507"/>
      <c r="TTY135" s="3507"/>
      <c r="TTZ135" s="3507"/>
      <c r="TUA135" s="3507"/>
      <c r="TUB135" s="3507"/>
      <c r="TUC135" s="3507"/>
      <c r="TUD135" s="3507"/>
      <c r="TUE135" s="3507"/>
      <c r="TUF135" s="3507"/>
      <c r="TUG135" s="3507"/>
      <c r="TUH135" s="3507"/>
      <c r="TUI135" s="3507"/>
      <c r="TUJ135" s="3507"/>
      <c r="TUK135" s="3507"/>
      <c r="TUL135" s="3507"/>
      <c r="TUM135" s="3507"/>
      <c r="TUN135" s="3507"/>
      <c r="TUO135" s="3507"/>
      <c r="TUP135" s="3507"/>
      <c r="TUQ135" s="3507"/>
      <c r="TUR135" s="3507"/>
      <c r="TUS135" s="3507"/>
      <c r="TUT135" s="3507"/>
      <c r="TUU135" s="3507"/>
      <c r="TUV135" s="3507"/>
      <c r="TUW135" s="3507"/>
      <c r="TUX135" s="3507"/>
      <c r="TUY135" s="3507"/>
      <c r="TUZ135" s="3507"/>
      <c r="TVA135" s="3507"/>
      <c r="TVB135" s="3507"/>
      <c r="TVC135" s="3507"/>
      <c r="TVD135" s="3507"/>
      <c r="TVE135" s="3507"/>
      <c r="TVF135" s="3507"/>
      <c r="TVG135" s="3507"/>
      <c r="TVH135" s="3507"/>
      <c r="TVI135" s="3507"/>
      <c r="TVJ135" s="3507"/>
      <c r="TVK135" s="3507"/>
      <c r="TVL135" s="3507"/>
      <c r="TVM135" s="3507"/>
      <c r="TVN135" s="3507"/>
      <c r="TVO135" s="3507"/>
      <c r="TVP135" s="3507"/>
      <c r="TVQ135" s="3507"/>
      <c r="TVR135" s="3507"/>
      <c r="TVS135" s="3507"/>
      <c r="TVT135" s="3507"/>
      <c r="TVU135" s="3507"/>
      <c r="TVV135" s="3507"/>
      <c r="TVW135" s="3507"/>
      <c r="TVX135" s="3507"/>
      <c r="TVY135" s="3507"/>
      <c r="TVZ135" s="3507"/>
      <c r="TWA135" s="3507"/>
      <c r="TWB135" s="3507"/>
      <c r="TWC135" s="3507"/>
      <c r="TWD135" s="3507"/>
      <c r="TWE135" s="3507"/>
      <c r="TWF135" s="3507"/>
      <c r="TWG135" s="3507"/>
      <c r="TWH135" s="3507"/>
      <c r="TWI135" s="3507"/>
      <c r="TWJ135" s="3507"/>
      <c r="TWK135" s="3507"/>
      <c r="TWL135" s="3507"/>
      <c r="TWM135" s="3507"/>
      <c r="TWN135" s="3507"/>
      <c r="TWO135" s="3507"/>
      <c r="TWP135" s="3507"/>
      <c r="TWQ135" s="3507"/>
      <c r="TWR135" s="3507"/>
      <c r="TWS135" s="3507"/>
      <c r="TWT135" s="3507"/>
      <c r="TWU135" s="3507"/>
      <c r="TWV135" s="3507"/>
      <c r="TWW135" s="3507"/>
      <c r="TWX135" s="3507"/>
      <c r="TWY135" s="3507"/>
      <c r="TWZ135" s="3507"/>
      <c r="TXA135" s="3507"/>
      <c r="TXB135" s="3507"/>
      <c r="TXC135" s="3507"/>
      <c r="TXD135" s="3507"/>
      <c r="TXE135" s="3507"/>
      <c r="TXF135" s="3507"/>
      <c r="TXG135" s="3507"/>
      <c r="TXH135" s="3507"/>
      <c r="TXI135" s="3507"/>
      <c r="TXJ135" s="3507"/>
      <c r="TXK135" s="3507"/>
      <c r="TXL135" s="3507"/>
      <c r="TXM135" s="3507"/>
      <c r="TXN135" s="3507"/>
      <c r="TXO135" s="3507"/>
      <c r="TXP135" s="3507"/>
      <c r="TXQ135" s="3507"/>
      <c r="TXR135" s="3507"/>
      <c r="TXS135" s="3507"/>
      <c r="TXT135" s="3507"/>
      <c r="TXU135" s="3507"/>
      <c r="TXV135" s="3507"/>
      <c r="TXW135" s="3507"/>
      <c r="TXX135" s="3507"/>
      <c r="TXY135" s="3507"/>
      <c r="TXZ135" s="3507"/>
      <c r="TYA135" s="3507"/>
      <c r="TYB135" s="3507"/>
      <c r="TYC135" s="3507"/>
      <c r="TYD135" s="3507"/>
      <c r="TYE135" s="3507"/>
      <c r="TYF135" s="3507"/>
      <c r="TYG135" s="3507"/>
      <c r="TYH135" s="3507"/>
      <c r="TYI135" s="3507"/>
      <c r="TYJ135" s="3507"/>
      <c r="TYK135" s="3507"/>
      <c r="TYL135" s="3507"/>
      <c r="TYM135" s="3507"/>
      <c r="TYN135" s="3507"/>
      <c r="TYO135" s="3507"/>
      <c r="TYP135" s="3507"/>
      <c r="TYQ135" s="3507"/>
      <c r="TYR135" s="3507"/>
      <c r="TYS135" s="3507"/>
      <c r="TYT135" s="3507"/>
      <c r="TYU135" s="3507"/>
      <c r="TYV135" s="3507"/>
      <c r="TYW135" s="3507"/>
      <c r="TYX135" s="3507"/>
      <c r="TYY135" s="3507"/>
      <c r="TYZ135" s="3507"/>
      <c r="TZA135" s="3507"/>
      <c r="TZB135" s="3507"/>
      <c r="TZC135" s="3507"/>
      <c r="TZD135" s="3507"/>
      <c r="TZE135" s="3507"/>
      <c r="TZF135" s="3507"/>
      <c r="TZG135" s="3507"/>
      <c r="TZH135" s="3507"/>
      <c r="TZI135" s="3507"/>
      <c r="TZJ135" s="3507"/>
      <c r="TZK135" s="3507"/>
      <c r="TZL135" s="3507"/>
      <c r="TZM135" s="3507"/>
      <c r="TZN135" s="3507"/>
      <c r="TZO135" s="3507"/>
      <c r="TZP135" s="3507"/>
      <c r="TZQ135" s="3507"/>
      <c r="TZR135" s="3507"/>
      <c r="TZS135" s="3507"/>
      <c r="TZT135" s="3507"/>
      <c r="TZU135" s="3507"/>
      <c r="TZV135" s="3507"/>
      <c r="TZW135" s="3507"/>
      <c r="TZX135" s="3507"/>
      <c r="TZY135" s="3507"/>
      <c r="TZZ135" s="3507"/>
      <c r="UAA135" s="3507"/>
      <c r="UAB135" s="3507"/>
      <c r="UAC135" s="3507"/>
      <c r="UAD135" s="3507"/>
      <c r="UAE135" s="3507"/>
      <c r="UAF135" s="3507"/>
      <c r="UAG135" s="3507"/>
      <c r="UAH135" s="3507"/>
      <c r="UAI135" s="3507"/>
      <c r="UAJ135" s="3507"/>
      <c r="UAK135" s="3507"/>
      <c r="UAL135" s="3507"/>
      <c r="UAM135" s="3507"/>
      <c r="UAN135" s="3507"/>
      <c r="UAO135" s="3507"/>
      <c r="UAP135" s="3507"/>
      <c r="UAQ135" s="3507"/>
      <c r="UAR135" s="3507"/>
      <c r="UAS135" s="3507"/>
      <c r="UAT135" s="3507"/>
      <c r="UAU135" s="3507"/>
      <c r="UAV135" s="3507"/>
      <c r="UAW135" s="3507"/>
      <c r="UAX135" s="3507"/>
      <c r="UAY135" s="3507"/>
      <c r="UAZ135" s="3507"/>
      <c r="UBA135" s="3507"/>
      <c r="UBB135" s="3507"/>
      <c r="UBC135" s="3507"/>
      <c r="UBD135" s="3507"/>
      <c r="UBE135" s="3507"/>
      <c r="UBF135" s="3507"/>
      <c r="UBG135" s="3507"/>
      <c r="UBH135" s="3507"/>
      <c r="UBI135" s="3507"/>
      <c r="UBJ135" s="3507"/>
      <c r="UBK135" s="3507"/>
      <c r="UBL135" s="3507"/>
      <c r="UBM135" s="3507"/>
      <c r="UBN135" s="3507"/>
      <c r="UBO135" s="3507"/>
      <c r="UBP135" s="3507"/>
      <c r="UBQ135" s="3507"/>
      <c r="UBR135" s="3507"/>
      <c r="UBS135" s="3507"/>
      <c r="UBT135" s="3507"/>
      <c r="UBU135" s="3507"/>
      <c r="UBV135" s="3507"/>
      <c r="UBW135" s="3507"/>
      <c r="UBX135" s="3507"/>
      <c r="UBY135" s="3507"/>
      <c r="UBZ135" s="3507"/>
      <c r="UCA135" s="3507"/>
      <c r="UCB135" s="3507"/>
      <c r="UCC135" s="3507"/>
      <c r="UCD135" s="3507"/>
      <c r="UCE135" s="3507"/>
      <c r="UCF135" s="3507"/>
      <c r="UCG135" s="3507"/>
      <c r="UCH135" s="3507"/>
      <c r="UCI135" s="3507"/>
      <c r="UCJ135" s="3507"/>
      <c r="UCK135" s="3507"/>
      <c r="UCL135" s="3507"/>
      <c r="UCM135" s="3507"/>
      <c r="UCN135" s="3507"/>
      <c r="UCO135" s="3507"/>
      <c r="UCP135" s="3507"/>
      <c r="UCQ135" s="3507"/>
      <c r="UCR135" s="3507"/>
      <c r="UCS135" s="3507"/>
      <c r="UCT135" s="3507"/>
      <c r="UCU135" s="3507"/>
      <c r="UCV135" s="3507"/>
      <c r="UCW135" s="3507"/>
      <c r="UCX135" s="3507"/>
      <c r="UCY135" s="3507"/>
      <c r="UCZ135" s="3507"/>
      <c r="UDA135" s="3507"/>
      <c r="UDB135" s="3507"/>
      <c r="UDC135" s="3507"/>
      <c r="UDD135" s="3507"/>
      <c r="UDE135" s="3507"/>
      <c r="UDF135" s="3507"/>
      <c r="UDG135" s="3507"/>
      <c r="UDH135" s="3507"/>
      <c r="UDI135" s="3507"/>
      <c r="UDJ135" s="3507"/>
      <c r="UDK135" s="3507"/>
      <c r="UDL135" s="3507"/>
      <c r="UDM135" s="3507"/>
      <c r="UDN135" s="3507"/>
      <c r="UDO135" s="3507"/>
      <c r="UDP135" s="3507"/>
      <c r="UDQ135" s="3507"/>
      <c r="UDR135" s="3507"/>
      <c r="UDS135" s="3507"/>
      <c r="UDT135" s="3507"/>
      <c r="UDU135" s="3507"/>
      <c r="UDV135" s="3507"/>
      <c r="UDW135" s="3507"/>
      <c r="UDX135" s="3507"/>
      <c r="UDY135" s="3507"/>
      <c r="UDZ135" s="3507"/>
      <c r="UEA135" s="3507"/>
      <c r="UEB135" s="3507"/>
      <c r="UEC135" s="3507"/>
      <c r="UED135" s="3507"/>
      <c r="UEE135" s="3507"/>
      <c r="UEF135" s="3507"/>
      <c r="UEG135" s="3507"/>
      <c r="UEH135" s="3507"/>
      <c r="UEI135" s="3507"/>
      <c r="UEJ135" s="3507"/>
      <c r="UEK135" s="3507"/>
      <c r="UEL135" s="3507"/>
      <c r="UEM135" s="3507"/>
      <c r="UEN135" s="3507"/>
      <c r="UEO135" s="3507"/>
      <c r="UEP135" s="3507"/>
      <c r="UEQ135" s="3507"/>
      <c r="UER135" s="3507"/>
      <c r="UES135" s="3507"/>
      <c r="UET135" s="3507"/>
      <c r="UEU135" s="3507"/>
      <c r="UEV135" s="3507"/>
      <c r="UEW135" s="3507"/>
      <c r="UEX135" s="3507"/>
      <c r="UEY135" s="3507"/>
      <c r="UEZ135" s="3507"/>
      <c r="UFA135" s="3507"/>
      <c r="UFB135" s="3507"/>
      <c r="UFC135" s="3507"/>
      <c r="UFD135" s="3507"/>
      <c r="UFE135" s="3507"/>
      <c r="UFF135" s="3507"/>
      <c r="UFG135" s="3507"/>
      <c r="UFH135" s="3507"/>
      <c r="UFI135" s="3507"/>
      <c r="UFJ135" s="3507"/>
      <c r="UFK135" s="3507"/>
      <c r="UFL135" s="3507"/>
      <c r="UFM135" s="3507"/>
      <c r="UFN135" s="3507"/>
      <c r="UFO135" s="3507"/>
      <c r="UFP135" s="3507"/>
      <c r="UFQ135" s="3507"/>
      <c r="UFR135" s="3507"/>
      <c r="UFS135" s="3507"/>
      <c r="UFT135" s="3507"/>
      <c r="UFU135" s="3507"/>
      <c r="UFV135" s="3507"/>
      <c r="UFW135" s="3507"/>
      <c r="UFX135" s="3507"/>
      <c r="UFY135" s="3507"/>
      <c r="UFZ135" s="3507"/>
      <c r="UGA135" s="3507"/>
      <c r="UGB135" s="3507"/>
      <c r="UGC135" s="3507"/>
      <c r="UGD135" s="3507"/>
      <c r="UGE135" s="3507"/>
      <c r="UGF135" s="3507"/>
      <c r="UGG135" s="3507"/>
      <c r="UGH135" s="3507"/>
      <c r="UGI135" s="3507"/>
      <c r="UGJ135" s="3507"/>
      <c r="UGK135" s="3507"/>
      <c r="UGL135" s="3507"/>
      <c r="UGM135" s="3507"/>
      <c r="UGN135" s="3507"/>
      <c r="UGO135" s="3507"/>
      <c r="UGP135" s="3507"/>
      <c r="UGQ135" s="3507"/>
      <c r="UGR135" s="3507"/>
      <c r="UGS135" s="3507"/>
      <c r="UGT135" s="3507"/>
      <c r="UGU135" s="3507"/>
      <c r="UGV135" s="3507"/>
      <c r="UGW135" s="3507"/>
      <c r="UGX135" s="3507"/>
      <c r="UGY135" s="3507"/>
      <c r="UGZ135" s="3507"/>
      <c r="UHA135" s="3507"/>
      <c r="UHB135" s="3507"/>
      <c r="UHC135" s="3507"/>
      <c r="UHD135" s="3507"/>
      <c r="UHE135" s="3507"/>
      <c r="UHF135" s="3507"/>
      <c r="UHG135" s="3507"/>
      <c r="UHH135" s="3507"/>
      <c r="UHI135" s="3507"/>
      <c r="UHJ135" s="3507"/>
      <c r="UHK135" s="3507"/>
      <c r="UHL135" s="3507"/>
      <c r="UHM135" s="3507"/>
      <c r="UHN135" s="3507"/>
      <c r="UHO135" s="3507"/>
      <c r="UHP135" s="3507"/>
      <c r="UHQ135" s="3507"/>
      <c r="UHR135" s="3507"/>
      <c r="UHS135" s="3507"/>
      <c r="UHT135" s="3507"/>
      <c r="UHU135" s="3507"/>
      <c r="UHV135" s="3507"/>
      <c r="UHW135" s="3507"/>
      <c r="UHX135" s="3507"/>
      <c r="UHY135" s="3507"/>
      <c r="UHZ135" s="3507"/>
      <c r="UIA135" s="3507"/>
      <c r="UIB135" s="3507"/>
      <c r="UIC135" s="3507"/>
      <c r="UID135" s="3507"/>
      <c r="UIE135" s="3507"/>
      <c r="UIF135" s="3507"/>
      <c r="UIG135" s="3507"/>
      <c r="UIH135" s="3507"/>
      <c r="UII135" s="3507"/>
      <c r="UIJ135" s="3507"/>
      <c r="UIK135" s="3507"/>
      <c r="UIL135" s="3507"/>
      <c r="UIM135" s="3507"/>
      <c r="UIN135" s="3507"/>
      <c r="UIO135" s="3507"/>
      <c r="UIP135" s="3507"/>
      <c r="UIQ135" s="3507"/>
      <c r="UIR135" s="3507"/>
      <c r="UIS135" s="3507"/>
      <c r="UIT135" s="3507"/>
      <c r="UIU135" s="3507"/>
      <c r="UIV135" s="3507"/>
      <c r="UIW135" s="3507"/>
      <c r="UIX135" s="3507"/>
      <c r="UIY135" s="3507"/>
      <c r="UIZ135" s="3507"/>
      <c r="UJA135" s="3507"/>
      <c r="UJB135" s="3507"/>
      <c r="UJC135" s="3507"/>
      <c r="UJD135" s="3507"/>
      <c r="UJE135" s="3507"/>
      <c r="UJF135" s="3507"/>
      <c r="UJG135" s="3507"/>
      <c r="UJH135" s="3507"/>
      <c r="UJI135" s="3507"/>
      <c r="UJJ135" s="3507"/>
      <c r="UJK135" s="3507"/>
      <c r="UJL135" s="3507"/>
      <c r="UJM135" s="3507"/>
      <c r="UJN135" s="3507"/>
      <c r="UJO135" s="3507"/>
      <c r="UJP135" s="3507"/>
      <c r="UJQ135" s="3507"/>
      <c r="UJR135" s="3507"/>
      <c r="UJS135" s="3507"/>
      <c r="UJT135" s="3507"/>
      <c r="UJU135" s="3507"/>
      <c r="UJV135" s="3507"/>
      <c r="UJW135" s="3507"/>
      <c r="UJX135" s="3507"/>
      <c r="UJY135" s="3507"/>
      <c r="UJZ135" s="3507"/>
      <c r="UKA135" s="3507"/>
      <c r="UKB135" s="3507"/>
      <c r="UKC135" s="3507"/>
      <c r="UKD135" s="3507"/>
      <c r="UKE135" s="3507"/>
      <c r="UKF135" s="3507"/>
      <c r="UKG135" s="3507"/>
      <c r="UKH135" s="3507"/>
      <c r="UKI135" s="3507"/>
      <c r="UKJ135" s="3507"/>
      <c r="UKK135" s="3507"/>
      <c r="UKL135" s="3507"/>
      <c r="UKM135" s="3507"/>
      <c r="UKN135" s="3507"/>
      <c r="UKO135" s="3507"/>
      <c r="UKP135" s="3507"/>
      <c r="UKQ135" s="3507"/>
      <c r="UKR135" s="3507"/>
      <c r="UKS135" s="3507"/>
      <c r="UKT135" s="3507"/>
      <c r="UKU135" s="3507"/>
      <c r="UKV135" s="3507"/>
      <c r="UKW135" s="3507"/>
      <c r="UKX135" s="3507"/>
      <c r="UKY135" s="3507"/>
      <c r="UKZ135" s="3507"/>
      <c r="ULA135" s="3507"/>
      <c r="ULB135" s="3507"/>
      <c r="ULC135" s="3507"/>
      <c r="ULD135" s="3507"/>
      <c r="ULE135" s="3507"/>
      <c r="ULF135" s="3507"/>
      <c r="ULG135" s="3507"/>
      <c r="ULH135" s="3507"/>
      <c r="ULI135" s="3507"/>
      <c r="ULJ135" s="3507"/>
      <c r="ULK135" s="3507"/>
      <c r="ULL135" s="3507"/>
      <c r="ULM135" s="3507"/>
      <c r="ULN135" s="3507"/>
      <c r="ULO135" s="3507"/>
      <c r="ULP135" s="3507"/>
      <c r="ULQ135" s="3507"/>
      <c r="ULR135" s="3507"/>
      <c r="ULS135" s="3507"/>
      <c r="ULT135" s="3507"/>
      <c r="ULU135" s="3507"/>
      <c r="ULV135" s="3507"/>
      <c r="ULW135" s="3507"/>
      <c r="ULX135" s="3507"/>
      <c r="ULY135" s="3507"/>
      <c r="ULZ135" s="3507"/>
      <c r="UMA135" s="3507"/>
      <c r="UMB135" s="3507"/>
      <c r="UMC135" s="3507"/>
      <c r="UMD135" s="3507"/>
      <c r="UME135" s="3507"/>
      <c r="UMF135" s="3507"/>
      <c r="UMG135" s="3507"/>
      <c r="UMH135" s="3507"/>
      <c r="UMI135" s="3507"/>
      <c r="UMJ135" s="3507"/>
      <c r="UMK135" s="3507"/>
      <c r="UML135" s="3507"/>
      <c r="UMM135" s="3507"/>
      <c r="UMN135" s="3507"/>
      <c r="UMO135" s="3507"/>
      <c r="UMP135" s="3507"/>
      <c r="UMQ135" s="3507"/>
      <c r="UMR135" s="3507"/>
      <c r="UMS135" s="3507"/>
      <c r="UMT135" s="3507"/>
      <c r="UMU135" s="3507"/>
      <c r="UMV135" s="3507"/>
      <c r="UMW135" s="3507"/>
      <c r="UMX135" s="3507"/>
      <c r="UMY135" s="3507"/>
      <c r="UMZ135" s="3507"/>
      <c r="UNA135" s="3507"/>
      <c r="UNB135" s="3507"/>
      <c r="UNC135" s="3507"/>
      <c r="UND135" s="3507"/>
      <c r="UNE135" s="3507"/>
      <c r="UNF135" s="3507"/>
      <c r="UNG135" s="3507"/>
      <c r="UNH135" s="3507"/>
      <c r="UNI135" s="3507"/>
      <c r="UNJ135" s="3507"/>
      <c r="UNK135" s="3507"/>
      <c r="UNL135" s="3507"/>
      <c r="UNM135" s="3507"/>
      <c r="UNN135" s="3507"/>
      <c r="UNO135" s="3507"/>
      <c r="UNP135" s="3507"/>
      <c r="UNQ135" s="3507"/>
      <c r="UNR135" s="3507"/>
      <c r="UNS135" s="3507"/>
      <c r="UNT135" s="3507"/>
      <c r="UNU135" s="3507"/>
      <c r="UNV135" s="3507"/>
      <c r="UNW135" s="3507"/>
      <c r="UNX135" s="3507"/>
      <c r="UNY135" s="3507"/>
      <c r="UNZ135" s="3507"/>
      <c r="UOA135" s="3507"/>
      <c r="UOB135" s="3507"/>
      <c r="UOC135" s="3507"/>
      <c r="UOD135" s="3507"/>
      <c r="UOE135" s="3507"/>
      <c r="UOF135" s="3507"/>
      <c r="UOG135" s="3507"/>
      <c r="UOH135" s="3507"/>
      <c r="UOI135" s="3507"/>
      <c r="UOJ135" s="3507"/>
      <c r="UOK135" s="3507"/>
      <c r="UOL135" s="3507"/>
      <c r="UOM135" s="3507"/>
      <c r="UON135" s="3507"/>
      <c r="UOO135" s="3507"/>
      <c r="UOP135" s="3507"/>
      <c r="UOQ135" s="3507"/>
      <c r="UOR135" s="3507"/>
      <c r="UOS135" s="3507"/>
      <c r="UOT135" s="3507"/>
      <c r="UOU135" s="3507"/>
      <c r="UOV135" s="3507"/>
      <c r="UOW135" s="3507"/>
      <c r="UOX135" s="3507"/>
      <c r="UOY135" s="3507"/>
      <c r="UOZ135" s="3507"/>
      <c r="UPA135" s="3507"/>
      <c r="UPB135" s="3507"/>
      <c r="UPC135" s="3507"/>
      <c r="UPD135" s="3507"/>
      <c r="UPE135" s="3507"/>
      <c r="UPF135" s="3507"/>
      <c r="UPG135" s="3507"/>
      <c r="UPH135" s="3507"/>
      <c r="UPI135" s="3507"/>
      <c r="UPJ135" s="3507"/>
      <c r="UPK135" s="3507"/>
      <c r="UPL135" s="3507"/>
      <c r="UPM135" s="3507"/>
      <c r="UPN135" s="3507"/>
      <c r="UPO135" s="3507"/>
      <c r="UPP135" s="3507"/>
      <c r="UPQ135" s="3507"/>
      <c r="UPR135" s="3507"/>
      <c r="UPS135" s="3507"/>
      <c r="UPT135" s="3507"/>
      <c r="UPU135" s="3507"/>
      <c r="UPV135" s="3507"/>
      <c r="UPW135" s="3507"/>
      <c r="UPX135" s="3507"/>
      <c r="UPY135" s="3507"/>
      <c r="UPZ135" s="3507"/>
      <c r="UQA135" s="3507"/>
      <c r="UQB135" s="3507"/>
      <c r="UQC135" s="3507"/>
      <c r="UQD135" s="3507"/>
      <c r="UQE135" s="3507"/>
      <c r="UQF135" s="3507"/>
      <c r="UQG135" s="3507"/>
      <c r="UQH135" s="3507"/>
      <c r="UQI135" s="3507"/>
      <c r="UQJ135" s="3507"/>
      <c r="UQK135" s="3507"/>
      <c r="UQL135" s="3507"/>
      <c r="UQM135" s="3507"/>
      <c r="UQN135" s="3507"/>
      <c r="UQO135" s="3507"/>
      <c r="UQP135" s="3507"/>
      <c r="UQQ135" s="3507"/>
      <c r="UQR135" s="3507"/>
      <c r="UQS135" s="3507"/>
      <c r="UQT135" s="3507"/>
      <c r="UQU135" s="3507"/>
      <c r="UQV135" s="3507"/>
      <c r="UQW135" s="3507"/>
      <c r="UQX135" s="3507"/>
      <c r="UQY135" s="3507"/>
      <c r="UQZ135" s="3507"/>
      <c r="URA135" s="3507"/>
      <c r="URB135" s="3507"/>
      <c r="URC135" s="3507"/>
      <c r="URD135" s="3507"/>
      <c r="URE135" s="3507"/>
      <c r="URF135" s="3507"/>
      <c r="URG135" s="3507"/>
      <c r="URH135" s="3507"/>
      <c r="URI135" s="3507"/>
      <c r="URJ135" s="3507"/>
      <c r="URK135" s="3507"/>
      <c r="URL135" s="3507"/>
      <c r="URM135" s="3507"/>
      <c r="URN135" s="3507"/>
      <c r="URO135" s="3507"/>
      <c r="URP135" s="3507"/>
      <c r="URQ135" s="3507"/>
      <c r="URR135" s="3507"/>
      <c r="URS135" s="3507"/>
      <c r="URT135" s="3507"/>
      <c r="URU135" s="3507"/>
      <c r="URV135" s="3507"/>
      <c r="URW135" s="3507"/>
      <c r="URX135" s="3507"/>
      <c r="URY135" s="3507"/>
      <c r="URZ135" s="3507"/>
      <c r="USA135" s="3507"/>
      <c r="USB135" s="3507"/>
      <c r="USC135" s="3507"/>
      <c r="USD135" s="3507"/>
      <c r="USE135" s="3507"/>
      <c r="USF135" s="3507"/>
      <c r="USG135" s="3507"/>
      <c r="USH135" s="3507"/>
      <c r="USI135" s="3507"/>
      <c r="USJ135" s="3507"/>
      <c r="USK135" s="3507"/>
      <c r="USL135" s="3507"/>
      <c r="USM135" s="3507"/>
      <c r="USN135" s="3507"/>
      <c r="USO135" s="3507"/>
      <c r="USP135" s="3507"/>
      <c r="USQ135" s="3507"/>
      <c r="USR135" s="3507"/>
      <c r="USS135" s="3507"/>
      <c r="UST135" s="3507"/>
      <c r="USU135" s="3507"/>
      <c r="USV135" s="3507"/>
      <c r="USW135" s="3507"/>
      <c r="USX135" s="3507"/>
      <c r="USY135" s="3507"/>
      <c r="USZ135" s="3507"/>
      <c r="UTA135" s="3507"/>
      <c r="UTB135" s="3507"/>
      <c r="UTC135" s="3507"/>
      <c r="UTD135" s="3507"/>
      <c r="UTE135" s="3507"/>
      <c r="UTF135" s="3507"/>
      <c r="UTG135" s="3507"/>
      <c r="UTH135" s="3507"/>
      <c r="UTI135" s="3507"/>
      <c r="UTJ135" s="3507"/>
      <c r="UTK135" s="3507"/>
      <c r="UTL135" s="3507"/>
      <c r="UTM135" s="3507"/>
      <c r="UTN135" s="3507"/>
      <c r="UTO135" s="3507"/>
      <c r="UTP135" s="3507"/>
      <c r="UTQ135" s="3507"/>
      <c r="UTR135" s="3507"/>
      <c r="UTS135" s="3507"/>
      <c r="UTT135" s="3507"/>
      <c r="UTU135" s="3507"/>
      <c r="UTV135" s="3507"/>
      <c r="UTW135" s="3507"/>
      <c r="UTX135" s="3507"/>
      <c r="UTY135" s="3507"/>
      <c r="UTZ135" s="3507"/>
      <c r="UUA135" s="3507"/>
      <c r="UUB135" s="3507"/>
      <c r="UUC135" s="3507"/>
      <c r="UUD135" s="3507"/>
      <c r="UUE135" s="3507"/>
      <c r="UUF135" s="3507"/>
      <c r="UUG135" s="3507"/>
      <c r="UUH135" s="3507"/>
      <c r="UUI135" s="3507"/>
      <c r="UUJ135" s="3507"/>
      <c r="UUK135" s="3507"/>
      <c r="UUL135" s="3507"/>
      <c r="UUM135" s="3507"/>
      <c r="UUN135" s="3507"/>
      <c r="UUO135" s="3507"/>
      <c r="UUP135" s="3507"/>
      <c r="UUQ135" s="3507"/>
      <c r="UUR135" s="3507"/>
      <c r="UUS135" s="3507"/>
      <c r="UUT135" s="3507"/>
      <c r="UUU135" s="3507"/>
      <c r="UUV135" s="3507"/>
      <c r="UUW135" s="3507"/>
      <c r="UUX135" s="3507"/>
      <c r="UUY135" s="3507"/>
      <c r="UUZ135" s="3507"/>
      <c r="UVA135" s="3507"/>
      <c r="UVB135" s="3507"/>
      <c r="UVC135" s="3507"/>
      <c r="UVD135" s="3507"/>
      <c r="UVE135" s="3507"/>
      <c r="UVF135" s="3507"/>
      <c r="UVG135" s="3507"/>
      <c r="UVH135" s="3507"/>
      <c r="UVI135" s="3507"/>
      <c r="UVJ135" s="3507"/>
      <c r="UVK135" s="3507"/>
      <c r="UVL135" s="3507"/>
      <c r="UVM135" s="3507"/>
      <c r="UVN135" s="3507"/>
      <c r="UVO135" s="3507"/>
      <c r="UVP135" s="3507"/>
      <c r="UVQ135" s="3507"/>
      <c r="UVR135" s="3507"/>
      <c r="UVS135" s="3507"/>
      <c r="UVT135" s="3507"/>
      <c r="UVU135" s="3507"/>
      <c r="UVV135" s="3507"/>
      <c r="UVW135" s="3507"/>
      <c r="UVX135" s="3507"/>
      <c r="UVY135" s="3507"/>
      <c r="UVZ135" s="3507"/>
      <c r="UWA135" s="3507"/>
      <c r="UWB135" s="3507"/>
      <c r="UWC135" s="3507"/>
      <c r="UWD135" s="3507"/>
      <c r="UWE135" s="3507"/>
      <c r="UWF135" s="3507"/>
      <c r="UWG135" s="3507"/>
      <c r="UWH135" s="3507"/>
      <c r="UWI135" s="3507"/>
      <c r="UWJ135" s="3507"/>
      <c r="UWK135" s="3507"/>
      <c r="UWL135" s="3507"/>
      <c r="UWM135" s="3507"/>
      <c r="UWN135" s="3507"/>
      <c r="UWO135" s="3507"/>
      <c r="UWP135" s="3507"/>
      <c r="UWQ135" s="3507"/>
      <c r="UWR135" s="3507"/>
      <c r="UWS135" s="3507"/>
      <c r="UWT135" s="3507"/>
      <c r="UWU135" s="3507"/>
      <c r="UWV135" s="3507"/>
      <c r="UWW135" s="3507"/>
      <c r="UWX135" s="3507"/>
      <c r="UWY135" s="3507"/>
      <c r="UWZ135" s="3507"/>
      <c r="UXA135" s="3507"/>
      <c r="UXB135" s="3507"/>
      <c r="UXC135" s="3507"/>
      <c r="UXD135" s="3507"/>
      <c r="UXE135" s="3507"/>
      <c r="UXF135" s="3507"/>
      <c r="UXG135" s="3507"/>
      <c r="UXH135" s="3507"/>
      <c r="UXI135" s="3507"/>
      <c r="UXJ135" s="3507"/>
      <c r="UXK135" s="3507"/>
      <c r="UXL135" s="3507"/>
      <c r="UXM135" s="3507"/>
      <c r="UXN135" s="3507"/>
      <c r="UXO135" s="3507"/>
      <c r="UXP135" s="3507"/>
      <c r="UXQ135" s="3507"/>
      <c r="UXR135" s="3507"/>
      <c r="UXS135" s="3507"/>
      <c r="UXT135" s="3507"/>
      <c r="UXU135" s="3507"/>
      <c r="UXV135" s="3507"/>
      <c r="UXW135" s="3507"/>
      <c r="UXX135" s="3507"/>
      <c r="UXY135" s="3507"/>
      <c r="UXZ135" s="3507"/>
      <c r="UYA135" s="3507"/>
      <c r="UYB135" s="3507"/>
      <c r="UYC135" s="3507"/>
      <c r="UYD135" s="3507"/>
      <c r="UYE135" s="3507"/>
      <c r="UYF135" s="3507"/>
      <c r="UYG135" s="3507"/>
      <c r="UYH135" s="3507"/>
      <c r="UYI135" s="3507"/>
      <c r="UYJ135" s="3507"/>
      <c r="UYK135" s="3507"/>
      <c r="UYL135" s="3507"/>
      <c r="UYM135" s="3507"/>
      <c r="UYN135" s="3507"/>
      <c r="UYO135" s="3507"/>
      <c r="UYP135" s="3507"/>
      <c r="UYQ135" s="3507"/>
      <c r="UYR135" s="3507"/>
      <c r="UYS135" s="3507"/>
      <c r="UYT135" s="3507"/>
      <c r="UYU135" s="3507"/>
      <c r="UYV135" s="3507"/>
      <c r="UYW135" s="3507"/>
      <c r="UYX135" s="3507"/>
      <c r="UYY135" s="3507"/>
      <c r="UYZ135" s="3507"/>
      <c r="UZA135" s="3507"/>
      <c r="UZB135" s="3507"/>
      <c r="UZC135" s="3507"/>
      <c r="UZD135" s="3507"/>
      <c r="UZE135" s="3507"/>
      <c r="UZF135" s="3507"/>
      <c r="UZG135" s="3507"/>
      <c r="UZH135" s="3507"/>
      <c r="UZI135" s="3507"/>
      <c r="UZJ135" s="3507"/>
      <c r="UZK135" s="3507"/>
      <c r="UZL135" s="3507"/>
      <c r="UZM135" s="3507"/>
      <c r="UZN135" s="3507"/>
      <c r="UZO135" s="3507"/>
      <c r="UZP135" s="3507"/>
      <c r="UZQ135" s="3507"/>
      <c r="UZR135" s="3507"/>
      <c r="UZS135" s="3507"/>
      <c r="UZT135" s="3507"/>
      <c r="UZU135" s="3507"/>
      <c r="UZV135" s="3507"/>
      <c r="UZW135" s="3507"/>
      <c r="UZX135" s="3507"/>
      <c r="UZY135" s="3507"/>
      <c r="UZZ135" s="3507"/>
      <c r="VAA135" s="3507"/>
      <c r="VAB135" s="3507"/>
      <c r="VAC135" s="3507"/>
      <c r="VAD135" s="3507"/>
      <c r="VAE135" s="3507"/>
      <c r="VAF135" s="3507"/>
      <c r="VAG135" s="3507"/>
      <c r="VAH135" s="3507"/>
      <c r="VAI135" s="3507"/>
      <c r="VAJ135" s="3507"/>
      <c r="VAK135" s="3507"/>
      <c r="VAL135" s="3507"/>
      <c r="VAM135" s="3507"/>
      <c r="VAN135" s="3507"/>
      <c r="VAO135" s="3507"/>
      <c r="VAP135" s="3507"/>
      <c r="VAQ135" s="3507"/>
      <c r="VAR135" s="3507"/>
      <c r="VAS135" s="3507"/>
      <c r="VAT135" s="3507"/>
      <c r="VAU135" s="3507"/>
      <c r="VAV135" s="3507"/>
      <c r="VAW135" s="3507"/>
      <c r="VAX135" s="3507"/>
      <c r="VAY135" s="3507"/>
      <c r="VAZ135" s="3507"/>
      <c r="VBA135" s="3507"/>
      <c r="VBB135" s="3507"/>
      <c r="VBC135" s="3507"/>
      <c r="VBD135" s="3507"/>
      <c r="VBE135" s="3507"/>
      <c r="VBF135" s="3507"/>
      <c r="VBG135" s="3507"/>
      <c r="VBH135" s="3507"/>
      <c r="VBI135" s="3507"/>
      <c r="VBJ135" s="3507"/>
      <c r="VBK135" s="3507"/>
      <c r="VBL135" s="3507"/>
      <c r="VBM135" s="3507"/>
      <c r="VBN135" s="3507"/>
      <c r="VBO135" s="3507"/>
      <c r="VBP135" s="3507"/>
      <c r="VBQ135" s="3507"/>
      <c r="VBR135" s="3507"/>
      <c r="VBS135" s="3507"/>
      <c r="VBT135" s="3507"/>
      <c r="VBU135" s="3507"/>
      <c r="VBV135" s="3507"/>
      <c r="VBW135" s="3507"/>
      <c r="VBX135" s="3507"/>
      <c r="VBY135" s="3507"/>
      <c r="VBZ135" s="3507"/>
      <c r="VCA135" s="3507"/>
      <c r="VCB135" s="3507"/>
      <c r="VCC135" s="3507"/>
      <c r="VCD135" s="3507"/>
      <c r="VCE135" s="3507"/>
      <c r="VCF135" s="3507"/>
      <c r="VCG135" s="3507"/>
      <c r="VCH135" s="3507"/>
      <c r="VCI135" s="3507"/>
      <c r="VCJ135" s="3507"/>
      <c r="VCK135" s="3507"/>
      <c r="VCL135" s="3507"/>
      <c r="VCM135" s="3507"/>
      <c r="VCN135" s="3507"/>
      <c r="VCO135" s="3507"/>
      <c r="VCP135" s="3507"/>
      <c r="VCQ135" s="3507"/>
      <c r="VCR135" s="3507"/>
      <c r="VCS135" s="3507"/>
      <c r="VCT135" s="3507"/>
      <c r="VCU135" s="3507"/>
      <c r="VCV135" s="3507"/>
      <c r="VCW135" s="3507"/>
      <c r="VCX135" s="3507"/>
      <c r="VCY135" s="3507"/>
      <c r="VCZ135" s="3507"/>
      <c r="VDA135" s="3507"/>
      <c r="VDB135" s="3507"/>
      <c r="VDC135" s="3507"/>
      <c r="VDD135" s="3507"/>
      <c r="VDE135" s="3507"/>
      <c r="VDF135" s="3507"/>
      <c r="VDG135" s="3507"/>
      <c r="VDH135" s="3507"/>
      <c r="VDI135" s="3507"/>
      <c r="VDJ135" s="3507"/>
      <c r="VDK135" s="3507"/>
      <c r="VDL135" s="3507"/>
      <c r="VDM135" s="3507"/>
      <c r="VDN135" s="3507"/>
      <c r="VDO135" s="3507"/>
      <c r="VDP135" s="3507"/>
      <c r="VDQ135" s="3507"/>
      <c r="VDR135" s="3507"/>
      <c r="VDS135" s="3507"/>
      <c r="VDT135" s="3507"/>
      <c r="VDU135" s="3507"/>
      <c r="VDV135" s="3507"/>
      <c r="VDW135" s="3507"/>
      <c r="VDX135" s="3507"/>
      <c r="VDY135" s="3507"/>
      <c r="VDZ135" s="3507"/>
      <c r="VEA135" s="3507"/>
      <c r="VEB135" s="3507"/>
      <c r="VEC135" s="3507"/>
      <c r="VED135" s="3507"/>
      <c r="VEE135" s="3507"/>
      <c r="VEF135" s="3507"/>
      <c r="VEG135" s="3507"/>
      <c r="VEH135" s="3507"/>
      <c r="VEI135" s="3507"/>
      <c r="VEJ135" s="3507"/>
      <c r="VEK135" s="3507"/>
      <c r="VEL135" s="3507"/>
      <c r="VEM135" s="3507"/>
      <c r="VEN135" s="3507"/>
      <c r="VEO135" s="3507"/>
      <c r="VEP135" s="3507"/>
      <c r="VEQ135" s="3507"/>
      <c r="VER135" s="3507"/>
      <c r="VES135" s="3507"/>
      <c r="VET135" s="3507"/>
      <c r="VEU135" s="3507"/>
      <c r="VEV135" s="3507"/>
      <c r="VEW135" s="3507"/>
      <c r="VEX135" s="3507"/>
      <c r="VEY135" s="3507"/>
      <c r="VEZ135" s="3507"/>
      <c r="VFA135" s="3507"/>
      <c r="VFB135" s="3507"/>
      <c r="VFC135" s="3507"/>
      <c r="VFD135" s="3507"/>
      <c r="VFE135" s="3507"/>
      <c r="VFF135" s="3507"/>
      <c r="VFG135" s="3507"/>
      <c r="VFH135" s="3507"/>
      <c r="VFI135" s="3507"/>
      <c r="VFJ135" s="3507"/>
      <c r="VFK135" s="3507"/>
      <c r="VFL135" s="3507"/>
      <c r="VFM135" s="3507"/>
      <c r="VFN135" s="3507"/>
      <c r="VFO135" s="3507"/>
      <c r="VFP135" s="3507"/>
      <c r="VFQ135" s="3507"/>
      <c r="VFR135" s="3507"/>
      <c r="VFS135" s="3507"/>
      <c r="VFT135" s="3507"/>
      <c r="VFU135" s="3507"/>
      <c r="VFV135" s="3507"/>
      <c r="VFW135" s="3507"/>
      <c r="VFX135" s="3507"/>
      <c r="VFY135" s="3507"/>
      <c r="VFZ135" s="3507"/>
      <c r="VGA135" s="3507"/>
      <c r="VGB135" s="3507"/>
      <c r="VGC135" s="3507"/>
      <c r="VGD135" s="3507"/>
      <c r="VGE135" s="3507"/>
      <c r="VGF135" s="3507"/>
      <c r="VGG135" s="3507"/>
      <c r="VGH135" s="3507"/>
      <c r="VGI135" s="3507"/>
      <c r="VGJ135" s="3507"/>
      <c r="VGK135" s="3507"/>
      <c r="VGL135" s="3507"/>
      <c r="VGM135" s="3507"/>
      <c r="VGN135" s="3507"/>
      <c r="VGO135" s="3507"/>
      <c r="VGP135" s="3507"/>
      <c r="VGQ135" s="3507"/>
      <c r="VGR135" s="3507"/>
      <c r="VGS135" s="3507"/>
      <c r="VGT135" s="3507"/>
      <c r="VGU135" s="3507"/>
      <c r="VGV135" s="3507"/>
      <c r="VGW135" s="3507"/>
      <c r="VGX135" s="3507"/>
      <c r="VGY135" s="3507"/>
      <c r="VGZ135" s="3507"/>
      <c r="VHA135" s="3507"/>
      <c r="VHB135" s="3507"/>
      <c r="VHC135" s="3507"/>
      <c r="VHD135" s="3507"/>
      <c r="VHE135" s="3507"/>
      <c r="VHF135" s="3507"/>
      <c r="VHG135" s="3507"/>
      <c r="VHH135" s="3507"/>
      <c r="VHI135" s="3507"/>
      <c r="VHJ135" s="3507"/>
      <c r="VHK135" s="3507"/>
      <c r="VHL135" s="3507"/>
      <c r="VHM135" s="3507"/>
      <c r="VHN135" s="3507"/>
      <c r="VHO135" s="3507"/>
      <c r="VHP135" s="3507"/>
      <c r="VHQ135" s="3507"/>
      <c r="VHR135" s="3507"/>
      <c r="VHS135" s="3507"/>
      <c r="VHT135" s="3507"/>
      <c r="VHU135" s="3507"/>
      <c r="VHV135" s="3507"/>
      <c r="VHW135" s="3507"/>
      <c r="VHX135" s="3507"/>
      <c r="VHY135" s="3507"/>
      <c r="VHZ135" s="3507"/>
      <c r="VIA135" s="3507"/>
      <c r="VIB135" s="3507"/>
      <c r="VIC135" s="3507"/>
      <c r="VID135" s="3507"/>
      <c r="VIE135" s="3507"/>
      <c r="VIF135" s="3507"/>
      <c r="VIG135" s="3507"/>
      <c r="VIH135" s="3507"/>
      <c r="VII135" s="3507"/>
      <c r="VIJ135" s="3507"/>
      <c r="VIK135" s="3507"/>
      <c r="VIL135" s="3507"/>
      <c r="VIM135" s="3507"/>
      <c r="VIN135" s="3507"/>
      <c r="VIO135" s="3507"/>
      <c r="VIP135" s="3507"/>
      <c r="VIQ135" s="3507"/>
      <c r="VIR135" s="3507"/>
      <c r="VIS135" s="3507"/>
      <c r="VIT135" s="3507"/>
      <c r="VIU135" s="3507"/>
      <c r="VIV135" s="3507"/>
      <c r="VIW135" s="3507"/>
      <c r="VIX135" s="3507"/>
      <c r="VIY135" s="3507"/>
      <c r="VIZ135" s="3507"/>
      <c r="VJA135" s="3507"/>
      <c r="VJB135" s="3507"/>
      <c r="VJC135" s="3507"/>
      <c r="VJD135" s="3507"/>
      <c r="VJE135" s="3507"/>
      <c r="VJF135" s="3507"/>
      <c r="VJG135" s="3507"/>
      <c r="VJH135" s="3507"/>
      <c r="VJI135" s="3507"/>
      <c r="VJJ135" s="3507"/>
      <c r="VJK135" s="3507"/>
      <c r="VJL135" s="3507"/>
      <c r="VJM135" s="3507"/>
      <c r="VJN135" s="3507"/>
      <c r="VJO135" s="3507"/>
      <c r="VJP135" s="3507"/>
      <c r="VJQ135" s="3507"/>
      <c r="VJR135" s="3507"/>
      <c r="VJS135" s="3507"/>
      <c r="VJT135" s="3507"/>
      <c r="VJU135" s="3507"/>
      <c r="VJV135" s="3507"/>
      <c r="VJW135" s="3507"/>
      <c r="VJX135" s="3507"/>
      <c r="VJY135" s="3507"/>
      <c r="VJZ135" s="3507"/>
      <c r="VKA135" s="3507"/>
      <c r="VKB135" s="3507"/>
      <c r="VKC135" s="3507"/>
      <c r="VKD135" s="3507"/>
      <c r="VKE135" s="3507"/>
      <c r="VKF135" s="3507"/>
      <c r="VKG135" s="3507"/>
      <c r="VKH135" s="3507"/>
      <c r="VKI135" s="3507"/>
      <c r="VKJ135" s="3507"/>
      <c r="VKK135" s="3507"/>
      <c r="VKL135" s="3507"/>
      <c r="VKM135" s="3507"/>
      <c r="VKN135" s="3507"/>
      <c r="VKO135" s="3507"/>
      <c r="VKP135" s="3507"/>
      <c r="VKQ135" s="3507"/>
      <c r="VKR135" s="3507"/>
      <c r="VKS135" s="3507"/>
      <c r="VKT135" s="3507"/>
      <c r="VKU135" s="3507"/>
      <c r="VKV135" s="3507"/>
      <c r="VKW135" s="3507"/>
      <c r="VKX135" s="3507"/>
      <c r="VKY135" s="3507"/>
      <c r="VKZ135" s="3507"/>
      <c r="VLA135" s="3507"/>
      <c r="VLB135" s="3507"/>
      <c r="VLC135" s="3507"/>
      <c r="VLD135" s="3507"/>
      <c r="VLE135" s="3507"/>
      <c r="VLF135" s="3507"/>
      <c r="VLG135" s="3507"/>
      <c r="VLH135" s="3507"/>
      <c r="VLI135" s="3507"/>
      <c r="VLJ135" s="3507"/>
      <c r="VLK135" s="3507"/>
      <c r="VLL135" s="3507"/>
      <c r="VLM135" s="3507"/>
      <c r="VLN135" s="3507"/>
      <c r="VLO135" s="3507"/>
      <c r="VLP135" s="3507"/>
      <c r="VLQ135" s="3507"/>
      <c r="VLR135" s="3507"/>
      <c r="VLS135" s="3507"/>
      <c r="VLT135" s="3507"/>
      <c r="VLU135" s="3507"/>
      <c r="VLV135" s="3507"/>
      <c r="VLW135" s="3507"/>
      <c r="VLX135" s="3507"/>
      <c r="VLY135" s="3507"/>
      <c r="VLZ135" s="3507"/>
      <c r="VMA135" s="3507"/>
      <c r="VMB135" s="3507"/>
      <c r="VMC135" s="3507"/>
      <c r="VMD135" s="3507"/>
      <c r="VME135" s="3507"/>
      <c r="VMF135" s="3507"/>
      <c r="VMG135" s="3507"/>
      <c r="VMH135" s="3507"/>
      <c r="VMI135" s="3507"/>
      <c r="VMJ135" s="3507"/>
      <c r="VMK135" s="3507"/>
      <c r="VML135" s="3507"/>
      <c r="VMM135" s="3507"/>
      <c r="VMN135" s="3507"/>
      <c r="VMO135" s="3507"/>
      <c r="VMP135" s="3507"/>
      <c r="VMQ135" s="3507"/>
      <c r="VMR135" s="3507"/>
      <c r="VMS135" s="3507"/>
      <c r="VMT135" s="3507"/>
      <c r="VMU135" s="3507"/>
      <c r="VMV135" s="3507"/>
      <c r="VMW135" s="3507"/>
      <c r="VMX135" s="3507"/>
      <c r="VMY135" s="3507"/>
      <c r="VMZ135" s="3507"/>
      <c r="VNA135" s="3507"/>
      <c r="VNB135" s="3507"/>
      <c r="VNC135" s="3507"/>
      <c r="VND135" s="3507"/>
      <c r="VNE135" s="3507"/>
      <c r="VNF135" s="3507"/>
      <c r="VNG135" s="3507"/>
      <c r="VNH135" s="3507"/>
      <c r="VNI135" s="3507"/>
      <c r="VNJ135" s="3507"/>
      <c r="VNK135" s="3507"/>
      <c r="VNL135" s="3507"/>
      <c r="VNM135" s="3507"/>
      <c r="VNN135" s="3507"/>
      <c r="VNO135" s="3507"/>
      <c r="VNP135" s="3507"/>
      <c r="VNQ135" s="3507"/>
      <c r="VNR135" s="3507"/>
      <c r="VNS135" s="3507"/>
      <c r="VNT135" s="3507"/>
      <c r="VNU135" s="3507"/>
      <c r="VNV135" s="3507"/>
      <c r="VNW135" s="3507"/>
      <c r="VNX135" s="3507"/>
      <c r="VNY135" s="3507"/>
      <c r="VNZ135" s="3507"/>
      <c r="VOA135" s="3507"/>
      <c r="VOB135" s="3507"/>
      <c r="VOC135" s="3507"/>
      <c r="VOD135" s="3507"/>
      <c r="VOE135" s="3507"/>
      <c r="VOF135" s="3507"/>
      <c r="VOG135" s="3507"/>
      <c r="VOH135" s="3507"/>
      <c r="VOI135" s="3507"/>
      <c r="VOJ135" s="3507"/>
      <c r="VOK135" s="3507"/>
      <c r="VOL135" s="3507"/>
      <c r="VOM135" s="3507"/>
      <c r="VON135" s="3507"/>
      <c r="VOO135" s="3507"/>
      <c r="VOP135" s="3507"/>
      <c r="VOQ135" s="3507"/>
      <c r="VOR135" s="3507"/>
      <c r="VOS135" s="3507"/>
      <c r="VOT135" s="3507"/>
      <c r="VOU135" s="3507"/>
      <c r="VOV135" s="3507"/>
      <c r="VOW135" s="3507"/>
      <c r="VOX135" s="3507"/>
      <c r="VOY135" s="3507"/>
      <c r="VOZ135" s="3507"/>
      <c r="VPA135" s="3507"/>
      <c r="VPB135" s="3507"/>
      <c r="VPC135" s="3507"/>
      <c r="VPD135" s="3507"/>
      <c r="VPE135" s="3507"/>
      <c r="VPF135" s="3507"/>
      <c r="VPG135" s="3507"/>
      <c r="VPH135" s="3507"/>
      <c r="VPI135" s="3507"/>
      <c r="VPJ135" s="3507"/>
      <c r="VPK135" s="3507"/>
      <c r="VPL135" s="3507"/>
      <c r="VPM135" s="3507"/>
      <c r="VPN135" s="3507"/>
      <c r="VPO135" s="3507"/>
      <c r="VPP135" s="3507"/>
      <c r="VPQ135" s="3507"/>
      <c r="VPR135" s="3507"/>
      <c r="VPS135" s="3507"/>
      <c r="VPT135" s="3507"/>
      <c r="VPU135" s="3507"/>
      <c r="VPV135" s="3507"/>
      <c r="VPW135" s="3507"/>
      <c r="VPX135" s="3507"/>
      <c r="VPY135" s="3507"/>
      <c r="VPZ135" s="3507"/>
      <c r="VQA135" s="3507"/>
      <c r="VQB135" s="3507"/>
      <c r="VQC135" s="3507"/>
      <c r="VQD135" s="3507"/>
      <c r="VQE135" s="3507"/>
      <c r="VQF135" s="3507"/>
      <c r="VQG135" s="3507"/>
      <c r="VQH135" s="3507"/>
      <c r="VQI135" s="3507"/>
      <c r="VQJ135" s="3507"/>
      <c r="VQK135" s="3507"/>
      <c r="VQL135" s="3507"/>
      <c r="VQM135" s="3507"/>
      <c r="VQN135" s="3507"/>
      <c r="VQO135" s="3507"/>
      <c r="VQP135" s="3507"/>
      <c r="VQQ135" s="3507"/>
      <c r="VQR135" s="3507"/>
      <c r="VQS135" s="3507"/>
      <c r="VQT135" s="3507"/>
      <c r="VQU135" s="3507"/>
      <c r="VQV135" s="3507"/>
      <c r="VQW135" s="3507"/>
      <c r="VQX135" s="3507"/>
      <c r="VQY135" s="3507"/>
      <c r="VQZ135" s="3507"/>
      <c r="VRA135" s="3507"/>
      <c r="VRB135" s="3507"/>
      <c r="VRC135" s="3507"/>
      <c r="VRD135" s="3507"/>
      <c r="VRE135" s="3507"/>
      <c r="VRF135" s="3507"/>
      <c r="VRG135" s="3507"/>
      <c r="VRH135" s="3507"/>
      <c r="VRI135" s="3507"/>
      <c r="VRJ135" s="3507"/>
      <c r="VRK135" s="3507"/>
      <c r="VRL135" s="3507"/>
      <c r="VRM135" s="3507"/>
      <c r="VRN135" s="3507"/>
      <c r="VRO135" s="3507"/>
      <c r="VRP135" s="3507"/>
      <c r="VRQ135" s="3507"/>
      <c r="VRR135" s="3507"/>
      <c r="VRS135" s="3507"/>
      <c r="VRT135" s="3507"/>
      <c r="VRU135" s="3507"/>
      <c r="VRV135" s="3507"/>
      <c r="VRW135" s="3507"/>
      <c r="VRX135" s="3507"/>
      <c r="VRY135" s="3507"/>
      <c r="VRZ135" s="3507"/>
      <c r="VSA135" s="3507"/>
      <c r="VSB135" s="3507"/>
      <c r="VSC135" s="3507"/>
      <c r="VSD135" s="3507"/>
      <c r="VSE135" s="3507"/>
      <c r="VSF135" s="3507"/>
      <c r="VSG135" s="3507"/>
      <c r="VSH135" s="3507"/>
      <c r="VSI135" s="3507"/>
      <c r="VSJ135" s="3507"/>
      <c r="VSK135" s="3507"/>
      <c r="VSL135" s="3507"/>
      <c r="VSM135" s="3507"/>
      <c r="VSN135" s="3507"/>
      <c r="VSO135" s="3507"/>
      <c r="VSP135" s="3507"/>
      <c r="VSQ135" s="3507"/>
      <c r="VSR135" s="3507"/>
      <c r="VSS135" s="3507"/>
      <c r="VST135" s="3507"/>
      <c r="VSU135" s="3507"/>
      <c r="VSV135" s="3507"/>
      <c r="VSW135" s="3507"/>
      <c r="VSX135" s="3507"/>
      <c r="VSY135" s="3507"/>
      <c r="VSZ135" s="3507"/>
      <c r="VTA135" s="3507"/>
      <c r="VTB135" s="3507"/>
      <c r="VTC135" s="3507"/>
      <c r="VTD135" s="3507"/>
      <c r="VTE135" s="3507"/>
      <c r="VTF135" s="3507"/>
      <c r="VTG135" s="3507"/>
      <c r="VTH135" s="3507"/>
      <c r="VTI135" s="3507"/>
      <c r="VTJ135" s="3507"/>
      <c r="VTK135" s="3507"/>
      <c r="VTL135" s="3507"/>
      <c r="VTM135" s="3507"/>
      <c r="VTN135" s="3507"/>
      <c r="VTO135" s="3507"/>
      <c r="VTP135" s="3507"/>
      <c r="VTQ135" s="3507"/>
      <c r="VTR135" s="3507"/>
      <c r="VTS135" s="3507"/>
      <c r="VTT135" s="3507"/>
      <c r="VTU135" s="3507"/>
      <c r="VTV135" s="3507"/>
      <c r="VTW135" s="3507"/>
      <c r="VTX135" s="3507"/>
      <c r="VTY135" s="3507"/>
      <c r="VTZ135" s="3507"/>
      <c r="VUA135" s="3507"/>
      <c r="VUB135" s="3507"/>
      <c r="VUC135" s="3507"/>
      <c r="VUD135" s="3507"/>
      <c r="VUE135" s="3507"/>
      <c r="VUF135" s="3507"/>
      <c r="VUG135" s="3507"/>
      <c r="VUH135" s="3507"/>
      <c r="VUI135" s="3507"/>
      <c r="VUJ135" s="3507"/>
      <c r="VUK135" s="3507"/>
      <c r="VUL135" s="3507"/>
      <c r="VUM135" s="3507"/>
      <c r="VUN135" s="3507"/>
      <c r="VUO135" s="3507"/>
      <c r="VUP135" s="3507"/>
      <c r="VUQ135" s="3507"/>
      <c r="VUR135" s="3507"/>
      <c r="VUS135" s="3507"/>
      <c r="VUT135" s="3507"/>
      <c r="VUU135" s="3507"/>
      <c r="VUV135" s="3507"/>
      <c r="VUW135" s="3507"/>
      <c r="VUX135" s="3507"/>
      <c r="VUY135" s="3507"/>
      <c r="VUZ135" s="3507"/>
      <c r="VVA135" s="3507"/>
      <c r="VVB135" s="3507"/>
      <c r="VVC135" s="3507"/>
      <c r="VVD135" s="3507"/>
      <c r="VVE135" s="3507"/>
      <c r="VVF135" s="3507"/>
      <c r="VVG135" s="3507"/>
      <c r="VVH135" s="3507"/>
      <c r="VVI135" s="3507"/>
      <c r="VVJ135" s="3507"/>
      <c r="VVK135" s="3507"/>
      <c r="VVL135" s="3507"/>
      <c r="VVM135" s="3507"/>
      <c r="VVN135" s="3507"/>
      <c r="VVO135" s="3507"/>
      <c r="VVP135" s="3507"/>
      <c r="VVQ135" s="3507"/>
      <c r="VVR135" s="3507"/>
      <c r="VVS135" s="3507"/>
      <c r="VVT135" s="3507"/>
      <c r="VVU135" s="3507"/>
      <c r="VVV135" s="3507"/>
      <c r="VVW135" s="3507"/>
      <c r="VVX135" s="3507"/>
      <c r="VVY135" s="3507"/>
      <c r="VVZ135" s="3507"/>
      <c r="VWA135" s="3507"/>
      <c r="VWB135" s="3507"/>
      <c r="VWC135" s="3507"/>
      <c r="VWD135" s="3507"/>
      <c r="VWE135" s="3507"/>
      <c r="VWF135" s="3507"/>
      <c r="VWG135" s="3507"/>
      <c r="VWH135" s="3507"/>
      <c r="VWI135" s="3507"/>
      <c r="VWJ135" s="3507"/>
      <c r="VWK135" s="3507"/>
      <c r="VWL135" s="3507"/>
      <c r="VWM135" s="3507"/>
      <c r="VWN135" s="3507"/>
      <c r="VWO135" s="3507"/>
      <c r="VWP135" s="3507"/>
      <c r="VWQ135" s="3507"/>
      <c r="VWR135" s="3507"/>
      <c r="VWS135" s="3507"/>
      <c r="VWT135" s="3507"/>
      <c r="VWU135" s="3507"/>
      <c r="VWV135" s="3507"/>
      <c r="VWW135" s="3507"/>
      <c r="VWX135" s="3507"/>
      <c r="VWY135" s="3507"/>
      <c r="VWZ135" s="3507"/>
      <c r="VXA135" s="3507"/>
      <c r="VXB135" s="3507"/>
      <c r="VXC135" s="3507"/>
      <c r="VXD135" s="3507"/>
      <c r="VXE135" s="3507"/>
      <c r="VXF135" s="3507"/>
      <c r="VXG135" s="3507"/>
      <c r="VXH135" s="3507"/>
      <c r="VXI135" s="3507"/>
      <c r="VXJ135" s="3507"/>
      <c r="VXK135" s="3507"/>
      <c r="VXL135" s="3507"/>
      <c r="VXM135" s="3507"/>
      <c r="VXN135" s="3507"/>
      <c r="VXO135" s="3507"/>
      <c r="VXP135" s="3507"/>
      <c r="VXQ135" s="3507"/>
      <c r="VXR135" s="3507"/>
      <c r="VXS135" s="3507"/>
      <c r="VXT135" s="3507"/>
      <c r="VXU135" s="3507"/>
      <c r="VXV135" s="3507"/>
      <c r="VXW135" s="3507"/>
      <c r="VXX135" s="3507"/>
      <c r="VXY135" s="3507"/>
      <c r="VXZ135" s="3507"/>
      <c r="VYA135" s="3507"/>
      <c r="VYB135" s="3507"/>
      <c r="VYC135" s="3507"/>
      <c r="VYD135" s="3507"/>
      <c r="VYE135" s="3507"/>
      <c r="VYF135" s="3507"/>
      <c r="VYG135" s="3507"/>
      <c r="VYH135" s="3507"/>
      <c r="VYI135" s="3507"/>
      <c r="VYJ135" s="3507"/>
      <c r="VYK135" s="3507"/>
      <c r="VYL135" s="3507"/>
      <c r="VYM135" s="3507"/>
      <c r="VYN135" s="3507"/>
      <c r="VYO135" s="3507"/>
      <c r="VYP135" s="3507"/>
      <c r="VYQ135" s="3507"/>
      <c r="VYR135" s="3507"/>
      <c r="VYS135" s="3507"/>
      <c r="VYT135" s="3507"/>
      <c r="VYU135" s="3507"/>
      <c r="VYV135" s="3507"/>
      <c r="VYW135" s="3507"/>
      <c r="VYX135" s="3507"/>
      <c r="VYY135" s="3507"/>
      <c r="VYZ135" s="3507"/>
      <c r="VZA135" s="3507"/>
      <c r="VZB135" s="3507"/>
      <c r="VZC135" s="3507"/>
      <c r="VZD135" s="3507"/>
      <c r="VZE135" s="3507"/>
      <c r="VZF135" s="3507"/>
      <c r="VZG135" s="3507"/>
      <c r="VZH135" s="3507"/>
      <c r="VZI135" s="3507"/>
      <c r="VZJ135" s="3507"/>
      <c r="VZK135" s="3507"/>
      <c r="VZL135" s="3507"/>
      <c r="VZM135" s="3507"/>
      <c r="VZN135" s="3507"/>
      <c r="VZO135" s="3507"/>
      <c r="VZP135" s="3507"/>
      <c r="VZQ135" s="3507"/>
      <c r="VZR135" s="3507"/>
      <c r="VZS135" s="3507"/>
      <c r="VZT135" s="3507"/>
      <c r="VZU135" s="3507"/>
      <c r="VZV135" s="3507"/>
      <c r="VZW135" s="3507"/>
      <c r="VZX135" s="3507"/>
      <c r="VZY135" s="3507"/>
      <c r="VZZ135" s="3507"/>
      <c r="WAA135" s="3507"/>
      <c r="WAB135" s="3507"/>
      <c r="WAC135" s="3507"/>
      <c r="WAD135" s="3507"/>
      <c r="WAE135" s="3507"/>
      <c r="WAF135" s="3507"/>
      <c r="WAG135" s="3507"/>
      <c r="WAH135" s="3507"/>
      <c r="WAI135" s="3507"/>
      <c r="WAJ135" s="3507"/>
      <c r="WAK135" s="3507"/>
      <c r="WAL135" s="3507"/>
      <c r="WAM135" s="3507"/>
      <c r="WAN135" s="3507"/>
      <c r="WAO135" s="3507"/>
      <c r="WAP135" s="3507"/>
      <c r="WAQ135" s="3507"/>
      <c r="WAR135" s="3507"/>
      <c r="WAS135" s="3507"/>
      <c r="WAT135" s="3507"/>
      <c r="WAU135" s="3507"/>
      <c r="WAV135" s="3507"/>
      <c r="WAW135" s="3507"/>
      <c r="WAX135" s="3507"/>
      <c r="WAY135" s="3507"/>
      <c r="WAZ135" s="3507"/>
      <c r="WBA135" s="3507"/>
      <c r="WBB135" s="3507"/>
      <c r="WBC135" s="3507"/>
      <c r="WBD135" s="3507"/>
      <c r="WBE135" s="3507"/>
      <c r="WBF135" s="3507"/>
      <c r="WBG135" s="3507"/>
      <c r="WBH135" s="3507"/>
      <c r="WBI135" s="3507"/>
      <c r="WBJ135" s="3507"/>
      <c r="WBK135" s="3507"/>
      <c r="WBL135" s="3507"/>
      <c r="WBM135" s="3507"/>
      <c r="WBN135" s="3507"/>
      <c r="WBO135" s="3507"/>
      <c r="WBP135" s="3507"/>
      <c r="WBQ135" s="3507"/>
      <c r="WBR135" s="3507"/>
      <c r="WBS135" s="3507"/>
      <c r="WBT135" s="3507"/>
      <c r="WBU135" s="3507"/>
      <c r="WBV135" s="3507"/>
      <c r="WBW135" s="3507"/>
      <c r="WBX135" s="3507"/>
      <c r="WBY135" s="3507"/>
      <c r="WBZ135" s="3507"/>
      <c r="WCA135" s="3507"/>
      <c r="WCB135" s="3507"/>
      <c r="WCC135" s="3507"/>
      <c r="WCD135" s="3507"/>
      <c r="WCE135" s="3507"/>
      <c r="WCF135" s="3507"/>
      <c r="WCG135" s="3507"/>
      <c r="WCH135" s="3507"/>
      <c r="WCI135" s="3507"/>
      <c r="WCJ135" s="3507"/>
      <c r="WCK135" s="3507"/>
      <c r="WCL135" s="3507"/>
      <c r="WCM135" s="3507"/>
      <c r="WCN135" s="3507"/>
      <c r="WCO135" s="3507"/>
      <c r="WCP135" s="3507"/>
      <c r="WCQ135" s="3507"/>
      <c r="WCR135" s="3507"/>
      <c r="WCS135" s="3507"/>
      <c r="WCT135" s="3507"/>
      <c r="WCU135" s="3507"/>
      <c r="WCV135" s="3507"/>
      <c r="WCW135" s="3507"/>
      <c r="WCX135" s="3507"/>
      <c r="WCY135" s="3507"/>
      <c r="WCZ135" s="3507"/>
      <c r="WDA135" s="3507"/>
      <c r="WDB135" s="3507"/>
      <c r="WDC135" s="3507"/>
      <c r="WDD135" s="3507"/>
      <c r="WDE135" s="3507"/>
      <c r="WDF135" s="3507"/>
      <c r="WDG135" s="3507"/>
      <c r="WDH135" s="3507"/>
      <c r="WDI135" s="3507"/>
      <c r="WDJ135" s="3507"/>
      <c r="WDK135" s="3507"/>
      <c r="WDL135" s="3507"/>
      <c r="WDM135" s="3507"/>
      <c r="WDN135" s="3507"/>
      <c r="WDO135" s="3507"/>
      <c r="WDP135" s="3507"/>
      <c r="WDQ135" s="3507"/>
      <c r="WDR135" s="3507"/>
      <c r="WDS135" s="3507"/>
      <c r="WDT135" s="3507"/>
      <c r="WDU135" s="3507"/>
      <c r="WDV135" s="3507"/>
      <c r="WDW135" s="3507"/>
      <c r="WDX135" s="3507"/>
      <c r="WDY135" s="3507"/>
      <c r="WDZ135" s="3507"/>
      <c r="WEA135" s="3507"/>
      <c r="WEB135" s="3507"/>
      <c r="WEC135" s="3507"/>
      <c r="WED135" s="3507"/>
      <c r="WEE135" s="3507"/>
      <c r="WEF135" s="3507"/>
      <c r="WEG135" s="3507"/>
      <c r="WEH135" s="3507"/>
      <c r="WEI135" s="3507"/>
      <c r="WEJ135" s="3507"/>
      <c r="WEK135" s="3507"/>
      <c r="WEL135" s="3507"/>
      <c r="WEM135" s="3507"/>
      <c r="WEN135" s="3507"/>
      <c r="WEO135" s="3507"/>
      <c r="WEP135" s="3507"/>
      <c r="WEQ135" s="3507"/>
      <c r="WER135" s="3507"/>
      <c r="WES135" s="3507"/>
      <c r="WET135" s="3507"/>
      <c r="WEU135" s="3507"/>
      <c r="WEV135" s="3507"/>
      <c r="WEW135" s="3507"/>
      <c r="WEX135" s="3507"/>
      <c r="WEY135" s="3507"/>
      <c r="WEZ135" s="3507"/>
      <c r="WFA135" s="3507"/>
      <c r="WFB135" s="3507"/>
      <c r="WFC135" s="3507"/>
      <c r="WFD135" s="3507"/>
      <c r="WFE135" s="3507"/>
      <c r="WFF135" s="3507"/>
      <c r="WFG135" s="3507"/>
      <c r="WFH135" s="3507"/>
      <c r="WFI135" s="3507"/>
      <c r="WFJ135" s="3507"/>
      <c r="WFK135" s="3507"/>
      <c r="WFL135" s="3507"/>
      <c r="WFM135" s="3507"/>
      <c r="WFN135" s="3507"/>
      <c r="WFO135" s="3507"/>
      <c r="WFP135" s="3507"/>
      <c r="WFQ135" s="3507"/>
      <c r="WFR135" s="3507"/>
      <c r="WFS135" s="3507"/>
      <c r="WFT135" s="3507"/>
      <c r="WFU135" s="3507"/>
      <c r="WFV135" s="3507"/>
      <c r="WFW135" s="3507"/>
      <c r="WFX135" s="3507"/>
      <c r="WFY135" s="3507"/>
      <c r="WFZ135" s="3507"/>
      <c r="WGA135" s="3507"/>
      <c r="WGB135" s="3507"/>
      <c r="WGC135" s="3507"/>
      <c r="WGD135" s="3507"/>
      <c r="WGE135" s="3507"/>
      <c r="WGF135" s="3507"/>
      <c r="WGG135" s="3507"/>
      <c r="WGH135" s="3507"/>
      <c r="WGI135" s="3507"/>
      <c r="WGJ135" s="3507"/>
      <c r="WGK135" s="3507"/>
      <c r="WGL135" s="3507"/>
      <c r="WGM135" s="3507"/>
      <c r="WGN135" s="3507"/>
      <c r="WGO135" s="3507"/>
      <c r="WGP135" s="3507"/>
      <c r="WGQ135" s="3507"/>
      <c r="WGR135" s="3507"/>
      <c r="WGS135" s="3507"/>
      <c r="WGT135" s="3507"/>
      <c r="WGU135" s="3507"/>
      <c r="WGV135" s="3507"/>
      <c r="WGW135" s="3507"/>
      <c r="WGX135" s="3507"/>
      <c r="WGY135" s="3507"/>
      <c r="WGZ135" s="3507"/>
      <c r="WHA135" s="3507"/>
      <c r="WHB135" s="3507"/>
      <c r="WHC135" s="3507"/>
      <c r="WHD135" s="3507"/>
      <c r="WHE135" s="3507"/>
      <c r="WHF135" s="3507"/>
      <c r="WHG135" s="3507"/>
      <c r="WHH135" s="3507"/>
      <c r="WHI135" s="3507"/>
      <c r="WHJ135" s="3507"/>
      <c r="WHK135" s="3507"/>
      <c r="WHL135" s="3507"/>
      <c r="WHM135" s="3507"/>
      <c r="WHN135" s="3507"/>
      <c r="WHO135" s="3507"/>
      <c r="WHP135" s="3507"/>
      <c r="WHQ135" s="3507"/>
      <c r="WHR135" s="3507"/>
      <c r="WHS135" s="3507"/>
      <c r="WHT135" s="3507"/>
      <c r="WHU135" s="3507"/>
      <c r="WHV135" s="3507"/>
      <c r="WHW135" s="3507"/>
      <c r="WHX135" s="3507"/>
      <c r="WHY135" s="3507"/>
      <c r="WHZ135" s="3507"/>
      <c r="WIA135" s="3507"/>
      <c r="WIB135" s="3507"/>
      <c r="WIC135" s="3507"/>
      <c r="WID135" s="3507"/>
      <c r="WIE135" s="3507"/>
      <c r="WIF135" s="3507"/>
      <c r="WIG135" s="3507"/>
      <c r="WIH135" s="3507"/>
      <c r="WII135" s="3507"/>
      <c r="WIJ135" s="3507"/>
      <c r="WIK135" s="3507"/>
      <c r="WIL135" s="3507"/>
      <c r="WIM135" s="3507"/>
      <c r="WIN135" s="3507"/>
      <c r="WIO135" s="3507"/>
      <c r="WIP135" s="3507"/>
      <c r="WIQ135" s="3507"/>
      <c r="WIR135" s="3507"/>
      <c r="WIS135" s="3507"/>
      <c r="WIT135" s="3507"/>
      <c r="WIU135" s="3507"/>
      <c r="WIV135" s="3507"/>
      <c r="WIW135" s="3507"/>
      <c r="WIX135" s="3507"/>
      <c r="WIY135" s="3507"/>
      <c r="WIZ135" s="3507"/>
      <c r="WJA135" s="3507"/>
      <c r="WJB135" s="3507"/>
      <c r="WJC135" s="3507"/>
      <c r="WJD135" s="3507"/>
      <c r="WJE135" s="3507"/>
      <c r="WJF135" s="3507"/>
      <c r="WJG135" s="3507"/>
      <c r="WJH135" s="3507"/>
      <c r="WJI135" s="3507"/>
      <c r="WJJ135" s="3507"/>
      <c r="WJK135" s="3507"/>
      <c r="WJL135" s="3507"/>
      <c r="WJM135" s="3507"/>
      <c r="WJN135" s="3507"/>
      <c r="WJO135" s="3507"/>
      <c r="WJP135" s="3507"/>
      <c r="WJQ135" s="3507"/>
      <c r="WJR135" s="3507"/>
      <c r="WJS135" s="3507"/>
      <c r="WJT135" s="3507"/>
      <c r="WJU135" s="3507"/>
      <c r="WJV135" s="3507"/>
      <c r="WJW135" s="3507"/>
      <c r="WJX135" s="3507"/>
      <c r="WJY135" s="3507"/>
      <c r="WJZ135" s="3507"/>
      <c r="WKA135" s="3507"/>
      <c r="WKB135" s="3507"/>
      <c r="WKC135" s="3507"/>
      <c r="WKD135" s="3507"/>
      <c r="WKE135" s="3507"/>
      <c r="WKF135" s="3507"/>
      <c r="WKG135" s="3507"/>
      <c r="WKH135" s="3507"/>
      <c r="WKI135" s="3507"/>
      <c r="WKJ135" s="3507"/>
      <c r="WKK135" s="3507"/>
      <c r="WKL135" s="3507"/>
      <c r="WKM135" s="3507"/>
      <c r="WKN135" s="3507"/>
      <c r="WKO135" s="3507"/>
      <c r="WKP135" s="3507"/>
      <c r="WKQ135" s="3507"/>
      <c r="WKR135" s="3507"/>
      <c r="WKS135" s="3507"/>
      <c r="WKT135" s="3507"/>
      <c r="WKU135" s="3507"/>
      <c r="WKV135" s="3507"/>
      <c r="WKW135" s="3507"/>
      <c r="WKX135" s="3507"/>
      <c r="WKY135" s="3507"/>
      <c r="WKZ135" s="3507"/>
      <c r="WLA135" s="3507"/>
      <c r="WLB135" s="3507"/>
      <c r="WLC135" s="3507"/>
      <c r="WLD135" s="3507"/>
      <c r="WLE135" s="3507"/>
      <c r="WLF135" s="3507"/>
      <c r="WLG135" s="3507"/>
      <c r="WLH135" s="3507"/>
      <c r="WLI135" s="3507"/>
      <c r="WLJ135" s="3507"/>
      <c r="WLK135" s="3507"/>
      <c r="WLL135" s="3507"/>
      <c r="WLM135" s="3507"/>
      <c r="WLN135" s="3507"/>
      <c r="WLO135" s="3507"/>
      <c r="WLP135" s="3507"/>
      <c r="WLQ135" s="3507"/>
      <c r="WLR135" s="3507"/>
      <c r="WLS135" s="3507"/>
      <c r="WLT135" s="3507"/>
      <c r="WLU135" s="3507"/>
      <c r="WLV135" s="3507"/>
      <c r="WLW135" s="3507"/>
      <c r="WLX135" s="3507"/>
      <c r="WLY135" s="3507"/>
      <c r="WLZ135" s="3507"/>
      <c r="WMA135" s="3507"/>
      <c r="WMB135" s="3507"/>
      <c r="WMC135" s="3507"/>
      <c r="WMD135" s="3507"/>
      <c r="WME135" s="3507"/>
      <c r="WMF135" s="3507"/>
      <c r="WMG135" s="3507"/>
      <c r="WMH135" s="3507"/>
      <c r="WMI135" s="3507"/>
      <c r="WMJ135" s="3507"/>
      <c r="WMK135" s="3507"/>
      <c r="WML135" s="3507"/>
      <c r="WMM135" s="3507"/>
      <c r="WMN135" s="3507"/>
      <c r="WMO135" s="3507"/>
      <c r="WMP135" s="3507"/>
      <c r="WMQ135" s="3507"/>
      <c r="WMR135" s="3507"/>
      <c r="WMS135" s="3507"/>
      <c r="WMT135" s="3507"/>
      <c r="WMU135" s="3507"/>
      <c r="WMV135" s="3507"/>
      <c r="WMW135" s="3507"/>
      <c r="WMX135" s="3507"/>
      <c r="WMY135" s="3507"/>
      <c r="WMZ135" s="3507"/>
      <c r="WNA135" s="3507"/>
      <c r="WNB135" s="3507"/>
      <c r="WNC135" s="3507"/>
      <c r="WND135" s="3507"/>
      <c r="WNE135" s="3507"/>
      <c r="WNF135" s="3507"/>
      <c r="WNG135" s="3507"/>
      <c r="WNH135" s="3507"/>
      <c r="WNI135" s="3507"/>
      <c r="WNJ135" s="3507"/>
      <c r="WNK135" s="3507"/>
      <c r="WNL135" s="3507"/>
      <c r="WNM135" s="3507"/>
      <c r="WNN135" s="3507"/>
      <c r="WNO135" s="3507"/>
      <c r="WNP135" s="3507"/>
      <c r="WNQ135" s="3507"/>
      <c r="WNR135" s="3507"/>
      <c r="WNS135" s="3507"/>
      <c r="WNT135" s="3507"/>
      <c r="WNU135" s="3507"/>
      <c r="WNV135" s="3507"/>
      <c r="WNW135" s="3507"/>
      <c r="WNX135" s="3507"/>
      <c r="WNY135" s="3507"/>
      <c r="WNZ135" s="3507"/>
      <c r="WOA135" s="3507"/>
      <c r="WOB135" s="3507"/>
      <c r="WOC135" s="3507"/>
      <c r="WOD135" s="3507"/>
      <c r="WOE135" s="3507"/>
      <c r="WOF135" s="3507"/>
      <c r="WOG135" s="3507"/>
      <c r="WOH135" s="3507"/>
      <c r="WOI135" s="3507"/>
      <c r="WOJ135" s="3507"/>
      <c r="WOK135" s="3507"/>
      <c r="WOL135" s="3507"/>
      <c r="WOM135" s="3507"/>
      <c r="WON135" s="3507"/>
      <c r="WOO135" s="3507"/>
      <c r="WOP135" s="3507"/>
      <c r="WOQ135" s="3507"/>
      <c r="WOR135" s="3507"/>
      <c r="WOS135" s="3507"/>
      <c r="WOT135" s="3507"/>
      <c r="WOU135" s="3507"/>
      <c r="WOV135" s="3507"/>
      <c r="WOW135" s="3507"/>
      <c r="WOX135" s="3507"/>
      <c r="WOY135" s="3507"/>
      <c r="WOZ135" s="3507"/>
      <c r="WPA135" s="3507"/>
      <c r="WPB135" s="3507"/>
      <c r="WPC135" s="3507"/>
      <c r="WPD135" s="3507"/>
      <c r="WPE135" s="3507"/>
      <c r="WPF135" s="3507"/>
      <c r="WPG135" s="3507"/>
      <c r="WPH135" s="3507"/>
      <c r="WPI135" s="3507"/>
      <c r="WPJ135" s="3507"/>
      <c r="WPK135" s="3507"/>
      <c r="WPL135" s="3507"/>
      <c r="WPM135" s="3507"/>
      <c r="WPN135" s="3507"/>
      <c r="WPO135" s="3507"/>
      <c r="WPP135" s="3507"/>
      <c r="WPQ135" s="3507"/>
      <c r="WPR135" s="3507"/>
      <c r="WPS135" s="3507"/>
      <c r="WPT135" s="3507"/>
      <c r="WPU135" s="3507"/>
      <c r="WPV135" s="3507"/>
      <c r="WPW135" s="3507"/>
      <c r="WPX135" s="3507"/>
      <c r="WPY135" s="3507"/>
      <c r="WPZ135" s="3507"/>
      <c r="WQA135" s="3507"/>
      <c r="WQB135" s="3507"/>
      <c r="WQC135" s="3507"/>
      <c r="WQD135" s="3507"/>
      <c r="WQE135" s="3507"/>
      <c r="WQF135" s="3507"/>
      <c r="WQG135" s="3507"/>
      <c r="WQH135" s="3507"/>
      <c r="WQI135" s="3507"/>
      <c r="WQJ135" s="3507"/>
      <c r="WQK135" s="3507"/>
      <c r="WQL135" s="3507"/>
      <c r="WQM135" s="3507"/>
      <c r="WQN135" s="3507"/>
      <c r="WQO135" s="3507"/>
      <c r="WQP135" s="3507"/>
      <c r="WQQ135" s="3507"/>
      <c r="WQR135" s="3507"/>
      <c r="WQS135" s="3507"/>
      <c r="WQT135" s="3507"/>
      <c r="WQU135" s="3507"/>
      <c r="WQV135" s="3507"/>
      <c r="WQW135" s="3507"/>
      <c r="WQX135" s="3507"/>
      <c r="WQY135" s="3507"/>
      <c r="WQZ135" s="3507"/>
      <c r="WRA135" s="3507"/>
      <c r="WRB135" s="3507"/>
      <c r="WRC135" s="3507"/>
      <c r="WRD135" s="3507"/>
      <c r="WRE135" s="3507"/>
      <c r="WRF135" s="3507"/>
      <c r="WRG135" s="3507"/>
      <c r="WRH135" s="3507"/>
      <c r="WRI135" s="3507"/>
      <c r="WRJ135" s="3507"/>
      <c r="WRK135" s="3507"/>
      <c r="WRL135" s="3507"/>
      <c r="WRM135" s="3507"/>
      <c r="WRN135" s="3507"/>
      <c r="WRO135" s="3507"/>
      <c r="WRP135" s="3507"/>
      <c r="WRQ135" s="3507"/>
      <c r="WRR135" s="3507"/>
      <c r="WRS135" s="3507"/>
      <c r="WRT135" s="3507"/>
      <c r="WRU135" s="3507"/>
      <c r="WRV135" s="3507"/>
      <c r="WRW135" s="3507"/>
      <c r="WRX135" s="3507"/>
      <c r="WRY135" s="3507"/>
      <c r="WRZ135" s="3507"/>
      <c r="WSA135" s="3507"/>
      <c r="WSB135" s="3507"/>
      <c r="WSC135" s="3507"/>
      <c r="WSD135" s="3507"/>
      <c r="WSE135" s="3507"/>
      <c r="WSF135" s="3507"/>
      <c r="WSG135" s="3507"/>
      <c r="WSH135" s="3507"/>
      <c r="WSI135" s="3507"/>
      <c r="WSJ135" s="3507"/>
      <c r="WSK135" s="3507"/>
      <c r="WSL135" s="3507"/>
      <c r="WSM135" s="3507"/>
      <c r="WSN135" s="3507"/>
      <c r="WSO135" s="3507"/>
      <c r="WSP135" s="3507"/>
      <c r="WSQ135" s="3507"/>
      <c r="WSR135" s="3507"/>
      <c r="WSS135" s="3507"/>
      <c r="WST135" s="3507"/>
      <c r="WSU135" s="3507"/>
      <c r="WSV135" s="3507"/>
      <c r="WSW135" s="3507"/>
      <c r="WSX135" s="3507"/>
      <c r="WSY135" s="3507"/>
      <c r="WSZ135" s="3507"/>
      <c r="WTA135" s="3507"/>
      <c r="WTB135" s="3507"/>
      <c r="WTC135" s="3507"/>
      <c r="WTD135" s="3507"/>
      <c r="WTE135" s="3507"/>
      <c r="WTF135" s="3507"/>
      <c r="WTG135" s="3507"/>
      <c r="WTH135" s="3507"/>
      <c r="WTI135" s="3507"/>
      <c r="WTJ135" s="3507"/>
      <c r="WTK135" s="3507"/>
      <c r="WTL135" s="3507"/>
      <c r="WTM135" s="3507"/>
      <c r="WTN135" s="3507"/>
      <c r="WTO135" s="3507"/>
      <c r="WTP135" s="3507"/>
      <c r="WTQ135" s="3507"/>
      <c r="WTR135" s="3507"/>
      <c r="WTS135" s="3507"/>
      <c r="WTT135" s="3507"/>
      <c r="WTU135" s="3507"/>
      <c r="WTV135" s="3507"/>
      <c r="WTW135" s="3507"/>
      <c r="WTX135" s="3507"/>
      <c r="WTY135" s="3507"/>
      <c r="WTZ135" s="3507"/>
      <c r="WUA135" s="3507"/>
      <c r="WUB135" s="3507"/>
      <c r="WUC135" s="3507"/>
      <c r="WUD135" s="3507"/>
      <c r="WUE135" s="3507"/>
      <c r="WUF135" s="3507"/>
      <c r="WUG135" s="3507"/>
      <c r="WUH135" s="3507"/>
      <c r="WUI135" s="3507"/>
      <c r="WUJ135" s="3507"/>
      <c r="WUK135" s="3507"/>
      <c r="WUL135" s="3507"/>
      <c r="WUM135" s="3507"/>
      <c r="WUN135" s="3507"/>
      <c r="WUO135" s="3507"/>
      <c r="WUP135" s="3507"/>
      <c r="WUQ135" s="3507"/>
      <c r="WUR135" s="3507"/>
      <c r="WUS135" s="3507"/>
      <c r="WUT135" s="3507"/>
      <c r="WUU135" s="3507"/>
      <c r="WUV135" s="3507"/>
      <c r="WUW135" s="3507"/>
      <c r="WUX135" s="3507"/>
      <c r="WUY135" s="3507"/>
      <c r="WUZ135" s="3507"/>
      <c r="WVA135" s="3507"/>
      <c r="WVB135" s="3507"/>
      <c r="WVC135" s="3507"/>
      <c r="WVD135" s="3507"/>
      <c r="WVE135" s="3507"/>
      <c r="WVF135" s="3507"/>
      <c r="WVG135" s="3507"/>
      <c r="WVH135" s="3507"/>
      <c r="WVI135" s="3507"/>
      <c r="WVJ135" s="3507"/>
      <c r="WVK135" s="3507"/>
      <c r="WVL135" s="3507"/>
      <c r="WVM135" s="3507"/>
      <c r="WVN135" s="3507"/>
      <c r="WVO135" s="3507"/>
      <c r="WVP135" s="3507"/>
      <c r="WVQ135" s="3507"/>
      <c r="WVR135" s="3507"/>
      <c r="WVS135" s="3507"/>
      <c r="WVT135" s="3507"/>
      <c r="WVU135" s="3507"/>
      <c r="WVV135" s="3507"/>
      <c r="WVW135" s="3507"/>
      <c r="WVX135" s="3507"/>
      <c r="WVY135" s="3507"/>
      <c r="WVZ135" s="3507"/>
      <c r="WWA135" s="3507"/>
      <c r="WWB135" s="3507"/>
      <c r="WWC135" s="3507"/>
      <c r="WWD135" s="3507"/>
      <c r="WWE135" s="3507"/>
      <c r="WWF135" s="3507"/>
      <c r="WWG135" s="3507"/>
      <c r="WWH135" s="3507"/>
      <c r="WWI135" s="3507"/>
      <c r="WWJ135" s="3507"/>
      <c r="WWK135" s="3507"/>
      <c r="WWL135" s="3507"/>
      <c r="WWM135" s="3507"/>
      <c r="WWN135" s="3507"/>
      <c r="WWO135" s="3507"/>
      <c r="WWP135" s="3507"/>
      <c r="WWQ135" s="3507"/>
      <c r="WWR135" s="3507"/>
      <c r="WWS135" s="3507"/>
      <c r="WWT135" s="3507"/>
      <c r="WWU135" s="3507"/>
      <c r="WWV135" s="3507"/>
      <c r="WWW135" s="3507"/>
      <c r="WWX135" s="3507"/>
      <c r="WWY135" s="3507"/>
      <c r="WWZ135" s="3507"/>
      <c r="WXA135" s="3507"/>
      <c r="WXB135" s="3507"/>
      <c r="WXC135" s="3507"/>
      <c r="WXD135" s="3507"/>
      <c r="WXE135" s="3507"/>
      <c r="WXF135" s="3507"/>
      <c r="WXG135" s="3507"/>
      <c r="WXH135" s="3507"/>
      <c r="WXI135" s="3507"/>
      <c r="WXJ135" s="3507"/>
      <c r="WXK135" s="3507"/>
      <c r="WXL135" s="3507"/>
      <c r="WXM135" s="3507"/>
      <c r="WXN135" s="3507"/>
      <c r="WXO135" s="3507"/>
      <c r="WXP135" s="3507"/>
      <c r="WXQ135" s="3507"/>
      <c r="WXR135" s="3507"/>
      <c r="WXS135" s="3507"/>
      <c r="WXT135" s="3507"/>
      <c r="WXU135" s="3507"/>
      <c r="WXV135" s="3507"/>
      <c r="WXW135" s="3507"/>
      <c r="WXX135" s="3507"/>
      <c r="WXY135" s="3507"/>
      <c r="WXZ135" s="3507"/>
      <c r="WYA135" s="3507"/>
      <c r="WYB135" s="3507"/>
      <c r="WYC135" s="3507"/>
      <c r="WYD135" s="3507"/>
      <c r="WYE135" s="3507"/>
      <c r="WYF135" s="3507"/>
      <c r="WYG135" s="3507"/>
      <c r="WYH135" s="3507"/>
      <c r="WYI135" s="3507"/>
      <c r="WYJ135" s="3507"/>
      <c r="WYK135" s="3507"/>
      <c r="WYL135" s="3507"/>
      <c r="WYM135" s="3507"/>
      <c r="WYN135" s="3507"/>
      <c r="WYO135" s="3507"/>
      <c r="WYP135" s="3507"/>
      <c r="WYQ135" s="3507"/>
      <c r="WYR135" s="3507"/>
      <c r="WYS135" s="3507"/>
      <c r="WYT135" s="3507"/>
      <c r="WYU135" s="3507"/>
      <c r="WYV135" s="3507"/>
      <c r="WYW135" s="3507"/>
      <c r="WYX135" s="3507"/>
      <c r="WYY135" s="3507"/>
      <c r="WYZ135" s="3507"/>
      <c r="WZA135" s="3507"/>
      <c r="WZB135" s="3507"/>
      <c r="WZC135" s="3507"/>
      <c r="WZD135" s="3507"/>
      <c r="WZE135" s="3507"/>
      <c r="WZF135" s="3507"/>
      <c r="WZG135" s="3507"/>
      <c r="WZH135" s="3507"/>
      <c r="WZI135" s="3507"/>
      <c r="WZJ135" s="3507"/>
      <c r="WZK135" s="3507"/>
      <c r="WZL135" s="3507"/>
      <c r="WZM135" s="3507"/>
      <c r="WZN135" s="3507"/>
      <c r="WZO135" s="3507"/>
      <c r="WZP135" s="3507"/>
      <c r="WZQ135" s="3507"/>
      <c r="WZR135" s="3507"/>
      <c r="WZS135" s="3507"/>
      <c r="WZT135" s="3507"/>
      <c r="WZU135" s="3507"/>
      <c r="WZV135" s="3507"/>
      <c r="WZW135" s="3507"/>
      <c r="WZX135" s="3507"/>
      <c r="WZY135" s="3507"/>
      <c r="WZZ135" s="3507"/>
      <c r="XAA135" s="3507"/>
      <c r="XAB135" s="3507"/>
      <c r="XAC135" s="3507"/>
      <c r="XAD135" s="3507"/>
      <c r="XAE135" s="3507"/>
      <c r="XAF135" s="3507"/>
      <c r="XAG135" s="3507"/>
      <c r="XAH135" s="3507"/>
      <c r="XAI135" s="3507"/>
      <c r="XAJ135" s="3507"/>
      <c r="XAK135" s="3507"/>
      <c r="XAL135" s="3507"/>
      <c r="XAM135" s="3507"/>
      <c r="XAN135" s="3507"/>
      <c r="XAO135" s="3507"/>
      <c r="XAP135" s="3507"/>
      <c r="XAQ135" s="3507"/>
      <c r="XAR135" s="3507"/>
      <c r="XAS135" s="3507"/>
      <c r="XAT135" s="3507"/>
      <c r="XAU135" s="3507"/>
      <c r="XAV135" s="3507"/>
      <c r="XAW135" s="3507"/>
      <c r="XAX135" s="3507"/>
      <c r="XAY135" s="3507"/>
      <c r="XAZ135" s="3507"/>
      <c r="XBA135" s="3507"/>
      <c r="XBB135" s="3507"/>
      <c r="XBC135" s="3507"/>
      <c r="XBD135" s="3507"/>
      <c r="XBE135" s="3507"/>
      <c r="XBF135" s="3507"/>
      <c r="XBG135" s="3507"/>
      <c r="XBH135" s="3507"/>
      <c r="XBI135" s="3507"/>
      <c r="XBJ135" s="3507"/>
      <c r="XBK135" s="3507"/>
      <c r="XBL135" s="3507"/>
      <c r="XBM135" s="3507"/>
      <c r="XBN135" s="3507"/>
      <c r="XBO135" s="3507"/>
      <c r="XBP135" s="3507"/>
      <c r="XBQ135" s="3507"/>
      <c r="XBR135" s="3507"/>
      <c r="XBS135" s="3507"/>
      <c r="XBT135" s="3507"/>
      <c r="XBU135" s="3507"/>
      <c r="XBV135" s="3507"/>
      <c r="XBW135" s="3507"/>
      <c r="XBX135" s="3507"/>
      <c r="XBY135" s="3507"/>
      <c r="XBZ135" s="3507"/>
      <c r="XCA135" s="3507"/>
      <c r="XCB135" s="3507"/>
      <c r="XCC135" s="3507"/>
      <c r="XCD135" s="3507"/>
      <c r="XCE135" s="3507"/>
      <c r="XCF135" s="3507"/>
      <c r="XCG135" s="3507"/>
      <c r="XCH135" s="3507"/>
      <c r="XCI135" s="3507"/>
      <c r="XCJ135" s="3507"/>
      <c r="XCK135" s="3507"/>
      <c r="XCL135" s="3507"/>
      <c r="XCM135" s="3507"/>
      <c r="XCN135" s="3507"/>
      <c r="XCO135" s="3507"/>
      <c r="XCP135" s="3507"/>
      <c r="XCQ135" s="3507"/>
      <c r="XCR135" s="3507"/>
      <c r="XCS135" s="3507"/>
      <c r="XCT135" s="3507"/>
      <c r="XCU135" s="3507"/>
      <c r="XCV135" s="3507"/>
      <c r="XCW135" s="3507"/>
      <c r="XCX135" s="3507"/>
      <c r="XCY135" s="3507"/>
      <c r="XCZ135" s="3507"/>
      <c r="XDA135" s="3507"/>
      <c r="XDB135" s="3507"/>
      <c r="XDC135" s="3507"/>
      <c r="XDD135" s="3507"/>
      <c r="XDE135" s="3507"/>
      <c r="XDF135" s="3507"/>
      <c r="XDG135" s="3507"/>
      <c r="XDH135" s="3507"/>
      <c r="XDI135" s="3507"/>
      <c r="XDJ135" s="3507"/>
      <c r="XDK135" s="3507"/>
      <c r="XDL135" s="3507"/>
      <c r="XDM135" s="3507"/>
      <c r="XDN135" s="3507"/>
      <c r="XDO135" s="3507"/>
      <c r="XDP135" s="3507"/>
      <c r="XDQ135" s="3507"/>
      <c r="XDR135" s="3507"/>
      <c r="XDS135" s="3507"/>
      <c r="XDT135" s="3507"/>
      <c r="XDU135" s="3507"/>
      <c r="XDV135" s="3507"/>
      <c r="XDW135" s="3507"/>
      <c r="XDX135" s="3507"/>
      <c r="XDY135" s="3507"/>
      <c r="XDZ135" s="3507"/>
      <c r="XEA135" s="3507"/>
      <c r="XEB135" s="3507"/>
      <c r="XEC135" s="3507"/>
      <c r="XED135" s="3507"/>
      <c r="XEE135" s="3507"/>
      <c r="XEF135" s="3507"/>
      <c r="XEG135" s="3507"/>
      <c r="XEH135" s="3507"/>
      <c r="XEI135" s="3507"/>
      <c r="XEJ135" s="3507"/>
      <c r="XEK135" s="3507"/>
      <c r="XEL135" s="3507"/>
      <c r="XEM135" s="3507"/>
      <c r="XEN135" s="3507"/>
      <c r="XEO135" s="3507"/>
      <c r="XEP135" s="3507"/>
    </row>
    <row r="136" spans="1:16370" s="3516" customFormat="1" ht="18" customHeight="1">
      <c r="A136" s="3507"/>
      <c r="B136" s="3507"/>
      <c r="C136" s="3507"/>
      <c r="D136" s="3508"/>
      <c r="J136" s="3580"/>
      <c r="K136" s="3507"/>
      <c r="L136" s="3507"/>
      <c r="M136" s="3508"/>
      <c r="N136" s="3511"/>
      <c r="O136" s="3511"/>
      <c r="P136" s="3511"/>
      <c r="Q136" s="3508"/>
      <c r="R136" s="3508"/>
      <c r="S136" s="3508"/>
      <c r="T136" s="3508"/>
      <c r="U136" s="3508"/>
      <c r="V136" s="3508"/>
      <c r="W136" s="3508"/>
      <c r="X136" s="3508"/>
      <c r="Y136" s="3508"/>
      <c r="Z136" s="3508"/>
      <c r="AA136" s="3507"/>
      <c r="AB136" s="3507"/>
      <c r="AC136" s="3508"/>
      <c r="AD136" s="3508"/>
      <c r="AE136" s="3508"/>
      <c r="AF136" s="3511"/>
      <c r="AG136" s="3508"/>
      <c r="AH136" s="3508"/>
      <c r="AI136" s="3508"/>
      <c r="AJ136" s="3508"/>
      <c r="AK136" s="3508"/>
      <c r="AL136" s="3508"/>
      <c r="AM136" s="3511"/>
      <c r="AN136" s="3511"/>
      <c r="AO136" s="3510"/>
      <c r="AP136" s="3511"/>
      <c r="AQ136" s="3511"/>
      <c r="AR136" s="3510"/>
      <c r="AS136" s="3511"/>
      <c r="AT136" s="3508"/>
      <c r="AU136" s="3508"/>
      <c r="AV136" s="3509"/>
      <c r="AW136" s="3510"/>
      <c r="AX136" s="3508"/>
      <c r="AY136" s="3509"/>
      <c r="AZ136" s="3510"/>
      <c r="BA136" s="3508"/>
      <c r="BB136" s="3508"/>
      <c r="BC136" s="3711"/>
      <c r="BD136" s="3711"/>
      <c r="BE136" s="3711"/>
      <c r="BF136" s="3711"/>
      <c r="BG136" s="3511"/>
      <c r="BH136" s="3511"/>
      <c r="BI136" s="3511"/>
      <c r="BJ136" s="3511"/>
      <c r="BK136" s="3508"/>
      <c r="BL136" s="3509"/>
      <c r="BM136" s="3510"/>
      <c r="BN136" s="3508"/>
      <c r="BO136" s="3509"/>
      <c r="BP136" s="3510"/>
      <c r="BQ136" s="3508"/>
      <c r="BR136" s="3508"/>
      <c r="BS136" s="3508"/>
      <c r="BT136" s="3509"/>
      <c r="BU136" s="3510"/>
      <c r="BV136" s="3508"/>
      <c r="BW136" s="3509"/>
      <c r="BX136" s="3510"/>
      <c r="BY136" s="3508"/>
      <c r="BZ136" s="3508"/>
      <c r="CA136" s="3508"/>
      <c r="CB136" s="3509"/>
      <c r="CC136" s="3510"/>
      <c r="CD136" s="3508"/>
      <c r="CE136" s="3509"/>
      <c r="CF136" s="3510"/>
      <c r="CG136" s="3508"/>
      <c r="CH136" s="3508"/>
      <c r="CI136" s="3508"/>
      <c r="CJ136" s="3509"/>
      <c r="CK136" s="3510"/>
      <c r="CL136" s="3508"/>
      <c r="CM136" s="3509"/>
      <c r="CN136" s="3510"/>
      <c r="CO136" s="3508"/>
      <c r="CP136" s="3508"/>
      <c r="CQ136" s="3508"/>
      <c r="CR136" s="3509"/>
      <c r="CS136" s="3510"/>
      <c r="CT136" s="3508"/>
      <c r="CU136" s="3509"/>
      <c r="CV136" s="3510"/>
      <c r="CW136" s="3508"/>
      <c r="CX136" s="3508"/>
      <c r="CY136" s="3508"/>
      <c r="CZ136" s="3509"/>
      <c r="DA136" s="3510"/>
      <c r="DB136" s="3508"/>
      <c r="DC136" s="3509"/>
      <c r="DD136" s="3510"/>
      <c r="DE136" s="3508"/>
      <c r="DF136" s="3508"/>
      <c r="DG136" s="3508"/>
      <c r="DH136" s="3509"/>
      <c r="DI136" s="3510"/>
      <c r="DJ136" s="3508"/>
      <c r="DK136" s="3509"/>
      <c r="DL136" s="3510"/>
      <c r="DM136" s="3508"/>
      <c r="DN136" s="3508"/>
      <c r="DO136" s="3508"/>
      <c r="DP136" s="3509"/>
      <c r="DQ136" s="3510"/>
      <c r="DR136" s="3508"/>
      <c r="DS136" s="3509"/>
      <c r="DT136" s="3510"/>
      <c r="DU136" s="3508"/>
      <c r="DV136" s="3508"/>
      <c r="DW136" s="3508"/>
      <c r="DX136" s="3509"/>
      <c r="DY136" s="3510"/>
      <c r="DZ136" s="3508"/>
      <c r="EA136" s="3509"/>
      <c r="EB136" s="3510"/>
      <c r="EC136" s="3508"/>
      <c r="ED136" s="3508"/>
      <c r="ET136" s="3509"/>
      <c r="EU136" s="3510"/>
      <c r="EV136" s="3510"/>
      <c r="EW136" s="3511"/>
      <c r="EX136" s="3509"/>
      <c r="EY136" s="3510"/>
      <c r="EZ136" s="3510"/>
      <c r="FA136" s="3511"/>
      <c r="FB136" s="3509"/>
      <c r="FC136" s="3510"/>
      <c r="FD136" s="3510"/>
      <c r="FE136" s="3511"/>
      <c r="FF136" s="3509"/>
      <c r="FG136" s="3510"/>
      <c r="FH136" s="3510"/>
      <c r="FI136" s="3511"/>
      <c r="FJ136" s="3509"/>
      <c r="FK136" s="3510"/>
      <c r="FL136" s="3510"/>
      <c r="FM136" s="3511"/>
      <c r="FN136" s="3509"/>
      <c r="FO136" s="3510"/>
      <c r="FP136" s="3510"/>
      <c r="FQ136" s="3511"/>
      <c r="FR136" s="3509"/>
      <c r="FS136" s="3510"/>
      <c r="FT136" s="3510"/>
      <c r="FU136" s="3511"/>
      <c r="FV136" s="3509"/>
      <c r="FW136" s="3510"/>
      <c r="FX136" s="3510"/>
      <c r="FY136" s="3511"/>
      <c r="FZ136" s="3509"/>
      <c r="GA136" s="3510"/>
      <c r="GB136" s="3510"/>
      <c r="GC136" s="3511"/>
      <c r="GD136" s="3509"/>
      <c r="GE136" s="3510"/>
      <c r="GF136" s="3510"/>
      <c r="GG136" s="3511"/>
      <c r="GH136" s="3509"/>
      <c r="GI136" s="3510"/>
      <c r="GJ136" s="3510"/>
      <c r="GK136" s="3511"/>
      <c r="GL136" s="3509"/>
      <c r="GM136" s="3510"/>
      <c r="GN136" s="3510"/>
      <c r="GO136" s="3511"/>
      <c r="GP136" s="3509"/>
      <c r="GQ136" s="3510"/>
      <c r="GR136" s="3510"/>
      <c r="GS136" s="3511"/>
      <c r="GT136" s="3509"/>
      <c r="GU136" s="3510"/>
      <c r="GV136" s="3510"/>
      <c r="GW136" s="3511"/>
      <c r="GX136" s="3509"/>
      <c r="GY136" s="3510"/>
      <c r="GZ136" s="3510"/>
      <c r="HA136" s="3511"/>
      <c r="HB136" s="3509"/>
      <c r="HC136" s="3510"/>
      <c r="HD136" s="3510"/>
      <c r="HE136" s="3511"/>
      <c r="HF136" s="3509"/>
      <c r="HG136" s="3510"/>
      <c r="HH136" s="3510"/>
      <c r="HI136" s="3511"/>
      <c r="HJ136" s="3509"/>
      <c r="HK136" s="3510"/>
      <c r="HL136" s="3510"/>
      <c r="HM136" s="3511"/>
      <c r="HN136" s="3509"/>
      <c r="HO136" s="3510"/>
      <c r="HP136" s="3510"/>
      <c r="HQ136" s="3511"/>
      <c r="HR136" s="3509"/>
      <c r="HS136" s="3510"/>
      <c r="HT136" s="3510"/>
      <c r="HU136" s="3511"/>
      <c r="HV136" s="3509"/>
      <c r="HW136" s="3510"/>
      <c r="HX136" s="3510"/>
      <c r="HY136" s="3511"/>
      <c r="HZ136" s="3509"/>
      <c r="IA136" s="3510"/>
      <c r="IB136" s="3510"/>
      <c r="IC136" s="3511"/>
      <c r="ID136" s="3509"/>
      <c r="IE136" s="3510"/>
      <c r="IF136" s="3510"/>
      <c r="IG136" s="3511"/>
      <c r="IH136" s="3509"/>
      <c r="II136" s="3510"/>
      <c r="IJ136" s="3510"/>
      <c r="IK136" s="3511"/>
      <c r="IL136" s="3517"/>
      <c r="IO136" s="3507"/>
      <c r="IP136" s="3515"/>
      <c r="IQ136" s="3515"/>
      <c r="IR136" s="3515"/>
      <c r="IS136" s="3515"/>
      <c r="IT136" s="3515"/>
      <c r="IU136" s="3515"/>
      <c r="IV136" s="3515"/>
      <c r="IW136" s="3515"/>
      <c r="IX136" s="3515"/>
      <c r="IY136" s="3515"/>
      <c r="IZ136" s="3515"/>
      <c r="JA136" s="3515"/>
      <c r="JB136" s="3515"/>
      <c r="JC136" s="3515"/>
      <c r="JD136" s="3515"/>
      <c r="JE136" s="3515"/>
      <c r="JF136" s="3515"/>
      <c r="JG136" s="3515"/>
      <c r="JH136" s="3515"/>
      <c r="JI136" s="3515"/>
      <c r="JJ136" s="3515"/>
      <c r="JK136" s="3515"/>
      <c r="JL136" s="3515"/>
      <c r="JM136" s="3515"/>
      <c r="JN136" s="3515"/>
      <c r="JO136" s="3515"/>
      <c r="JY136" s="3507"/>
      <c r="KA136" s="3577"/>
      <c r="KB136" s="3577"/>
      <c r="KC136" s="3577"/>
      <c r="KD136" s="3712">
        <f>[2]海龙直播舱、其他!HI10+[2]海龙直播舱、其他!HI41</f>
        <v>48214.287528344597</v>
      </c>
      <c r="KE136" s="3577" t="s">
        <v>4910</v>
      </c>
      <c r="KF136" s="3577"/>
      <c r="KG136" s="3577"/>
      <c r="KH136" s="3577"/>
      <c r="KI136" s="3577"/>
      <c r="KJ136" s="3577"/>
      <c r="KK136" s="3577"/>
      <c r="KL136" s="3577"/>
      <c r="KM136" s="3577"/>
      <c r="KN136" s="3577"/>
      <c r="KO136" s="3577"/>
      <c r="KP136" s="3577"/>
      <c r="KQ136" s="3712"/>
      <c r="KR136" s="3725" t="s">
        <v>4911</v>
      </c>
      <c r="KS136" s="3712"/>
      <c r="LJ136" s="3575"/>
      <c r="LK136" s="3732" t="s">
        <v>4912</v>
      </c>
      <c r="LL136" s="3732">
        <f>LL133</f>
        <v>1279383.8899999999</v>
      </c>
      <c r="LM136" s="3732">
        <f>LL136/1.05</f>
        <v>1218460.8476190474</v>
      </c>
    </row>
    <row r="137" spans="1:16370" s="3711" customFormat="1" ht="18" customHeight="1">
      <c r="A137" s="3716"/>
      <c r="B137" s="3716"/>
      <c r="C137" s="3716"/>
      <c r="D137" s="3511"/>
      <c r="J137" s="3733"/>
      <c r="K137" s="3716"/>
      <c r="L137" s="3716"/>
      <c r="M137" s="3511"/>
      <c r="N137" s="3511"/>
      <c r="O137" s="3511"/>
      <c r="P137" s="3511"/>
      <c r="Q137" s="3511"/>
      <c r="R137" s="3511"/>
      <c r="S137" s="3511"/>
      <c r="T137" s="3511"/>
      <c r="U137" s="3511"/>
      <c r="V137" s="3511"/>
      <c r="W137" s="3511"/>
      <c r="X137" s="3511"/>
      <c r="Y137" s="3511"/>
      <c r="Z137" s="3511"/>
      <c r="AA137" s="3716"/>
      <c r="AB137" s="3716"/>
      <c r="AC137" s="3511"/>
      <c r="AD137" s="3511"/>
      <c r="AE137" s="3511"/>
      <c r="AF137" s="3511"/>
      <c r="AG137" s="3511"/>
      <c r="AH137" s="3511"/>
      <c r="AI137" s="3511"/>
      <c r="AJ137" s="3511"/>
      <c r="AK137" s="3511"/>
      <c r="AL137" s="3511"/>
      <c r="AM137" s="3734" t="s">
        <v>4913</v>
      </c>
      <c r="AN137" s="3511">
        <f>AN133+AN134+AQ133+AQ134</f>
        <v>5113987.9928493137</v>
      </c>
      <c r="AO137" s="3735" t="s">
        <v>4914</v>
      </c>
      <c r="AP137" s="3511">
        <f>AO133+AO134+AR133+AR134+[2]海龙直播舱、其他!AO10-AP138-AP139</f>
        <v>5105042.4499999983</v>
      </c>
      <c r="AQ137" s="3511"/>
      <c r="AR137" s="3511"/>
      <c r="AS137" s="3511"/>
      <c r="AT137" s="3511"/>
      <c r="AU137" s="3736" t="s">
        <v>4913</v>
      </c>
      <c r="AV137" s="3511">
        <f>AV133+AY133+[2]海龙直播舱、其他!AV10</f>
        <v>2491964.6665753424</v>
      </c>
      <c r="AW137" s="3737" t="s">
        <v>4914</v>
      </c>
      <c r="AX137" s="3511">
        <f>AW133+AZ133+[2]海龙直播舱、其他!AW10+[2]海龙直播舱、其他!AW41</f>
        <v>2565745.4700000002</v>
      </c>
      <c r="AY137" s="3511"/>
      <c r="AZ137" s="3511"/>
      <c r="BA137" s="3511"/>
      <c r="BB137" s="3511"/>
      <c r="BC137" s="3736" t="s">
        <v>4913</v>
      </c>
      <c r="BD137" s="3511">
        <f>BD133+BG133+BD134</f>
        <v>4829639.3832602743</v>
      </c>
      <c r="BE137" s="3737" t="s">
        <v>4914</v>
      </c>
      <c r="BF137" s="3508">
        <f>BE133+BH133+BE134</f>
        <v>4658384.4800000004</v>
      </c>
      <c r="BG137" s="3509"/>
      <c r="BH137" s="3510"/>
      <c r="BI137" s="3508"/>
      <c r="BJ137" s="3510"/>
      <c r="BK137" s="3734" t="s">
        <v>4913</v>
      </c>
      <c r="BL137" s="3511">
        <f>BL133+BO133+BN89+BQ89</f>
        <v>3630454.942739727</v>
      </c>
      <c r="BM137" s="3734" t="s">
        <v>4914</v>
      </c>
      <c r="BN137" s="3511">
        <f>BM133+BP133</f>
        <v>2555105.0100000002</v>
      </c>
      <c r="BO137" s="3511"/>
      <c r="BP137" s="3511"/>
      <c r="BQ137" s="3511"/>
      <c r="BR137" s="3511"/>
      <c r="BS137" s="3734" t="s">
        <v>4913</v>
      </c>
      <c r="BT137" s="3511">
        <f>BT133+BW133+1061522.01+192792.84+[2]海龙直播舱、其他!BT10+[2]海龙直播舱、其他!BT41</f>
        <v>4168109.7100000004</v>
      </c>
      <c r="BU137" s="3734" t="s">
        <v>4914</v>
      </c>
      <c r="BV137" s="3511">
        <f>BU133+BX133+[2]海龙直播舱、其他!BU41+[2]海龙直播舱、其他!BU10</f>
        <v>3924444.1700000004</v>
      </c>
      <c r="BW137" s="3511"/>
      <c r="BX137" s="3511"/>
      <c r="BY137" s="3511"/>
      <c r="BZ137" s="3511"/>
      <c r="CA137" s="3734" t="s">
        <v>4913</v>
      </c>
      <c r="CB137" s="3511">
        <f>CB133+CE133+[2]海龙直播舱、其他!CB10+[2]海龙直播舱、其他!CB41</f>
        <v>4556579.7015068503</v>
      </c>
      <c r="CC137" s="3734" t="s">
        <v>4914</v>
      </c>
      <c r="CD137" s="3511">
        <f>CC133+CF133+[2]海龙直播舱、其他!CC10+[2]海龙直播舱、其他!CC41</f>
        <v>3935587.8200000003</v>
      </c>
      <c r="CE137" s="3511"/>
      <c r="CF137" s="3511"/>
      <c r="CG137" s="3511"/>
      <c r="CH137" s="3511"/>
      <c r="CI137" s="3734" t="s">
        <v>4913</v>
      </c>
      <c r="CJ137" s="3511">
        <f>CJ133+CM133+[2]海龙直播舱、其他!CJ41</f>
        <v>4005752.9995068498</v>
      </c>
      <c r="CK137" s="3734" t="s">
        <v>4914</v>
      </c>
      <c r="CL137" s="3511">
        <f>CK133+CN133+[2]海龙直播舱、其他!CK10+[2]海龙直播舱、其他!CK41</f>
        <v>4938357.4600000009</v>
      </c>
      <c r="CM137" s="3511"/>
      <c r="CN137" s="3511"/>
      <c r="CO137" s="3511"/>
      <c r="CP137" s="3511"/>
      <c r="CQ137" s="3734" t="s">
        <v>4913</v>
      </c>
      <c r="CR137" s="3511">
        <f>CR133+CU133+[2]海龙直播舱、其他!CR10+[2]海龙直播舱、其他!CR41</f>
        <v>4661728.3561095903</v>
      </c>
      <c r="CS137" s="3734" t="s">
        <v>4914</v>
      </c>
      <c r="CT137" s="3511">
        <f>CS133+CV133+[2]海龙直播舱、其他!CS10+[2]海龙直播舱、其他!CS41</f>
        <v>4555311.87</v>
      </c>
      <c r="CU137" s="3511"/>
      <c r="CV137" s="3511">
        <f>CS133</f>
        <v>3744915.68</v>
      </c>
      <c r="CW137" s="3511"/>
      <c r="CX137" s="3511"/>
      <c r="CY137" s="3734" t="s">
        <v>4913</v>
      </c>
      <c r="CZ137" s="3511">
        <f>CZ133+DC133+[2]海龙直播舱、其他!CZ10+[2]海龙直播舱、其他!CZ41</f>
        <v>4843292.9170684936</v>
      </c>
      <c r="DA137" s="3734" t="s">
        <v>4914</v>
      </c>
      <c r="DB137" s="3511">
        <f>DA133+DD133+[2]海龙直播舱、其他!DA10+[2]海龙直播舱、其他!DA41</f>
        <v>4047514.9200000009</v>
      </c>
      <c r="DC137" s="3511"/>
      <c r="DD137" s="3511"/>
      <c r="DE137" s="3511"/>
      <c r="DF137" s="3511"/>
      <c r="DG137" s="3511"/>
      <c r="DH137" s="3511"/>
      <c r="DI137" s="3511"/>
      <c r="DJ137" s="3511"/>
      <c r="DK137" s="3511"/>
      <c r="DL137" s="3511"/>
      <c r="DM137" s="3511"/>
      <c r="DN137" s="3511"/>
      <c r="DO137" s="3511"/>
      <c r="DP137" s="3511"/>
      <c r="DQ137" s="3511"/>
      <c r="DR137" s="3511"/>
      <c r="DS137" s="3511"/>
      <c r="DT137" s="3511"/>
      <c r="DU137" s="3511"/>
      <c r="DV137" s="3511"/>
      <c r="DW137" s="3511"/>
      <c r="DX137" s="3511"/>
      <c r="DY137" s="3511"/>
      <c r="DZ137" s="3511"/>
      <c r="EA137" s="3511"/>
      <c r="EB137" s="3511"/>
      <c r="EC137" s="3511"/>
      <c r="ED137" s="3511"/>
      <c r="ET137" s="3511"/>
      <c r="EU137" s="3511"/>
      <c r="EV137" s="3738" t="s">
        <v>4915</v>
      </c>
      <c r="EW137" s="3739"/>
      <c r="EX137" s="3739"/>
      <c r="EY137" s="3739"/>
      <c r="EZ137" s="3740" t="s">
        <v>4916</v>
      </c>
      <c r="FA137" s="3739"/>
      <c r="FB137" s="3739"/>
      <c r="FC137" s="3739"/>
      <c r="FD137" s="3738" t="s">
        <v>4915</v>
      </c>
      <c r="FE137" s="3739"/>
      <c r="FF137" s="3739"/>
      <c r="FG137" s="3739"/>
      <c r="FH137" s="3740" t="s">
        <v>4916</v>
      </c>
      <c r="FI137" s="3511"/>
      <c r="FJ137" s="3511"/>
      <c r="FK137" s="3511"/>
      <c r="FL137" s="3738" t="s">
        <v>4915</v>
      </c>
      <c r="FM137" s="3739"/>
      <c r="FN137" s="3739"/>
      <c r="FO137" s="3739"/>
      <c r="FP137" s="3740" t="s">
        <v>4916</v>
      </c>
      <c r="FQ137" s="3511"/>
      <c r="FR137" s="3511"/>
      <c r="FS137" s="3511"/>
      <c r="FT137" s="3738" t="s">
        <v>4915</v>
      </c>
      <c r="FU137" s="3739"/>
      <c r="FV137" s="3739"/>
      <c r="FW137" s="3739"/>
      <c r="FX137" s="3740" t="s">
        <v>4916</v>
      </c>
      <c r="FY137" s="3511"/>
      <c r="FZ137" s="3511"/>
      <c r="GA137" s="3511"/>
      <c r="GB137" s="3738" t="s">
        <v>4915</v>
      </c>
      <c r="GC137" s="3739"/>
      <c r="GD137" s="3739"/>
      <c r="GE137" s="3739"/>
      <c r="GF137" s="3740" t="s">
        <v>4916</v>
      </c>
      <c r="GG137" s="3739"/>
      <c r="GH137" s="3739"/>
      <c r="GI137" s="3511"/>
      <c r="GJ137" s="3738" t="s">
        <v>4915</v>
      </c>
      <c r="GK137" s="3739"/>
      <c r="GL137" s="3739"/>
      <c r="GM137" s="3739"/>
      <c r="GN137" s="3740" t="s">
        <v>4916</v>
      </c>
      <c r="GO137" s="3511"/>
      <c r="GP137" s="3511"/>
      <c r="GQ137" s="3511"/>
      <c r="GR137" s="3738" t="s">
        <v>4915</v>
      </c>
      <c r="GS137" s="3739"/>
      <c r="GT137" s="3739"/>
      <c r="GU137" s="3739"/>
      <c r="GV137" s="3740" t="s">
        <v>4916</v>
      </c>
      <c r="GW137" s="3511"/>
      <c r="GX137" s="3511"/>
      <c r="GY137" s="3511"/>
      <c r="GZ137" s="3738" t="s">
        <v>4915</v>
      </c>
      <c r="HA137" s="3739"/>
      <c r="HB137" s="3739"/>
      <c r="HC137" s="3739"/>
      <c r="HD137" s="3740" t="s">
        <v>4916</v>
      </c>
      <c r="HE137" s="3511"/>
      <c r="HF137" s="3511"/>
      <c r="HG137" s="3511"/>
      <c r="HH137" s="3738" t="s">
        <v>4915</v>
      </c>
      <c r="HI137" s="3739"/>
      <c r="HJ137" s="3739"/>
      <c r="HK137" s="3739"/>
      <c r="HL137" s="3740" t="s">
        <v>4916</v>
      </c>
      <c r="HM137" s="3511"/>
      <c r="HN137" s="3511"/>
      <c r="HO137" s="3511"/>
      <c r="HP137" s="3738" t="s">
        <v>4915</v>
      </c>
      <c r="HQ137" s="3739"/>
      <c r="HR137" s="3739"/>
      <c r="HS137" s="3739"/>
      <c r="HT137" s="3740" t="s">
        <v>4916</v>
      </c>
      <c r="HU137" s="3511"/>
      <c r="HV137" s="3511"/>
      <c r="HW137" s="3511"/>
      <c r="HX137" s="3738" t="s">
        <v>4915</v>
      </c>
      <c r="HY137" s="3739"/>
      <c r="HZ137" s="3739"/>
      <c r="IA137" s="3739"/>
      <c r="IB137" s="3740" t="s">
        <v>4916</v>
      </c>
      <c r="IC137" s="3511"/>
      <c r="ID137" s="3511"/>
      <c r="IE137" s="3511"/>
      <c r="IF137" s="3738" t="s">
        <v>4915</v>
      </c>
      <c r="IG137" s="3739"/>
      <c r="IH137" s="3739"/>
      <c r="II137" s="3739"/>
      <c r="IJ137" s="3740" t="s">
        <v>4916</v>
      </c>
      <c r="IK137" s="3511"/>
      <c r="IL137" s="3741"/>
      <c r="IO137" s="3716"/>
      <c r="JX137" s="3716"/>
      <c r="JY137" s="3716"/>
      <c r="KA137" s="3712"/>
      <c r="KB137" s="3712"/>
      <c r="KC137" s="3712"/>
      <c r="KD137" s="3712"/>
      <c r="KE137" s="3577" t="s">
        <v>4917</v>
      </c>
      <c r="KF137" s="3712"/>
      <c r="KG137" s="3712"/>
      <c r="KH137" s="3712"/>
      <c r="KI137" s="3712"/>
      <c r="KJ137" s="3712"/>
      <c r="KK137" s="3712"/>
      <c r="KL137" s="3712"/>
      <c r="KM137" s="3712"/>
      <c r="KN137" s="3712"/>
      <c r="KO137" s="3712"/>
      <c r="KP137" s="3712"/>
      <c r="KQ137" s="3712">
        <f>80188.68/10000</f>
        <v>8.0188679999999994</v>
      </c>
      <c r="KR137" s="3725" t="s">
        <v>4918</v>
      </c>
      <c r="KS137" s="3712"/>
      <c r="LJ137" s="3742"/>
      <c r="LK137" s="3743" t="s">
        <v>4919</v>
      </c>
      <c r="LL137" s="3732">
        <v>694330.25183333398</v>
      </c>
      <c r="LM137" s="3732">
        <f t="shared" ref="LM137:LM140" si="250">LL137/1.05</f>
        <v>661266.90650793712</v>
      </c>
    </row>
    <row r="138" spans="1:16370" s="3711" customFormat="1" ht="18" customHeight="1">
      <c r="A138" s="3716"/>
      <c r="B138" s="3716"/>
      <c r="C138" s="3833" t="s">
        <v>5086</v>
      </c>
      <c r="D138" s="3734" t="s">
        <v>5081</v>
      </c>
      <c r="E138" s="3716"/>
      <c r="F138" s="3716"/>
      <c r="G138" s="3735" t="s">
        <v>5082</v>
      </c>
      <c r="H138" s="3735" t="s">
        <v>5083</v>
      </c>
      <c r="I138" s="3735" t="s">
        <v>5084</v>
      </c>
      <c r="J138" s="3834" t="s">
        <v>5090</v>
      </c>
      <c r="K138" s="3716"/>
      <c r="L138" s="3716"/>
      <c r="M138" s="3734" t="s">
        <v>5089</v>
      </c>
      <c r="N138" s="3511"/>
      <c r="O138" s="3511"/>
      <c r="P138" s="3511"/>
      <c r="Q138" s="3511"/>
      <c r="R138" s="3511"/>
      <c r="S138" s="3511"/>
      <c r="T138" s="3734" t="s">
        <v>5091</v>
      </c>
      <c r="U138" s="3734" t="s">
        <v>5092</v>
      </c>
      <c r="V138" s="3511"/>
      <c r="W138" s="3511"/>
      <c r="X138" s="3511"/>
      <c r="Y138" s="3511"/>
      <c r="Z138" s="3511"/>
      <c r="AA138" s="3716"/>
      <c r="AB138" s="3716"/>
      <c r="AC138" s="3511"/>
      <c r="AD138" s="3511"/>
      <c r="AE138" s="3511"/>
      <c r="AF138" s="3511"/>
      <c r="AG138" s="3511"/>
      <c r="AH138" s="3511"/>
      <c r="AI138" s="3511"/>
      <c r="AJ138" s="3511"/>
      <c r="AK138" s="3511"/>
      <c r="AL138" s="3511"/>
      <c r="AM138" s="3734" t="s">
        <v>4920</v>
      </c>
      <c r="AN138" s="3511">
        <f>AN66+AQ66</f>
        <v>8945.5400000000009</v>
      </c>
      <c r="AO138" s="3734" t="s">
        <v>4921</v>
      </c>
      <c r="AP138" s="3511">
        <f>AP85+AS85+[2]海龙直播舱、其他!AO5</f>
        <v>87571.11</v>
      </c>
      <c r="AQ138" s="3511"/>
      <c r="AR138" s="3511"/>
      <c r="AS138" s="3511"/>
      <c r="AT138" s="3511"/>
      <c r="AU138" s="3736" t="s">
        <v>4920</v>
      </c>
      <c r="AV138" s="3511">
        <f>AV85+AY85+[2]海龙直播舱、其他!AV5</f>
        <v>87571.11</v>
      </c>
      <c r="AW138" s="3736" t="s">
        <v>4921</v>
      </c>
      <c r="AX138" s="3511">
        <f>AW71+AZ71+AW127+AZ127</f>
        <v>161351.91000000003</v>
      </c>
      <c r="AY138" s="3511"/>
      <c r="AZ138" s="3511"/>
      <c r="BA138" s="3511"/>
      <c r="BB138" s="3511"/>
      <c r="BC138" s="3736" t="s">
        <v>4920</v>
      </c>
      <c r="BD138" s="3511">
        <f>BD127+BG127+BD71+BG71</f>
        <v>161351.91000000003</v>
      </c>
      <c r="BE138" s="3736" t="s">
        <v>4921</v>
      </c>
      <c r="BF138" s="3511">
        <f>BF6+BI6</f>
        <v>1317.5100000000002</v>
      </c>
      <c r="BG138" s="3511"/>
      <c r="BH138" s="3511"/>
      <c r="BI138" s="3511"/>
      <c r="BJ138" s="3511"/>
      <c r="BK138" s="3734" t="s">
        <v>4920</v>
      </c>
      <c r="BL138" s="3511">
        <f>BL6+BO6+0.08</f>
        <v>1317.5813698630136</v>
      </c>
      <c r="BM138" s="3734" t="s">
        <v>4921</v>
      </c>
      <c r="BN138" s="3511">
        <f>BM102+BP102+0.08</f>
        <v>180282.5</v>
      </c>
      <c r="BO138" s="3511"/>
      <c r="BP138" s="3511"/>
      <c r="BQ138" s="3511"/>
      <c r="BR138" s="3511"/>
      <c r="BS138" s="3734" t="s">
        <v>4920</v>
      </c>
      <c r="BT138" s="3511">
        <f>BT102+BW102+0.08</f>
        <v>180282.49999999997</v>
      </c>
      <c r="BU138" s="3734" t="s">
        <v>4921</v>
      </c>
      <c r="BV138" s="3511">
        <f>BV66+BY66+0.08+BV71+BY71+BV127+BY127</f>
        <v>170297.53000000003</v>
      </c>
      <c r="BW138" s="3511"/>
      <c r="BX138" s="3511"/>
      <c r="BY138" s="3511"/>
      <c r="BZ138" s="3511"/>
      <c r="CA138" s="3734" t="s">
        <v>4920</v>
      </c>
      <c r="CB138" s="3511">
        <f>CB127+CE127+CB71+CE71+CB66+CE66</f>
        <v>170297.45</v>
      </c>
      <c r="CC138" s="3734" t="s">
        <v>4921</v>
      </c>
      <c r="CD138" s="3511"/>
      <c r="CE138" s="3511"/>
      <c r="CF138" s="3511"/>
      <c r="CG138" s="3511"/>
      <c r="CH138" s="3511"/>
      <c r="CI138" s="3734" t="s">
        <v>4920</v>
      </c>
      <c r="CJ138" s="3511">
        <v>0.08</v>
      </c>
      <c r="CK138" s="3734" t="s">
        <v>4921</v>
      </c>
      <c r="CL138" s="3511">
        <f>CL94+CO94+CL35+CL66+CO66+0.08+CL102+CO102+CL22+CO22</f>
        <v>248229.54049315071</v>
      </c>
      <c r="CM138" s="3511"/>
      <c r="CN138" s="3511"/>
      <c r="CO138" s="3511"/>
      <c r="CP138" s="3511"/>
      <c r="CQ138" s="3734" t="s">
        <v>4920</v>
      </c>
      <c r="CR138" s="3511">
        <f>CR22+CU22+CU66+CU94+CR94+CR102+CU102</f>
        <v>240768.4</v>
      </c>
      <c r="CS138" s="3734" t="s">
        <v>4921</v>
      </c>
      <c r="CT138" s="3511">
        <f>CS127+CV127</f>
        <v>134351.91</v>
      </c>
      <c r="CU138" s="3511"/>
      <c r="CV138" s="3511">
        <v>79159.38</v>
      </c>
      <c r="CW138" s="3511"/>
      <c r="CX138" s="3511"/>
      <c r="CY138" s="3734" t="s">
        <v>4920</v>
      </c>
      <c r="CZ138" s="3511">
        <f>CZ127+DC127+CZ66+0.48+0.08</f>
        <v>141813.04999999999</v>
      </c>
      <c r="DA138" s="3734" t="s">
        <v>4921</v>
      </c>
      <c r="DB138" s="3511">
        <f>DB94+DE94+DE66+0.08</f>
        <v>30410.06</v>
      </c>
      <c r="DC138" s="3511"/>
      <c r="DD138" s="3511"/>
      <c r="DE138" s="3511"/>
      <c r="DF138" s="3511"/>
      <c r="DG138" s="3511"/>
      <c r="DH138" s="3511"/>
      <c r="DI138" s="3511"/>
      <c r="DJ138" s="3511"/>
      <c r="DK138" s="3511"/>
      <c r="DL138" s="3511"/>
      <c r="DM138" s="3511"/>
      <c r="DN138" s="3511"/>
      <c r="DO138" s="3511"/>
      <c r="DP138" s="3511"/>
      <c r="DQ138" s="3511"/>
      <c r="DR138" s="3511"/>
      <c r="DS138" s="3511"/>
      <c r="DT138" s="3511"/>
      <c r="DU138" s="3511"/>
      <c r="DV138" s="3511"/>
      <c r="DW138" s="3511"/>
      <c r="DX138" s="3511"/>
      <c r="DY138" s="3511"/>
      <c r="DZ138" s="3511"/>
      <c r="EA138" s="3511"/>
      <c r="EB138" s="3511"/>
      <c r="EC138" s="3511"/>
      <c r="ED138" s="3511"/>
      <c r="EF138" s="3511"/>
      <c r="EG138" s="3511"/>
      <c r="EH138" s="3511"/>
      <c r="EI138" s="3511"/>
      <c r="EJ138" s="3511"/>
      <c r="EK138" s="3511"/>
      <c r="EL138" s="3511"/>
      <c r="EM138" s="3511"/>
      <c r="EN138" s="3511"/>
      <c r="EO138" s="3511"/>
      <c r="EP138" s="3511"/>
      <c r="EQ138" s="3511"/>
      <c r="ER138" s="3511"/>
      <c r="ES138" s="3511"/>
      <c r="ET138" s="3511"/>
      <c r="EU138" s="3511"/>
      <c r="EV138" s="3744" t="s">
        <v>4922</v>
      </c>
      <c r="EW138" s="3511"/>
      <c r="EX138" s="3511"/>
      <c r="EY138" s="3511"/>
      <c r="EZ138" s="3744" t="s">
        <v>4923</v>
      </c>
      <c r="FA138" s="3511"/>
      <c r="FB138" s="3511"/>
      <c r="FC138" s="3511"/>
      <c r="FD138" s="3744" t="s">
        <v>4924</v>
      </c>
      <c r="FE138" s="3511"/>
      <c r="FF138" s="3511"/>
      <c r="FG138" s="3511"/>
      <c r="FH138" s="3744" t="s">
        <v>4925</v>
      </c>
      <c r="FI138" s="3511"/>
      <c r="FJ138" s="3511"/>
      <c r="FK138" s="3511"/>
      <c r="FL138" s="3744" t="s">
        <v>4926</v>
      </c>
      <c r="FM138" s="3511"/>
      <c r="FN138" s="3511"/>
      <c r="FO138" s="3511"/>
      <c r="FP138" s="3744" t="s">
        <v>4927</v>
      </c>
      <c r="FQ138" s="3511"/>
      <c r="FR138" s="3511"/>
      <c r="FS138" s="3511"/>
      <c r="FT138" s="3744" t="s">
        <v>4928</v>
      </c>
      <c r="FU138" s="3511"/>
      <c r="FV138" s="3511"/>
      <c r="FW138" s="3511"/>
      <c r="FX138" s="3744" t="s">
        <v>4929</v>
      </c>
      <c r="FY138" s="3511"/>
      <c r="FZ138" s="3511"/>
      <c r="GA138" s="3511"/>
      <c r="GB138" s="3744" t="s">
        <v>4930</v>
      </c>
      <c r="GC138" s="3511"/>
      <c r="GD138" s="3511"/>
      <c r="GE138" s="3511"/>
      <c r="GF138" s="3744" t="s">
        <v>4931</v>
      </c>
      <c r="GG138" s="3511"/>
      <c r="GH138" s="3511"/>
      <c r="GI138" s="3511"/>
      <c r="GJ138" s="3744" t="s">
        <v>4932</v>
      </c>
      <c r="GK138" s="3511"/>
      <c r="GL138" s="3511"/>
      <c r="GM138" s="3511"/>
      <c r="GN138" s="3744" t="s">
        <v>4933</v>
      </c>
      <c r="GO138" s="3511"/>
      <c r="GP138" s="3511"/>
      <c r="GQ138" s="3511"/>
      <c r="GR138" s="3744" t="s">
        <v>4934</v>
      </c>
      <c r="GS138" s="3511"/>
      <c r="GT138" s="3511"/>
      <c r="GU138" s="3511"/>
      <c r="GV138" s="3744" t="s">
        <v>4935</v>
      </c>
      <c r="GW138" s="3511"/>
      <c r="GX138" s="3511"/>
      <c r="GY138" s="3511"/>
      <c r="GZ138" s="3744" t="s">
        <v>4936</v>
      </c>
      <c r="HA138" s="3511"/>
      <c r="HB138" s="3511"/>
      <c r="HC138" s="3511"/>
      <c r="HD138" s="3744" t="s">
        <v>4937</v>
      </c>
      <c r="HE138" s="3511"/>
      <c r="HF138" s="3511"/>
      <c r="HG138" s="3511"/>
      <c r="HH138" s="3744" t="s">
        <v>4938</v>
      </c>
      <c r="HI138" s="3511"/>
      <c r="HJ138" s="3511"/>
      <c r="HK138" s="3511"/>
      <c r="HL138" s="3744" t="s">
        <v>4939</v>
      </c>
      <c r="HM138" s="3511"/>
      <c r="HN138" s="3511"/>
      <c r="HO138" s="3511"/>
      <c r="HP138" s="3744" t="s">
        <v>4940</v>
      </c>
      <c r="HQ138" s="3511"/>
      <c r="HR138" s="3511"/>
      <c r="HS138" s="3511"/>
      <c r="HT138" s="3744" t="s">
        <v>4941</v>
      </c>
      <c r="HU138" s="3511"/>
      <c r="HV138" s="3511"/>
      <c r="HW138" s="3511"/>
      <c r="HX138" s="3744" t="s">
        <v>4942</v>
      </c>
      <c r="HY138" s="3511"/>
      <c r="HZ138" s="3511"/>
      <c r="IA138" s="3511"/>
      <c r="IB138" s="3744" t="s">
        <v>4943</v>
      </c>
      <c r="IC138" s="3511"/>
      <c r="ID138" s="3511"/>
      <c r="IE138" s="3511"/>
      <c r="IF138" s="3744" t="s">
        <v>4944</v>
      </c>
      <c r="IG138" s="3511"/>
      <c r="IH138" s="3511"/>
      <c r="II138" s="3511"/>
      <c r="IJ138" s="3744" t="s">
        <v>4945</v>
      </c>
      <c r="IK138" s="3511"/>
      <c r="IL138" s="3741"/>
      <c r="IO138" s="3716"/>
      <c r="JX138" s="3716"/>
      <c r="JY138" s="3716"/>
      <c r="KA138" s="3712"/>
      <c r="KB138" s="3712"/>
      <c r="KC138" s="3712"/>
      <c r="KD138" s="3713">
        <f>KD133+KD134+KD135+KD136+KD137</f>
        <v>-1688292.823937475</v>
      </c>
      <c r="KE138" s="3745" t="s">
        <v>4946</v>
      </c>
      <c r="KF138" s="3712"/>
      <c r="KG138" s="3712"/>
      <c r="KH138" s="3712"/>
      <c r="KI138" s="3712"/>
      <c r="KJ138" s="3712"/>
      <c r="KK138" s="3712"/>
      <c r="KL138" s="3712"/>
      <c r="KM138" s="3712"/>
      <c r="KN138" s="3712"/>
      <c r="KO138" s="3712"/>
      <c r="KP138" s="3712"/>
      <c r="KQ138" s="3723">
        <v>-312.92067083561602</v>
      </c>
      <c r="KR138" s="3725" t="s">
        <v>4947</v>
      </c>
      <c r="KS138" s="3712"/>
      <c r="LJ138" s="3742"/>
      <c r="LK138" s="3743" t="s">
        <v>4948</v>
      </c>
      <c r="LL138" s="3732">
        <v>864708.26</v>
      </c>
      <c r="LM138" s="3732">
        <f t="shared" si="250"/>
        <v>823531.67619047617</v>
      </c>
    </row>
    <row r="139" spans="1:16370" s="3515" customFormat="1" ht="18" customHeight="1">
      <c r="A139" s="3717"/>
      <c r="B139" s="3717"/>
      <c r="C139" s="3746" t="s">
        <v>5093</v>
      </c>
      <c r="D139" s="3510">
        <f>D5+D6+D54+D55+D102+D103+D105+D106+D107+D108+D109+D110+D111+D112+D113+D114+D115+D116+D117</f>
        <v>10538.559999999998</v>
      </c>
      <c r="E139" s="3717"/>
      <c r="F139" s="3717"/>
      <c r="G139" s="3510">
        <f>U5+U6+U54+U55+U102+U103+U105+U106+U107+U108+U109+U110+U111+U112+U113+U114+U115+U116+U117</f>
        <v>16835449.579999998</v>
      </c>
      <c r="I139" s="3515">
        <f>Y5+Y6+Y54+Y55+Y102+Y103+Y105+Y106+Y107+Y108+Y109+Y110+Y111+Y112+Y113+Y114+Y115+Y116+Y117</f>
        <v>3192657.12</v>
      </c>
      <c r="J139" s="3747"/>
      <c r="K139" s="3717"/>
      <c r="L139" s="3717"/>
      <c r="M139" s="3510"/>
      <c r="N139" s="3510"/>
      <c r="O139" s="3510"/>
      <c r="P139" s="3510"/>
      <c r="Q139" s="3510"/>
      <c r="R139" s="3510">
        <v>15579.21</v>
      </c>
      <c r="S139" s="3510"/>
      <c r="T139" s="3510"/>
      <c r="U139" s="3510">
        <f>抵押物清单!H4+抵押物清单!H5+抵押物清单!H6+抵押物清单!H7+抵押物清单!H8</f>
        <v>12295.99</v>
      </c>
      <c r="V139" s="3510"/>
      <c r="W139" s="3510"/>
      <c r="X139" s="3510"/>
      <c r="Y139" s="3510"/>
      <c r="Z139" s="3510"/>
      <c r="AA139" s="3717"/>
      <c r="AB139" s="3717"/>
      <c r="AC139" s="3510"/>
      <c r="AD139" s="3510"/>
      <c r="AE139" s="3510"/>
      <c r="AF139" s="3510"/>
      <c r="AG139" s="3510"/>
      <c r="AH139" s="3510"/>
      <c r="AI139" s="3510"/>
      <c r="AJ139" s="3510"/>
      <c r="AK139" s="3510"/>
      <c r="AL139" s="3510"/>
      <c r="AM139" s="3511"/>
      <c r="AN139" s="3511"/>
      <c r="AO139" s="3734" t="s">
        <v>4949</v>
      </c>
      <c r="AP139" s="3511">
        <f>AS5</f>
        <v>18675</v>
      </c>
      <c r="AQ139" s="3511"/>
      <c r="AR139" s="3510"/>
      <c r="AS139" s="3511"/>
      <c r="AT139" s="3510"/>
      <c r="AU139" s="3508"/>
      <c r="AV139" s="3509"/>
      <c r="AW139" s="3736" t="s">
        <v>4949</v>
      </c>
      <c r="AX139" s="3508"/>
      <c r="AY139" s="3509"/>
      <c r="AZ139" s="3510"/>
      <c r="BA139" s="3508"/>
      <c r="BB139" s="3510"/>
      <c r="BC139" s="3508"/>
      <c r="BD139" s="3509"/>
      <c r="BE139" s="3736" t="s">
        <v>4949</v>
      </c>
      <c r="BF139" s="3511"/>
      <c r="BG139" s="3509"/>
      <c r="BH139" s="3510"/>
      <c r="BI139" s="3508"/>
      <c r="BJ139" s="3508"/>
      <c r="BK139" s="3508"/>
      <c r="BL139" s="3509"/>
      <c r="BM139" s="3734" t="s">
        <v>4949</v>
      </c>
      <c r="BN139" s="3508"/>
      <c r="BO139" s="3509"/>
      <c r="BP139" s="3510"/>
      <c r="BQ139" s="3508"/>
      <c r="BR139" s="3508"/>
      <c r="BS139" s="3748" t="s">
        <v>4950</v>
      </c>
      <c r="BT139" s="3511">
        <f>-1061522.01-192792.84</f>
        <v>-1254314.8500000001</v>
      </c>
      <c r="BU139" s="3734" t="s">
        <v>4949</v>
      </c>
      <c r="BV139" s="3508"/>
      <c r="BW139" s="3509"/>
      <c r="BX139" s="3510"/>
      <c r="BY139" s="3508"/>
      <c r="BZ139" s="3508"/>
      <c r="CA139" s="3748"/>
      <c r="CB139" s="3511"/>
      <c r="CC139" s="3734" t="s">
        <v>4949</v>
      </c>
      <c r="CD139" s="3508">
        <f>[2]海龙直播舱、其他!CC29</f>
        <v>233680.57</v>
      </c>
      <c r="CE139" s="3509"/>
      <c r="CF139" s="3510"/>
      <c r="CG139" s="3508"/>
      <c r="CH139" s="3508"/>
      <c r="CI139" s="3748"/>
      <c r="CJ139" s="3511"/>
      <c r="CK139" s="3734" t="s">
        <v>4949</v>
      </c>
      <c r="CL139" s="3508">
        <f>CK5+CN5</f>
        <v>684375</v>
      </c>
      <c r="CM139" s="3509"/>
      <c r="CN139" s="3510"/>
      <c r="CO139" s="3508"/>
      <c r="CP139" s="3508"/>
      <c r="CQ139" s="3748"/>
      <c r="CR139" s="3511"/>
      <c r="CS139" s="3734" t="s">
        <v>4949</v>
      </c>
      <c r="CT139" s="3508"/>
      <c r="CU139" s="3509"/>
      <c r="CV139" s="3510">
        <f>CV137+CV138</f>
        <v>3824075.06</v>
      </c>
      <c r="CW139" s="3508"/>
      <c r="CX139" s="3508"/>
      <c r="CY139" s="3748"/>
      <c r="CZ139" s="3511"/>
      <c r="DA139" s="3734" t="s">
        <v>4949</v>
      </c>
      <c r="DB139" s="3508"/>
      <c r="DC139" s="3509"/>
      <c r="DD139" s="3510"/>
      <c r="DE139" s="3508"/>
      <c r="DF139" s="3508"/>
      <c r="DG139" s="3508"/>
      <c r="DH139" s="3509"/>
      <c r="DI139" s="3510"/>
      <c r="DJ139" s="3508"/>
      <c r="DK139" s="3509"/>
      <c r="DL139" s="3510"/>
      <c r="DM139" s="3508"/>
      <c r="DN139" s="3508"/>
      <c r="DO139" s="3508"/>
      <c r="DP139" s="3509"/>
      <c r="DQ139" s="3510"/>
      <c r="DR139" s="3508"/>
      <c r="DS139" s="3509"/>
      <c r="DT139" s="3510"/>
      <c r="DU139" s="3508"/>
      <c r="DV139" s="3508"/>
      <c r="DW139" s="3508"/>
      <c r="DX139" s="3509"/>
      <c r="DY139" s="3510"/>
      <c r="DZ139" s="3508"/>
      <c r="EA139" s="3509"/>
      <c r="EB139" s="3510"/>
      <c r="EC139" s="3508"/>
      <c r="ED139" s="3508"/>
      <c r="EE139" s="3711"/>
      <c r="EF139" s="3511"/>
      <c r="EG139" s="3511"/>
      <c r="EH139" s="3511"/>
      <c r="EI139" s="3511"/>
      <c r="EJ139" s="3511"/>
      <c r="EK139" s="3511"/>
      <c r="EL139" s="3511"/>
      <c r="EM139" s="3511"/>
      <c r="EN139" s="3511"/>
      <c r="EO139" s="3511"/>
      <c r="EP139" s="3511"/>
      <c r="EQ139" s="3511"/>
      <c r="ER139" s="3511"/>
      <c r="ES139" s="3511"/>
      <c r="ET139" s="3510"/>
      <c r="EU139" s="3510"/>
      <c r="EV139" s="3749">
        <v>5990074.5442139599</v>
      </c>
      <c r="EW139" s="3510"/>
      <c r="EX139" s="3510"/>
      <c r="EY139" s="3510"/>
      <c r="EZ139" s="3750">
        <v>1006854.40036185</v>
      </c>
      <c r="FA139" s="3510"/>
      <c r="FB139" s="3510"/>
      <c r="FC139" s="3510"/>
      <c r="FD139" s="3749">
        <v>5097581.6871493803</v>
      </c>
      <c r="FE139" s="3510"/>
      <c r="FF139" s="3510"/>
      <c r="FG139" s="3510"/>
      <c r="FH139" s="3750">
        <v>832154.34399069496</v>
      </c>
      <c r="FI139" s="3510"/>
      <c r="FJ139" s="3510"/>
      <c r="FK139" s="3510"/>
      <c r="FL139" s="3749">
        <v>5632319.9329419397</v>
      </c>
      <c r="FM139" s="3510"/>
      <c r="FN139" s="3510"/>
      <c r="FO139" s="3510"/>
      <c r="FP139" s="3750">
        <v>1010969.3173429799</v>
      </c>
      <c r="FQ139" s="3510"/>
      <c r="FR139" s="3510"/>
      <c r="FS139" s="3510"/>
      <c r="FT139" s="3749">
        <v>4598224.2072015703</v>
      </c>
      <c r="FU139" s="3510"/>
      <c r="FV139" s="3510"/>
      <c r="FW139" s="3510"/>
      <c r="FX139" s="3750">
        <v>853276.50620315305</v>
      </c>
      <c r="FY139" s="3510"/>
      <c r="FZ139" s="3510"/>
      <c r="GA139" s="3510"/>
      <c r="GB139" s="3749">
        <v>4353566.8154468397</v>
      </c>
      <c r="GC139" s="3510"/>
      <c r="GD139" s="3510"/>
      <c r="GE139" s="3510"/>
      <c r="GF139" s="3749">
        <v>723040.62667355896</v>
      </c>
      <c r="GG139" s="3510"/>
      <c r="GH139" s="3510"/>
      <c r="GI139" s="3510"/>
      <c r="GJ139" s="3749">
        <v>4186826.6887410302</v>
      </c>
      <c r="GK139" s="3510"/>
      <c r="GL139" s="3510"/>
      <c r="GM139" s="3510"/>
      <c r="GN139" s="3750">
        <v>714945.00093047298</v>
      </c>
      <c r="GO139" s="3510"/>
      <c r="GP139" s="3510"/>
      <c r="GQ139" s="3510"/>
      <c r="GR139" s="3751">
        <v>4748536.1060665399</v>
      </c>
      <c r="GS139" s="3752"/>
      <c r="GT139" s="3717"/>
      <c r="GU139" s="3717"/>
      <c r="GV139" s="3751">
        <v>917255.11320754699</v>
      </c>
      <c r="GW139" s="3510"/>
      <c r="GX139" s="3510"/>
      <c r="GY139" s="3510"/>
      <c r="GZ139" s="3751">
        <v>5551826.6789301997</v>
      </c>
      <c r="HA139" s="3752"/>
      <c r="HB139" s="3717"/>
      <c r="HC139" s="3717"/>
      <c r="HD139" s="3751">
        <v>1032088.98366503</v>
      </c>
      <c r="HE139" s="3510"/>
      <c r="HF139" s="3510"/>
      <c r="HG139" s="3510"/>
      <c r="HH139" s="3751">
        <f>HP133+HX133+IF133+IP133</f>
        <v>5901731.9633398559</v>
      </c>
      <c r="HI139" s="3752"/>
      <c r="HJ139" s="3717"/>
      <c r="HK139" s="3717"/>
      <c r="HL139" s="3751">
        <f>+HT133+IB133+IJ133+JC133</f>
        <v>1062650.0563711554</v>
      </c>
      <c r="HM139" s="3510"/>
      <c r="HN139" s="3510"/>
      <c r="HO139" s="3510"/>
      <c r="HP139" s="3751">
        <f>+HX133+IF133+IP133</f>
        <v>3152804.9798825826</v>
      </c>
      <c r="HQ139" s="3752"/>
      <c r="HR139" s="3717"/>
      <c r="HS139" s="3717"/>
      <c r="HT139" s="3751">
        <f>+IB133+IJ133+JC133</f>
        <v>556103.60553114489</v>
      </c>
      <c r="HU139" s="3510"/>
      <c r="HV139" s="3510"/>
      <c r="HW139" s="3510"/>
      <c r="HX139" s="3751">
        <f>IF133+IP133</f>
        <v>1468870.8331898241</v>
      </c>
      <c r="HY139" s="3752"/>
      <c r="HZ139" s="3717"/>
      <c r="IA139" s="3717"/>
      <c r="IB139" s="3751">
        <f>IJ133+JC133</f>
        <v>254760.47076764016</v>
      </c>
      <c r="IC139" s="3510"/>
      <c r="ID139" s="3510"/>
      <c r="IE139" s="3510"/>
      <c r="IF139" s="3751">
        <f>+IP133</f>
        <v>431572.27992172207</v>
      </c>
      <c r="IG139" s="3752"/>
      <c r="IH139" s="3717"/>
      <c r="II139" s="3717"/>
      <c r="IJ139" s="3751">
        <f>+JC133</f>
        <v>66192.258826570149</v>
      </c>
      <c r="IK139" s="3510"/>
      <c r="IL139" s="3746"/>
      <c r="IO139" s="3717"/>
      <c r="JU139" s="3717"/>
      <c r="JV139" s="3717"/>
      <c r="JW139" s="3717"/>
      <c r="JX139" s="3717"/>
      <c r="JY139" s="3717"/>
      <c r="KA139" s="3753"/>
      <c r="KB139" s="3753"/>
      <c r="KC139" s="3753"/>
      <c r="KD139" s="3753"/>
      <c r="KE139" s="3753"/>
      <c r="KQ139" s="3754">
        <f>[2]海龙直播舱、其他!EJ25/10000</f>
        <v>27.3452009433962</v>
      </c>
      <c r="KR139" s="3725" t="s">
        <v>4951</v>
      </c>
      <c r="KS139" s="3754"/>
      <c r="LJ139" s="3755"/>
      <c r="LK139" s="3732" t="s">
        <v>4952</v>
      </c>
      <c r="LL139" s="3732">
        <v>13483.71</v>
      </c>
      <c r="LM139" s="3732">
        <f t="shared" si="250"/>
        <v>12841.62857142857</v>
      </c>
    </row>
    <row r="140" spans="1:16370" s="3711" customFormat="1" ht="18" customHeight="1">
      <c r="A140" s="3716"/>
      <c r="B140" s="3716"/>
      <c r="C140" s="3741" t="s">
        <v>5088</v>
      </c>
      <c r="D140" s="3511">
        <f>'海龙大厦2-6层台账'!D23</f>
        <v>12269.369999999999</v>
      </c>
      <c r="E140" s="3716"/>
      <c r="F140" s="3716"/>
      <c r="G140" s="3711">
        <f>'海龙大厦2-6层台账'!G23</f>
        <v>22938492.359999999</v>
      </c>
      <c r="I140" s="3711">
        <f>'海龙大厦2-6层台账'!I23</f>
        <v>3717005.76</v>
      </c>
      <c r="J140" s="3733"/>
      <c r="K140" s="3716"/>
      <c r="L140" s="3716"/>
      <c r="M140" s="3511"/>
      <c r="N140" s="3511"/>
      <c r="O140" s="3511"/>
      <c r="P140" s="3511"/>
      <c r="Q140" s="3511"/>
      <c r="R140" s="3511">
        <v>8637.09</v>
      </c>
      <c r="S140" s="3511"/>
      <c r="T140" s="3511"/>
      <c r="U140" s="3511">
        <f>抵押物清单!H11+抵押物清单!H12+抵押物清单!H13</f>
        <v>12272.1</v>
      </c>
      <c r="V140" s="3511"/>
      <c r="W140" s="3511"/>
      <c r="X140" s="3511"/>
      <c r="Y140" s="3511"/>
      <c r="Z140" s="3511"/>
      <c r="AA140" s="3716"/>
      <c r="AB140" s="3716"/>
      <c r="AC140" s="3511"/>
      <c r="AD140" s="3511"/>
      <c r="AE140" s="3511"/>
      <c r="AF140" s="3511"/>
      <c r="AG140" s="3511"/>
      <c r="AH140" s="3511"/>
      <c r="AI140" s="3511"/>
      <c r="AJ140" s="3511"/>
      <c r="AK140" s="3511"/>
      <c r="AL140" s="3511"/>
      <c r="AM140" s="3511"/>
      <c r="AN140" s="3511"/>
      <c r="AO140" s="3510"/>
      <c r="AP140" s="3511"/>
      <c r="AQ140" s="3511"/>
      <c r="AR140" s="3510"/>
      <c r="AS140" s="3511"/>
      <c r="AT140" s="3511"/>
      <c r="AU140" s="3511"/>
      <c r="AV140" s="3511"/>
      <c r="AW140" s="3736" t="s">
        <v>4953</v>
      </c>
      <c r="AX140" s="3511">
        <f>AX137-AX138-AX139</f>
        <v>2404393.56</v>
      </c>
      <c r="AY140" s="3511"/>
      <c r="AZ140" s="3511"/>
      <c r="BA140" s="3511"/>
      <c r="BB140" s="3511"/>
      <c r="BC140" s="3511"/>
      <c r="BD140" s="3511"/>
      <c r="BE140" s="3736" t="s">
        <v>4953</v>
      </c>
      <c r="BF140" s="3508">
        <f>BF137-BF138-BF139</f>
        <v>4657066.9700000007</v>
      </c>
      <c r="BG140" s="3509"/>
      <c r="BH140" s="3510"/>
      <c r="BI140" s="3508"/>
      <c r="BJ140" s="3508"/>
      <c r="BK140" s="3511"/>
      <c r="BL140" s="3511"/>
      <c r="BM140" s="3734" t="s">
        <v>4953</v>
      </c>
      <c r="BN140" s="3511">
        <f>BN137-BN138-BN139</f>
        <v>2374822.5100000002</v>
      </c>
      <c r="BO140" s="3511"/>
      <c r="BP140" s="3511"/>
      <c r="BQ140" s="3511"/>
      <c r="BR140" s="3511"/>
      <c r="BS140" s="3511"/>
      <c r="BT140" s="3511"/>
      <c r="BU140" s="3734" t="s">
        <v>4953</v>
      </c>
      <c r="BV140" s="3511">
        <f>BV137-BV138-BV139</f>
        <v>3754146.6400000006</v>
      </c>
      <c r="BW140" s="3511"/>
      <c r="BX140" s="3511"/>
      <c r="BY140" s="3511"/>
      <c r="BZ140" s="3511"/>
      <c r="CA140" s="3511"/>
      <c r="CB140" s="3511"/>
      <c r="CC140" s="3734" t="s">
        <v>4953</v>
      </c>
      <c r="CD140" s="3511">
        <f>CD137-CD138-CD139</f>
        <v>3701907.2500000005</v>
      </c>
      <c r="CE140" s="3511"/>
      <c r="CF140" s="3511"/>
      <c r="CG140" s="3511"/>
      <c r="CH140" s="3511"/>
      <c r="CI140" s="3511"/>
      <c r="CJ140" s="3511"/>
      <c r="CK140" s="3734" t="s">
        <v>4953</v>
      </c>
      <c r="CL140" s="3511">
        <f>CL137-CL138-CL139</f>
        <v>4005752.9195068497</v>
      </c>
      <c r="CM140" s="3511"/>
      <c r="CN140" s="3511"/>
      <c r="CO140" s="3511"/>
      <c r="CP140" s="3511"/>
      <c r="CQ140" s="3511"/>
      <c r="CR140" s="3511"/>
      <c r="CS140" s="3734" t="s">
        <v>4953</v>
      </c>
      <c r="CT140" s="3511">
        <f>CT137-CT138-CT139</f>
        <v>4420959.96</v>
      </c>
      <c r="CU140" s="3511"/>
      <c r="CV140" s="3511">
        <f>CV139/1.05*0.05</f>
        <v>182098.81238095238</v>
      </c>
      <c r="CW140" s="3511"/>
      <c r="CX140" s="3511"/>
      <c r="CY140" s="3511"/>
      <c r="CZ140" s="3511"/>
      <c r="DA140" s="3734" t="s">
        <v>4953</v>
      </c>
      <c r="DB140" s="3511">
        <f>DB137-DB138-DB139</f>
        <v>4017104.8600000008</v>
      </c>
      <c r="DC140" s="3511"/>
      <c r="DD140" s="3511"/>
      <c r="DE140" s="3511"/>
      <c r="DF140" s="3511"/>
      <c r="DG140" s="3511"/>
      <c r="DH140" s="3511"/>
      <c r="DI140" s="3511"/>
      <c r="DJ140" s="3511"/>
      <c r="DK140" s="3511"/>
      <c r="DL140" s="3511"/>
      <c r="DM140" s="3511"/>
      <c r="DN140" s="3511"/>
      <c r="DO140" s="3511"/>
      <c r="DP140" s="3511"/>
      <c r="DQ140" s="3511"/>
      <c r="DR140" s="3511"/>
      <c r="DS140" s="3511"/>
      <c r="DT140" s="3511"/>
      <c r="DU140" s="3511"/>
      <c r="DV140" s="3511"/>
      <c r="DW140" s="3511"/>
      <c r="DX140" s="3511"/>
      <c r="DY140" s="3511"/>
      <c r="DZ140" s="3511"/>
      <c r="EA140" s="3511"/>
      <c r="EB140" s="3511"/>
      <c r="EC140" s="3511"/>
      <c r="ED140" s="3511"/>
      <c r="EE140" s="3515"/>
      <c r="EF140" s="3510"/>
      <c r="EG140" s="3510"/>
      <c r="EH140" s="3510"/>
      <c r="EI140" s="3510"/>
      <c r="EJ140" s="3510"/>
      <c r="EK140" s="3510"/>
      <c r="EL140" s="3510"/>
      <c r="EM140" s="3510"/>
      <c r="EN140" s="3510"/>
      <c r="EO140" s="3510"/>
      <c r="EP140" s="3510"/>
      <c r="EQ140" s="3510"/>
      <c r="ER140" s="3510"/>
      <c r="ES140" s="3510"/>
      <c r="ET140" s="3511"/>
      <c r="EU140" s="3511"/>
      <c r="EV140" s="3756">
        <f>JQ133+AO133/1.05-EV133-EV139</f>
        <v>2.9549878090620041E-3</v>
      </c>
      <c r="EW140" s="3511"/>
      <c r="EX140" s="3511"/>
      <c r="EY140" s="3511"/>
      <c r="EZ140" s="3756">
        <f>JR133+AR133/1.06-EZ133-EZ139</f>
        <v>7.6720082084648311E-2</v>
      </c>
      <c r="FA140" s="3511"/>
      <c r="FB140" s="3511"/>
      <c r="FC140" s="3511"/>
      <c r="FD140" s="3756">
        <f>EV139+AW133/1.05-FD133-FD139</f>
        <v>0</v>
      </c>
      <c r="FE140" s="3511"/>
      <c r="FF140" s="3511"/>
      <c r="FG140" s="3511"/>
      <c r="FH140" s="3756">
        <f>EZ139+AZ133/1.06-FH133-FH139</f>
        <v>0</v>
      </c>
      <c r="FI140" s="3511"/>
      <c r="FJ140" s="3511"/>
      <c r="FK140" s="3511"/>
      <c r="FL140" s="3756">
        <f>FD139+BE133/1.05-FL133-FL139</f>
        <v>-6.5230950713157654E-4</v>
      </c>
      <c r="FM140" s="3511"/>
      <c r="FN140" s="3511"/>
      <c r="FO140" s="3511"/>
      <c r="FP140" s="3756">
        <f>FH139+BH133/1.06-FP133-FP139</f>
        <v>2.3520312970504165E-3</v>
      </c>
      <c r="FQ140" s="3511"/>
      <c r="FR140" s="3511"/>
      <c r="FS140" s="3511"/>
      <c r="FT140" s="3756">
        <f>FL139+BM133/1.05-FT133-FT139</f>
        <v>-9.3132257461547852E-9</v>
      </c>
      <c r="FU140" s="3511"/>
      <c r="FV140" s="3511"/>
      <c r="FW140" s="3511"/>
      <c r="FX140" s="3756">
        <f>FP139+BP133/1.06-FX133-FX139</f>
        <v>-2.5611370801925659E-9</v>
      </c>
      <c r="FY140" s="3511"/>
      <c r="FZ140" s="3511"/>
      <c r="GA140" s="3511"/>
      <c r="GB140" s="3756">
        <f>FT139+BU133/1.05-GB133-GB139</f>
        <v>0</v>
      </c>
      <c r="GC140" s="3511"/>
      <c r="GD140" s="3511"/>
      <c r="GE140" s="3511"/>
      <c r="GF140" s="3756">
        <f>FX139+BX133/1.06-GF133-GF139</f>
        <v>0</v>
      </c>
      <c r="GG140" s="3511"/>
      <c r="GH140" s="3511"/>
      <c r="GI140" s="3511"/>
      <c r="GJ140" s="3756">
        <f>GB139+CC133/1.05-GJ133-GJ139</f>
        <v>4.6566128730773926E-9</v>
      </c>
      <c r="GK140" s="3511"/>
      <c r="GL140" s="3511"/>
      <c r="GM140" s="3511"/>
      <c r="GN140" s="3756">
        <f>GF139+CF133/1.06-GN133-GN139</f>
        <v>0</v>
      </c>
      <c r="GO140" s="3511"/>
      <c r="GP140" s="3511"/>
      <c r="GQ140" s="3511"/>
      <c r="GR140" s="3756">
        <f>GJ139+CK133/1.05-GR133-GR139</f>
        <v>0</v>
      </c>
      <c r="GS140" s="3511"/>
      <c r="GT140" s="3511"/>
      <c r="GU140" s="3511"/>
      <c r="GV140" s="3756">
        <f>GN139+CN133/1.06-GV133-GV139</f>
        <v>0</v>
      </c>
      <c r="GW140" s="3511"/>
      <c r="GX140" s="3511"/>
      <c r="GY140" s="3511"/>
      <c r="GZ140" s="3756">
        <f>GR139+CS133/1.05-GZ133-GZ139</f>
        <v>0</v>
      </c>
      <c r="HA140" s="3511"/>
      <c r="HB140" s="3511"/>
      <c r="HC140" s="3511"/>
      <c r="HD140" s="3756">
        <f>GV139+CV133/1.06-HD133-HD139</f>
        <v>0</v>
      </c>
      <c r="HE140" s="3511"/>
      <c r="HF140" s="3511"/>
      <c r="HG140" s="3511"/>
      <c r="HH140" s="3756">
        <f>GZ139+(DA133)/1.05-HH133-HH139</f>
        <v>0</v>
      </c>
      <c r="HI140" s="3511"/>
      <c r="HJ140" s="3511"/>
      <c r="HK140" s="3511"/>
      <c r="HL140" s="3756">
        <f>HD139+DD133/1.06-HL133-HL139</f>
        <v>0</v>
      </c>
      <c r="HM140" s="3511"/>
      <c r="HN140" s="3511"/>
      <c r="HO140" s="3511"/>
      <c r="HP140" s="3756">
        <f>HH139+DI133/1.05-HP133-HP139</f>
        <v>0</v>
      </c>
      <c r="HR140" s="3511"/>
      <c r="HS140" s="3511"/>
      <c r="HT140" s="3756">
        <f>HL139+DL133/1.06-HT133-HT139</f>
        <v>0</v>
      </c>
      <c r="HU140" s="3511"/>
      <c r="HV140" s="3511"/>
      <c r="HW140" s="3511"/>
      <c r="HX140" s="3756">
        <f>HP139+DQ133/1.05-HX133-HX139</f>
        <v>0</v>
      </c>
      <c r="HZ140" s="3511"/>
      <c r="IA140" s="3511"/>
      <c r="IB140" s="3756">
        <f>HT139+DT133/1.06-IB133-IB139</f>
        <v>0</v>
      </c>
      <c r="IC140" s="3511"/>
      <c r="ID140" s="3511"/>
      <c r="IE140" s="3511"/>
      <c r="IF140" s="3756">
        <f>HX139+DY133/1.05-IF133-IF139</f>
        <v>0</v>
      </c>
      <c r="IH140" s="3511"/>
      <c r="II140" s="3511"/>
      <c r="IJ140" s="3756">
        <f>IB139+EB133/1.06-IJ133-IJ139</f>
        <v>0</v>
      </c>
      <c r="IK140" s="3511"/>
      <c r="IL140" s="3741"/>
      <c r="IO140" s="3716"/>
      <c r="JU140" s="3716"/>
      <c r="JV140" s="3716"/>
      <c r="JW140" s="3716"/>
      <c r="JX140" s="3716"/>
      <c r="JY140" s="3716"/>
      <c r="KA140" s="3712"/>
      <c r="KB140" s="3712"/>
      <c r="KC140" s="3712"/>
      <c r="KD140" s="3712"/>
      <c r="KE140" s="3712"/>
      <c r="KF140" s="3577"/>
      <c r="KG140" s="3577"/>
      <c r="KH140" s="3577"/>
      <c r="KI140" s="3577"/>
      <c r="KJ140" s="3577"/>
      <c r="KK140" s="3577"/>
      <c r="KL140" s="3577"/>
      <c r="KM140" s="3577"/>
      <c r="KN140" s="3577"/>
      <c r="KO140" s="3577"/>
      <c r="KP140" s="3577"/>
      <c r="KQ140" s="3713">
        <f>KQ138+KQ133+KQ134+KQ135+KQ136+KQ137+KQ139</f>
        <v>-510.92423888525514</v>
      </c>
      <c r="KR140" s="3745" t="s">
        <v>4954</v>
      </c>
      <c r="KS140" s="3754"/>
      <c r="LJ140" s="3742"/>
      <c r="LK140" s="3732" t="s">
        <v>4955</v>
      </c>
      <c r="LL140" s="3732">
        <v>248208</v>
      </c>
      <c r="LM140" s="3732">
        <f t="shared" si="250"/>
        <v>236388.57142857142</v>
      </c>
    </row>
    <row r="141" spans="1:16370" s="3516" customFormat="1" ht="18" customHeight="1">
      <c r="A141" s="3507"/>
      <c r="B141" s="3507"/>
      <c r="C141" s="3830" t="s">
        <v>5094</v>
      </c>
      <c r="D141" s="3508">
        <f>SUM(D139:D140)</f>
        <v>22807.929999999997</v>
      </c>
      <c r="E141" s="3508"/>
      <c r="F141" s="3508">
        <f t="shared" ref="F141:G141" si="251">SUM(F139:F140)</f>
        <v>0</v>
      </c>
      <c r="G141" s="3508">
        <f t="shared" si="251"/>
        <v>39773941.939999998</v>
      </c>
      <c r="H141" s="3516">
        <f>G141/D141/365</f>
        <v>4.77771125854935</v>
      </c>
      <c r="I141" s="3516">
        <f>SUM(I139:I140)</f>
        <v>6909662.8799999999</v>
      </c>
      <c r="J141" s="3580">
        <f>I141/D141/365</f>
        <v>0.83000005843917946</v>
      </c>
      <c r="K141" s="3507"/>
      <c r="L141" s="3507"/>
      <c r="M141" s="3508"/>
      <c r="N141" s="3508"/>
      <c r="O141" s="3508"/>
      <c r="P141" s="3508"/>
      <c r="Q141" s="3508"/>
      <c r="R141" s="3508"/>
      <c r="S141" s="3508"/>
      <c r="T141" s="3508">
        <f>H141+J141</f>
        <v>5.6077113169885298</v>
      </c>
      <c r="U141" s="3508">
        <f>SUM(U139:U140)</f>
        <v>24568.09</v>
      </c>
      <c r="V141" s="3508">
        <f>D141/U141</f>
        <v>0.9283558469543215</v>
      </c>
      <c r="W141" s="3508"/>
      <c r="X141" s="3508"/>
      <c r="Y141" s="3508"/>
      <c r="Z141" s="3508"/>
      <c r="AA141" s="3507"/>
      <c r="AB141" s="3507"/>
      <c r="AC141" s="3508"/>
      <c r="AD141" s="3508"/>
      <c r="AE141" s="3508"/>
      <c r="AF141" s="3508"/>
      <c r="AG141" s="3508"/>
      <c r="AH141" s="3508"/>
      <c r="AI141" s="3508"/>
      <c r="AJ141" s="3508"/>
      <c r="AK141" s="3508"/>
      <c r="AL141" s="3508"/>
      <c r="AM141" s="3511"/>
      <c r="AN141" s="3511"/>
      <c r="AO141" s="3510"/>
      <c r="AP141" s="3511"/>
      <c r="AQ141" s="3511"/>
      <c r="AR141" s="3510"/>
      <c r="AS141" s="3511"/>
      <c r="AT141" s="3508"/>
      <c r="AU141" s="3508"/>
      <c r="AV141" s="3509"/>
      <c r="AW141" s="3510"/>
      <c r="AX141" s="3508"/>
      <c r="AY141" s="3509"/>
      <c r="AZ141" s="3510"/>
      <c r="BA141" s="3508"/>
      <c r="BB141" s="3508"/>
      <c r="BC141" s="3711"/>
      <c r="BD141" s="3711"/>
      <c r="BE141" s="3711"/>
      <c r="BF141" s="3511"/>
      <c r="BG141" s="3509"/>
      <c r="BH141" s="3510"/>
      <c r="BI141" s="3508"/>
      <c r="BJ141" s="3508"/>
      <c r="BK141" s="3508"/>
      <c r="BL141" s="3509"/>
      <c r="BM141" s="3510"/>
      <c r="BN141" s="3508"/>
      <c r="BO141" s="3509"/>
      <c r="BP141" s="3510"/>
      <c r="BQ141" s="3508"/>
      <c r="BR141" s="3508"/>
      <c r="BS141" s="3508"/>
      <c r="BT141" s="3509"/>
      <c r="BU141" s="3510"/>
      <c r="BV141" s="3508"/>
      <c r="BW141" s="3509"/>
      <c r="BX141" s="3510"/>
      <c r="BY141" s="3508"/>
      <c r="BZ141" s="3508"/>
      <c r="CA141" s="3508"/>
      <c r="CB141" s="3509"/>
      <c r="CC141" s="3510"/>
      <c r="CD141" s="3508"/>
      <c r="CE141" s="3509"/>
      <c r="CF141" s="3510"/>
      <c r="CG141" s="3508"/>
      <c r="CH141" s="3508"/>
      <c r="CI141" s="3508"/>
      <c r="CJ141" s="3509"/>
      <c r="CK141" s="3510"/>
      <c r="CL141" s="3508"/>
      <c r="CM141" s="3509"/>
      <c r="CN141" s="3510"/>
      <c r="CO141" s="3508"/>
      <c r="CP141" s="3508"/>
      <c r="CQ141" s="3508"/>
      <c r="CR141" s="3509"/>
      <c r="CS141" s="3510"/>
      <c r="CT141" s="3508"/>
      <c r="CU141" s="3509"/>
      <c r="CV141" s="3510"/>
      <c r="CW141" s="3508"/>
      <c r="CX141" s="3508"/>
      <c r="CY141" s="3508"/>
      <c r="CZ141" s="3509"/>
      <c r="DA141" s="3510"/>
      <c r="DB141" s="3508"/>
      <c r="DC141" s="3509"/>
      <c r="DD141" s="3510"/>
      <c r="DE141" s="3508"/>
      <c r="DF141" s="3508"/>
      <c r="DG141" s="3508"/>
      <c r="DH141" s="3509"/>
      <c r="DI141" s="3510"/>
      <c r="DJ141" s="3508"/>
      <c r="DK141" s="3509"/>
      <c r="DL141" s="3510"/>
      <c r="DM141" s="3508"/>
      <c r="DN141" s="3508"/>
      <c r="DO141" s="3508"/>
      <c r="DP141" s="3509"/>
      <c r="DQ141" s="3510"/>
      <c r="DR141" s="3508"/>
      <c r="DS141" s="3509"/>
      <c r="DT141" s="3510"/>
      <c r="DU141" s="3508"/>
      <c r="DV141" s="3508"/>
      <c r="DW141" s="3508"/>
      <c r="DX141" s="3509"/>
      <c r="DY141" s="3510"/>
      <c r="DZ141" s="3508"/>
      <c r="EA141" s="3509"/>
      <c r="EB141" s="3510"/>
      <c r="EC141" s="3508"/>
      <c r="ED141" s="3508"/>
      <c r="EE141" s="3711"/>
      <c r="EF141" s="3511"/>
      <c r="EG141" s="3511"/>
      <c r="EH141" s="3511"/>
      <c r="EI141" s="3511"/>
      <c r="EJ141" s="3511"/>
      <c r="EK141" s="3511"/>
      <c r="EL141" s="3511"/>
      <c r="EM141" s="3511"/>
      <c r="EN141" s="3511"/>
      <c r="EO141" s="3511"/>
      <c r="EP141" s="3511"/>
      <c r="EQ141" s="3511"/>
      <c r="ER141" s="3511"/>
      <c r="ES141" s="3511"/>
      <c r="ET141" s="3509"/>
      <c r="EU141" s="3510"/>
      <c r="EV141" s="3510"/>
      <c r="EW141" s="3511"/>
      <c r="EX141" s="3509"/>
      <c r="EY141" s="3510"/>
      <c r="EZ141" s="3510"/>
      <c r="FA141" s="3511"/>
      <c r="FB141" s="3509"/>
      <c r="FC141" s="3510"/>
      <c r="FD141" s="3510"/>
      <c r="FE141" s="3511"/>
      <c r="FF141" s="3509"/>
      <c r="FG141" s="3510"/>
      <c r="FH141" s="3510"/>
      <c r="FI141" s="3511"/>
      <c r="FJ141" s="3509"/>
      <c r="FK141" s="3510"/>
      <c r="FL141" s="3510"/>
      <c r="FM141" s="3511"/>
      <c r="FN141" s="3509"/>
      <c r="FO141" s="3510"/>
      <c r="FP141" s="3510"/>
      <c r="FQ141" s="3511"/>
      <c r="FR141" s="3509"/>
      <c r="FS141" s="3510"/>
      <c r="FT141" s="3510">
        <f>FT140*1.05</f>
        <v>-9.7788870334625244E-9</v>
      </c>
      <c r="FU141" s="3511"/>
      <c r="FV141" s="3509"/>
      <c r="FW141" s="3510"/>
      <c r="FX141" s="3510">
        <f>FX140*1.06</f>
        <v>-2.7148053050041199E-9</v>
      </c>
      <c r="FY141" s="3511"/>
      <c r="FZ141" s="3509"/>
      <c r="GA141" s="3510"/>
      <c r="GB141" s="3510">
        <f>GB140*1.05</f>
        <v>0</v>
      </c>
      <c r="GC141" s="3511"/>
      <c r="GD141" s="3509"/>
      <c r="GE141" s="3510"/>
      <c r="GF141" s="3510">
        <f>GF140*1.06</f>
        <v>0</v>
      </c>
      <c r="GG141" s="3511"/>
      <c r="GH141" s="3509"/>
      <c r="GI141" s="3510"/>
      <c r="GJ141" s="3510">
        <f>GJ140*1.05</f>
        <v>4.8894435167312622E-9</v>
      </c>
      <c r="GK141" s="3511"/>
      <c r="GL141" s="3509"/>
      <c r="GM141" s="3510"/>
      <c r="GN141" s="3510">
        <f>GN140*1.06</f>
        <v>0</v>
      </c>
      <c r="GO141" s="3511"/>
      <c r="GP141" s="3509"/>
      <c r="GQ141" s="3510"/>
      <c r="GR141" s="3510">
        <f>GR140*1.05</f>
        <v>0</v>
      </c>
      <c r="GS141" s="3511"/>
      <c r="GT141" s="3509"/>
      <c r="GU141" s="3510"/>
      <c r="GV141" s="3510">
        <f>GV140*1.06</f>
        <v>0</v>
      </c>
      <c r="GW141" s="3511"/>
      <c r="GX141" s="3509"/>
      <c r="GY141" s="3510"/>
      <c r="GZ141" s="3510">
        <f>GZ140*1.05</f>
        <v>0</v>
      </c>
      <c r="HA141" s="3511"/>
      <c r="HB141" s="3509"/>
      <c r="HC141" s="3510"/>
      <c r="HD141" s="3510">
        <f>HD140*1.06</f>
        <v>0</v>
      </c>
      <c r="HE141" s="3511"/>
      <c r="HF141" s="3509"/>
      <c r="HG141" s="3510"/>
      <c r="HH141" s="3510">
        <f>HH140*1.05</f>
        <v>0</v>
      </c>
      <c r="HI141" s="3511"/>
      <c r="HJ141" s="3509"/>
      <c r="HK141" s="3510"/>
      <c r="HL141" s="3510">
        <f>HL140*1.06</f>
        <v>0</v>
      </c>
      <c r="HM141" s="3511"/>
      <c r="HN141" s="3509"/>
      <c r="HO141" s="3510"/>
      <c r="HP141" s="3510">
        <f>HP140*1.05</f>
        <v>0</v>
      </c>
      <c r="HQ141" s="3511"/>
      <c r="HR141" s="3509"/>
      <c r="HS141" s="3510"/>
      <c r="HT141" s="3510">
        <f>HT140*1.06</f>
        <v>0</v>
      </c>
      <c r="HU141" s="3511"/>
      <c r="HV141" s="3509"/>
      <c r="HW141" s="3510"/>
      <c r="HX141" s="3510">
        <f>HX140*1.05</f>
        <v>0</v>
      </c>
      <c r="HY141" s="3511"/>
      <c r="HZ141" s="3509"/>
      <c r="IA141" s="3510"/>
      <c r="IB141" s="3510">
        <f>IB140*1.06</f>
        <v>0</v>
      </c>
      <c r="IC141" s="3511"/>
      <c r="ID141" s="3509"/>
      <c r="IE141" s="3510"/>
      <c r="IF141" s="3510">
        <f>IF140*1.05</f>
        <v>0</v>
      </c>
      <c r="IG141" s="3511"/>
      <c r="IH141" s="3509"/>
      <c r="II141" s="3510"/>
      <c r="IJ141" s="3510">
        <f>IJ140*1.06</f>
        <v>0</v>
      </c>
      <c r="IK141" s="3511"/>
      <c r="IL141" s="3517"/>
      <c r="IO141" s="3507"/>
      <c r="IP141" s="3515"/>
      <c r="IQ141" s="3515"/>
      <c r="IR141" s="3515"/>
      <c r="IS141" s="3515"/>
      <c r="IT141" s="3515"/>
      <c r="IU141" s="3515"/>
      <c r="IV141" s="3515"/>
      <c r="IW141" s="3515"/>
      <c r="IX141" s="3515"/>
      <c r="IY141" s="3515"/>
      <c r="IZ141" s="3515"/>
      <c r="JA141" s="3515"/>
      <c r="JB141" s="3515"/>
      <c r="JC141" s="3515"/>
      <c r="JD141" s="3515"/>
      <c r="JE141" s="3515"/>
      <c r="JF141" s="3515"/>
      <c r="JG141" s="3515"/>
      <c r="JH141" s="3515"/>
      <c r="JI141" s="3515"/>
      <c r="JJ141" s="3515"/>
      <c r="JK141" s="3515"/>
      <c r="JL141" s="3515"/>
      <c r="JM141" s="3515"/>
      <c r="JN141" s="3515"/>
      <c r="JO141" s="3515"/>
      <c r="JU141" s="3507"/>
      <c r="JV141" s="3507"/>
      <c r="JW141" s="3507"/>
      <c r="JX141" s="3507"/>
      <c r="JY141" s="3507"/>
      <c r="KA141" s="3577"/>
      <c r="KB141" s="3577"/>
      <c r="KC141" s="3577"/>
      <c r="KD141" s="3577"/>
      <c r="KE141" s="3577"/>
      <c r="KF141" s="3577"/>
      <c r="KG141" s="3577"/>
      <c r="KH141" s="3577"/>
      <c r="KI141" s="3577"/>
      <c r="KJ141" s="3577"/>
      <c r="KK141" s="3577"/>
      <c r="KL141" s="3577"/>
      <c r="KM141" s="3577"/>
      <c r="KN141" s="3577"/>
      <c r="KO141" s="3577"/>
      <c r="KP141" s="3577"/>
      <c r="KQ141" s="3577"/>
      <c r="KR141" s="3577"/>
      <c r="LJ141" s="3575"/>
      <c r="LK141" s="3731" t="s">
        <v>4956</v>
      </c>
      <c r="LL141" s="3757">
        <f>LL136+LL137+LL138+LL139+LL140</f>
        <v>3100114.111833334</v>
      </c>
      <c r="LM141" s="3757">
        <f>LM136+LM137+LM138+LM139+LM140</f>
        <v>2952489.6303174603</v>
      </c>
    </row>
    <row r="142" spans="1:16370" s="3516" customFormat="1" ht="18" customHeight="1">
      <c r="A142" s="3507"/>
      <c r="B142" s="3507"/>
      <c r="C142" s="3517"/>
      <c r="D142" s="3508"/>
      <c r="E142" s="3507"/>
      <c r="F142" s="3507"/>
      <c r="J142" s="3580"/>
      <c r="K142" s="3507"/>
      <c r="L142" s="3507"/>
      <c r="M142" s="3508"/>
      <c r="N142" s="3508"/>
      <c r="O142" s="3508"/>
      <c r="P142" s="3508"/>
      <c r="Q142" s="3508"/>
      <c r="R142" s="3508"/>
      <c r="S142" s="3508"/>
      <c r="T142" s="3508"/>
      <c r="U142" s="3508"/>
      <c r="V142" s="3508"/>
      <c r="W142" s="3508"/>
      <c r="X142" s="3508"/>
      <c r="Y142" s="3508"/>
      <c r="Z142" s="3508"/>
      <c r="AA142" s="3507"/>
      <c r="AB142" s="3507"/>
      <c r="AC142" s="3508"/>
      <c r="AD142" s="3508"/>
      <c r="AE142" s="3508"/>
      <c r="AF142" s="3508"/>
      <c r="AG142" s="3508"/>
      <c r="AH142" s="3508"/>
      <c r="AI142" s="3508"/>
      <c r="AJ142" s="3508"/>
      <c r="AK142" s="3508"/>
      <c r="AL142" s="3508"/>
      <c r="AM142" s="3511"/>
      <c r="AN142" s="3511"/>
      <c r="AO142" s="3510"/>
      <c r="AP142" s="3511"/>
      <c r="AQ142" s="3511"/>
      <c r="AR142" s="3510"/>
      <c r="AS142" s="3511"/>
      <c r="AT142" s="3508"/>
      <c r="AU142" s="3508"/>
      <c r="AV142" s="3509"/>
      <c r="AW142" s="3510"/>
      <c r="AX142" s="3508"/>
      <c r="AY142" s="3509"/>
      <c r="AZ142" s="3510"/>
      <c r="BA142" s="3508"/>
      <c r="BB142" s="3508"/>
      <c r="BC142" s="3508"/>
      <c r="BD142" s="3509"/>
      <c r="BE142" s="3510"/>
      <c r="BF142" s="3508"/>
      <c r="BG142" s="3509"/>
      <c r="BH142" s="3510"/>
      <c r="BI142" s="3508"/>
      <c r="BJ142" s="3508"/>
      <c r="BK142" s="3508"/>
      <c r="BL142" s="3509"/>
      <c r="BM142" s="3510"/>
      <c r="BN142" s="3508"/>
      <c r="BO142" s="3509"/>
      <c r="BP142" s="3510"/>
      <c r="BQ142" s="3508"/>
      <c r="BR142" s="3508"/>
      <c r="BS142" s="3508"/>
      <c r="BT142" s="3509"/>
      <c r="BU142" s="3510"/>
      <c r="BV142" s="3508"/>
      <c r="BW142" s="3509"/>
      <c r="BX142" s="3510"/>
      <c r="BY142" s="3508"/>
      <c r="BZ142" s="3508"/>
      <c r="CA142" s="3508"/>
      <c r="CB142" s="3509"/>
      <c r="CC142" s="3510"/>
      <c r="CD142" s="3508"/>
      <c r="CE142" s="3509"/>
      <c r="CF142" s="3510"/>
      <c r="CG142" s="3508"/>
      <c r="CH142" s="3508"/>
      <c r="CI142" s="3508"/>
      <c r="CJ142" s="3509"/>
      <c r="CK142" s="3510"/>
      <c r="CL142" s="3508"/>
      <c r="CM142" s="3509"/>
      <c r="CN142" s="3510"/>
      <c r="CO142" s="3508"/>
      <c r="CP142" s="3508"/>
      <c r="CQ142" s="3508"/>
      <c r="CR142" s="3509"/>
      <c r="CS142" s="3510"/>
      <c r="CT142" s="3508"/>
      <c r="CU142" s="3509"/>
      <c r="CV142" s="3510"/>
      <c r="CW142" s="3508"/>
      <c r="CX142" s="3508"/>
      <c r="CY142" s="3508"/>
      <c r="CZ142" s="3509"/>
      <c r="DA142" s="3510"/>
      <c r="DB142" s="3508"/>
      <c r="DC142" s="3509"/>
      <c r="DD142" s="3510"/>
      <c r="DE142" s="3508"/>
      <c r="DF142" s="3508"/>
      <c r="DG142" s="3508"/>
      <c r="DH142" s="3509"/>
      <c r="DI142" s="3510"/>
      <c r="DJ142" s="3508"/>
      <c r="DK142" s="3509"/>
      <c r="DL142" s="3510"/>
      <c r="DM142" s="3508"/>
      <c r="DN142" s="3508"/>
      <c r="DO142" s="3508"/>
      <c r="DP142" s="3509"/>
      <c r="DQ142" s="3510"/>
      <c r="DR142" s="3508"/>
      <c r="DS142" s="3509"/>
      <c r="DT142" s="3510"/>
      <c r="DU142" s="3508"/>
      <c r="DV142" s="3508"/>
      <c r="DW142" s="3508"/>
      <c r="DX142" s="3509"/>
      <c r="DY142" s="3510"/>
      <c r="DZ142" s="3508"/>
      <c r="EA142" s="3509"/>
      <c r="EB142" s="3510"/>
      <c r="EC142" s="3508"/>
      <c r="ED142" s="3508"/>
      <c r="EF142" s="3508"/>
      <c r="EG142" s="3508"/>
      <c r="EI142" s="3508"/>
      <c r="EJ142" s="3508"/>
      <c r="EK142" s="3508"/>
      <c r="EL142" s="3508"/>
      <c r="EM142" s="3508"/>
      <c r="EN142" s="3508"/>
      <c r="EO142" s="3508"/>
      <c r="EP142" s="3508"/>
      <c r="EQ142" s="3508"/>
      <c r="ER142" s="3508"/>
      <c r="ES142" s="3508"/>
      <c r="ET142" s="3509"/>
      <c r="EU142" s="3510"/>
      <c r="EV142" s="3510"/>
      <c r="EW142" s="3511"/>
      <c r="EX142" s="3511"/>
      <c r="EY142" s="3511"/>
      <c r="EZ142" s="3510"/>
      <c r="FA142" s="3511"/>
      <c r="FB142" s="3509"/>
      <c r="FC142" s="3510"/>
      <c r="FD142" s="3510"/>
      <c r="FE142" s="3511"/>
      <c r="FF142" s="3511"/>
      <c r="FG142" s="3511"/>
      <c r="FH142" s="3510"/>
      <c r="FI142" s="3511"/>
      <c r="FJ142" s="3509"/>
      <c r="FK142" s="3510"/>
      <c r="FL142" s="3510"/>
      <c r="FM142" s="3511"/>
      <c r="FN142" s="3511"/>
      <c r="FO142" s="3511"/>
      <c r="FP142" s="3510"/>
      <c r="FQ142" s="3511"/>
      <c r="FR142" s="3509"/>
      <c r="FS142" s="3510"/>
      <c r="FT142" s="3510"/>
      <c r="FU142" s="3511"/>
      <c r="FV142" s="3511"/>
      <c r="FW142" s="3511"/>
      <c r="FX142" s="3510"/>
      <c r="FY142" s="3511"/>
      <c r="FZ142" s="3509"/>
      <c r="GA142" s="3510"/>
      <c r="GB142" s="3510"/>
      <c r="GC142" s="3511"/>
      <c r="GD142" s="3509"/>
      <c r="GE142" s="3510"/>
      <c r="GF142" s="3510"/>
      <c r="GG142" s="3511"/>
      <c r="GH142" s="3511"/>
      <c r="GI142" s="3510"/>
      <c r="GJ142" s="3510"/>
      <c r="GK142" s="3511"/>
      <c r="GL142" s="3511"/>
      <c r="GM142" s="3511"/>
      <c r="GN142" s="3510"/>
      <c r="GO142" s="3511"/>
      <c r="GP142" s="3509"/>
      <c r="GQ142" s="3510"/>
      <c r="GR142" s="3510"/>
      <c r="GS142" s="3511"/>
      <c r="GT142" s="3511"/>
      <c r="GU142" s="3511"/>
      <c r="GV142" s="3510"/>
      <c r="GW142" s="3511"/>
      <c r="GX142" s="3509"/>
      <c r="GY142" s="3510"/>
      <c r="GZ142" s="3510"/>
      <c r="HA142" s="3511"/>
      <c r="HB142" s="3511"/>
      <c r="HC142" s="3511"/>
      <c r="HD142" s="3510"/>
      <c r="HE142" s="3511"/>
      <c r="HF142" s="3509"/>
      <c r="HG142" s="3510"/>
      <c r="HH142" s="3510"/>
      <c r="HI142" s="3511"/>
      <c r="HJ142" s="3511"/>
      <c r="HK142" s="3511"/>
      <c r="HL142" s="3510"/>
      <c r="HM142" s="3511"/>
      <c r="HP142" s="3515"/>
      <c r="HS142" s="3511"/>
      <c r="HT142" s="3510"/>
      <c r="HU142" s="3511"/>
      <c r="HV142" s="3509"/>
      <c r="HW142" s="3510"/>
      <c r="HX142" s="3510"/>
      <c r="HY142" s="3511"/>
      <c r="HZ142" s="3511"/>
      <c r="IA142" s="3511"/>
      <c r="IB142" s="3510"/>
      <c r="IC142" s="3511"/>
      <c r="ID142" s="3509"/>
      <c r="IE142" s="3510"/>
      <c r="IF142" s="3510"/>
      <c r="IG142" s="3511"/>
      <c r="IH142" s="3511"/>
      <c r="II142" s="3511"/>
      <c r="IJ142" s="3510"/>
      <c r="IK142" s="3511"/>
      <c r="IL142" s="3517"/>
      <c r="IO142" s="3507"/>
      <c r="IP142" s="3515"/>
      <c r="IQ142" s="3515"/>
      <c r="IR142" s="3515"/>
      <c r="IS142" s="3515"/>
      <c r="IT142" s="3515"/>
      <c r="IU142" s="3515"/>
      <c r="IV142" s="3515"/>
      <c r="IW142" s="3515"/>
      <c r="IX142" s="3515"/>
      <c r="IY142" s="3515"/>
      <c r="IZ142" s="3515"/>
      <c r="JA142" s="3515"/>
      <c r="JB142" s="3515"/>
      <c r="JC142" s="3515"/>
      <c r="JD142" s="3515"/>
      <c r="JE142" s="3515"/>
      <c r="JF142" s="3515"/>
      <c r="JG142" s="3515"/>
      <c r="JH142" s="3515"/>
      <c r="JI142" s="3515"/>
      <c r="JJ142" s="3515"/>
      <c r="JK142" s="3515"/>
      <c r="JL142" s="3515"/>
      <c r="JM142" s="3515"/>
      <c r="JN142" s="3515"/>
      <c r="JO142" s="3515"/>
      <c r="JP142" s="3507"/>
      <c r="JS142" s="3507"/>
      <c r="JT142" s="3507"/>
      <c r="JU142" s="3507"/>
      <c r="JV142" s="3507"/>
      <c r="JW142" s="3507"/>
      <c r="JX142" s="3507"/>
      <c r="JY142" s="3507"/>
      <c r="KA142" s="3577"/>
      <c r="KB142" s="3577"/>
      <c r="KC142" s="3577"/>
      <c r="KD142" s="3577"/>
      <c r="KE142" s="3577"/>
      <c r="KF142" s="3577"/>
      <c r="KG142" s="3577"/>
      <c r="KH142" s="3577"/>
      <c r="KI142" s="3577"/>
      <c r="KJ142" s="3577"/>
      <c r="KK142" s="3577"/>
      <c r="KL142" s="3577"/>
      <c r="KM142" s="3577"/>
      <c r="KN142" s="3577"/>
      <c r="KO142" s="3577"/>
      <c r="KP142" s="3577"/>
      <c r="KQ142" s="3577"/>
      <c r="KR142" s="3577"/>
      <c r="LI142" s="3507"/>
      <c r="LJ142" s="3575"/>
      <c r="LK142" s="3731" t="s">
        <v>4957</v>
      </c>
      <c r="LL142" s="3758">
        <f>LL141/10000</f>
        <v>310.01141118333339</v>
      </c>
      <c r="LM142" s="3758">
        <f>LM141/10000</f>
        <v>295.24896303174603</v>
      </c>
      <c r="LN142" s="3507"/>
      <c r="LO142" s="3507"/>
      <c r="LP142" s="3507"/>
      <c r="LQ142" s="3507"/>
      <c r="LR142" s="3507"/>
      <c r="LS142" s="3507"/>
      <c r="LT142" s="3507"/>
      <c r="LU142" s="3507"/>
      <c r="LV142" s="3507"/>
      <c r="LW142" s="3507"/>
      <c r="LX142" s="3507"/>
      <c r="LY142" s="3507"/>
      <c r="LZ142" s="3507"/>
      <c r="MA142" s="3507"/>
      <c r="MB142" s="3507"/>
      <c r="MC142" s="3507"/>
      <c r="MD142" s="3507"/>
      <c r="ME142" s="3507"/>
      <c r="MF142" s="3507"/>
      <c r="MG142" s="3507"/>
      <c r="MH142" s="3507"/>
      <c r="MI142" s="3507"/>
      <c r="MJ142" s="3507"/>
      <c r="MK142" s="3507"/>
      <c r="ML142" s="3507"/>
      <c r="MM142" s="3507"/>
      <c r="MN142" s="3507"/>
      <c r="MO142" s="3507"/>
      <c r="MP142" s="3507"/>
      <c r="MQ142" s="3507"/>
      <c r="MR142" s="3507"/>
      <c r="MS142" s="3507"/>
      <c r="MT142" s="3507"/>
      <c r="MU142" s="3507"/>
      <c r="MV142" s="3507"/>
      <c r="MW142" s="3507"/>
      <c r="MX142" s="3507"/>
      <c r="MY142" s="3507"/>
      <c r="MZ142" s="3507"/>
      <c r="NA142" s="3507"/>
      <c r="NB142" s="3507"/>
      <c r="NC142" s="3507"/>
      <c r="ND142" s="3507"/>
      <c r="NE142" s="3507"/>
      <c r="NF142" s="3507"/>
      <c r="NG142" s="3507"/>
      <c r="NH142" s="3507"/>
      <c r="NI142" s="3507"/>
      <c r="NJ142" s="3507"/>
      <c r="NK142" s="3507"/>
      <c r="NL142" s="3507"/>
      <c r="NM142" s="3507"/>
      <c r="NN142" s="3507"/>
      <c r="NO142" s="3507"/>
      <c r="NP142" s="3507"/>
      <c r="NQ142" s="3507"/>
      <c r="NR142" s="3507"/>
      <c r="NS142" s="3507"/>
      <c r="NT142" s="3507"/>
      <c r="NU142" s="3507"/>
      <c r="NV142" s="3507"/>
      <c r="NW142" s="3507"/>
      <c r="NX142" s="3507"/>
      <c r="NY142" s="3507"/>
      <c r="NZ142" s="3507"/>
      <c r="OA142" s="3507"/>
      <c r="OB142" s="3507"/>
      <c r="OC142" s="3507"/>
      <c r="OD142" s="3507"/>
      <c r="OE142" s="3507"/>
      <c r="OF142" s="3507"/>
      <c r="OG142" s="3507"/>
      <c r="OH142" s="3507"/>
      <c r="OI142" s="3507"/>
      <c r="OJ142" s="3507"/>
      <c r="OK142" s="3507"/>
      <c r="OL142" s="3507"/>
      <c r="OM142" s="3507"/>
      <c r="ON142" s="3507"/>
      <c r="OO142" s="3507"/>
      <c r="OP142" s="3507"/>
      <c r="OQ142" s="3507"/>
      <c r="OR142" s="3507"/>
      <c r="OS142" s="3507"/>
      <c r="OT142" s="3507"/>
      <c r="OU142" s="3507"/>
      <c r="OV142" s="3507"/>
      <c r="OW142" s="3507"/>
      <c r="OX142" s="3507"/>
      <c r="OY142" s="3507"/>
      <c r="OZ142" s="3507"/>
      <c r="PA142" s="3507"/>
      <c r="PB142" s="3507"/>
      <c r="PC142" s="3507"/>
      <c r="PD142" s="3507"/>
      <c r="PE142" s="3507"/>
      <c r="PF142" s="3507"/>
      <c r="PG142" s="3507"/>
      <c r="PH142" s="3507"/>
      <c r="PI142" s="3507"/>
      <c r="PJ142" s="3507"/>
      <c r="PK142" s="3507"/>
      <c r="PL142" s="3507"/>
      <c r="PM142" s="3507"/>
      <c r="PN142" s="3507"/>
      <c r="PO142" s="3507"/>
      <c r="PP142" s="3507"/>
      <c r="PQ142" s="3507"/>
      <c r="PR142" s="3507"/>
      <c r="PS142" s="3507"/>
      <c r="PT142" s="3507"/>
      <c r="PU142" s="3507"/>
      <c r="PV142" s="3507"/>
      <c r="PW142" s="3507"/>
      <c r="PX142" s="3507"/>
      <c r="PY142" s="3507"/>
      <c r="PZ142" s="3507"/>
      <c r="QA142" s="3507"/>
      <c r="QB142" s="3507"/>
      <c r="QC142" s="3507"/>
      <c r="QD142" s="3507"/>
      <c r="QE142" s="3507"/>
      <c r="QF142" s="3507"/>
      <c r="QG142" s="3507"/>
      <c r="QH142" s="3507"/>
      <c r="QI142" s="3507"/>
      <c r="QJ142" s="3507"/>
      <c r="QK142" s="3507"/>
      <c r="QL142" s="3507"/>
      <c r="QM142" s="3507"/>
      <c r="QN142" s="3507"/>
      <c r="QO142" s="3507"/>
      <c r="QP142" s="3507"/>
      <c r="QQ142" s="3507"/>
      <c r="QR142" s="3507"/>
      <c r="QS142" s="3507"/>
      <c r="QT142" s="3507"/>
      <c r="QU142" s="3507"/>
      <c r="QV142" s="3507"/>
      <c r="QW142" s="3507"/>
      <c r="QX142" s="3507"/>
      <c r="QY142" s="3507"/>
      <c r="QZ142" s="3507"/>
      <c r="RA142" s="3507"/>
      <c r="RB142" s="3507"/>
      <c r="RC142" s="3507"/>
      <c r="RD142" s="3507"/>
      <c r="RE142" s="3507"/>
      <c r="RF142" s="3507"/>
      <c r="RG142" s="3507"/>
      <c r="RH142" s="3507"/>
      <c r="RI142" s="3507"/>
      <c r="RJ142" s="3507"/>
      <c r="RK142" s="3507"/>
      <c r="RL142" s="3507"/>
      <c r="RM142" s="3507"/>
      <c r="RN142" s="3507"/>
      <c r="RO142" s="3507"/>
      <c r="RP142" s="3507"/>
      <c r="RQ142" s="3507"/>
      <c r="RR142" s="3507"/>
      <c r="RS142" s="3507"/>
      <c r="RT142" s="3507"/>
      <c r="RU142" s="3507"/>
      <c r="RV142" s="3507"/>
      <c r="RW142" s="3507"/>
      <c r="RX142" s="3507"/>
      <c r="RY142" s="3507"/>
      <c r="RZ142" s="3507"/>
      <c r="SA142" s="3507"/>
      <c r="SB142" s="3507"/>
      <c r="SC142" s="3507"/>
      <c r="SD142" s="3507"/>
      <c r="SE142" s="3507"/>
      <c r="SF142" s="3507"/>
      <c r="SG142" s="3507"/>
      <c r="SH142" s="3507"/>
      <c r="SI142" s="3507"/>
      <c r="SJ142" s="3507"/>
      <c r="SK142" s="3507"/>
      <c r="SL142" s="3507"/>
      <c r="SM142" s="3507"/>
      <c r="SN142" s="3507"/>
      <c r="SO142" s="3507"/>
      <c r="SP142" s="3507"/>
      <c r="SQ142" s="3507"/>
      <c r="SR142" s="3507"/>
      <c r="SS142" s="3507"/>
      <c r="ST142" s="3507"/>
      <c r="SU142" s="3507"/>
      <c r="SV142" s="3507"/>
      <c r="SW142" s="3507"/>
      <c r="SX142" s="3507"/>
      <c r="SY142" s="3507"/>
      <c r="SZ142" s="3507"/>
      <c r="TA142" s="3507"/>
      <c r="TB142" s="3507"/>
      <c r="TC142" s="3507"/>
      <c r="TD142" s="3507"/>
      <c r="TE142" s="3507"/>
      <c r="TF142" s="3507"/>
      <c r="TG142" s="3507"/>
      <c r="TH142" s="3507"/>
      <c r="TI142" s="3507"/>
      <c r="TJ142" s="3507"/>
      <c r="TK142" s="3507"/>
      <c r="TL142" s="3507"/>
      <c r="TM142" s="3507"/>
      <c r="TN142" s="3507"/>
      <c r="TO142" s="3507"/>
      <c r="TP142" s="3507"/>
      <c r="TQ142" s="3507"/>
      <c r="TR142" s="3507"/>
      <c r="TS142" s="3507"/>
      <c r="TT142" s="3507"/>
      <c r="TU142" s="3507"/>
      <c r="TV142" s="3507"/>
      <c r="TW142" s="3507"/>
      <c r="TX142" s="3507"/>
      <c r="TY142" s="3507"/>
      <c r="TZ142" s="3507"/>
      <c r="UA142" s="3507"/>
      <c r="UB142" s="3507"/>
      <c r="UC142" s="3507"/>
      <c r="UD142" s="3507"/>
      <c r="UE142" s="3507"/>
      <c r="UF142" s="3507"/>
      <c r="UG142" s="3507"/>
      <c r="UH142" s="3507"/>
      <c r="UI142" s="3507"/>
      <c r="UJ142" s="3507"/>
      <c r="UK142" s="3507"/>
      <c r="UL142" s="3507"/>
      <c r="UM142" s="3507"/>
      <c r="UN142" s="3507"/>
      <c r="UO142" s="3507"/>
      <c r="UP142" s="3507"/>
      <c r="UQ142" s="3507"/>
      <c r="UR142" s="3507"/>
      <c r="US142" s="3507"/>
      <c r="UT142" s="3507"/>
      <c r="UU142" s="3507"/>
      <c r="UV142" s="3507"/>
      <c r="UW142" s="3507"/>
      <c r="UX142" s="3507"/>
      <c r="UY142" s="3507"/>
      <c r="UZ142" s="3507"/>
      <c r="VA142" s="3507"/>
      <c r="VB142" s="3507"/>
      <c r="VC142" s="3507"/>
      <c r="VD142" s="3507"/>
      <c r="VE142" s="3507"/>
      <c r="VF142" s="3507"/>
      <c r="VG142" s="3507"/>
      <c r="VH142" s="3507"/>
      <c r="VI142" s="3507"/>
      <c r="VJ142" s="3507"/>
      <c r="VK142" s="3507"/>
      <c r="VL142" s="3507"/>
      <c r="VM142" s="3507"/>
      <c r="VN142" s="3507"/>
      <c r="VO142" s="3507"/>
      <c r="VP142" s="3507"/>
      <c r="VQ142" s="3507"/>
      <c r="VR142" s="3507"/>
      <c r="VS142" s="3507"/>
      <c r="VT142" s="3507"/>
      <c r="VU142" s="3507"/>
      <c r="VV142" s="3507"/>
      <c r="VW142" s="3507"/>
      <c r="VX142" s="3507"/>
      <c r="VY142" s="3507"/>
      <c r="VZ142" s="3507"/>
      <c r="WA142" s="3507"/>
      <c r="WB142" s="3507"/>
      <c r="WC142" s="3507"/>
      <c r="WD142" s="3507"/>
      <c r="WE142" s="3507"/>
      <c r="WF142" s="3507"/>
      <c r="WG142" s="3507"/>
      <c r="WH142" s="3507"/>
      <c r="WI142" s="3507"/>
      <c r="WJ142" s="3507"/>
      <c r="WK142" s="3507"/>
      <c r="WL142" s="3507"/>
      <c r="WM142" s="3507"/>
      <c r="WN142" s="3507"/>
      <c r="WO142" s="3507"/>
      <c r="WP142" s="3507"/>
      <c r="WQ142" s="3507"/>
      <c r="WR142" s="3507"/>
      <c r="WS142" s="3507"/>
      <c r="WT142" s="3507"/>
      <c r="WU142" s="3507"/>
      <c r="WV142" s="3507"/>
      <c r="WW142" s="3507"/>
      <c r="WX142" s="3507"/>
      <c r="WY142" s="3507"/>
      <c r="WZ142" s="3507"/>
      <c r="XA142" s="3507"/>
      <c r="XB142" s="3507"/>
      <c r="XC142" s="3507"/>
      <c r="XD142" s="3507"/>
      <c r="XE142" s="3507"/>
      <c r="XF142" s="3507"/>
      <c r="XG142" s="3507"/>
      <c r="XH142" s="3507"/>
      <c r="XI142" s="3507"/>
      <c r="XJ142" s="3507"/>
      <c r="XK142" s="3507"/>
      <c r="XL142" s="3507"/>
      <c r="XM142" s="3507"/>
      <c r="XN142" s="3507"/>
      <c r="XO142" s="3507"/>
      <c r="XP142" s="3507"/>
      <c r="XQ142" s="3507"/>
      <c r="XR142" s="3507"/>
      <c r="XS142" s="3507"/>
      <c r="XT142" s="3507"/>
      <c r="XU142" s="3507"/>
      <c r="XV142" s="3507"/>
      <c r="XW142" s="3507"/>
      <c r="XX142" s="3507"/>
      <c r="XY142" s="3507"/>
      <c r="XZ142" s="3507"/>
      <c r="YA142" s="3507"/>
      <c r="YB142" s="3507"/>
      <c r="YC142" s="3507"/>
      <c r="YD142" s="3507"/>
      <c r="YE142" s="3507"/>
      <c r="YF142" s="3507"/>
      <c r="YG142" s="3507"/>
      <c r="YH142" s="3507"/>
      <c r="YI142" s="3507"/>
      <c r="YJ142" s="3507"/>
      <c r="YK142" s="3507"/>
      <c r="YL142" s="3507"/>
      <c r="YM142" s="3507"/>
      <c r="YN142" s="3507"/>
      <c r="YO142" s="3507"/>
      <c r="YP142" s="3507"/>
      <c r="YQ142" s="3507"/>
      <c r="YR142" s="3507"/>
      <c r="YS142" s="3507"/>
      <c r="YT142" s="3507"/>
      <c r="YU142" s="3507"/>
      <c r="YV142" s="3507"/>
      <c r="YW142" s="3507"/>
      <c r="YX142" s="3507"/>
      <c r="YY142" s="3507"/>
      <c r="YZ142" s="3507"/>
      <c r="ZA142" s="3507"/>
      <c r="ZB142" s="3507"/>
      <c r="ZC142" s="3507"/>
      <c r="ZD142" s="3507"/>
      <c r="ZE142" s="3507"/>
      <c r="ZF142" s="3507"/>
      <c r="ZG142" s="3507"/>
      <c r="ZH142" s="3507"/>
      <c r="ZI142" s="3507"/>
      <c r="ZJ142" s="3507"/>
      <c r="ZK142" s="3507"/>
      <c r="ZL142" s="3507"/>
      <c r="ZM142" s="3507"/>
      <c r="ZN142" s="3507"/>
      <c r="ZO142" s="3507"/>
      <c r="ZP142" s="3507"/>
      <c r="ZQ142" s="3507"/>
      <c r="ZR142" s="3507"/>
      <c r="ZS142" s="3507"/>
      <c r="ZT142" s="3507"/>
      <c r="ZU142" s="3507"/>
      <c r="ZV142" s="3507"/>
      <c r="ZW142" s="3507"/>
      <c r="ZX142" s="3507"/>
      <c r="ZY142" s="3507"/>
      <c r="ZZ142" s="3507"/>
      <c r="AAA142" s="3507"/>
      <c r="AAB142" s="3507"/>
      <c r="AAC142" s="3507"/>
      <c r="AAD142" s="3507"/>
      <c r="AAE142" s="3507"/>
      <c r="AAF142" s="3507"/>
      <c r="AAG142" s="3507"/>
      <c r="AAH142" s="3507"/>
      <c r="AAI142" s="3507"/>
      <c r="AAJ142" s="3507"/>
      <c r="AAK142" s="3507"/>
      <c r="AAL142" s="3507"/>
      <c r="AAM142" s="3507"/>
      <c r="AAN142" s="3507"/>
      <c r="AAO142" s="3507"/>
      <c r="AAP142" s="3507"/>
      <c r="AAQ142" s="3507"/>
      <c r="AAR142" s="3507"/>
      <c r="AAS142" s="3507"/>
      <c r="AAT142" s="3507"/>
      <c r="AAU142" s="3507"/>
      <c r="AAV142" s="3507"/>
      <c r="AAW142" s="3507"/>
      <c r="AAX142" s="3507"/>
      <c r="AAY142" s="3507"/>
      <c r="AAZ142" s="3507"/>
      <c r="ABA142" s="3507"/>
      <c r="ABB142" s="3507"/>
      <c r="ABC142" s="3507"/>
      <c r="ABD142" s="3507"/>
      <c r="ABE142" s="3507"/>
      <c r="ABF142" s="3507"/>
      <c r="ABG142" s="3507"/>
      <c r="ABH142" s="3507"/>
      <c r="ABI142" s="3507"/>
      <c r="ABJ142" s="3507"/>
      <c r="ABK142" s="3507"/>
      <c r="ABL142" s="3507"/>
      <c r="ABM142" s="3507"/>
      <c r="ABN142" s="3507"/>
      <c r="ABO142" s="3507"/>
      <c r="ABP142" s="3507"/>
      <c r="ABQ142" s="3507"/>
      <c r="ABR142" s="3507"/>
      <c r="ABS142" s="3507"/>
      <c r="ABT142" s="3507"/>
      <c r="ABU142" s="3507"/>
      <c r="ABV142" s="3507"/>
      <c r="ABW142" s="3507"/>
      <c r="ABX142" s="3507"/>
      <c r="ABY142" s="3507"/>
      <c r="ABZ142" s="3507"/>
      <c r="ACA142" s="3507"/>
      <c r="ACB142" s="3507"/>
      <c r="ACC142" s="3507"/>
      <c r="ACD142" s="3507"/>
      <c r="ACE142" s="3507"/>
      <c r="ACF142" s="3507"/>
      <c r="ACG142" s="3507"/>
      <c r="ACH142" s="3507"/>
      <c r="ACI142" s="3507"/>
      <c r="ACJ142" s="3507"/>
      <c r="ACK142" s="3507"/>
      <c r="ACL142" s="3507"/>
      <c r="ACM142" s="3507"/>
      <c r="ACN142" s="3507"/>
      <c r="ACO142" s="3507"/>
      <c r="ACP142" s="3507"/>
      <c r="ACQ142" s="3507"/>
      <c r="ACR142" s="3507"/>
      <c r="ACS142" s="3507"/>
      <c r="ACT142" s="3507"/>
      <c r="ACU142" s="3507"/>
      <c r="ACV142" s="3507"/>
      <c r="ACW142" s="3507"/>
      <c r="ACX142" s="3507"/>
      <c r="ACY142" s="3507"/>
      <c r="ACZ142" s="3507"/>
      <c r="ADA142" s="3507"/>
      <c r="ADB142" s="3507"/>
      <c r="ADC142" s="3507"/>
      <c r="ADD142" s="3507"/>
      <c r="ADE142" s="3507"/>
      <c r="ADF142" s="3507"/>
      <c r="ADG142" s="3507"/>
      <c r="ADH142" s="3507"/>
      <c r="ADI142" s="3507"/>
      <c r="ADJ142" s="3507"/>
      <c r="ADK142" s="3507"/>
      <c r="ADL142" s="3507"/>
      <c r="ADM142" s="3507"/>
      <c r="ADN142" s="3507"/>
      <c r="ADO142" s="3507"/>
      <c r="ADP142" s="3507"/>
      <c r="ADQ142" s="3507"/>
      <c r="ADR142" s="3507"/>
      <c r="ADS142" s="3507"/>
      <c r="ADT142" s="3507"/>
      <c r="ADU142" s="3507"/>
      <c r="ADV142" s="3507"/>
      <c r="ADW142" s="3507"/>
      <c r="ADX142" s="3507"/>
      <c r="ADY142" s="3507"/>
      <c r="ADZ142" s="3507"/>
      <c r="AEA142" s="3507"/>
      <c r="AEB142" s="3507"/>
      <c r="AEC142" s="3507"/>
      <c r="AED142" s="3507"/>
      <c r="AEE142" s="3507"/>
      <c r="AEF142" s="3507"/>
      <c r="AEG142" s="3507"/>
      <c r="AEH142" s="3507"/>
      <c r="AEI142" s="3507"/>
      <c r="AEJ142" s="3507"/>
      <c r="AEK142" s="3507"/>
      <c r="AEL142" s="3507"/>
      <c r="AEM142" s="3507"/>
      <c r="AEN142" s="3507"/>
      <c r="AEO142" s="3507"/>
      <c r="AEP142" s="3507"/>
      <c r="AEQ142" s="3507"/>
      <c r="AER142" s="3507"/>
      <c r="AES142" s="3507"/>
      <c r="AET142" s="3507"/>
      <c r="AEU142" s="3507"/>
      <c r="AEV142" s="3507"/>
      <c r="AEW142" s="3507"/>
      <c r="AEX142" s="3507"/>
      <c r="AEY142" s="3507"/>
      <c r="AEZ142" s="3507"/>
      <c r="AFA142" s="3507"/>
      <c r="AFB142" s="3507"/>
      <c r="AFC142" s="3507"/>
      <c r="AFD142" s="3507"/>
      <c r="AFE142" s="3507"/>
      <c r="AFF142" s="3507"/>
      <c r="AFG142" s="3507"/>
      <c r="AFH142" s="3507"/>
      <c r="AFI142" s="3507"/>
      <c r="AFJ142" s="3507"/>
      <c r="AFK142" s="3507"/>
      <c r="AFL142" s="3507"/>
      <c r="AFM142" s="3507"/>
      <c r="AFN142" s="3507"/>
      <c r="AFO142" s="3507"/>
      <c r="AFP142" s="3507"/>
      <c r="AFQ142" s="3507"/>
      <c r="AFR142" s="3507"/>
      <c r="AFS142" s="3507"/>
      <c r="AFT142" s="3507"/>
      <c r="AFU142" s="3507"/>
      <c r="AFV142" s="3507"/>
      <c r="AFW142" s="3507"/>
      <c r="AFX142" s="3507"/>
      <c r="AFY142" s="3507"/>
      <c r="AFZ142" s="3507"/>
      <c r="AGA142" s="3507"/>
      <c r="AGB142" s="3507"/>
      <c r="AGC142" s="3507"/>
      <c r="AGD142" s="3507"/>
      <c r="AGE142" s="3507"/>
      <c r="AGF142" s="3507"/>
      <c r="AGG142" s="3507"/>
      <c r="AGH142" s="3507"/>
      <c r="AGI142" s="3507"/>
      <c r="AGJ142" s="3507"/>
      <c r="AGK142" s="3507"/>
      <c r="AGL142" s="3507"/>
      <c r="AGM142" s="3507"/>
      <c r="AGN142" s="3507"/>
      <c r="AGO142" s="3507"/>
      <c r="AGP142" s="3507"/>
      <c r="AGQ142" s="3507"/>
      <c r="AGR142" s="3507"/>
      <c r="AGS142" s="3507"/>
      <c r="AGT142" s="3507"/>
      <c r="AGU142" s="3507"/>
      <c r="AGV142" s="3507"/>
      <c r="AGW142" s="3507"/>
      <c r="AGX142" s="3507"/>
      <c r="AGY142" s="3507"/>
      <c r="AGZ142" s="3507"/>
      <c r="AHA142" s="3507"/>
      <c r="AHB142" s="3507"/>
      <c r="AHC142" s="3507"/>
      <c r="AHD142" s="3507"/>
      <c r="AHE142" s="3507"/>
      <c r="AHF142" s="3507"/>
      <c r="AHG142" s="3507"/>
      <c r="AHH142" s="3507"/>
      <c r="AHI142" s="3507"/>
      <c r="AHJ142" s="3507"/>
      <c r="AHK142" s="3507"/>
      <c r="AHL142" s="3507"/>
      <c r="AHM142" s="3507"/>
      <c r="AHN142" s="3507"/>
      <c r="AHO142" s="3507"/>
      <c r="AHP142" s="3507"/>
      <c r="AHQ142" s="3507"/>
      <c r="AHR142" s="3507"/>
      <c r="AHS142" s="3507"/>
      <c r="AHT142" s="3507"/>
      <c r="AHU142" s="3507"/>
      <c r="AHV142" s="3507"/>
      <c r="AHW142" s="3507"/>
      <c r="AHX142" s="3507"/>
      <c r="AHY142" s="3507"/>
      <c r="AHZ142" s="3507"/>
      <c r="AIA142" s="3507"/>
      <c r="AIB142" s="3507"/>
      <c r="AIC142" s="3507"/>
      <c r="AID142" s="3507"/>
      <c r="AIE142" s="3507"/>
      <c r="AIF142" s="3507"/>
      <c r="AIG142" s="3507"/>
      <c r="AIH142" s="3507"/>
      <c r="AII142" s="3507"/>
      <c r="AIJ142" s="3507"/>
      <c r="AIK142" s="3507"/>
      <c r="AIL142" s="3507"/>
      <c r="AIM142" s="3507"/>
      <c r="AIN142" s="3507"/>
      <c r="AIO142" s="3507"/>
      <c r="AIP142" s="3507"/>
      <c r="AIQ142" s="3507"/>
      <c r="AIR142" s="3507"/>
      <c r="AIS142" s="3507"/>
      <c r="AIT142" s="3507"/>
      <c r="AIU142" s="3507"/>
      <c r="AIV142" s="3507"/>
      <c r="AIW142" s="3507"/>
      <c r="AIX142" s="3507"/>
      <c r="AIY142" s="3507"/>
      <c r="AIZ142" s="3507"/>
      <c r="AJA142" s="3507"/>
      <c r="AJB142" s="3507"/>
      <c r="AJC142" s="3507"/>
      <c r="AJD142" s="3507"/>
      <c r="AJE142" s="3507"/>
      <c r="AJF142" s="3507"/>
      <c r="AJG142" s="3507"/>
      <c r="AJH142" s="3507"/>
      <c r="AJI142" s="3507"/>
      <c r="AJJ142" s="3507"/>
      <c r="AJK142" s="3507"/>
      <c r="AJL142" s="3507"/>
      <c r="AJM142" s="3507"/>
      <c r="AJN142" s="3507"/>
      <c r="AJO142" s="3507"/>
      <c r="AJP142" s="3507"/>
      <c r="AJQ142" s="3507"/>
      <c r="AJR142" s="3507"/>
      <c r="AJS142" s="3507"/>
      <c r="AJT142" s="3507"/>
      <c r="AJU142" s="3507"/>
      <c r="AJV142" s="3507"/>
      <c r="AJW142" s="3507"/>
      <c r="AJX142" s="3507"/>
      <c r="AJY142" s="3507"/>
      <c r="AJZ142" s="3507"/>
      <c r="AKA142" s="3507"/>
      <c r="AKB142" s="3507"/>
      <c r="AKC142" s="3507"/>
      <c r="AKD142" s="3507"/>
      <c r="AKE142" s="3507"/>
      <c r="AKF142" s="3507"/>
      <c r="AKG142" s="3507"/>
      <c r="AKH142" s="3507"/>
      <c r="AKI142" s="3507"/>
      <c r="AKJ142" s="3507"/>
      <c r="AKK142" s="3507"/>
      <c r="AKL142" s="3507"/>
      <c r="AKM142" s="3507"/>
      <c r="AKN142" s="3507"/>
      <c r="AKO142" s="3507"/>
      <c r="AKP142" s="3507"/>
      <c r="AKQ142" s="3507"/>
      <c r="AKR142" s="3507"/>
      <c r="AKS142" s="3507"/>
      <c r="AKT142" s="3507"/>
      <c r="AKU142" s="3507"/>
      <c r="AKV142" s="3507"/>
      <c r="AKW142" s="3507"/>
      <c r="AKX142" s="3507"/>
      <c r="AKY142" s="3507"/>
      <c r="AKZ142" s="3507"/>
      <c r="ALA142" s="3507"/>
      <c r="ALB142" s="3507"/>
      <c r="ALC142" s="3507"/>
      <c r="ALD142" s="3507"/>
      <c r="ALE142" s="3507"/>
      <c r="ALF142" s="3507"/>
      <c r="ALG142" s="3507"/>
      <c r="ALH142" s="3507"/>
      <c r="ALI142" s="3507"/>
      <c r="ALJ142" s="3507"/>
      <c r="ALK142" s="3507"/>
      <c r="ALL142" s="3507"/>
      <c r="ALM142" s="3507"/>
      <c r="ALN142" s="3507"/>
      <c r="ALO142" s="3507"/>
      <c r="ALP142" s="3507"/>
      <c r="ALQ142" s="3507"/>
      <c r="ALR142" s="3507"/>
      <c r="ALS142" s="3507"/>
      <c r="ALT142" s="3507"/>
      <c r="ALU142" s="3507"/>
      <c r="ALV142" s="3507"/>
      <c r="ALW142" s="3507"/>
      <c r="ALX142" s="3507"/>
      <c r="ALY142" s="3507"/>
      <c r="ALZ142" s="3507"/>
      <c r="AMA142" s="3507"/>
      <c r="AMB142" s="3507"/>
      <c r="AMC142" s="3507"/>
      <c r="AMD142" s="3507"/>
      <c r="AME142" s="3507"/>
      <c r="AMF142" s="3507"/>
      <c r="AMG142" s="3507"/>
      <c r="AMH142" s="3507"/>
      <c r="AMI142" s="3507"/>
      <c r="AMJ142" s="3507"/>
      <c r="AMK142" s="3507"/>
      <c r="AML142" s="3507"/>
      <c r="AMM142" s="3507"/>
      <c r="AMN142" s="3507"/>
      <c r="AMO142" s="3507"/>
      <c r="AMP142" s="3507"/>
      <c r="AMQ142" s="3507"/>
      <c r="AMR142" s="3507"/>
      <c r="AMS142" s="3507"/>
      <c r="AMT142" s="3507"/>
      <c r="AMU142" s="3507"/>
      <c r="AMV142" s="3507"/>
      <c r="AMW142" s="3507"/>
      <c r="AMX142" s="3507"/>
      <c r="AMY142" s="3507"/>
      <c r="AMZ142" s="3507"/>
      <c r="ANA142" s="3507"/>
      <c r="ANB142" s="3507"/>
      <c r="ANC142" s="3507"/>
      <c r="AND142" s="3507"/>
      <c r="ANE142" s="3507"/>
      <c r="ANF142" s="3507"/>
      <c r="ANG142" s="3507"/>
      <c r="ANH142" s="3507"/>
      <c r="ANI142" s="3507"/>
      <c r="ANJ142" s="3507"/>
      <c r="ANK142" s="3507"/>
      <c r="ANL142" s="3507"/>
      <c r="ANM142" s="3507"/>
      <c r="ANN142" s="3507"/>
      <c r="ANO142" s="3507"/>
      <c r="ANP142" s="3507"/>
      <c r="ANQ142" s="3507"/>
      <c r="ANR142" s="3507"/>
      <c r="ANS142" s="3507"/>
      <c r="ANT142" s="3507"/>
      <c r="ANU142" s="3507"/>
      <c r="ANV142" s="3507"/>
      <c r="ANW142" s="3507"/>
      <c r="ANX142" s="3507"/>
      <c r="ANY142" s="3507"/>
      <c r="ANZ142" s="3507"/>
      <c r="AOA142" s="3507"/>
      <c r="AOB142" s="3507"/>
      <c r="AOC142" s="3507"/>
      <c r="AOD142" s="3507"/>
      <c r="AOE142" s="3507"/>
      <c r="AOF142" s="3507"/>
      <c r="AOG142" s="3507"/>
      <c r="AOH142" s="3507"/>
      <c r="AOI142" s="3507"/>
      <c r="AOJ142" s="3507"/>
      <c r="AOK142" s="3507"/>
      <c r="AOL142" s="3507"/>
      <c r="AOM142" s="3507"/>
      <c r="AON142" s="3507"/>
      <c r="AOO142" s="3507"/>
      <c r="AOP142" s="3507"/>
      <c r="AOQ142" s="3507"/>
      <c r="AOR142" s="3507"/>
      <c r="AOS142" s="3507"/>
      <c r="AOT142" s="3507"/>
      <c r="AOU142" s="3507"/>
      <c r="AOV142" s="3507"/>
      <c r="AOW142" s="3507"/>
      <c r="AOX142" s="3507"/>
      <c r="AOY142" s="3507"/>
      <c r="AOZ142" s="3507"/>
      <c r="APA142" s="3507"/>
      <c r="APB142" s="3507"/>
      <c r="APC142" s="3507"/>
      <c r="APD142" s="3507"/>
      <c r="APE142" s="3507"/>
      <c r="APF142" s="3507"/>
      <c r="APG142" s="3507"/>
      <c r="APH142" s="3507"/>
      <c r="API142" s="3507"/>
      <c r="APJ142" s="3507"/>
      <c r="APK142" s="3507"/>
      <c r="APL142" s="3507"/>
      <c r="APM142" s="3507"/>
      <c r="APN142" s="3507"/>
      <c r="APO142" s="3507"/>
      <c r="APP142" s="3507"/>
      <c r="APQ142" s="3507"/>
      <c r="APR142" s="3507"/>
      <c r="APS142" s="3507"/>
      <c r="APT142" s="3507"/>
      <c r="APU142" s="3507"/>
      <c r="APV142" s="3507"/>
      <c r="APW142" s="3507"/>
      <c r="APX142" s="3507"/>
      <c r="APY142" s="3507"/>
      <c r="APZ142" s="3507"/>
      <c r="AQA142" s="3507"/>
      <c r="AQB142" s="3507"/>
      <c r="AQC142" s="3507"/>
      <c r="AQD142" s="3507"/>
      <c r="AQE142" s="3507"/>
      <c r="AQF142" s="3507"/>
      <c r="AQG142" s="3507"/>
      <c r="AQH142" s="3507"/>
      <c r="AQI142" s="3507"/>
      <c r="AQJ142" s="3507"/>
      <c r="AQK142" s="3507"/>
      <c r="AQL142" s="3507"/>
      <c r="AQM142" s="3507"/>
      <c r="AQN142" s="3507"/>
      <c r="AQO142" s="3507"/>
      <c r="AQP142" s="3507"/>
      <c r="AQQ142" s="3507"/>
      <c r="AQR142" s="3507"/>
      <c r="AQS142" s="3507"/>
      <c r="AQT142" s="3507"/>
      <c r="AQU142" s="3507"/>
      <c r="AQV142" s="3507"/>
      <c r="AQW142" s="3507"/>
      <c r="AQX142" s="3507"/>
      <c r="AQY142" s="3507"/>
      <c r="AQZ142" s="3507"/>
      <c r="ARA142" s="3507"/>
      <c r="ARB142" s="3507"/>
      <c r="ARC142" s="3507"/>
      <c r="ARD142" s="3507"/>
      <c r="ARE142" s="3507"/>
      <c r="ARF142" s="3507"/>
      <c r="ARG142" s="3507"/>
      <c r="ARH142" s="3507"/>
      <c r="ARI142" s="3507"/>
      <c r="ARJ142" s="3507"/>
      <c r="ARK142" s="3507"/>
      <c r="ARL142" s="3507"/>
      <c r="ARM142" s="3507"/>
      <c r="ARN142" s="3507"/>
      <c r="ARO142" s="3507"/>
      <c r="ARP142" s="3507"/>
      <c r="ARQ142" s="3507"/>
      <c r="ARR142" s="3507"/>
      <c r="ARS142" s="3507"/>
      <c r="ART142" s="3507"/>
      <c r="ARU142" s="3507"/>
      <c r="ARV142" s="3507"/>
      <c r="ARW142" s="3507"/>
      <c r="ARX142" s="3507"/>
      <c r="ARY142" s="3507"/>
      <c r="ARZ142" s="3507"/>
      <c r="ASA142" s="3507"/>
      <c r="ASB142" s="3507"/>
      <c r="ASC142" s="3507"/>
      <c r="ASD142" s="3507"/>
      <c r="ASE142" s="3507"/>
      <c r="ASF142" s="3507"/>
      <c r="ASG142" s="3507"/>
      <c r="ASH142" s="3507"/>
      <c r="ASI142" s="3507"/>
      <c r="ASJ142" s="3507"/>
      <c r="ASK142" s="3507"/>
      <c r="ASL142" s="3507"/>
      <c r="ASM142" s="3507"/>
      <c r="ASN142" s="3507"/>
      <c r="ASO142" s="3507"/>
      <c r="ASP142" s="3507"/>
      <c r="ASQ142" s="3507"/>
      <c r="ASR142" s="3507"/>
      <c r="ASS142" s="3507"/>
      <c r="AST142" s="3507"/>
      <c r="ASU142" s="3507"/>
      <c r="ASV142" s="3507"/>
      <c r="ASW142" s="3507"/>
      <c r="ASX142" s="3507"/>
      <c r="ASY142" s="3507"/>
      <c r="ASZ142" s="3507"/>
      <c r="ATA142" s="3507"/>
      <c r="ATB142" s="3507"/>
      <c r="ATC142" s="3507"/>
      <c r="ATD142" s="3507"/>
      <c r="ATE142" s="3507"/>
      <c r="ATF142" s="3507"/>
      <c r="ATG142" s="3507"/>
      <c r="ATH142" s="3507"/>
      <c r="ATI142" s="3507"/>
      <c r="ATJ142" s="3507"/>
      <c r="ATK142" s="3507"/>
      <c r="ATL142" s="3507"/>
      <c r="ATM142" s="3507"/>
      <c r="ATN142" s="3507"/>
      <c r="ATO142" s="3507"/>
      <c r="ATP142" s="3507"/>
      <c r="ATQ142" s="3507"/>
      <c r="ATR142" s="3507"/>
      <c r="ATS142" s="3507"/>
      <c r="ATT142" s="3507"/>
      <c r="ATU142" s="3507"/>
      <c r="ATV142" s="3507"/>
      <c r="ATW142" s="3507"/>
      <c r="ATX142" s="3507"/>
      <c r="ATY142" s="3507"/>
      <c r="ATZ142" s="3507"/>
      <c r="AUA142" s="3507"/>
      <c r="AUB142" s="3507"/>
      <c r="AUC142" s="3507"/>
      <c r="AUD142" s="3507"/>
      <c r="AUE142" s="3507"/>
      <c r="AUF142" s="3507"/>
      <c r="AUG142" s="3507"/>
      <c r="AUH142" s="3507"/>
      <c r="AUI142" s="3507"/>
      <c r="AUJ142" s="3507"/>
      <c r="AUK142" s="3507"/>
      <c r="AUL142" s="3507"/>
      <c r="AUM142" s="3507"/>
      <c r="AUN142" s="3507"/>
      <c r="AUO142" s="3507"/>
      <c r="AUP142" s="3507"/>
      <c r="AUQ142" s="3507"/>
      <c r="AUR142" s="3507"/>
      <c r="AUS142" s="3507"/>
      <c r="AUT142" s="3507"/>
      <c r="AUU142" s="3507"/>
      <c r="AUV142" s="3507"/>
      <c r="AUW142" s="3507"/>
      <c r="AUX142" s="3507"/>
      <c r="AUY142" s="3507"/>
      <c r="AUZ142" s="3507"/>
      <c r="AVA142" s="3507"/>
      <c r="AVB142" s="3507"/>
      <c r="AVC142" s="3507"/>
      <c r="AVD142" s="3507"/>
      <c r="AVE142" s="3507"/>
      <c r="AVF142" s="3507"/>
      <c r="AVG142" s="3507"/>
      <c r="AVH142" s="3507"/>
      <c r="AVI142" s="3507"/>
      <c r="AVJ142" s="3507"/>
      <c r="AVK142" s="3507"/>
      <c r="AVL142" s="3507"/>
      <c r="AVM142" s="3507"/>
      <c r="AVN142" s="3507"/>
      <c r="AVO142" s="3507"/>
      <c r="AVP142" s="3507"/>
      <c r="AVQ142" s="3507"/>
      <c r="AVR142" s="3507"/>
      <c r="AVS142" s="3507"/>
      <c r="AVT142" s="3507"/>
      <c r="AVU142" s="3507"/>
      <c r="AVV142" s="3507"/>
      <c r="AVW142" s="3507"/>
      <c r="AVX142" s="3507"/>
      <c r="AVY142" s="3507"/>
      <c r="AVZ142" s="3507"/>
      <c r="AWA142" s="3507"/>
      <c r="AWB142" s="3507"/>
      <c r="AWC142" s="3507"/>
      <c r="AWD142" s="3507"/>
      <c r="AWE142" s="3507"/>
      <c r="AWF142" s="3507"/>
      <c r="AWG142" s="3507"/>
      <c r="AWH142" s="3507"/>
      <c r="AWI142" s="3507"/>
      <c r="AWJ142" s="3507"/>
      <c r="AWK142" s="3507"/>
      <c r="AWL142" s="3507"/>
      <c r="AWM142" s="3507"/>
      <c r="AWN142" s="3507"/>
      <c r="AWO142" s="3507"/>
      <c r="AWP142" s="3507"/>
      <c r="AWQ142" s="3507"/>
      <c r="AWR142" s="3507"/>
      <c r="AWS142" s="3507"/>
      <c r="AWT142" s="3507"/>
      <c r="AWU142" s="3507"/>
      <c r="AWV142" s="3507"/>
      <c r="AWW142" s="3507"/>
      <c r="AWX142" s="3507"/>
      <c r="AWY142" s="3507"/>
      <c r="AWZ142" s="3507"/>
      <c r="AXA142" s="3507"/>
      <c r="AXB142" s="3507"/>
      <c r="AXC142" s="3507"/>
      <c r="AXD142" s="3507"/>
      <c r="AXE142" s="3507"/>
      <c r="AXF142" s="3507"/>
      <c r="AXG142" s="3507"/>
      <c r="AXH142" s="3507"/>
      <c r="AXI142" s="3507"/>
      <c r="AXJ142" s="3507"/>
      <c r="AXK142" s="3507"/>
      <c r="AXL142" s="3507"/>
      <c r="AXM142" s="3507"/>
      <c r="AXN142" s="3507"/>
      <c r="AXO142" s="3507"/>
      <c r="AXP142" s="3507"/>
      <c r="AXQ142" s="3507"/>
      <c r="AXR142" s="3507"/>
      <c r="AXS142" s="3507"/>
      <c r="AXT142" s="3507"/>
      <c r="AXU142" s="3507"/>
      <c r="AXV142" s="3507"/>
      <c r="AXW142" s="3507"/>
      <c r="AXX142" s="3507"/>
      <c r="AXY142" s="3507"/>
      <c r="AXZ142" s="3507"/>
      <c r="AYA142" s="3507"/>
      <c r="AYB142" s="3507"/>
      <c r="AYC142" s="3507"/>
      <c r="AYD142" s="3507"/>
      <c r="AYE142" s="3507"/>
      <c r="AYF142" s="3507"/>
      <c r="AYG142" s="3507"/>
      <c r="AYH142" s="3507"/>
      <c r="AYI142" s="3507"/>
      <c r="AYJ142" s="3507"/>
      <c r="AYK142" s="3507"/>
      <c r="AYL142" s="3507"/>
      <c r="AYM142" s="3507"/>
      <c r="AYN142" s="3507"/>
      <c r="AYO142" s="3507"/>
      <c r="AYP142" s="3507"/>
      <c r="AYQ142" s="3507"/>
      <c r="AYR142" s="3507"/>
      <c r="AYS142" s="3507"/>
      <c r="AYT142" s="3507"/>
      <c r="AYU142" s="3507"/>
      <c r="AYV142" s="3507"/>
      <c r="AYW142" s="3507"/>
      <c r="AYX142" s="3507"/>
      <c r="AYY142" s="3507"/>
      <c r="AYZ142" s="3507"/>
      <c r="AZA142" s="3507"/>
      <c r="AZB142" s="3507"/>
      <c r="AZC142" s="3507"/>
      <c r="AZD142" s="3507"/>
      <c r="AZE142" s="3507"/>
      <c r="AZF142" s="3507"/>
      <c r="AZG142" s="3507"/>
      <c r="AZH142" s="3507"/>
      <c r="AZI142" s="3507"/>
      <c r="AZJ142" s="3507"/>
      <c r="AZK142" s="3507"/>
      <c r="AZL142" s="3507"/>
      <c r="AZM142" s="3507"/>
      <c r="AZN142" s="3507"/>
      <c r="AZO142" s="3507"/>
      <c r="AZP142" s="3507"/>
      <c r="AZQ142" s="3507"/>
      <c r="AZR142" s="3507"/>
      <c r="AZS142" s="3507"/>
      <c r="AZT142" s="3507"/>
      <c r="AZU142" s="3507"/>
      <c r="AZV142" s="3507"/>
      <c r="AZW142" s="3507"/>
      <c r="AZX142" s="3507"/>
      <c r="AZY142" s="3507"/>
      <c r="AZZ142" s="3507"/>
      <c r="BAA142" s="3507"/>
      <c r="BAB142" s="3507"/>
      <c r="BAC142" s="3507"/>
      <c r="BAD142" s="3507"/>
      <c r="BAE142" s="3507"/>
      <c r="BAF142" s="3507"/>
      <c r="BAG142" s="3507"/>
      <c r="BAH142" s="3507"/>
      <c r="BAI142" s="3507"/>
      <c r="BAJ142" s="3507"/>
      <c r="BAK142" s="3507"/>
      <c r="BAL142" s="3507"/>
      <c r="BAM142" s="3507"/>
      <c r="BAN142" s="3507"/>
      <c r="BAO142" s="3507"/>
      <c r="BAP142" s="3507"/>
      <c r="BAQ142" s="3507"/>
      <c r="BAR142" s="3507"/>
      <c r="BAS142" s="3507"/>
      <c r="BAT142" s="3507"/>
      <c r="BAU142" s="3507"/>
      <c r="BAV142" s="3507"/>
      <c r="BAW142" s="3507"/>
      <c r="BAX142" s="3507"/>
      <c r="BAY142" s="3507"/>
      <c r="BAZ142" s="3507"/>
      <c r="BBA142" s="3507"/>
      <c r="BBB142" s="3507"/>
      <c r="BBC142" s="3507"/>
      <c r="BBD142" s="3507"/>
      <c r="BBE142" s="3507"/>
      <c r="BBF142" s="3507"/>
      <c r="BBG142" s="3507"/>
      <c r="BBH142" s="3507"/>
      <c r="BBI142" s="3507"/>
      <c r="BBJ142" s="3507"/>
      <c r="BBK142" s="3507"/>
      <c r="BBL142" s="3507"/>
      <c r="BBM142" s="3507"/>
      <c r="BBN142" s="3507"/>
      <c r="BBO142" s="3507"/>
      <c r="BBP142" s="3507"/>
      <c r="BBQ142" s="3507"/>
      <c r="BBR142" s="3507"/>
      <c r="BBS142" s="3507"/>
      <c r="BBT142" s="3507"/>
      <c r="BBU142" s="3507"/>
      <c r="BBV142" s="3507"/>
      <c r="BBW142" s="3507"/>
      <c r="BBX142" s="3507"/>
      <c r="BBY142" s="3507"/>
      <c r="BBZ142" s="3507"/>
      <c r="BCA142" s="3507"/>
      <c r="BCB142" s="3507"/>
      <c r="BCC142" s="3507"/>
      <c r="BCD142" s="3507"/>
      <c r="BCE142" s="3507"/>
      <c r="BCF142" s="3507"/>
      <c r="BCG142" s="3507"/>
      <c r="BCH142" s="3507"/>
      <c r="BCI142" s="3507"/>
      <c r="BCJ142" s="3507"/>
      <c r="BCK142" s="3507"/>
      <c r="BCL142" s="3507"/>
      <c r="BCM142" s="3507"/>
      <c r="BCN142" s="3507"/>
      <c r="BCO142" s="3507"/>
      <c r="BCP142" s="3507"/>
      <c r="BCQ142" s="3507"/>
      <c r="BCR142" s="3507"/>
      <c r="BCS142" s="3507"/>
      <c r="BCT142" s="3507"/>
      <c r="BCU142" s="3507"/>
      <c r="BCV142" s="3507"/>
      <c r="BCW142" s="3507"/>
      <c r="BCX142" s="3507"/>
      <c r="BCY142" s="3507"/>
      <c r="BCZ142" s="3507"/>
      <c r="BDA142" s="3507"/>
      <c r="BDB142" s="3507"/>
      <c r="BDC142" s="3507"/>
      <c r="BDD142" s="3507"/>
      <c r="BDE142" s="3507"/>
      <c r="BDF142" s="3507"/>
      <c r="BDG142" s="3507"/>
      <c r="BDH142" s="3507"/>
      <c r="BDI142" s="3507"/>
      <c r="BDJ142" s="3507"/>
      <c r="BDK142" s="3507"/>
      <c r="BDL142" s="3507"/>
      <c r="BDM142" s="3507"/>
      <c r="BDN142" s="3507"/>
      <c r="BDO142" s="3507"/>
      <c r="BDP142" s="3507"/>
      <c r="BDQ142" s="3507"/>
      <c r="BDR142" s="3507"/>
      <c r="BDS142" s="3507"/>
      <c r="BDT142" s="3507"/>
      <c r="BDU142" s="3507"/>
      <c r="BDV142" s="3507"/>
      <c r="BDW142" s="3507"/>
      <c r="BDX142" s="3507"/>
      <c r="BDY142" s="3507"/>
      <c r="BDZ142" s="3507"/>
      <c r="BEA142" s="3507"/>
      <c r="BEB142" s="3507"/>
      <c r="BEC142" s="3507"/>
      <c r="BED142" s="3507"/>
      <c r="BEE142" s="3507"/>
      <c r="BEF142" s="3507"/>
      <c r="BEG142" s="3507"/>
      <c r="BEH142" s="3507"/>
      <c r="BEI142" s="3507"/>
      <c r="BEJ142" s="3507"/>
      <c r="BEK142" s="3507"/>
      <c r="BEL142" s="3507"/>
      <c r="BEM142" s="3507"/>
      <c r="BEN142" s="3507"/>
      <c r="BEO142" s="3507"/>
      <c r="BEP142" s="3507"/>
      <c r="BEQ142" s="3507"/>
      <c r="BER142" s="3507"/>
      <c r="BES142" s="3507"/>
      <c r="BET142" s="3507"/>
      <c r="BEU142" s="3507"/>
      <c r="BEV142" s="3507"/>
      <c r="BEW142" s="3507"/>
      <c r="BEX142" s="3507"/>
      <c r="BEY142" s="3507"/>
      <c r="BEZ142" s="3507"/>
      <c r="BFA142" s="3507"/>
      <c r="BFB142" s="3507"/>
      <c r="BFC142" s="3507"/>
      <c r="BFD142" s="3507"/>
      <c r="BFE142" s="3507"/>
      <c r="BFF142" s="3507"/>
      <c r="BFG142" s="3507"/>
      <c r="BFH142" s="3507"/>
      <c r="BFI142" s="3507"/>
      <c r="BFJ142" s="3507"/>
      <c r="BFK142" s="3507"/>
      <c r="BFL142" s="3507"/>
      <c r="BFM142" s="3507"/>
      <c r="BFN142" s="3507"/>
      <c r="BFO142" s="3507"/>
      <c r="BFP142" s="3507"/>
      <c r="BFQ142" s="3507"/>
      <c r="BFR142" s="3507"/>
      <c r="BFS142" s="3507"/>
      <c r="BFT142" s="3507"/>
      <c r="BFU142" s="3507"/>
      <c r="BFV142" s="3507"/>
      <c r="BFW142" s="3507"/>
      <c r="BFX142" s="3507"/>
      <c r="BFY142" s="3507"/>
      <c r="BFZ142" s="3507"/>
      <c r="BGA142" s="3507"/>
      <c r="BGB142" s="3507"/>
      <c r="BGC142" s="3507"/>
      <c r="BGD142" s="3507"/>
      <c r="BGE142" s="3507"/>
      <c r="BGF142" s="3507"/>
      <c r="BGG142" s="3507"/>
      <c r="BGH142" s="3507"/>
      <c r="BGI142" s="3507"/>
      <c r="BGJ142" s="3507"/>
      <c r="BGK142" s="3507"/>
      <c r="BGL142" s="3507"/>
      <c r="BGM142" s="3507"/>
      <c r="BGN142" s="3507"/>
      <c r="BGO142" s="3507"/>
      <c r="BGP142" s="3507"/>
      <c r="BGQ142" s="3507"/>
      <c r="BGR142" s="3507"/>
      <c r="BGS142" s="3507"/>
      <c r="BGT142" s="3507"/>
      <c r="BGU142" s="3507"/>
      <c r="BGV142" s="3507"/>
      <c r="BGW142" s="3507"/>
      <c r="BGX142" s="3507"/>
      <c r="BGY142" s="3507"/>
      <c r="BGZ142" s="3507"/>
      <c r="BHA142" s="3507"/>
      <c r="BHB142" s="3507"/>
      <c r="BHC142" s="3507"/>
      <c r="BHD142" s="3507"/>
      <c r="BHE142" s="3507"/>
      <c r="BHF142" s="3507"/>
      <c r="BHG142" s="3507"/>
      <c r="BHH142" s="3507"/>
      <c r="BHI142" s="3507"/>
      <c r="BHJ142" s="3507"/>
      <c r="BHK142" s="3507"/>
      <c r="BHL142" s="3507"/>
      <c r="BHM142" s="3507"/>
      <c r="BHN142" s="3507"/>
      <c r="BHO142" s="3507"/>
      <c r="BHP142" s="3507"/>
      <c r="BHQ142" s="3507"/>
      <c r="BHR142" s="3507"/>
      <c r="BHS142" s="3507"/>
      <c r="BHT142" s="3507"/>
      <c r="BHU142" s="3507"/>
      <c r="BHV142" s="3507"/>
      <c r="BHW142" s="3507"/>
      <c r="BHX142" s="3507"/>
      <c r="BHY142" s="3507"/>
      <c r="BHZ142" s="3507"/>
      <c r="BIA142" s="3507"/>
      <c r="BIB142" s="3507"/>
      <c r="BIC142" s="3507"/>
      <c r="BID142" s="3507"/>
      <c r="BIE142" s="3507"/>
      <c r="BIF142" s="3507"/>
      <c r="BIG142" s="3507"/>
      <c r="BIH142" s="3507"/>
      <c r="BII142" s="3507"/>
      <c r="BIJ142" s="3507"/>
      <c r="BIK142" s="3507"/>
      <c r="BIL142" s="3507"/>
      <c r="BIM142" s="3507"/>
      <c r="BIN142" s="3507"/>
      <c r="BIO142" s="3507"/>
      <c r="BIP142" s="3507"/>
      <c r="BIQ142" s="3507"/>
      <c r="BIR142" s="3507"/>
      <c r="BIS142" s="3507"/>
      <c r="BIT142" s="3507"/>
      <c r="BIU142" s="3507"/>
      <c r="BIV142" s="3507"/>
      <c r="BIW142" s="3507"/>
      <c r="BIX142" s="3507"/>
      <c r="BIY142" s="3507"/>
      <c r="BIZ142" s="3507"/>
      <c r="BJA142" s="3507"/>
      <c r="BJB142" s="3507"/>
      <c r="BJC142" s="3507"/>
      <c r="BJD142" s="3507"/>
      <c r="BJE142" s="3507"/>
      <c r="BJF142" s="3507"/>
      <c r="BJG142" s="3507"/>
      <c r="BJH142" s="3507"/>
      <c r="BJI142" s="3507"/>
      <c r="BJJ142" s="3507"/>
      <c r="BJK142" s="3507"/>
      <c r="BJL142" s="3507"/>
      <c r="BJM142" s="3507"/>
      <c r="BJN142" s="3507"/>
      <c r="BJO142" s="3507"/>
      <c r="BJP142" s="3507"/>
      <c r="BJQ142" s="3507"/>
      <c r="BJR142" s="3507"/>
      <c r="BJS142" s="3507"/>
      <c r="BJT142" s="3507"/>
      <c r="BJU142" s="3507"/>
      <c r="BJV142" s="3507"/>
      <c r="BJW142" s="3507"/>
      <c r="BJX142" s="3507"/>
      <c r="BJY142" s="3507"/>
      <c r="BJZ142" s="3507"/>
      <c r="BKA142" s="3507"/>
      <c r="BKB142" s="3507"/>
      <c r="BKC142" s="3507"/>
      <c r="BKD142" s="3507"/>
      <c r="BKE142" s="3507"/>
      <c r="BKF142" s="3507"/>
      <c r="BKG142" s="3507"/>
      <c r="BKH142" s="3507"/>
      <c r="BKI142" s="3507"/>
      <c r="BKJ142" s="3507"/>
      <c r="BKK142" s="3507"/>
      <c r="BKL142" s="3507"/>
      <c r="BKM142" s="3507"/>
      <c r="BKN142" s="3507"/>
      <c r="BKO142" s="3507"/>
      <c r="BKP142" s="3507"/>
      <c r="BKQ142" s="3507"/>
      <c r="BKR142" s="3507"/>
      <c r="BKS142" s="3507"/>
      <c r="BKT142" s="3507"/>
      <c r="BKU142" s="3507"/>
      <c r="BKV142" s="3507"/>
      <c r="BKW142" s="3507"/>
      <c r="BKX142" s="3507"/>
      <c r="BKY142" s="3507"/>
      <c r="BKZ142" s="3507"/>
      <c r="BLA142" s="3507"/>
      <c r="BLB142" s="3507"/>
      <c r="BLC142" s="3507"/>
      <c r="BLD142" s="3507"/>
      <c r="BLE142" s="3507"/>
      <c r="BLF142" s="3507"/>
      <c r="BLG142" s="3507"/>
      <c r="BLH142" s="3507"/>
      <c r="BLI142" s="3507"/>
      <c r="BLJ142" s="3507"/>
      <c r="BLK142" s="3507"/>
      <c r="BLL142" s="3507"/>
      <c r="BLM142" s="3507"/>
      <c r="BLN142" s="3507"/>
      <c r="BLO142" s="3507"/>
      <c r="BLP142" s="3507"/>
      <c r="BLQ142" s="3507"/>
      <c r="BLR142" s="3507"/>
      <c r="BLS142" s="3507"/>
      <c r="BLT142" s="3507"/>
      <c r="BLU142" s="3507"/>
      <c r="BLV142" s="3507"/>
      <c r="BLW142" s="3507"/>
      <c r="BLX142" s="3507"/>
      <c r="BLY142" s="3507"/>
      <c r="BLZ142" s="3507"/>
      <c r="BMA142" s="3507"/>
      <c r="BMB142" s="3507"/>
      <c r="BMC142" s="3507"/>
      <c r="BMD142" s="3507"/>
      <c r="BME142" s="3507"/>
      <c r="BMF142" s="3507"/>
      <c r="BMG142" s="3507"/>
      <c r="BMH142" s="3507"/>
      <c r="BMI142" s="3507"/>
      <c r="BMJ142" s="3507"/>
      <c r="BMK142" s="3507"/>
      <c r="BML142" s="3507"/>
      <c r="BMM142" s="3507"/>
      <c r="BMN142" s="3507"/>
      <c r="BMO142" s="3507"/>
      <c r="BMP142" s="3507"/>
      <c r="BMQ142" s="3507"/>
      <c r="BMR142" s="3507"/>
      <c r="BMS142" s="3507"/>
      <c r="BMT142" s="3507"/>
      <c r="BMU142" s="3507"/>
      <c r="BMV142" s="3507"/>
      <c r="BMW142" s="3507"/>
      <c r="BMX142" s="3507"/>
      <c r="BMY142" s="3507"/>
      <c r="BMZ142" s="3507"/>
      <c r="BNA142" s="3507"/>
      <c r="BNB142" s="3507"/>
      <c r="BNC142" s="3507"/>
      <c r="BND142" s="3507"/>
      <c r="BNE142" s="3507"/>
      <c r="BNF142" s="3507"/>
      <c r="BNG142" s="3507"/>
      <c r="BNH142" s="3507"/>
      <c r="BNI142" s="3507"/>
      <c r="BNJ142" s="3507"/>
      <c r="BNK142" s="3507"/>
      <c r="BNL142" s="3507"/>
      <c r="BNM142" s="3507"/>
      <c r="BNN142" s="3507"/>
      <c r="BNO142" s="3507"/>
      <c r="BNP142" s="3507"/>
      <c r="BNQ142" s="3507"/>
      <c r="BNR142" s="3507"/>
      <c r="BNS142" s="3507"/>
      <c r="BNT142" s="3507"/>
      <c r="BNU142" s="3507"/>
      <c r="BNV142" s="3507"/>
      <c r="BNW142" s="3507"/>
      <c r="BNX142" s="3507"/>
      <c r="BNY142" s="3507"/>
      <c r="BNZ142" s="3507"/>
      <c r="BOA142" s="3507"/>
      <c r="BOB142" s="3507"/>
      <c r="BOC142" s="3507"/>
      <c r="BOD142" s="3507"/>
      <c r="BOE142" s="3507"/>
      <c r="BOF142" s="3507"/>
      <c r="BOG142" s="3507"/>
      <c r="BOH142" s="3507"/>
      <c r="BOI142" s="3507"/>
      <c r="BOJ142" s="3507"/>
      <c r="BOK142" s="3507"/>
      <c r="BOL142" s="3507"/>
      <c r="BOM142" s="3507"/>
      <c r="BON142" s="3507"/>
      <c r="BOO142" s="3507"/>
      <c r="BOP142" s="3507"/>
      <c r="BOQ142" s="3507"/>
      <c r="BOR142" s="3507"/>
      <c r="BOS142" s="3507"/>
      <c r="BOT142" s="3507"/>
      <c r="BOU142" s="3507"/>
      <c r="BOV142" s="3507"/>
      <c r="BOW142" s="3507"/>
      <c r="BOX142" s="3507"/>
      <c r="BOY142" s="3507"/>
      <c r="BOZ142" s="3507"/>
      <c r="BPA142" s="3507"/>
      <c r="BPB142" s="3507"/>
      <c r="BPC142" s="3507"/>
      <c r="BPD142" s="3507"/>
      <c r="BPE142" s="3507"/>
      <c r="BPF142" s="3507"/>
      <c r="BPG142" s="3507"/>
      <c r="BPH142" s="3507"/>
      <c r="BPI142" s="3507"/>
      <c r="BPJ142" s="3507"/>
      <c r="BPK142" s="3507"/>
      <c r="BPL142" s="3507"/>
      <c r="BPM142" s="3507"/>
      <c r="BPN142" s="3507"/>
      <c r="BPO142" s="3507"/>
      <c r="BPP142" s="3507"/>
      <c r="BPQ142" s="3507"/>
      <c r="BPR142" s="3507"/>
      <c r="BPS142" s="3507"/>
      <c r="BPT142" s="3507"/>
      <c r="BPU142" s="3507"/>
      <c r="BPV142" s="3507"/>
      <c r="BPW142" s="3507"/>
      <c r="BPX142" s="3507"/>
      <c r="BPY142" s="3507"/>
      <c r="BPZ142" s="3507"/>
      <c r="BQA142" s="3507"/>
      <c r="BQB142" s="3507"/>
      <c r="BQC142" s="3507"/>
      <c r="BQD142" s="3507"/>
      <c r="BQE142" s="3507"/>
      <c r="BQF142" s="3507"/>
      <c r="BQG142" s="3507"/>
      <c r="BQH142" s="3507"/>
      <c r="BQI142" s="3507"/>
      <c r="BQJ142" s="3507"/>
      <c r="BQK142" s="3507"/>
      <c r="BQL142" s="3507"/>
      <c r="BQM142" s="3507"/>
      <c r="BQN142" s="3507"/>
      <c r="BQO142" s="3507"/>
      <c r="BQP142" s="3507"/>
      <c r="BQQ142" s="3507"/>
      <c r="BQR142" s="3507"/>
      <c r="BQS142" s="3507"/>
      <c r="BQT142" s="3507"/>
      <c r="BQU142" s="3507"/>
      <c r="BQV142" s="3507"/>
      <c r="BQW142" s="3507"/>
      <c r="BQX142" s="3507"/>
      <c r="BQY142" s="3507"/>
      <c r="BQZ142" s="3507"/>
      <c r="BRA142" s="3507"/>
      <c r="BRB142" s="3507"/>
      <c r="BRC142" s="3507"/>
      <c r="BRD142" s="3507"/>
      <c r="BRE142" s="3507"/>
      <c r="BRF142" s="3507"/>
      <c r="BRG142" s="3507"/>
      <c r="BRH142" s="3507"/>
      <c r="BRI142" s="3507"/>
      <c r="BRJ142" s="3507"/>
      <c r="BRK142" s="3507"/>
      <c r="BRL142" s="3507"/>
      <c r="BRM142" s="3507"/>
      <c r="BRN142" s="3507"/>
      <c r="BRO142" s="3507"/>
      <c r="BRP142" s="3507"/>
      <c r="BRQ142" s="3507"/>
      <c r="BRR142" s="3507"/>
      <c r="BRS142" s="3507"/>
      <c r="BRT142" s="3507"/>
      <c r="BRU142" s="3507"/>
      <c r="BRV142" s="3507"/>
      <c r="BRW142" s="3507"/>
      <c r="BRX142" s="3507"/>
      <c r="BRY142" s="3507"/>
      <c r="BRZ142" s="3507"/>
      <c r="BSA142" s="3507"/>
      <c r="BSB142" s="3507"/>
      <c r="BSC142" s="3507"/>
      <c r="BSD142" s="3507"/>
      <c r="BSE142" s="3507"/>
      <c r="BSF142" s="3507"/>
      <c r="BSG142" s="3507"/>
      <c r="BSH142" s="3507"/>
      <c r="BSI142" s="3507"/>
      <c r="BSJ142" s="3507"/>
      <c r="BSK142" s="3507"/>
      <c r="BSL142" s="3507"/>
      <c r="BSM142" s="3507"/>
      <c r="BSN142" s="3507"/>
      <c r="BSO142" s="3507"/>
      <c r="BSP142" s="3507"/>
      <c r="BSQ142" s="3507"/>
      <c r="BSR142" s="3507"/>
      <c r="BSS142" s="3507"/>
      <c r="BST142" s="3507"/>
      <c r="BSU142" s="3507"/>
      <c r="BSV142" s="3507"/>
      <c r="BSW142" s="3507"/>
      <c r="BSX142" s="3507"/>
      <c r="BSY142" s="3507"/>
      <c r="BSZ142" s="3507"/>
      <c r="BTA142" s="3507"/>
      <c r="BTB142" s="3507"/>
      <c r="BTC142" s="3507"/>
      <c r="BTD142" s="3507"/>
      <c r="BTE142" s="3507"/>
      <c r="BTF142" s="3507"/>
      <c r="BTG142" s="3507"/>
      <c r="BTH142" s="3507"/>
      <c r="BTI142" s="3507"/>
      <c r="BTJ142" s="3507"/>
      <c r="BTK142" s="3507"/>
      <c r="BTL142" s="3507"/>
      <c r="BTM142" s="3507"/>
      <c r="BTN142" s="3507"/>
      <c r="BTO142" s="3507"/>
      <c r="BTP142" s="3507"/>
      <c r="BTQ142" s="3507"/>
      <c r="BTR142" s="3507"/>
      <c r="BTS142" s="3507"/>
      <c r="BTT142" s="3507"/>
      <c r="BTU142" s="3507"/>
      <c r="BTV142" s="3507"/>
      <c r="BTW142" s="3507"/>
      <c r="BTX142" s="3507"/>
      <c r="BTY142" s="3507"/>
      <c r="BTZ142" s="3507"/>
      <c r="BUA142" s="3507"/>
      <c r="BUB142" s="3507"/>
      <c r="BUC142" s="3507"/>
      <c r="BUD142" s="3507"/>
      <c r="BUE142" s="3507"/>
      <c r="BUF142" s="3507"/>
      <c r="BUG142" s="3507"/>
      <c r="BUH142" s="3507"/>
      <c r="BUI142" s="3507"/>
      <c r="BUJ142" s="3507"/>
      <c r="BUK142" s="3507"/>
      <c r="BUL142" s="3507"/>
      <c r="BUM142" s="3507"/>
      <c r="BUN142" s="3507"/>
      <c r="BUO142" s="3507"/>
      <c r="BUP142" s="3507"/>
      <c r="BUQ142" s="3507"/>
      <c r="BUR142" s="3507"/>
      <c r="BUS142" s="3507"/>
      <c r="BUT142" s="3507"/>
      <c r="BUU142" s="3507"/>
      <c r="BUV142" s="3507"/>
      <c r="BUW142" s="3507"/>
      <c r="BUX142" s="3507"/>
      <c r="BUY142" s="3507"/>
      <c r="BUZ142" s="3507"/>
      <c r="BVA142" s="3507"/>
      <c r="BVB142" s="3507"/>
      <c r="BVC142" s="3507"/>
      <c r="BVD142" s="3507"/>
      <c r="BVE142" s="3507"/>
      <c r="BVF142" s="3507"/>
      <c r="BVG142" s="3507"/>
      <c r="BVH142" s="3507"/>
      <c r="BVI142" s="3507"/>
      <c r="BVJ142" s="3507"/>
      <c r="BVK142" s="3507"/>
      <c r="BVL142" s="3507"/>
      <c r="BVM142" s="3507"/>
      <c r="BVN142" s="3507"/>
      <c r="BVO142" s="3507"/>
      <c r="BVP142" s="3507"/>
      <c r="BVQ142" s="3507"/>
      <c r="BVR142" s="3507"/>
      <c r="BVS142" s="3507"/>
      <c r="BVT142" s="3507"/>
      <c r="BVU142" s="3507"/>
      <c r="BVV142" s="3507"/>
      <c r="BVW142" s="3507"/>
      <c r="BVX142" s="3507"/>
      <c r="BVY142" s="3507"/>
      <c r="BVZ142" s="3507"/>
      <c r="BWA142" s="3507"/>
      <c r="BWB142" s="3507"/>
      <c r="BWC142" s="3507"/>
      <c r="BWD142" s="3507"/>
      <c r="BWE142" s="3507"/>
      <c r="BWF142" s="3507"/>
      <c r="BWG142" s="3507"/>
      <c r="BWH142" s="3507"/>
      <c r="BWI142" s="3507"/>
      <c r="BWJ142" s="3507"/>
      <c r="BWK142" s="3507"/>
      <c r="BWL142" s="3507"/>
      <c r="BWM142" s="3507"/>
      <c r="BWN142" s="3507"/>
      <c r="BWO142" s="3507"/>
      <c r="BWP142" s="3507"/>
      <c r="BWQ142" s="3507"/>
      <c r="BWR142" s="3507"/>
      <c r="BWS142" s="3507"/>
      <c r="BWT142" s="3507"/>
      <c r="BWU142" s="3507"/>
      <c r="BWV142" s="3507"/>
      <c r="BWW142" s="3507"/>
      <c r="BWX142" s="3507"/>
      <c r="BWY142" s="3507"/>
      <c r="BWZ142" s="3507"/>
      <c r="BXA142" s="3507"/>
      <c r="BXB142" s="3507"/>
      <c r="BXC142" s="3507"/>
      <c r="BXD142" s="3507"/>
      <c r="BXE142" s="3507"/>
      <c r="BXF142" s="3507"/>
      <c r="BXG142" s="3507"/>
      <c r="BXH142" s="3507"/>
      <c r="BXI142" s="3507"/>
      <c r="BXJ142" s="3507"/>
      <c r="BXK142" s="3507"/>
      <c r="BXL142" s="3507"/>
      <c r="BXM142" s="3507"/>
      <c r="BXN142" s="3507"/>
      <c r="BXO142" s="3507"/>
      <c r="BXP142" s="3507"/>
      <c r="BXQ142" s="3507"/>
      <c r="BXR142" s="3507"/>
      <c r="BXS142" s="3507"/>
      <c r="BXT142" s="3507"/>
      <c r="BXU142" s="3507"/>
      <c r="BXV142" s="3507"/>
      <c r="BXW142" s="3507"/>
      <c r="BXX142" s="3507"/>
      <c r="BXY142" s="3507"/>
      <c r="BXZ142" s="3507"/>
      <c r="BYA142" s="3507"/>
      <c r="BYB142" s="3507"/>
      <c r="BYC142" s="3507"/>
      <c r="BYD142" s="3507"/>
      <c r="BYE142" s="3507"/>
      <c r="BYF142" s="3507"/>
      <c r="BYG142" s="3507"/>
      <c r="BYH142" s="3507"/>
      <c r="BYI142" s="3507"/>
      <c r="BYJ142" s="3507"/>
      <c r="BYK142" s="3507"/>
      <c r="BYL142" s="3507"/>
      <c r="BYM142" s="3507"/>
      <c r="BYN142" s="3507"/>
      <c r="BYO142" s="3507"/>
      <c r="BYP142" s="3507"/>
      <c r="BYQ142" s="3507"/>
      <c r="BYR142" s="3507"/>
      <c r="BYS142" s="3507"/>
      <c r="BYT142" s="3507"/>
      <c r="BYU142" s="3507"/>
      <c r="BYV142" s="3507"/>
      <c r="BYW142" s="3507"/>
      <c r="BYX142" s="3507"/>
      <c r="BYY142" s="3507"/>
      <c r="BYZ142" s="3507"/>
      <c r="BZA142" s="3507"/>
      <c r="BZB142" s="3507"/>
      <c r="BZC142" s="3507"/>
      <c r="BZD142" s="3507"/>
      <c r="BZE142" s="3507"/>
      <c r="BZF142" s="3507"/>
      <c r="BZG142" s="3507"/>
      <c r="BZH142" s="3507"/>
      <c r="BZI142" s="3507"/>
      <c r="BZJ142" s="3507"/>
      <c r="BZK142" s="3507"/>
      <c r="BZL142" s="3507"/>
      <c r="BZM142" s="3507"/>
      <c r="BZN142" s="3507"/>
      <c r="BZO142" s="3507"/>
      <c r="BZP142" s="3507"/>
      <c r="BZQ142" s="3507"/>
      <c r="BZR142" s="3507"/>
      <c r="BZS142" s="3507"/>
      <c r="BZT142" s="3507"/>
      <c r="BZU142" s="3507"/>
      <c r="BZV142" s="3507"/>
      <c r="BZW142" s="3507"/>
      <c r="BZX142" s="3507"/>
      <c r="BZY142" s="3507"/>
      <c r="BZZ142" s="3507"/>
      <c r="CAA142" s="3507"/>
      <c r="CAB142" s="3507"/>
      <c r="CAC142" s="3507"/>
      <c r="CAD142" s="3507"/>
      <c r="CAE142" s="3507"/>
      <c r="CAF142" s="3507"/>
      <c r="CAG142" s="3507"/>
      <c r="CAH142" s="3507"/>
      <c r="CAI142" s="3507"/>
      <c r="CAJ142" s="3507"/>
      <c r="CAK142" s="3507"/>
      <c r="CAL142" s="3507"/>
      <c r="CAM142" s="3507"/>
      <c r="CAN142" s="3507"/>
      <c r="CAO142" s="3507"/>
      <c r="CAP142" s="3507"/>
      <c r="CAQ142" s="3507"/>
      <c r="CAR142" s="3507"/>
      <c r="CAS142" s="3507"/>
      <c r="CAT142" s="3507"/>
      <c r="CAU142" s="3507"/>
      <c r="CAV142" s="3507"/>
      <c r="CAW142" s="3507"/>
      <c r="CAX142" s="3507"/>
      <c r="CAY142" s="3507"/>
      <c r="CAZ142" s="3507"/>
      <c r="CBA142" s="3507"/>
      <c r="CBB142" s="3507"/>
      <c r="CBC142" s="3507"/>
      <c r="CBD142" s="3507"/>
      <c r="CBE142" s="3507"/>
      <c r="CBF142" s="3507"/>
      <c r="CBG142" s="3507"/>
      <c r="CBH142" s="3507"/>
      <c r="CBI142" s="3507"/>
      <c r="CBJ142" s="3507"/>
      <c r="CBK142" s="3507"/>
      <c r="CBL142" s="3507"/>
      <c r="CBM142" s="3507"/>
      <c r="CBN142" s="3507"/>
      <c r="CBO142" s="3507"/>
      <c r="CBP142" s="3507"/>
      <c r="CBQ142" s="3507"/>
      <c r="CBR142" s="3507"/>
      <c r="CBS142" s="3507"/>
      <c r="CBT142" s="3507"/>
      <c r="CBU142" s="3507"/>
      <c r="CBV142" s="3507"/>
      <c r="CBW142" s="3507"/>
      <c r="CBX142" s="3507"/>
      <c r="CBY142" s="3507"/>
      <c r="CBZ142" s="3507"/>
      <c r="CCA142" s="3507"/>
      <c r="CCB142" s="3507"/>
      <c r="CCC142" s="3507"/>
      <c r="CCD142" s="3507"/>
      <c r="CCE142" s="3507"/>
      <c r="CCF142" s="3507"/>
      <c r="CCG142" s="3507"/>
      <c r="CCH142" s="3507"/>
      <c r="CCI142" s="3507"/>
      <c r="CCJ142" s="3507"/>
      <c r="CCK142" s="3507"/>
      <c r="CCL142" s="3507"/>
      <c r="CCM142" s="3507"/>
      <c r="CCN142" s="3507"/>
      <c r="CCO142" s="3507"/>
      <c r="CCP142" s="3507"/>
      <c r="CCQ142" s="3507"/>
      <c r="CCR142" s="3507"/>
      <c r="CCS142" s="3507"/>
      <c r="CCT142" s="3507"/>
      <c r="CCU142" s="3507"/>
      <c r="CCV142" s="3507"/>
      <c r="CCW142" s="3507"/>
      <c r="CCX142" s="3507"/>
      <c r="CCY142" s="3507"/>
      <c r="CCZ142" s="3507"/>
      <c r="CDA142" s="3507"/>
      <c r="CDB142" s="3507"/>
      <c r="CDC142" s="3507"/>
      <c r="CDD142" s="3507"/>
      <c r="CDE142" s="3507"/>
      <c r="CDF142" s="3507"/>
      <c r="CDG142" s="3507"/>
      <c r="CDH142" s="3507"/>
      <c r="CDI142" s="3507"/>
      <c r="CDJ142" s="3507"/>
      <c r="CDK142" s="3507"/>
      <c r="CDL142" s="3507"/>
      <c r="CDM142" s="3507"/>
      <c r="CDN142" s="3507"/>
      <c r="CDO142" s="3507"/>
      <c r="CDP142" s="3507"/>
      <c r="CDQ142" s="3507"/>
      <c r="CDR142" s="3507"/>
      <c r="CDS142" s="3507"/>
      <c r="CDT142" s="3507"/>
      <c r="CDU142" s="3507"/>
      <c r="CDV142" s="3507"/>
      <c r="CDW142" s="3507"/>
      <c r="CDX142" s="3507"/>
      <c r="CDY142" s="3507"/>
      <c r="CDZ142" s="3507"/>
      <c r="CEA142" s="3507"/>
      <c r="CEB142" s="3507"/>
      <c r="CEC142" s="3507"/>
      <c r="CED142" s="3507"/>
      <c r="CEE142" s="3507"/>
      <c r="CEF142" s="3507"/>
      <c r="CEG142" s="3507"/>
      <c r="CEH142" s="3507"/>
      <c r="CEI142" s="3507"/>
      <c r="CEJ142" s="3507"/>
      <c r="CEK142" s="3507"/>
      <c r="CEL142" s="3507"/>
      <c r="CEM142" s="3507"/>
      <c r="CEN142" s="3507"/>
      <c r="CEO142" s="3507"/>
      <c r="CEP142" s="3507"/>
      <c r="CEQ142" s="3507"/>
      <c r="CER142" s="3507"/>
      <c r="CES142" s="3507"/>
      <c r="CET142" s="3507"/>
      <c r="CEU142" s="3507"/>
      <c r="CEV142" s="3507"/>
      <c r="CEW142" s="3507"/>
      <c r="CEX142" s="3507"/>
      <c r="CEY142" s="3507"/>
      <c r="CEZ142" s="3507"/>
      <c r="CFA142" s="3507"/>
      <c r="CFB142" s="3507"/>
      <c r="CFC142" s="3507"/>
      <c r="CFD142" s="3507"/>
      <c r="CFE142" s="3507"/>
      <c r="CFF142" s="3507"/>
      <c r="CFG142" s="3507"/>
      <c r="CFH142" s="3507"/>
      <c r="CFI142" s="3507"/>
      <c r="CFJ142" s="3507"/>
      <c r="CFK142" s="3507"/>
      <c r="CFL142" s="3507"/>
      <c r="CFM142" s="3507"/>
      <c r="CFN142" s="3507"/>
      <c r="CFO142" s="3507"/>
      <c r="CFP142" s="3507"/>
      <c r="CFQ142" s="3507"/>
      <c r="CFR142" s="3507"/>
      <c r="CFS142" s="3507"/>
      <c r="CFT142" s="3507"/>
      <c r="CFU142" s="3507"/>
      <c r="CFV142" s="3507"/>
      <c r="CFW142" s="3507"/>
      <c r="CFX142" s="3507"/>
      <c r="CFY142" s="3507"/>
      <c r="CFZ142" s="3507"/>
      <c r="CGA142" s="3507"/>
      <c r="CGB142" s="3507"/>
      <c r="CGC142" s="3507"/>
      <c r="CGD142" s="3507"/>
      <c r="CGE142" s="3507"/>
      <c r="CGF142" s="3507"/>
      <c r="CGG142" s="3507"/>
      <c r="CGH142" s="3507"/>
      <c r="CGI142" s="3507"/>
      <c r="CGJ142" s="3507"/>
      <c r="CGK142" s="3507"/>
      <c r="CGL142" s="3507"/>
      <c r="CGM142" s="3507"/>
      <c r="CGN142" s="3507"/>
      <c r="CGO142" s="3507"/>
      <c r="CGP142" s="3507"/>
      <c r="CGQ142" s="3507"/>
      <c r="CGR142" s="3507"/>
      <c r="CGS142" s="3507"/>
      <c r="CGT142" s="3507"/>
      <c r="CGU142" s="3507"/>
      <c r="CGV142" s="3507"/>
      <c r="CGW142" s="3507"/>
      <c r="CGX142" s="3507"/>
      <c r="CGY142" s="3507"/>
      <c r="CGZ142" s="3507"/>
      <c r="CHA142" s="3507"/>
      <c r="CHB142" s="3507"/>
      <c r="CHC142" s="3507"/>
      <c r="CHD142" s="3507"/>
      <c r="CHE142" s="3507"/>
      <c r="CHF142" s="3507"/>
      <c r="CHG142" s="3507"/>
      <c r="CHH142" s="3507"/>
      <c r="CHI142" s="3507"/>
      <c r="CHJ142" s="3507"/>
      <c r="CHK142" s="3507"/>
      <c r="CHL142" s="3507"/>
      <c r="CHM142" s="3507"/>
      <c r="CHN142" s="3507"/>
      <c r="CHO142" s="3507"/>
      <c r="CHP142" s="3507"/>
      <c r="CHQ142" s="3507"/>
      <c r="CHR142" s="3507"/>
      <c r="CHS142" s="3507"/>
      <c r="CHT142" s="3507"/>
      <c r="CHU142" s="3507"/>
      <c r="CHV142" s="3507"/>
      <c r="CHW142" s="3507"/>
      <c r="CHX142" s="3507"/>
      <c r="CHY142" s="3507"/>
      <c r="CHZ142" s="3507"/>
      <c r="CIA142" s="3507"/>
      <c r="CIB142" s="3507"/>
      <c r="CIC142" s="3507"/>
      <c r="CID142" s="3507"/>
      <c r="CIE142" s="3507"/>
      <c r="CIF142" s="3507"/>
      <c r="CIG142" s="3507"/>
      <c r="CIH142" s="3507"/>
      <c r="CII142" s="3507"/>
      <c r="CIJ142" s="3507"/>
      <c r="CIK142" s="3507"/>
      <c r="CIL142" s="3507"/>
      <c r="CIM142" s="3507"/>
      <c r="CIN142" s="3507"/>
      <c r="CIO142" s="3507"/>
      <c r="CIP142" s="3507"/>
      <c r="CIQ142" s="3507"/>
      <c r="CIR142" s="3507"/>
      <c r="CIS142" s="3507"/>
      <c r="CIT142" s="3507"/>
      <c r="CIU142" s="3507"/>
      <c r="CIV142" s="3507"/>
      <c r="CIW142" s="3507"/>
      <c r="CIX142" s="3507"/>
      <c r="CIY142" s="3507"/>
      <c r="CIZ142" s="3507"/>
      <c r="CJA142" s="3507"/>
      <c r="CJB142" s="3507"/>
      <c r="CJC142" s="3507"/>
      <c r="CJD142" s="3507"/>
      <c r="CJE142" s="3507"/>
      <c r="CJF142" s="3507"/>
      <c r="CJG142" s="3507"/>
      <c r="CJH142" s="3507"/>
      <c r="CJI142" s="3507"/>
      <c r="CJJ142" s="3507"/>
      <c r="CJK142" s="3507"/>
      <c r="CJL142" s="3507"/>
      <c r="CJM142" s="3507"/>
      <c r="CJN142" s="3507"/>
      <c r="CJO142" s="3507"/>
      <c r="CJP142" s="3507"/>
      <c r="CJQ142" s="3507"/>
      <c r="CJR142" s="3507"/>
      <c r="CJS142" s="3507"/>
      <c r="CJT142" s="3507"/>
      <c r="CJU142" s="3507"/>
      <c r="CJV142" s="3507"/>
      <c r="CJW142" s="3507"/>
      <c r="CJX142" s="3507"/>
      <c r="CJY142" s="3507"/>
      <c r="CJZ142" s="3507"/>
      <c r="CKA142" s="3507"/>
      <c r="CKB142" s="3507"/>
      <c r="CKC142" s="3507"/>
      <c r="CKD142" s="3507"/>
      <c r="CKE142" s="3507"/>
      <c r="CKF142" s="3507"/>
      <c r="CKG142" s="3507"/>
      <c r="CKH142" s="3507"/>
      <c r="CKI142" s="3507"/>
      <c r="CKJ142" s="3507"/>
      <c r="CKK142" s="3507"/>
      <c r="CKL142" s="3507"/>
      <c r="CKM142" s="3507"/>
      <c r="CKN142" s="3507"/>
      <c r="CKO142" s="3507"/>
      <c r="CKP142" s="3507"/>
      <c r="CKQ142" s="3507"/>
      <c r="CKR142" s="3507"/>
      <c r="CKS142" s="3507"/>
      <c r="CKT142" s="3507"/>
      <c r="CKU142" s="3507"/>
      <c r="CKV142" s="3507"/>
      <c r="CKW142" s="3507"/>
      <c r="CKX142" s="3507"/>
      <c r="CKY142" s="3507"/>
      <c r="CKZ142" s="3507"/>
      <c r="CLA142" s="3507"/>
      <c r="CLB142" s="3507"/>
      <c r="CLC142" s="3507"/>
      <c r="CLD142" s="3507"/>
      <c r="CLE142" s="3507"/>
      <c r="CLF142" s="3507"/>
      <c r="CLG142" s="3507"/>
      <c r="CLH142" s="3507"/>
      <c r="CLI142" s="3507"/>
      <c r="CLJ142" s="3507"/>
      <c r="CLK142" s="3507"/>
      <c r="CLL142" s="3507"/>
      <c r="CLM142" s="3507"/>
      <c r="CLN142" s="3507"/>
      <c r="CLO142" s="3507"/>
      <c r="CLP142" s="3507"/>
      <c r="CLQ142" s="3507"/>
      <c r="CLR142" s="3507"/>
      <c r="CLS142" s="3507"/>
      <c r="CLT142" s="3507"/>
      <c r="CLU142" s="3507"/>
      <c r="CLV142" s="3507"/>
      <c r="CLW142" s="3507"/>
      <c r="CLX142" s="3507"/>
      <c r="CLY142" s="3507"/>
      <c r="CLZ142" s="3507"/>
      <c r="CMA142" s="3507"/>
      <c r="CMB142" s="3507"/>
      <c r="CMC142" s="3507"/>
      <c r="CMD142" s="3507"/>
      <c r="CME142" s="3507"/>
      <c r="CMF142" s="3507"/>
      <c r="CMG142" s="3507"/>
      <c r="CMH142" s="3507"/>
      <c r="CMI142" s="3507"/>
      <c r="CMJ142" s="3507"/>
      <c r="CMK142" s="3507"/>
      <c r="CML142" s="3507"/>
      <c r="CMM142" s="3507"/>
      <c r="CMN142" s="3507"/>
      <c r="CMO142" s="3507"/>
      <c r="CMP142" s="3507"/>
      <c r="CMQ142" s="3507"/>
      <c r="CMR142" s="3507"/>
      <c r="CMS142" s="3507"/>
      <c r="CMT142" s="3507"/>
      <c r="CMU142" s="3507"/>
      <c r="CMV142" s="3507"/>
      <c r="CMW142" s="3507"/>
      <c r="CMX142" s="3507"/>
      <c r="CMY142" s="3507"/>
      <c r="CMZ142" s="3507"/>
      <c r="CNA142" s="3507"/>
      <c r="CNB142" s="3507"/>
      <c r="CNC142" s="3507"/>
      <c r="CND142" s="3507"/>
      <c r="CNE142" s="3507"/>
      <c r="CNF142" s="3507"/>
      <c r="CNG142" s="3507"/>
      <c r="CNH142" s="3507"/>
      <c r="CNI142" s="3507"/>
      <c r="CNJ142" s="3507"/>
      <c r="CNK142" s="3507"/>
      <c r="CNL142" s="3507"/>
      <c r="CNM142" s="3507"/>
      <c r="CNN142" s="3507"/>
      <c r="CNO142" s="3507"/>
      <c r="CNP142" s="3507"/>
      <c r="CNQ142" s="3507"/>
      <c r="CNR142" s="3507"/>
      <c r="CNS142" s="3507"/>
      <c r="CNT142" s="3507"/>
      <c r="CNU142" s="3507"/>
      <c r="CNV142" s="3507"/>
      <c r="CNW142" s="3507"/>
      <c r="CNX142" s="3507"/>
      <c r="CNY142" s="3507"/>
      <c r="CNZ142" s="3507"/>
      <c r="COA142" s="3507"/>
      <c r="COB142" s="3507"/>
      <c r="COC142" s="3507"/>
      <c r="COD142" s="3507"/>
      <c r="COE142" s="3507"/>
      <c r="COF142" s="3507"/>
      <c r="COG142" s="3507"/>
      <c r="COH142" s="3507"/>
      <c r="COI142" s="3507"/>
      <c r="COJ142" s="3507"/>
      <c r="COK142" s="3507"/>
      <c r="COL142" s="3507"/>
      <c r="COM142" s="3507"/>
      <c r="CON142" s="3507"/>
      <c r="COO142" s="3507"/>
      <c r="COP142" s="3507"/>
      <c r="COQ142" s="3507"/>
      <c r="COR142" s="3507"/>
      <c r="COS142" s="3507"/>
      <c r="COT142" s="3507"/>
      <c r="COU142" s="3507"/>
      <c r="COV142" s="3507"/>
      <c r="COW142" s="3507"/>
      <c r="COX142" s="3507"/>
      <c r="COY142" s="3507"/>
      <c r="COZ142" s="3507"/>
      <c r="CPA142" s="3507"/>
      <c r="CPB142" s="3507"/>
      <c r="CPC142" s="3507"/>
      <c r="CPD142" s="3507"/>
      <c r="CPE142" s="3507"/>
      <c r="CPF142" s="3507"/>
      <c r="CPG142" s="3507"/>
      <c r="CPH142" s="3507"/>
      <c r="CPI142" s="3507"/>
      <c r="CPJ142" s="3507"/>
      <c r="CPK142" s="3507"/>
      <c r="CPL142" s="3507"/>
      <c r="CPM142" s="3507"/>
      <c r="CPN142" s="3507"/>
      <c r="CPO142" s="3507"/>
      <c r="CPP142" s="3507"/>
      <c r="CPQ142" s="3507"/>
      <c r="CPR142" s="3507"/>
      <c r="CPS142" s="3507"/>
      <c r="CPT142" s="3507"/>
      <c r="CPU142" s="3507"/>
      <c r="CPV142" s="3507"/>
      <c r="CPW142" s="3507"/>
      <c r="CPX142" s="3507"/>
      <c r="CPY142" s="3507"/>
      <c r="CPZ142" s="3507"/>
      <c r="CQA142" s="3507"/>
      <c r="CQB142" s="3507"/>
      <c r="CQC142" s="3507"/>
      <c r="CQD142" s="3507"/>
      <c r="CQE142" s="3507"/>
      <c r="CQF142" s="3507"/>
      <c r="CQG142" s="3507"/>
      <c r="CQH142" s="3507"/>
      <c r="CQI142" s="3507"/>
      <c r="CQJ142" s="3507"/>
      <c r="CQK142" s="3507"/>
      <c r="CQL142" s="3507"/>
      <c r="CQM142" s="3507"/>
      <c r="CQN142" s="3507"/>
      <c r="CQO142" s="3507"/>
      <c r="CQP142" s="3507"/>
      <c r="CQQ142" s="3507"/>
      <c r="CQR142" s="3507"/>
      <c r="CQS142" s="3507"/>
      <c r="CQT142" s="3507"/>
      <c r="CQU142" s="3507"/>
      <c r="CQV142" s="3507"/>
      <c r="CQW142" s="3507"/>
      <c r="CQX142" s="3507"/>
      <c r="CQY142" s="3507"/>
      <c r="CQZ142" s="3507"/>
      <c r="CRA142" s="3507"/>
      <c r="CRB142" s="3507"/>
      <c r="CRC142" s="3507"/>
      <c r="CRD142" s="3507"/>
      <c r="CRE142" s="3507"/>
      <c r="CRF142" s="3507"/>
      <c r="CRG142" s="3507"/>
      <c r="CRH142" s="3507"/>
      <c r="CRI142" s="3507"/>
      <c r="CRJ142" s="3507"/>
      <c r="CRK142" s="3507"/>
      <c r="CRL142" s="3507"/>
      <c r="CRM142" s="3507"/>
      <c r="CRN142" s="3507"/>
      <c r="CRO142" s="3507"/>
      <c r="CRP142" s="3507"/>
      <c r="CRQ142" s="3507"/>
      <c r="CRR142" s="3507"/>
      <c r="CRS142" s="3507"/>
      <c r="CRT142" s="3507"/>
      <c r="CRU142" s="3507"/>
      <c r="CRV142" s="3507"/>
      <c r="CRW142" s="3507"/>
      <c r="CRX142" s="3507"/>
      <c r="CRY142" s="3507"/>
      <c r="CRZ142" s="3507"/>
      <c r="CSA142" s="3507"/>
      <c r="CSB142" s="3507"/>
      <c r="CSC142" s="3507"/>
      <c r="CSD142" s="3507"/>
      <c r="CSE142" s="3507"/>
      <c r="CSF142" s="3507"/>
      <c r="CSG142" s="3507"/>
      <c r="CSH142" s="3507"/>
      <c r="CSI142" s="3507"/>
      <c r="CSJ142" s="3507"/>
      <c r="CSK142" s="3507"/>
      <c r="CSL142" s="3507"/>
      <c r="CSM142" s="3507"/>
      <c r="CSN142" s="3507"/>
      <c r="CSO142" s="3507"/>
      <c r="CSP142" s="3507"/>
      <c r="CSQ142" s="3507"/>
      <c r="CSR142" s="3507"/>
      <c r="CSS142" s="3507"/>
      <c r="CST142" s="3507"/>
      <c r="CSU142" s="3507"/>
      <c r="CSV142" s="3507"/>
      <c r="CSW142" s="3507"/>
      <c r="CSX142" s="3507"/>
      <c r="CSY142" s="3507"/>
      <c r="CSZ142" s="3507"/>
      <c r="CTA142" s="3507"/>
      <c r="CTB142" s="3507"/>
      <c r="CTC142" s="3507"/>
      <c r="CTD142" s="3507"/>
      <c r="CTE142" s="3507"/>
      <c r="CTF142" s="3507"/>
      <c r="CTG142" s="3507"/>
      <c r="CTH142" s="3507"/>
      <c r="CTI142" s="3507"/>
      <c r="CTJ142" s="3507"/>
      <c r="CTK142" s="3507"/>
      <c r="CTL142" s="3507"/>
      <c r="CTM142" s="3507"/>
      <c r="CTN142" s="3507"/>
      <c r="CTO142" s="3507"/>
      <c r="CTP142" s="3507"/>
      <c r="CTQ142" s="3507"/>
      <c r="CTR142" s="3507"/>
      <c r="CTS142" s="3507"/>
      <c r="CTT142" s="3507"/>
      <c r="CTU142" s="3507"/>
      <c r="CTV142" s="3507"/>
      <c r="CTW142" s="3507"/>
      <c r="CTX142" s="3507"/>
      <c r="CTY142" s="3507"/>
      <c r="CTZ142" s="3507"/>
      <c r="CUA142" s="3507"/>
      <c r="CUB142" s="3507"/>
      <c r="CUC142" s="3507"/>
      <c r="CUD142" s="3507"/>
      <c r="CUE142" s="3507"/>
      <c r="CUF142" s="3507"/>
      <c r="CUG142" s="3507"/>
      <c r="CUH142" s="3507"/>
      <c r="CUI142" s="3507"/>
      <c r="CUJ142" s="3507"/>
      <c r="CUK142" s="3507"/>
      <c r="CUL142" s="3507"/>
      <c r="CUM142" s="3507"/>
      <c r="CUN142" s="3507"/>
      <c r="CUO142" s="3507"/>
      <c r="CUP142" s="3507"/>
      <c r="CUQ142" s="3507"/>
      <c r="CUR142" s="3507"/>
      <c r="CUS142" s="3507"/>
      <c r="CUT142" s="3507"/>
      <c r="CUU142" s="3507"/>
      <c r="CUV142" s="3507"/>
      <c r="CUW142" s="3507"/>
      <c r="CUX142" s="3507"/>
      <c r="CUY142" s="3507"/>
      <c r="CUZ142" s="3507"/>
      <c r="CVA142" s="3507"/>
      <c r="CVB142" s="3507"/>
      <c r="CVC142" s="3507"/>
      <c r="CVD142" s="3507"/>
      <c r="CVE142" s="3507"/>
      <c r="CVF142" s="3507"/>
      <c r="CVG142" s="3507"/>
      <c r="CVH142" s="3507"/>
      <c r="CVI142" s="3507"/>
      <c r="CVJ142" s="3507"/>
      <c r="CVK142" s="3507"/>
      <c r="CVL142" s="3507"/>
      <c r="CVM142" s="3507"/>
      <c r="CVN142" s="3507"/>
      <c r="CVO142" s="3507"/>
      <c r="CVP142" s="3507"/>
      <c r="CVQ142" s="3507"/>
      <c r="CVR142" s="3507"/>
      <c r="CVS142" s="3507"/>
      <c r="CVT142" s="3507"/>
      <c r="CVU142" s="3507"/>
      <c r="CVV142" s="3507"/>
      <c r="CVW142" s="3507"/>
      <c r="CVX142" s="3507"/>
      <c r="CVY142" s="3507"/>
      <c r="CVZ142" s="3507"/>
      <c r="CWA142" s="3507"/>
      <c r="CWB142" s="3507"/>
      <c r="CWC142" s="3507"/>
      <c r="CWD142" s="3507"/>
      <c r="CWE142" s="3507"/>
      <c r="CWF142" s="3507"/>
      <c r="CWG142" s="3507"/>
      <c r="CWH142" s="3507"/>
      <c r="CWI142" s="3507"/>
      <c r="CWJ142" s="3507"/>
      <c r="CWK142" s="3507"/>
      <c r="CWL142" s="3507"/>
      <c r="CWM142" s="3507"/>
      <c r="CWN142" s="3507"/>
      <c r="CWO142" s="3507"/>
      <c r="CWP142" s="3507"/>
      <c r="CWQ142" s="3507"/>
      <c r="CWR142" s="3507"/>
      <c r="CWS142" s="3507"/>
      <c r="CWT142" s="3507"/>
      <c r="CWU142" s="3507"/>
      <c r="CWV142" s="3507"/>
      <c r="CWW142" s="3507"/>
      <c r="CWX142" s="3507"/>
      <c r="CWY142" s="3507"/>
      <c r="CWZ142" s="3507"/>
      <c r="CXA142" s="3507"/>
      <c r="CXB142" s="3507"/>
      <c r="CXC142" s="3507"/>
      <c r="CXD142" s="3507"/>
      <c r="CXE142" s="3507"/>
      <c r="CXF142" s="3507"/>
      <c r="CXG142" s="3507"/>
      <c r="CXH142" s="3507"/>
      <c r="CXI142" s="3507"/>
      <c r="CXJ142" s="3507"/>
      <c r="CXK142" s="3507"/>
      <c r="CXL142" s="3507"/>
      <c r="CXM142" s="3507"/>
      <c r="CXN142" s="3507"/>
      <c r="CXO142" s="3507"/>
      <c r="CXP142" s="3507"/>
      <c r="CXQ142" s="3507"/>
      <c r="CXR142" s="3507"/>
      <c r="CXS142" s="3507"/>
      <c r="CXT142" s="3507"/>
      <c r="CXU142" s="3507"/>
      <c r="CXV142" s="3507"/>
      <c r="CXW142" s="3507"/>
      <c r="CXX142" s="3507"/>
      <c r="CXY142" s="3507"/>
      <c r="CXZ142" s="3507"/>
      <c r="CYA142" s="3507"/>
      <c r="CYB142" s="3507"/>
      <c r="CYC142" s="3507"/>
      <c r="CYD142" s="3507"/>
      <c r="CYE142" s="3507"/>
      <c r="CYF142" s="3507"/>
      <c r="CYG142" s="3507"/>
      <c r="CYH142" s="3507"/>
      <c r="CYI142" s="3507"/>
      <c r="CYJ142" s="3507"/>
      <c r="CYK142" s="3507"/>
      <c r="CYL142" s="3507"/>
      <c r="CYM142" s="3507"/>
      <c r="CYN142" s="3507"/>
      <c r="CYO142" s="3507"/>
      <c r="CYP142" s="3507"/>
      <c r="CYQ142" s="3507"/>
      <c r="CYR142" s="3507"/>
      <c r="CYS142" s="3507"/>
      <c r="CYT142" s="3507"/>
      <c r="CYU142" s="3507"/>
      <c r="CYV142" s="3507"/>
      <c r="CYW142" s="3507"/>
      <c r="CYX142" s="3507"/>
      <c r="CYY142" s="3507"/>
      <c r="CYZ142" s="3507"/>
      <c r="CZA142" s="3507"/>
      <c r="CZB142" s="3507"/>
      <c r="CZC142" s="3507"/>
      <c r="CZD142" s="3507"/>
      <c r="CZE142" s="3507"/>
      <c r="CZF142" s="3507"/>
      <c r="CZG142" s="3507"/>
      <c r="CZH142" s="3507"/>
      <c r="CZI142" s="3507"/>
      <c r="CZJ142" s="3507"/>
      <c r="CZK142" s="3507"/>
      <c r="CZL142" s="3507"/>
      <c r="CZM142" s="3507"/>
      <c r="CZN142" s="3507"/>
      <c r="CZO142" s="3507"/>
      <c r="CZP142" s="3507"/>
      <c r="CZQ142" s="3507"/>
      <c r="CZR142" s="3507"/>
      <c r="CZS142" s="3507"/>
      <c r="CZT142" s="3507"/>
      <c r="CZU142" s="3507"/>
      <c r="CZV142" s="3507"/>
      <c r="CZW142" s="3507"/>
      <c r="CZX142" s="3507"/>
      <c r="CZY142" s="3507"/>
      <c r="CZZ142" s="3507"/>
      <c r="DAA142" s="3507"/>
      <c r="DAB142" s="3507"/>
      <c r="DAC142" s="3507"/>
      <c r="DAD142" s="3507"/>
      <c r="DAE142" s="3507"/>
      <c r="DAF142" s="3507"/>
      <c r="DAG142" s="3507"/>
      <c r="DAH142" s="3507"/>
      <c r="DAI142" s="3507"/>
      <c r="DAJ142" s="3507"/>
      <c r="DAK142" s="3507"/>
      <c r="DAL142" s="3507"/>
      <c r="DAM142" s="3507"/>
      <c r="DAN142" s="3507"/>
      <c r="DAO142" s="3507"/>
      <c r="DAP142" s="3507"/>
      <c r="DAQ142" s="3507"/>
      <c r="DAR142" s="3507"/>
      <c r="DAS142" s="3507"/>
      <c r="DAT142" s="3507"/>
      <c r="DAU142" s="3507"/>
      <c r="DAV142" s="3507"/>
      <c r="DAW142" s="3507"/>
      <c r="DAX142" s="3507"/>
      <c r="DAY142" s="3507"/>
      <c r="DAZ142" s="3507"/>
      <c r="DBA142" s="3507"/>
      <c r="DBB142" s="3507"/>
      <c r="DBC142" s="3507"/>
      <c r="DBD142" s="3507"/>
      <c r="DBE142" s="3507"/>
      <c r="DBF142" s="3507"/>
      <c r="DBG142" s="3507"/>
      <c r="DBH142" s="3507"/>
      <c r="DBI142" s="3507"/>
      <c r="DBJ142" s="3507"/>
      <c r="DBK142" s="3507"/>
      <c r="DBL142" s="3507"/>
      <c r="DBM142" s="3507"/>
      <c r="DBN142" s="3507"/>
      <c r="DBO142" s="3507"/>
      <c r="DBP142" s="3507"/>
      <c r="DBQ142" s="3507"/>
      <c r="DBR142" s="3507"/>
      <c r="DBS142" s="3507"/>
      <c r="DBT142" s="3507"/>
      <c r="DBU142" s="3507"/>
      <c r="DBV142" s="3507"/>
      <c r="DBW142" s="3507"/>
      <c r="DBX142" s="3507"/>
      <c r="DBY142" s="3507"/>
      <c r="DBZ142" s="3507"/>
      <c r="DCA142" s="3507"/>
      <c r="DCB142" s="3507"/>
      <c r="DCC142" s="3507"/>
      <c r="DCD142" s="3507"/>
      <c r="DCE142" s="3507"/>
      <c r="DCF142" s="3507"/>
      <c r="DCG142" s="3507"/>
      <c r="DCH142" s="3507"/>
      <c r="DCI142" s="3507"/>
      <c r="DCJ142" s="3507"/>
      <c r="DCK142" s="3507"/>
      <c r="DCL142" s="3507"/>
      <c r="DCM142" s="3507"/>
      <c r="DCN142" s="3507"/>
      <c r="DCO142" s="3507"/>
      <c r="DCP142" s="3507"/>
      <c r="DCQ142" s="3507"/>
      <c r="DCR142" s="3507"/>
      <c r="DCS142" s="3507"/>
      <c r="DCT142" s="3507"/>
      <c r="DCU142" s="3507"/>
      <c r="DCV142" s="3507"/>
      <c r="DCW142" s="3507"/>
      <c r="DCX142" s="3507"/>
      <c r="DCY142" s="3507"/>
      <c r="DCZ142" s="3507"/>
      <c r="DDA142" s="3507"/>
      <c r="DDB142" s="3507"/>
      <c r="DDC142" s="3507"/>
      <c r="DDD142" s="3507"/>
      <c r="DDE142" s="3507"/>
      <c r="DDF142" s="3507"/>
      <c r="DDG142" s="3507"/>
      <c r="DDH142" s="3507"/>
      <c r="DDI142" s="3507"/>
      <c r="DDJ142" s="3507"/>
      <c r="DDK142" s="3507"/>
      <c r="DDL142" s="3507"/>
      <c r="DDM142" s="3507"/>
      <c r="DDN142" s="3507"/>
      <c r="DDO142" s="3507"/>
      <c r="DDP142" s="3507"/>
      <c r="DDQ142" s="3507"/>
      <c r="DDR142" s="3507"/>
      <c r="DDS142" s="3507"/>
      <c r="DDT142" s="3507"/>
      <c r="DDU142" s="3507"/>
      <c r="DDV142" s="3507"/>
      <c r="DDW142" s="3507"/>
      <c r="DDX142" s="3507"/>
      <c r="DDY142" s="3507"/>
      <c r="DDZ142" s="3507"/>
      <c r="DEA142" s="3507"/>
      <c r="DEB142" s="3507"/>
      <c r="DEC142" s="3507"/>
      <c r="DED142" s="3507"/>
      <c r="DEE142" s="3507"/>
      <c r="DEF142" s="3507"/>
      <c r="DEG142" s="3507"/>
      <c r="DEH142" s="3507"/>
      <c r="DEI142" s="3507"/>
      <c r="DEJ142" s="3507"/>
      <c r="DEK142" s="3507"/>
      <c r="DEL142" s="3507"/>
      <c r="DEM142" s="3507"/>
      <c r="DEN142" s="3507"/>
      <c r="DEO142" s="3507"/>
      <c r="DEP142" s="3507"/>
      <c r="DEQ142" s="3507"/>
      <c r="DER142" s="3507"/>
      <c r="DES142" s="3507"/>
      <c r="DET142" s="3507"/>
      <c r="DEU142" s="3507"/>
      <c r="DEV142" s="3507"/>
      <c r="DEW142" s="3507"/>
      <c r="DEX142" s="3507"/>
      <c r="DEY142" s="3507"/>
      <c r="DEZ142" s="3507"/>
      <c r="DFA142" s="3507"/>
      <c r="DFB142" s="3507"/>
      <c r="DFC142" s="3507"/>
      <c r="DFD142" s="3507"/>
      <c r="DFE142" s="3507"/>
      <c r="DFF142" s="3507"/>
      <c r="DFG142" s="3507"/>
      <c r="DFH142" s="3507"/>
      <c r="DFI142" s="3507"/>
      <c r="DFJ142" s="3507"/>
      <c r="DFK142" s="3507"/>
      <c r="DFL142" s="3507"/>
      <c r="DFM142" s="3507"/>
      <c r="DFN142" s="3507"/>
      <c r="DFO142" s="3507"/>
      <c r="DFP142" s="3507"/>
      <c r="DFQ142" s="3507"/>
      <c r="DFR142" s="3507"/>
      <c r="DFS142" s="3507"/>
      <c r="DFT142" s="3507"/>
      <c r="DFU142" s="3507"/>
      <c r="DFV142" s="3507"/>
      <c r="DFW142" s="3507"/>
      <c r="DFX142" s="3507"/>
      <c r="DFY142" s="3507"/>
      <c r="DFZ142" s="3507"/>
      <c r="DGA142" s="3507"/>
      <c r="DGB142" s="3507"/>
      <c r="DGC142" s="3507"/>
      <c r="DGD142" s="3507"/>
      <c r="DGE142" s="3507"/>
      <c r="DGF142" s="3507"/>
      <c r="DGG142" s="3507"/>
      <c r="DGH142" s="3507"/>
      <c r="DGI142" s="3507"/>
      <c r="DGJ142" s="3507"/>
      <c r="DGK142" s="3507"/>
      <c r="DGL142" s="3507"/>
      <c r="DGM142" s="3507"/>
      <c r="DGN142" s="3507"/>
      <c r="DGO142" s="3507"/>
      <c r="DGP142" s="3507"/>
      <c r="DGQ142" s="3507"/>
      <c r="DGR142" s="3507"/>
      <c r="DGS142" s="3507"/>
      <c r="DGT142" s="3507"/>
      <c r="DGU142" s="3507"/>
      <c r="DGV142" s="3507"/>
      <c r="DGW142" s="3507"/>
      <c r="DGX142" s="3507"/>
      <c r="DGY142" s="3507"/>
      <c r="DGZ142" s="3507"/>
      <c r="DHA142" s="3507"/>
      <c r="DHB142" s="3507"/>
      <c r="DHC142" s="3507"/>
      <c r="DHD142" s="3507"/>
      <c r="DHE142" s="3507"/>
      <c r="DHF142" s="3507"/>
      <c r="DHG142" s="3507"/>
      <c r="DHH142" s="3507"/>
      <c r="DHI142" s="3507"/>
      <c r="DHJ142" s="3507"/>
      <c r="DHK142" s="3507"/>
      <c r="DHL142" s="3507"/>
      <c r="DHM142" s="3507"/>
      <c r="DHN142" s="3507"/>
      <c r="DHO142" s="3507"/>
      <c r="DHP142" s="3507"/>
      <c r="DHQ142" s="3507"/>
      <c r="DHR142" s="3507"/>
      <c r="DHS142" s="3507"/>
      <c r="DHT142" s="3507"/>
      <c r="DHU142" s="3507"/>
      <c r="DHV142" s="3507"/>
      <c r="DHW142" s="3507"/>
      <c r="DHX142" s="3507"/>
      <c r="DHY142" s="3507"/>
      <c r="DHZ142" s="3507"/>
      <c r="DIA142" s="3507"/>
      <c r="DIB142" s="3507"/>
      <c r="DIC142" s="3507"/>
      <c r="DID142" s="3507"/>
      <c r="DIE142" s="3507"/>
      <c r="DIF142" s="3507"/>
      <c r="DIG142" s="3507"/>
      <c r="DIH142" s="3507"/>
      <c r="DII142" s="3507"/>
      <c r="DIJ142" s="3507"/>
      <c r="DIK142" s="3507"/>
      <c r="DIL142" s="3507"/>
      <c r="DIM142" s="3507"/>
      <c r="DIN142" s="3507"/>
      <c r="DIO142" s="3507"/>
      <c r="DIP142" s="3507"/>
      <c r="DIQ142" s="3507"/>
      <c r="DIR142" s="3507"/>
      <c r="DIS142" s="3507"/>
      <c r="DIT142" s="3507"/>
      <c r="DIU142" s="3507"/>
      <c r="DIV142" s="3507"/>
      <c r="DIW142" s="3507"/>
      <c r="DIX142" s="3507"/>
      <c r="DIY142" s="3507"/>
      <c r="DIZ142" s="3507"/>
      <c r="DJA142" s="3507"/>
      <c r="DJB142" s="3507"/>
      <c r="DJC142" s="3507"/>
      <c r="DJD142" s="3507"/>
      <c r="DJE142" s="3507"/>
      <c r="DJF142" s="3507"/>
      <c r="DJG142" s="3507"/>
      <c r="DJH142" s="3507"/>
      <c r="DJI142" s="3507"/>
      <c r="DJJ142" s="3507"/>
      <c r="DJK142" s="3507"/>
      <c r="DJL142" s="3507"/>
      <c r="DJM142" s="3507"/>
      <c r="DJN142" s="3507"/>
      <c r="DJO142" s="3507"/>
      <c r="DJP142" s="3507"/>
      <c r="DJQ142" s="3507"/>
      <c r="DJR142" s="3507"/>
      <c r="DJS142" s="3507"/>
      <c r="DJT142" s="3507"/>
      <c r="DJU142" s="3507"/>
      <c r="DJV142" s="3507"/>
      <c r="DJW142" s="3507"/>
      <c r="DJX142" s="3507"/>
      <c r="DJY142" s="3507"/>
      <c r="DJZ142" s="3507"/>
      <c r="DKA142" s="3507"/>
      <c r="DKB142" s="3507"/>
      <c r="DKC142" s="3507"/>
      <c r="DKD142" s="3507"/>
      <c r="DKE142" s="3507"/>
      <c r="DKF142" s="3507"/>
      <c r="DKG142" s="3507"/>
      <c r="DKH142" s="3507"/>
      <c r="DKI142" s="3507"/>
      <c r="DKJ142" s="3507"/>
      <c r="DKK142" s="3507"/>
      <c r="DKL142" s="3507"/>
      <c r="DKM142" s="3507"/>
      <c r="DKN142" s="3507"/>
      <c r="DKO142" s="3507"/>
      <c r="DKP142" s="3507"/>
      <c r="DKQ142" s="3507"/>
      <c r="DKR142" s="3507"/>
      <c r="DKS142" s="3507"/>
      <c r="DKT142" s="3507"/>
      <c r="DKU142" s="3507"/>
      <c r="DKV142" s="3507"/>
      <c r="DKW142" s="3507"/>
      <c r="DKX142" s="3507"/>
      <c r="DKY142" s="3507"/>
      <c r="DKZ142" s="3507"/>
      <c r="DLA142" s="3507"/>
      <c r="DLB142" s="3507"/>
      <c r="DLC142" s="3507"/>
      <c r="DLD142" s="3507"/>
      <c r="DLE142" s="3507"/>
      <c r="DLF142" s="3507"/>
      <c r="DLG142" s="3507"/>
      <c r="DLH142" s="3507"/>
      <c r="DLI142" s="3507"/>
      <c r="DLJ142" s="3507"/>
      <c r="DLK142" s="3507"/>
      <c r="DLL142" s="3507"/>
      <c r="DLM142" s="3507"/>
      <c r="DLN142" s="3507"/>
      <c r="DLO142" s="3507"/>
      <c r="DLP142" s="3507"/>
      <c r="DLQ142" s="3507"/>
      <c r="DLR142" s="3507"/>
      <c r="DLS142" s="3507"/>
      <c r="DLT142" s="3507"/>
      <c r="DLU142" s="3507"/>
      <c r="DLV142" s="3507"/>
      <c r="DLW142" s="3507"/>
      <c r="DLX142" s="3507"/>
      <c r="DLY142" s="3507"/>
      <c r="DLZ142" s="3507"/>
      <c r="DMA142" s="3507"/>
      <c r="DMB142" s="3507"/>
      <c r="DMC142" s="3507"/>
      <c r="DMD142" s="3507"/>
      <c r="DME142" s="3507"/>
      <c r="DMF142" s="3507"/>
      <c r="DMG142" s="3507"/>
      <c r="DMH142" s="3507"/>
      <c r="DMI142" s="3507"/>
      <c r="DMJ142" s="3507"/>
      <c r="DMK142" s="3507"/>
      <c r="DML142" s="3507"/>
      <c r="DMM142" s="3507"/>
      <c r="DMN142" s="3507"/>
      <c r="DMO142" s="3507"/>
      <c r="DMP142" s="3507"/>
      <c r="DMQ142" s="3507"/>
      <c r="DMR142" s="3507"/>
      <c r="DMS142" s="3507"/>
      <c r="DMT142" s="3507"/>
      <c r="DMU142" s="3507"/>
      <c r="DMV142" s="3507"/>
      <c r="DMW142" s="3507"/>
      <c r="DMX142" s="3507"/>
      <c r="DMY142" s="3507"/>
      <c r="DMZ142" s="3507"/>
      <c r="DNA142" s="3507"/>
      <c r="DNB142" s="3507"/>
      <c r="DNC142" s="3507"/>
      <c r="DND142" s="3507"/>
      <c r="DNE142" s="3507"/>
      <c r="DNF142" s="3507"/>
      <c r="DNG142" s="3507"/>
      <c r="DNH142" s="3507"/>
      <c r="DNI142" s="3507"/>
      <c r="DNJ142" s="3507"/>
      <c r="DNK142" s="3507"/>
      <c r="DNL142" s="3507"/>
      <c r="DNM142" s="3507"/>
      <c r="DNN142" s="3507"/>
      <c r="DNO142" s="3507"/>
      <c r="DNP142" s="3507"/>
      <c r="DNQ142" s="3507"/>
      <c r="DNR142" s="3507"/>
      <c r="DNS142" s="3507"/>
      <c r="DNT142" s="3507"/>
      <c r="DNU142" s="3507"/>
      <c r="DNV142" s="3507"/>
      <c r="DNW142" s="3507"/>
      <c r="DNX142" s="3507"/>
      <c r="DNY142" s="3507"/>
      <c r="DNZ142" s="3507"/>
      <c r="DOA142" s="3507"/>
      <c r="DOB142" s="3507"/>
      <c r="DOC142" s="3507"/>
      <c r="DOD142" s="3507"/>
      <c r="DOE142" s="3507"/>
      <c r="DOF142" s="3507"/>
      <c r="DOG142" s="3507"/>
      <c r="DOH142" s="3507"/>
      <c r="DOI142" s="3507"/>
      <c r="DOJ142" s="3507"/>
      <c r="DOK142" s="3507"/>
      <c r="DOL142" s="3507"/>
      <c r="DOM142" s="3507"/>
      <c r="DON142" s="3507"/>
      <c r="DOO142" s="3507"/>
      <c r="DOP142" s="3507"/>
      <c r="DOQ142" s="3507"/>
      <c r="DOR142" s="3507"/>
      <c r="DOS142" s="3507"/>
      <c r="DOT142" s="3507"/>
      <c r="DOU142" s="3507"/>
      <c r="DOV142" s="3507"/>
      <c r="DOW142" s="3507"/>
      <c r="DOX142" s="3507"/>
      <c r="DOY142" s="3507"/>
      <c r="DOZ142" s="3507"/>
      <c r="DPA142" s="3507"/>
      <c r="DPB142" s="3507"/>
      <c r="DPC142" s="3507"/>
      <c r="DPD142" s="3507"/>
      <c r="DPE142" s="3507"/>
      <c r="DPF142" s="3507"/>
      <c r="DPG142" s="3507"/>
      <c r="DPH142" s="3507"/>
      <c r="DPI142" s="3507"/>
      <c r="DPJ142" s="3507"/>
      <c r="DPK142" s="3507"/>
      <c r="DPL142" s="3507"/>
      <c r="DPM142" s="3507"/>
      <c r="DPN142" s="3507"/>
      <c r="DPO142" s="3507"/>
      <c r="DPP142" s="3507"/>
      <c r="DPQ142" s="3507"/>
      <c r="DPR142" s="3507"/>
      <c r="DPS142" s="3507"/>
      <c r="DPT142" s="3507"/>
      <c r="DPU142" s="3507"/>
      <c r="DPV142" s="3507"/>
      <c r="DPW142" s="3507"/>
      <c r="DPX142" s="3507"/>
      <c r="DPY142" s="3507"/>
      <c r="DPZ142" s="3507"/>
      <c r="DQA142" s="3507"/>
      <c r="DQB142" s="3507"/>
      <c r="DQC142" s="3507"/>
      <c r="DQD142" s="3507"/>
      <c r="DQE142" s="3507"/>
      <c r="DQF142" s="3507"/>
      <c r="DQG142" s="3507"/>
      <c r="DQH142" s="3507"/>
      <c r="DQI142" s="3507"/>
      <c r="DQJ142" s="3507"/>
      <c r="DQK142" s="3507"/>
      <c r="DQL142" s="3507"/>
      <c r="DQM142" s="3507"/>
      <c r="DQN142" s="3507"/>
      <c r="DQO142" s="3507"/>
      <c r="DQP142" s="3507"/>
      <c r="DQQ142" s="3507"/>
      <c r="DQR142" s="3507"/>
      <c r="DQS142" s="3507"/>
      <c r="DQT142" s="3507"/>
      <c r="DQU142" s="3507"/>
      <c r="DQV142" s="3507"/>
      <c r="DQW142" s="3507"/>
      <c r="DQX142" s="3507"/>
      <c r="DQY142" s="3507"/>
      <c r="DQZ142" s="3507"/>
      <c r="DRA142" s="3507"/>
      <c r="DRB142" s="3507"/>
      <c r="DRC142" s="3507"/>
      <c r="DRD142" s="3507"/>
      <c r="DRE142" s="3507"/>
      <c r="DRF142" s="3507"/>
      <c r="DRG142" s="3507"/>
      <c r="DRH142" s="3507"/>
      <c r="DRI142" s="3507"/>
      <c r="DRJ142" s="3507"/>
      <c r="DRK142" s="3507"/>
      <c r="DRL142" s="3507"/>
      <c r="DRM142" s="3507"/>
      <c r="DRN142" s="3507"/>
      <c r="DRO142" s="3507"/>
      <c r="DRP142" s="3507"/>
      <c r="DRQ142" s="3507"/>
      <c r="DRR142" s="3507"/>
      <c r="DRS142" s="3507"/>
      <c r="DRT142" s="3507"/>
      <c r="DRU142" s="3507"/>
      <c r="DRV142" s="3507"/>
      <c r="DRW142" s="3507"/>
      <c r="DRX142" s="3507"/>
      <c r="DRY142" s="3507"/>
      <c r="DRZ142" s="3507"/>
      <c r="DSA142" s="3507"/>
      <c r="DSB142" s="3507"/>
      <c r="DSC142" s="3507"/>
      <c r="DSD142" s="3507"/>
      <c r="DSE142" s="3507"/>
      <c r="DSF142" s="3507"/>
      <c r="DSG142" s="3507"/>
      <c r="DSH142" s="3507"/>
      <c r="DSI142" s="3507"/>
      <c r="DSJ142" s="3507"/>
      <c r="DSK142" s="3507"/>
      <c r="DSL142" s="3507"/>
      <c r="DSM142" s="3507"/>
      <c r="DSN142" s="3507"/>
      <c r="DSO142" s="3507"/>
      <c r="DSP142" s="3507"/>
      <c r="DSQ142" s="3507"/>
      <c r="DSR142" s="3507"/>
      <c r="DSS142" s="3507"/>
      <c r="DST142" s="3507"/>
      <c r="DSU142" s="3507"/>
      <c r="DSV142" s="3507"/>
      <c r="DSW142" s="3507"/>
      <c r="DSX142" s="3507"/>
      <c r="DSY142" s="3507"/>
      <c r="DSZ142" s="3507"/>
      <c r="DTA142" s="3507"/>
      <c r="DTB142" s="3507"/>
      <c r="DTC142" s="3507"/>
      <c r="DTD142" s="3507"/>
      <c r="DTE142" s="3507"/>
      <c r="DTF142" s="3507"/>
      <c r="DTG142" s="3507"/>
      <c r="DTH142" s="3507"/>
      <c r="DTI142" s="3507"/>
      <c r="DTJ142" s="3507"/>
      <c r="DTK142" s="3507"/>
      <c r="DTL142" s="3507"/>
      <c r="DTM142" s="3507"/>
      <c r="DTN142" s="3507"/>
      <c r="DTO142" s="3507"/>
      <c r="DTP142" s="3507"/>
      <c r="DTQ142" s="3507"/>
      <c r="DTR142" s="3507"/>
      <c r="DTS142" s="3507"/>
      <c r="DTT142" s="3507"/>
      <c r="DTU142" s="3507"/>
      <c r="DTV142" s="3507"/>
      <c r="DTW142" s="3507"/>
      <c r="DTX142" s="3507"/>
      <c r="DTY142" s="3507"/>
      <c r="DTZ142" s="3507"/>
      <c r="DUA142" s="3507"/>
      <c r="DUB142" s="3507"/>
      <c r="DUC142" s="3507"/>
      <c r="DUD142" s="3507"/>
      <c r="DUE142" s="3507"/>
      <c r="DUF142" s="3507"/>
      <c r="DUG142" s="3507"/>
      <c r="DUH142" s="3507"/>
      <c r="DUI142" s="3507"/>
      <c r="DUJ142" s="3507"/>
      <c r="DUK142" s="3507"/>
      <c r="DUL142" s="3507"/>
      <c r="DUM142" s="3507"/>
      <c r="DUN142" s="3507"/>
      <c r="DUO142" s="3507"/>
      <c r="DUP142" s="3507"/>
      <c r="DUQ142" s="3507"/>
      <c r="DUR142" s="3507"/>
      <c r="DUS142" s="3507"/>
      <c r="DUT142" s="3507"/>
      <c r="DUU142" s="3507"/>
      <c r="DUV142" s="3507"/>
      <c r="DUW142" s="3507"/>
      <c r="DUX142" s="3507"/>
      <c r="DUY142" s="3507"/>
      <c r="DUZ142" s="3507"/>
      <c r="DVA142" s="3507"/>
      <c r="DVB142" s="3507"/>
      <c r="DVC142" s="3507"/>
      <c r="DVD142" s="3507"/>
      <c r="DVE142" s="3507"/>
      <c r="DVF142" s="3507"/>
      <c r="DVG142" s="3507"/>
      <c r="DVH142" s="3507"/>
      <c r="DVI142" s="3507"/>
      <c r="DVJ142" s="3507"/>
      <c r="DVK142" s="3507"/>
      <c r="DVL142" s="3507"/>
      <c r="DVM142" s="3507"/>
      <c r="DVN142" s="3507"/>
      <c r="DVO142" s="3507"/>
      <c r="DVP142" s="3507"/>
      <c r="DVQ142" s="3507"/>
      <c r="DVR142" s="3507"/>
      <c r="DVS142" s="3507"/>
      <c r="DVT142" s="3507"/>
      <c r="DVU142" s="3507"/>
      <c r="DVV142" s="3507"/>
      <c r="DVW142" s="3507"/>
      <c r="DVX142" s="3507"/>
      <c r="DVY142" s="3507"/>
      <c r="DVZ142" s="3507"/>
      <c r="DWA142" s="3507"/>
      <c r="DWB142" s="3507"/>
      <c r="DWC142" s="3507"/>
      <c r="DWD142" s="3507"/>
      <c r="DWE142" s="3507"/>
      <c r="DWF142" s="3507"/>
      <c r="DWG142" s="3507"/>
      <c r="DWH142" s="3507"/>
      <c r="DWI142" s="3507"/>
      <c r="DWJ142" s="3507"/>
      <c r="DWK142" s="3507"/>
      <c r="DWL142" s="3507"/>
      <c r="DWM142" s="3507"/>
      <c r="DWN142" s="3507"/>
      <c r="DWO142" s="3507"/>
      <c r="DWP142" s="3507"/>
      <c r="DWQ142" s="3507"/>
      <c r="DWR142" s="3507"/>
      <c r="DWS142" s="3507"/>
      <c r="DWT142" s="3507"/>
      <c r="DWU142" s="3507"/>
      <c r="DWV142" s="3507"/>
      <c r="DWW142" s="3507"/>
      <c r="DWX142" s="3507"/>
      <c r="DWY142" s="3507"/>
      <c r="DWZ142" s="3507"/>
      <c r="DXA142" s="3507"/>
      <c r="DXB142" s="3507"/>
      <c r="DXC142" s="3507"/>
      <c r="DXD142" s="3507"/>
      <c r="DXE142" s="3507"/>
      <c r="DXF142" s="3507"/>
      <c r="DXG142" s="3507"/>
      <c r="DXH142" s="3507"/>
      <c r="DXI142" s="3507"/>
      <c r="DXJ142" s="3507"/>
      <c r="DXK142" s="3507"/>
      <c r="DXL142" s="3507"/>
      <c r="DXM142" s="3507"/>
      <c r="DXN142" s="3507"/>
      <c r="DXO142" s="3507"/>
      <c r="DXP142" s="3507"/>
      <c r="DXQ142" s="3507"/>
      <c r="DXR142" s="3507"/>
      <c r="DXS142" s="3507"/>
      <c r="DXT142" s="3507"/>
      <c r="DXU142" s="3507"/>
      <c r="DXV142" s="3507"/>
      <c r="DXW142" s="3507"/>
      <c r="DXX142" s="3507"/>
      <c r="DXY142" s="3507"/>
      <c r="DXZ142" s="3507"/>
      <c r="DYA142" s="3507"/>
      <c r="DYB142" s="3507"/>
      <c r="DYC142" s="3507"/>
      <c r="DYD142" s="3507"/>
      <c r="DYE142" s="3507"/>
      <c r="DYF142" s="3507"/>
      <c r="DYG142" s="3507"/>
      <c r="DYH142" s="3507"/>
      <c r="DYI142" s="3507"/>
      <c r="DYJ142" s="3507"/>
      <c r="DYK142" s="3507"/>
      <c r="DYL142" s="3507"/>
      <c r="DYM142" s="3507"/>
      <c r="DYN142" s="3507"/>
      <c r="DYO142" s="3507"/>
      <c r="DYP142" s="3507"/>
      <c r="DYQ142" s="3507"/>
      <c r="DYR142" s="3507"/>
      <c r="DYS142" s="3507"/>
      <c r="DYT142" s="3507"/>
      <c r="DYU142" s="3507"/>
      <c r="DYV142" s="3507"/>
      <c r="DYW142" s="3507"/>
      <c r="DYX142" s="3507"/>
      <c r="DYY142" s="3507"/>
      <c r="DYZ142" s="3507"/>
      <c r="DZA142" s="3507"/>
      <c r="DZB142" s="3507"/>
      <c r="DZC142" s="3507"/>
      <c r="DZD142" s="3507"/>
      <c r="DZE142" s="3507"/>
      <c r="DZF142" s="3507"/>
      <c r="DZG142" s="3507"/>
      <c r="DZH142" s="3507"/>
      <c r="DZI142" s="3507"/>
      <c r="DZJ142" s="3507"/>
      <c r="DZK142" s="3507"/>
      <c r="DZL142" s="3507"/>
      <c r="DZM142" s="3507"/>
      <c r="DZN142" s="3507"/>
      <c r="DZO142" s="3507"/>
      <c r="DZP142" s="3507"/>
      <c r="DZQ142" s="3507"/>
      <c r="DZR142" s="3507"/>
      <c r="DZS142" s="3507"/>
      <c r="DZT142" s="3507"/>
      <c r="DZU142" s="3507"/>
      <c r="DZV142" s="3507"/>
      <c r="DZW142" s="3507"/>
      <c r="DZX142" s="3507"/>
      <c r="DZY142" s="3507"/>
      <c r="DZZ142" s="3507"/>
      <c r="EAA142" s="3507"/>
      <c r="EAB142" s="3507"/>
      <c r="EAC142" s="3507"/>
      <c r="EAD142" s="3507"/>
      <c r="EAE142" s="3507"/>
      <c r="EAF142" s="3507"/>
      <c r="EAG142" s="3507"/>
      <c r="EAH142" s="3507"/>
      <c r="EAI142" s="3507"/>
      <c r="EAJ142" s="3507"/>
      <c r="EAK142" s="3507"/>
      <c r="EAL142" s="3507"/>
      <c r="EAM142" s="3507"/>
      <c r="EAN142" s="3507"/>
      <c r="EAO142" s="3507"/>
      <c r="EAP142" s="3507"/>
      <c r="EAQ142" s="3507"/>
      <c r="EAR142" s="3507"/>
      <c r="EAS142" s="3507"/>
      <c r="EAT142" s="3507"/>
      <c r="EAU142" s="3507"/>
      <c r="EAV142" s="3507"/>
      <c r="EAW142" s="3507"/>
      <c r="EAX142" s="3507"/>
      <c r="EAY142" s="3507"/>
      <c r="EAZ142" s="3507"/>
      <c r="EBA142" s="3507"/>
      <c r="EBB142" s="3507"/>
      <c r="EBC142" s="3507"/>
      <c r="EBD142" s="3507"/>
      <c r="EBE142" s="3507"/>
      <c r="EBF142" s="3507"/>
      <c r="EBG142" s="3507"/>
      <c r="EBH142" s="3507"/>
      <c r="EBI142" s="3507"/>
      <c r="EBJ142" s="3507"/>
      <c r="EBK142" s="3507"/>
      <c r="EBL142" s="3507"/>
      <c r="EBM142" s="3507"/>
      <c r="EBN142" s="3507"/>
      <c r="EBO142" s="3507"/>
      <c r="EBP142" s="3507"/>
      <c r="EBQ142" s="3507"/>
      <c r="EBR142" s="3507"/>
      <c r="EBS142" s="3507"/>
      <c r="EBT142" s="3507"/>
      <c r="EBU142" s="3507"/>
      <c r="EBV142" s="3507"/>
      <c r="EBW142" s="3507"/>
      <c r="EBX142" s="3507"/>
      <c r="EBY142" s="3507"/>
      <c r="EBZ142" s="3507"/>
      <c r="ECA142" s="3507"/>
      <c r="ECB142" s="3507"/>
      <c r="ECC142" s="3507"/>
      <c r="ECD142" s="3507"/>
      <c r="ECE142" s="3507"/>
      <c r="ECF142" s="3507"/>
      <c r="ECG142" s="3507"/>
      <c r="ECH142" s="3507"/>
      <c r="ECI142" s="3507"/>
      <c r="ECJ142" s="3507"/>
      <c r="ECK142" s="3507"/>
      <c r="ECL142" s="3507"/>
      <c r="ECM142" s="3507"/>
      <c r="ECN142" s="3507"/>
      <c r="ECO142" s="3507"/>
      <c r="ECP142" s="3507"/>
      <c r="ECQ142" s="3507"/>
      <c r="ECR142" s="3507"/>
      <c r="ECS142" s="3507"/>
      <c r="ECT142" s="3507"/>
      <c r="ECU142" s="3507"/>
      <c r="ECV142" s="3507"/>
      <c r="ECW142" s="3507"/>
      <c r="ECX142" s="3507"/>
      <c r="ECY142" s="3507"/>
      <c r="ECZ142" s="3507"/>
      <c r="EDA142" s="3507"/>
      <c r="EDB142" s="3507"/>
      <c r="EDC142" s="3507"/>
      <c r="EDD142" s="3507"/>
      <c r="EDE142" s="3507"/>
      <c r="EDF142" s="3507"/>
      <c r="EDG142" s="3507"/>
      <c r="EDH142" s="3507"/>
      <c r="EDI142" s="3507"/>
      <c r="EDJ142" s="3507"/>
      <c r="EDK142" s="3507"/>
      <c r="EDL142" s="3507"/>
      <c r="EDM142" s="3507"/>
      <c r="EDN142" s="3507"/>
      <c r="EDO142" s="3507"/>
      <c r="EDP142" s="3507"/>
      <c r="EDQ142" s="3507"/>
      <c r="EDR142" s="3507"/>
      <c r="EDS142" s="3507"/>
      <c r="EDT142" s="3507"/>
      <c r="EDU142" s="3507"/>
      <c r="EDV142" s="3507"/>
      <c r="EDW142" s="3507"/>
      <c r="EDX142" s="3507"/>
      <c r="EDY142" s="3507"/>
      <c r="EDZ142" s="3507"/>
      <c r="EEA142" s="3507"/>
      <c r="EEB142" s="3507"/>
      <c r="EEC142" s="3507"/>
      <c r="EED142" s="3507"/>
      <c r="EEE142" s="3507"/>
      <c r="EEF142" s="3507"/>
      <c r="EEG142" s="3507"/>
      <c r="EEH142" s="3507"/>
      <c r="EEI142" s="3507"/>
      <c r="EEJ142" s="3507"/>
      <c r="EEK142" s="3507"/>
      <c r="EEL142" s="3507"/>
      <c r="EEM142" s="3507"/>
      <c r="EEN142" s="3507"/>
      <c r="EEO142" s="3507"/>
      <c r="EEP142" s="3507"/>
      <c r="EEQ142" s="3507"/>
      <c r="EER142" s="3507"/>
      <c r="EES142" s="3507"/>
      <c r="EET142" s="3507"/>
      <c r="EEU142" s="3507"/>
      <c r="EEV142" s="3507"/>
      <c r="EEW142" s="3507"/>
      <c r="EEX142" s="3507"/>
      <c r="EEY142" s="3507"/>
      <c r="EEZ142" s="3507"/>
      <c r="EFA142" s="3507"/>
      <c r="EFB142" s="3507"/>
      <c r="EFC142" s="3507"/>
      <c r="EFD142" s="3507"/>
      <c r="EFE142" s="3507"/>
      <c r="EFF142" s="3507"/>
      <c r="EFG142" s="3507"/>
      <c r="EFH142" s="3507"/>
      <c r="EFI142" s="3507"/>
      <c r="EFJ142" s="3507"/>
      <c r="EFK142" s="3507"/>
      <c r="EFL142" s="3507"/>
      <c r="EFM142" s="3507"/>
      <c r="EFN142" s="3507"/>
      <c r="EFO142" s="3507"/>
      <c r="EFP142" s="3507"/>
      <c r="EFQ142" s="3507"/>
      <c r="EFR142" s="3507"/>
      <c r="EFS142" s="3507"/>
      <c r="EFT142" s="3507"/>
      <c r="EFU142" s="3507"/>
      <c r="EFV142" s="3507"/>
      <c r="EFW142" s="3507"/>
      <c r="EFX142" s="3507"/>
      <c r="EFY142" s="3507"/>
      <c r="EFZ142" s="3507"/>
      <c r="EGA142" s="3507"/>
      <c r="EGB142" s="3507"/>
      <c r="EGC142" s="3507"/>
      <c r="EGD142" s="3507"/>
      <c r="EGE142" s="3507"/>
      <c r="EGF142" s="3507"/>
      <c r="EGG142" s="3507"/>
      <c r="EGH142" s="3507"/>
      <c r="EGI142" s="3507"/>
      <c r="EGJ142" s="3507"/>
      <c r="EGK142" s="3507"/>
      <c r="EGL142" s="3507"/>
      <c r="EGM142" s="3507"/>
      <c r="EGN142" s="3507"/>
      <c r="EGO142" s="3507"/>
      <c r="EGP142" s="3507"/>
      <c r="EGQ142" s="3507"/>
      <c r="EGR142" s="3507"/>
      <c r="EGS142" s="3507"/>
      <c r="EGT142" s="3507"/>
      <c r="EGU142" s="3507"/>
      <c r="EGV142" s="3507"/>
      <c r="EGW142" s="3507"/>
      <c r="EGX142" s="3507"/>
      <c r="EGY142" s="3507"/>
      <c r="EGZ142" s="3507"/>
      <c r="EHA142" s="3507"/>
      <c r="EHB142" s="3507"/>
      <c r="EHC142" s="3507"/>
      <c r="EHD142" s="3507"/>
      <c r="EHE142" s="3507"/>
      <c r="EHF142" s="3507"/>
      <c r="EHG142" s="3507"/>
      <c r="EHH142" s="3507"/>
      <c r="EHI142" s="3507"/>
      <c r="EHJ142" s="3507"/>
      <c r="EHK142" s="3507"/>
      <c r="EHL142" s="3507"/>
      <c r="EHM142" s="3507"/>
      <c r="EHN142" s="3507"/>
      <c r="EHO142" s="3507"/>
      <c r="EHP142" s="3507"/>
      <c r="EHQ142" s="3507"/>
      <c r="EHR142" s="3507"/>
      <c r="EHS142" s="3507"/>
      <c r="EHT142" s="3507"/>
      <c r="EHU142" s="3507"/>
      <c r="EHV142" s="3507"/>
      <c r="EHW142" s="3507"/>
      <c r="EHX142" s="3507"/>
      <c r="EHY142" s="3507"/>
      <c r="EHZ142" s="3507"/>
      <c r="EIA142" s="3507"/>
      <c r="EIB142" s="3507"/>
      <c r="EIC142" s="3507"/>
      <c r="EID142" s="3507"/>
      <c r="EIE142" s="3507"/>
      <c r="EIF142" s="3507"/>
      <c r="EIG142" s="3507"/>
      <c r="EIH142" s="3507"/>
      <c r="EII142" s="3507"/>
      <c r="EIJ142" s="3507"/>
      <c r="EIK142" s="3507"/>
      <c r="EIL142" s="3507"/>
      <c r="EIM142" s="3507"/>
      <c r="EIN142" s="3507"/>
      <c r="EIO142" s="3507"/>
      <c r="EIP142" s="3507"/>
      <c r="EIQ142" s="3507"/>
      <c r="EIR142" s="3507"/>
      <c r="EIS142" s="3507"/>
      <c r="EIT142" s="3507"/>
      <c r="EIU142" s="3507"/>
      <c r="EIV142" s="3507"/>
      <c r="EIW142" s="3507"/>
      <c r="EIX142" s="3507"/>
      <c r="EIY142" s="3507"/>
      <c r="EIZ142" s="3507"/>
      <c r="EJA142" s="3507"/>
      <c r="EJB142" s="3507"/>
      <c r="EJC142" s="3507"/>
      <c r="EJD142" s="3507"/>
      <c r="EJE142" s="3507"/>
      <c r="EJF142" s="3507"/>
      <c r="EJG142" s="3507"/>
      <c r="EJH142" s="3507"/>
      <c r="EJI142" s="3507"/>
      <c r="EJJ142" s="3507"/>
      <c r="EJK142" s="3507"/>
      <c r="EJL142" s="3507"/>
      <c r="EJM142" s="3507"/>
      <c r="EJN142" s="3507"/>
      <c r="EJO142" s="3507"/>
      <c r="EJP142" s="3507"/>
      <c r="EJQ142" s="3507"/>
      <c r="EJR142" s="3507"/>
      <c r="EJS142" s="3507"/>
      <c r="EJT142" s="3507"/>
      <c r="EJU142" s="3507"/>
      <c r="EJV142" s="3507"/>
      <c r="EJW142" s="3507"/>
      <c r="EJX142" s="3507"/>
      <c r="EJY142" s="3507"/>
      <c r="EJZ142" s="3507"/>
      <c r="EKA142" s="3507"/>
      <c r="EKB142" s="3507"/>
      <c r="EKC142" s="3507"/>
      <c r="EKD142" s="3507"/>
      <c r="EKE142" s="3507"/>
      <c r="EKF142" s="3507"/>
      <c r="EKG142" s="3507"/>
      <c r="EKH142" s="3507"/>
      <c r="EKI142" s="3507"/>
      <c r="EKJ142" s="3507"/>
      <c r="EKK142" s="3507"/>
      <c r="EKL142" s="3507"/>
      <c r="EKM142" s="3507"/>
      <c r="EKN142" s="3507"/>
      <c r="EKO142" s="3507"/>
      <c r="EKP142" s="3507"/>
      <c r="EKQ142" s="3507"/>
      <c r="EKR142" s="3507"/>
      <c r="EKS142" s="3507"/>
      <c r="EKT142" s="3507"/>
      <c r="EKU142" s="3507"/>
      <c r="EKV142" s="3507"/>
      <c r="EKW142" s="3507"/>
      <c r="EKX142" s="3507"/>
      <c r="EKY142" s="3507"/>
      <c r="EKZ142" s="3507"/>
      <c r="ELA142" s="3507"/>
      <c r="ELB142" s="3507"/>
      <c r="ELC142" s="3507"/>
      <c r="ELD142" s="3507"/>
      <c r="ELE142" s="3507"/>
      <c r="ELF142" s="3507"/>
      <c r="ELG142" s="3507"/>
      <c r="ELH142" s="3507"/>
      <c r="ELI142" s="3507"/>
      <c r="ELJ142" s="3507"/>
      <c r="ELK142" s="3507"/>
      <c r="ELL142" s="3507"/>
      <c r="ELM142" s="3507"/>
      <c r="ELN142" s="3507"/>
      <c r="ELO142" s="3507"/>
      <c r="ELP142" s="3507"/>
      <c r="ELQ142" s="3507"/>
      <c r="ELR142" s="3507"/>
      <c r="ELS142" s="3507"/>
      <c r="ELT142" s="3507"/>
      <c r="ELU142" s="3507"/>
      <c r="ELV142" s="3507"/>
      <c r="ELW142" s="3507"/>
      <c r="ELX142" s="3507"/>
      <c r="ELY142" s="3507"/>
      <c r="ELZ142" s="3507"/>
      <c r="EMA142" s="3507"/>
      <c r="EMB142" s="3507"/>
      <c r="EMC142" s="3507"/>
      <c r="EMD142" s="3507"/>
      <c r="EME142" s="3507"/>
      <c r="EMF142" s="3507"/>
      <c r="EMG142" s="3507"/>
      <c r="EMH142" s="3507"/>
      <c r="EMI142" s="3507"/>
      <c r="EMJ142" s="3507"/>
      <c r="EMK142" s="3507"/>
      <c r="EML142" s="3507"/>
      <c r="EMM142" s="3507"/>
      <c r="EMN142" s="3507"/>
      <c r="EMO142" s="3507"/>
      <c r="EMP142" s="3507"/>
      <c r="EMQ142" s="3507"/>
      <c r="EMR142" s="3507"/>
      <c r="EMS142" s="3507"/>
      <c r="EMT142" s="3507"/>
      <c r="EMU142" s="3507"/>
      <c r="EMV142" s="3507"/>
      <c r="EMW142" s="3507"/>
      <c r="EMX142" s="3507"/>
      <c r="EMY142" s="3507"/>
      <c r="EMZ142" s="3507"/>
      <c r="ENA142" s="3507"/>
      <c r="ENB142" s="3507"/>
      <c r="ENC142" s="3507"/>
      <c r="END142" s="3507"/>
      <c r="ENE142" s="3507"/>
      <c r="ENF142" s="3507"/>
      <c r="ENG142" s="3507"/>
      <c r="ENH142" s="3507"/>
      <c r="ENI142" s="3507"/>
      <c r="ENJ142" s="3507"/>
      <c r="ENK142" s="3507"/>
      <c r="ENL142" s="3507"/>
      <c r="ENM142" s="3507"/>
      <c r="ENN142" s="3507"/>
      <c r="ENO142" s="3507"/>
      <c r="ENP142" s="3507"/>
      <c r="ENQ142" s="3507"/>
      <c r="ENR142" s="3507"/>
      <c r="ENS142" s="3507"/>
      <c r="ENT142" s="3507"/>
      <c r="ENU142" s="3507"/>
      <c r="ENV142" s="3507"/>
      <c r="ENW142" s="3507"/>
      <c r="ENX142" s="3507"/>
      <c r="ENY142" s="3507"/>
      <c r="ENZ142" s="3507"/>
      <c r="EOA142" s="3507"/>
      <c r="EOB142" s="3507"/>
      <c r="EOC142" s="3507"/>
      <c r="EOD142" s="3507"/>
      <c r="EOE142" s="3507"/>
      <c r="EOF142" s="3507"/>
      <c r="EOG142" s="3507"/>
      <c r="EOH142" s="3507"/>
      <c r="EOI142" s="3507"/>
      <c r="EOJ142" s="3507"/>
      <c r="EOK142" s="3507"/>
      <c r="EOL142" s="3507"/>
      <c r="EOM142" s="3507"/>
      <c r="EON142" s="3507"/>
      <c r="EOO142" s="3507"/>
      <c r="EOP142" s="3507"/>
      <c r="EOQ142" s="3507"/>
      <c r="EOR142" s="3507"/>
      <c r="EOS142" s="3507"/>
      <c r="EOT142" s="3507"/>
      <c r="EOU142" s="3507"/>
      <c r="EOV142" s="3507"/>
      <c r="EOW142" s="3507"/>
      <c r="EOX142" s="3507"/>
      <c r="EOY142" s="3507"/>
      <c r="EOZ142" s="3507"/>
      <c r="EPA142" s="3507"/>
      <c r="EPB142" s="3507"/>
      <c r="EPC142" s="3507"/>
      <c r="EPD142" s="3507"/>
      <c r="EPE142" s="3507"/>
      <c r="EPF142" s="3507"/>
      <c r="EPG142" s="3507"/>
      <c r="EPH142" s="3507"/>
      <c r="EPI142" s="3507"/>
      <c r="EPJ142" s="3507"/>
      <c r="EPK142" s="3507"/>
      <c r="EPL142" s="3507"/>
      <c r="EPM142" s="3507"/>
      <c r="EPN142" s="3507"/>
      <c r="EPO142" s="3507"/>
      <c r="EPP142" s="3507"/>
      <c r="EPQ142" s="3507"/>
      <c r="EPR142" s="3507"/>
      <c r="EPS142" s="3507"/>
      <c r="EPT142" s="3507"/>
      <c r="EPU142" s="3507"/>
      <c r="EPV142" s="3507"/>
      <c r="EPW142" s="3507"/>
      <c r="EPX142" s="3507"/>
      <c r="EPY142" s="3507"/>
      <c r="EPZ142" s="3507"/>
      <c r="EQA142" s="3507"/>
      <c r="EQB142" s="3507"/>
      <c r="EQC142" s="3507"/>
      <c r="EQD142" s="3507"/>
      <c r="EQE142" s="3507"/>
      <c r="EQF142" s="3507"/>
      <c r="EQG142" s="3507"/>
      <c r="EQH142" s="3507"/>
      <c r="EQI142" s="3507"/>
      <c r="EQJ142" s="3507"/>
      <c r="EQK142" s="3507"/>
      <c r="EQL142" s="3507"/>
      <c r="EQM142" s="3507"/>
      <c r="EQN142" s="3507"/>
      <c r="EQO142" s="3507"/>
      <c r="EQP142" s="3507"/>
      <c r="EQQ142" s="3507"/>
      <c r="EQR142" s="3507"/>
      <c r="EQS142" s="3507"/>
      <c r="EQT142" s="3507"/>
      <c r="EQU142" s="3507"/>
      <c r="EQV142" s="3507"/>
      <c r="EQW142" s="3507"/>
      <c r="EQX142" s="3507"/>
      <c r="EQY142" s="3507"/>
      <c r="EQZ142" s="3507"/>
      <c r="ERA142" s="3507"/>
      <c r="ERB142" s="3507"/>
      <c r="ERC142" s="3507"/>
      <c r="ERD142" s="3507"/>
      <c r="ERE142" s="3507"/>
      <c r="ERF142" s="3507"/>
      <c r="ERG142" s="3507"/>
      <c r="ERH142" s="3507"/>
      <c r="ERI142" s="3507"/>
      <c r="ERJ142" s="3507"/>
      <c r="ERK142" s="3507"/>
      <c r="ERL142" s="3507"/>
      <c r="ERM142" s="3507"/>
      <c r="ERN142" s="3507"/>
      <c r="ERO142" s="3507"/>
      <c r="ERP142" s="3507"/>
      <c r="ERQ142" s="3507"/>
      <c r="ERR142" s="3507"/>
      <c r="ERS142" s="3507"/>
      <c r="ERT142" s="3507"/>
      <c r="ERU142" s="3507"/>
      <c r="ERV142" s="3507"/>
      <c r="ERW142" s="3507"/>
      <c r="ERX142" s="3507"/>
      <c r="ERY142" s="3507"/>
      <c r="ERZ142" s="3507"/>
      <c r="ESA142" s="3507"/>
      <c r="ESB142" s="3507"/>
      <c r="ESC142" s="3507"/>
      <c r="ESD142" s="3507"/>
      <c r="ESE142" s="3507"/>
      <c r="ESF142" s="3507"/>
      <c r="ESG142" s="3507"/>
      <c r="ESH142" s="3507"/>
      <c r="ESI142" s="3507"/>
      <c r="ESJ142" s="3507"/>
      <c r="ESK142" s="3507"/>
      <c r="ESL142" s="3507"/>
      <c r="ESM142" s="3507"/>
      <c r="ESN142" s="3507"/>
      <c r="ESO142" s="3507"/>
      <c r="ESP142" s="3507"/>
      <c r="ESQ142" s="3507"/>
      <c r="ESR142" s="3507"/>
      <c r="ESS142" s="3507"/>
      <c r="EST142" s="3507"/>
      <c r="ESU142" s="3507"/>
      <c r="ESV142" s="3507"/>
      <c r="ESW142" s="3507"/>
      <c r="ESX142" s="3507"/>
      <c r="ESY142" s="3507"/>
      <c r="ESZ142" s="3507"/>
      <c r="ETA142" s="3507"/>
      <c r="ETB142" s="3507"/>
      <c r="ETC142" s="3507"/>
      <c r="ETD142" s="3507"/>
      <c r="ETE142" s="3507"/>
      <c r="ETF142" s="3507"/>
      <c r="ETG142" s="3507"/>
      <c r="ETH142" s="3507"/>
      <c r="ETI142" s="3507"/>
      <c r="ETJ142" s="3507"/>
      <c r="ETK142" s="3507"/>
      <c r="ETL142" s="3507"/>
      <c r="ETM142" s="3507"/>
      <c r="ETN142" s="3507"/>
      <c r="ETO142" s="3507"/>
      <c r="ETP142" s="3507"/>
      <c r="ETQ142" s="3507"/>
      <c r="ETR142" s="3507"/>
      <c r="ETS142" s="3507"/>
      <c r="ETT142" s="3507"/>
      <c r="ETU142" s="3507"/>
      <c r="ETV142" s="3507"/>
      <c r="ETW142" s="3507"/>
      <c r="ETX142" s="3507"/>
      <c r="ETY142" s="3507"/>
      <c r="ETZ142" s="3507"/>
      <c r="EUA142" s="3507"/>
      <c r="EUB142" s="3507"/>
      <c r="EUC142" s="3507"/>
      <c r="EUD142" s="3507"/>
      <c r="EUE142" s="3507"/>
      <c r="EUF142" s="3507"/>
      <c r="EUG142" s="3507"/>
      <c r="EUH142" s="3507"/>
      <c r="EUI142" s="3507"/>
      <c r="EUJ142" s="3507"/>
      <c r="EUK142" s="3507"/>
      <c r="EUL142" s="3507"/>
      <c r="EUM142" s="3507"/>
      <c r="EUN142" s="3507"/>
      <c r="EUO142" s="3507"/>
      <c r="EUP142" s="3507"/>
      <c r="EUQ142" s="3507"/>
      <c r="EUR142" s="3507"/>
      <c r="EUS142" s="3507"/>
      <c r="EUT142" s="3507"/>
      <c r="EUU142" s="3507"/>
      <c r="EUV142" s="3507"/>
      <c r="EUW142" s="3507"/>
      <c r="EUX142" s="3507"/>
      <c r="EUY142" s="3507"/>
      <c r="EUZ142" s="3507"/>
      <c r="EVA142" s="3507"/>
      <c r="EVB142" s="3507"/>
      <c r="EVC142" s="3507"/>
      <c r="EVD142" s="3507"/>
      <c r="EVE142" s="3507"/>
      <c r="EVF142" s="3507"/>
      <c r="EVG142" s="3507"/>
      <c r="EVH142" s="3507"/>
      <c r="EVI142" s="3507"/>
      <c r="EVJ142" s="3507"/>
      <c r="EVK142" s="3507"/>
      <c r="EVL142" s="3507"/>
      <c r="EVM142" s="3507"/>
      <c r="EVN142" s="3507"/>
      <c r="EVO142" s="3507"/>
      <c r="EVP142" s="3507"/>
      <c r="EVQ142" s="3507"/>
      <c r="EVR142" s="3507"/>
      <c r="EVS142" s="3507"/>
      <c r="EVT142" s="3507"/>
      <c r="EVU142" s="3507"/>
      <c r="EVV142" s="3507"/>
      <c r="EVW142" s="3507"/>
      <c r="EVX142" s="3507"/>
      <c r="EVY142" s="3507"/>
      <c r="EVZ142" s="3507"/>
      <c r="EWA142" s="3507"/>
      <c r="EWB142" s="3507"/>
      <c r="EWC142" s="3507"/>
      <c r="EWD142" s="3507"/>
      <c r="EWE142" s="3507"/>
      <c r="EWF142" s="3507"/>
      <c r="EWG142" s="3507"/>
      <c r="EWH142" s="3507"/>
      <c r="EWI142" s="3507"/>
      <c r="EWJ142" s="3507"/>
      <c r="EWK142" s="3507"/>
      <c r="EWL142" s="3507"/>
      <c r="EWM142" s="3507"/>
      <c r="EWN142" s="3507"/>
      <c r="EWO142" s="3507"/>
      <c r="EWP142" s="3507"/>
      <c r="EWQ142" s="3507"/>
      <c r="EWR142" s="3507"/>
      <c r="EWS142" s="3507"/>
      <c r="EWT142" s="3507"/>
      <c r="EWU142" s="3507"/>
      <c r="EWV142" s="3507"/>
      <c r="EWW142" s="3507"/>
      <c r="EWX142" s="3507"/>
      <c r="EWY142" s="3507"/>
      <c r="EWZ142" s="3507"/>
      <c r="EXA142" s="3507"/>
      <c r="EXB142" s="3507"/>
      <c r="EXC142" s="3507"/>
      <c r="EXD142" s="3507"/>
      <c r="EXE142" s="3507"/>
      <c r="EXF142" s="3507"/>
      <c r="EXG142" s="3507"/>
      <c r="EXH142" s="3507"/>
      <c r="EXI142" s="3507"/>
      <c r="EXJ142" s="3507"/>
      <c r="EXK142" s="3507"/>
      <c r="EXL142" s="3507"/>
      <c r="EXM142" s="3507"/>
      <c r="EXN142" s="3507"/>
      <c r="EXO142" s="3507"/>
      <c r="EXP142" s="3507"/>
      <c r="EXQ142" s="3507"/>
      <c r="EXR142" s="3507"/>
      <c r="EXS142" s="3507"/>
      <c r="EXT142" s="3507"/>
      <c r="EXU142" s="3507"/>
      <c r="EXV142" s="3507"/>
      <c r="EXW142" s="3507"/>
      <c r="EXX142" s="3507"/>
      <c r="EXY142" s="3507"/>
      <c r="EXZ142" s="3507"/>
      <c r="EYA142" s="3507"/>
      <c r="EYB142" s="3507"/>
      <c r="EYC142" s="3507"/>
      <c r="EYD142" s="3507"/>
      <c r="EYE142" s="3507"/>
      <c r="EYF142" s="3507"/>
      <c r="EYG142" s="3507"/>
      <c r="EYH142" s="3507"/>
      <c r="EYI142" s="3507"/>
      <c r="EYJ142" s="3507"/>
      <c r="EYK142" s="3507"/>
      <c r="EYL142" s="3507"/>
      <c r="EYM142" s="3507"/>
      <c r="EYN142" s="3507"/>
      <c r="EYO142" s="3507"/>
      <c r="EYP142" s="3507"/>
      <c r="EYQ142" s="3507"/>
      <c r="EYR142" s="3507"/>
      <c r="EYS142" s="3507"/>
      <c r="EYT142" s="3507"/>
      <c r="EYU142" s="3507"/>
      <c r="EYV142" s="3507"/>
      <c r="EYW142" s="3507"/>
      <c r="EYX142" s="3507"/>
      <c r="EYY142" s="3507"/>
      <c r="EYZ142" s="3507"/>
      <c r="EZA142" s="3507"/>
      <c r="EZB142" s="3507"/>
      <c r="EZC142" s="3507"/>
      <c r="EZD142" s="3507"/>
      <c r="EZE142" s="3507"/>
      <c r="EZF142" s="3507"/>
      <c r="EZG142" s="3507"/>
      <c r="EZH142" s="3507"/>
      <c r="EZI142" s="3507"/>
      <c r="EZJ142" s="3507"/>
      <c r="EZK142" s="3507"/>
      <c r="EZL142" s="3507"/>
      <c r="EZM142" s="3507"/>
      <c r="EZN142" s="3507"/>
      <c r="EZO142" s="3507"/>
      <c r="EZP142" s="3507"/>
      <c r="EZQ142" s="3507"/>
      <c r="EZR142" s="3507"/>
      <c r="EZS142" s="3507"/>
      <c r="EZT142" s="3507"/>
      <c r="EZU142" s="3507"/>
      <c r="EZV142" s="3507"/>
      <c r="EZW142" s="3507"/>
      <c r="EZX142" s="3507"/>
      <c r="EZY142" s="3507"/>
      <c r="EZZ142" s="3507"/>
      <c r="FAA142" s="3507"/>
      <c r="FAB142" s="3507"/>
      <c r="FAC142" s="3507"/>
      <c r="FAD142" s="3507"/>
      <c r="FAE142" s="3507"/>
      <c r="FAF142" s="3507"/>
      <c r="FAG142" s="3507"/>
      <c r="FAH142" s="3507"/>
      <c r="FAI142" s="3507"/>
      <c r="FAJ142" s="3507"/>
      <c r="FAK142" s="3507"/>
      <c r="FAL142" s="3507"/>
      <c r="FAM142" s="3507"/>
      <c r="FAN142" s="3507"/>
      <c r="FAO142" s="3507"/>
      <c r="FAP142" s="3507"/>
      <c r="FAQ142" s="3507"/>
      <c r="FAR142" s="3507"/>
      <c r="FAS142" s="3507"/>
      <c r="FAT142" s="3507"/>
      <c r="FAU142" s="3507"/>
      <c r="FAV142" s="3507"/>
      <c r="FAW142" s="3507"/>
      <c r="FAX142" s="3507"/>
      <c r="FAY142" s="3507"/>
      <c r="FAZ142" s="3507"/>
      <c r="FBA142" s="3507"/>
      <c r="FBB142" s="3507"/>
      <c r="FBC142" s="3507"/>
      <c r="FBD142" s="3507"/>
      <c r="FBE142" s="3507"/>
      <c r="FBF142" s="3507"/>
      <c r="FBG142" s="3507"/>
      <c r="FBH142" s="3507"/>
      <c r="FBI142" s="3507"/>
      <c r="FBJ142" s="3507"/>
      <c r="FBK142" s="3507"/>
      <c r="FBL142" s="3507"/>
      <c r="FBM142" s="3507"/>
      <c r="FBN142" s="3507"/>
      <c r="FBO142" s="3507"/>
      <c r="FBP142" s="3507"/>
      <c r="FBQ142" s="3507"/>
      <c r="FBR142" s="3507"/>
      <c r="FBS142" s="3507"/>
      <c r="FBT142" s="3507"/>
      <c r="FBU142" s="3507"/>
      <c r="FBV142" s="3507"/>
      <c r="FBW142" s="3507"/>
      <c r="FBX142" s="3507"/>
      <c r="FBY142" s="3507"/>
      <c r="FBZ142" s="3507"/>
      <c r="FCA142" s="3507"/>
      <c r="FCB142" s="3507"/>
      <c r="FCC142" s="3507"/>
      <c r="FCD142" s="3507"/>
      <c r="FCE142" s="3507"/>
      <c r="FCF142" s="3507"/>
      <c r="FCG142" s="3507"/>
      <c r="FCH142" s="3507"/>
      <c r="FCI142" s="3507"/>
      <c r="FCJ142" s="3507"/>
      <c r="FCK142" s="3507"/>
      <c r="FCL142" s="3507"/>
      <c r="FCM142" s="3507"/>
      <c r="FCN142" s="3507"/>
      <c r="FCO142" s="3507"/>
      <c r="FCP142" s="3507"/>
      <c r="FCQ142" s="3507"/>
      <c r="FCR142" s="3507"/>
      <c r="FCS142" s="3507"/>
      <c r="FCT142" s="3507"/>
      <c r="FCU142" s="3507"/>
      <c r="FCV142" s="3507"/>
      <c r="FCW142" s="3507"/>
      <c r="FCX142" s="3507"/>
      <c r="FCY142" s="3507"/>
      <c r="FCZ142" s="3507"/>
      <c r="FDA142" s="3507"/>
      <c r="FDB142" s="3507"/>
      <c r="FDC142" s="3507"/>
      <c r="FDD142" s="3507"/>
      <c r="FDE142" s="3507"/>
      <c r="FDF142" s="3507"/>
      <c r="FDG142" s="3507"/>
      <c r="FDH142" s="3507"/>
      <c r="FDI142" s="3507"/>
      <c r="FDJ142" s="3507"/>
      <c r="FDK142" s="3507"/>
      <c r="FDL142" s="3507"/>
      <c r="FDM142" s="3507"/>
      <c r="FDN142" s="3507"/>
      <c r="FDO142" s="3507"/>
      <c r="FDP142" s="3507"/>
      <c r="FDQ142" s="3507"/>
      <c r="FDR142" s="3507"/>
      <c r="FDS142" s="3507"/>
      <c r="FDT142" s="3507"/>
      <c r="FDU142" s="3507"/>
      <c r="FDV142" s="3507"/>
      <c r="FDW142" s="3507"/>
      <c r="FDX142" s="3507"/>
      <c r="FDY142" s="3507"/>
      <c r="FDZ142" s="3507"/>
      <c r="FEA142" s="3507"/>
      <c r="FEB142" s="3507"/>
      <c r="FEC142" s="3507"/>
      <c r="FED142" s="3507"/>
      <c r="FEE142" s="3507"/>
      <c r="FEF142" s="3507"/>
      <c r="FEG142" s="3507"/>
      <c r="FEH142" s="3507"/>
      <c r="FEI142" s="3507"/>
      <c r="FEJ142" s="3507"/>
      <c r="FEK142" s="3507"/>
      <c r="FEL142" s="3507"/>
      <c r="FEM142" s="3507"/>
      <c r="FEN142" s="3507"/>
      <c r="FEO142" s="3507"/>
      <c r="FEP142" s="3507"/>
      <c r="FEQ142" s="3507"/>
      <c r="FER142" s="3507"/>
      <c r="FES142" s="3507"/>
      <c r="FET142" s="3507"/>
      <c r="FEU142" s="3507"/>
      <c r="FEV142" s="3507"/>
      <c r="FEW142" s="3507"/>
      <c r="FEX142" s="3507"/>
      <c r="FEY142" s="3507"/>
      <c r="FEZ142" s="3507"/>
      <c r="FFA142" s="3507"/>
      <c r="FFB142" s="3507"/>
      <c r="FFC142" s="3507"/>
      <c r="FFD142" s="3507"/>
      <c r="FFE142" s="3507"/>
      <c r="FFF142" s="3507"/>
      <c r="FFG142" s="3507"/>
      <c r="FFH142" s="3507"/>
      <c r="FFI142" s="3507"/>
      <c r="FFJ142" s="3507"/>
      <c r="FFK142" s="3507"/>
      <c r="FFL142" s="3507"/>
      <c r="FFM142" s="3507"/>
      <c r="FFN142" s="3507"/>
      <c r="FFO142" s="3507"/>
      <c r="FFP142" s="3507"/>
      <c r="FFQ142" s="3507"/>
      <c r="FFR142" s="3507"/>
      <c r="FFS142" s="3507"/>
      <c r="FFT142" s="3507"/>
      <c r="FFU142" s="3507"/>
      <c r="FFV142" s="3507"/>
      <c r="FFW142" s="3507"/>
      <c r="FFX142" s="3507"/>
      <c r="FFY142" s="3507"/>
      <c r="FFZ142" s="3507"/>
      <c r="FGA142" s="3507"/>
      <c r="FGB142" s="3507"/>
      <c r="FGC142" s="3507"/>
      <c r="FGD142" s="3507"/>
      <c r="FGE142" s="3507"/>
      <c r="FGF142" s="3507"/>
      <c r="FGG142" s="3507"/>
      <c r="FGH142" s="3507"/>
      <c r="FGI142" s="3507"/>
      <c r="FGJ142" s="3507"/>
      <c r="FGK142" s="3507"/>
      <c r="FGL142" s="3507"/>
      <c r="FGM142" s="3507"/>
      <c r="FGN142" s="3507"/>
      <c r="FGO142" s="3507"/>
      <c r="FGP142" s="3507"/>
      <c r="FGQ142" s="3507"/>
      <c r="FGR142" s="3507"/>
      <c r="FGS142" s="3507"/>
      <c r="FGT142" s="3507"/>
      <c r="FGU142" s="3507"/>
      <c r="FGV142" s="3507"/>
      <c r="FGW142" s="3507"/>
      <c r="FGX142" s="3507"/>
      <c r="FGY142" s="3507"/>
      <c r="FGZ142" s="3507"/>
      <c r="FHA142" s="3507"/>
      <c r="FHB142" s="3507"/>
      <c r="FHC142" s="3507"/>
      <c r="FHD142" s="3507"/>
      <c r="FHE142" s="3507"/>
      <c r="FHF142" s="3507"/>
      <c r="FHG142" s="3507"/>
      <c r="FHH142" s="3507"/>
      <c r="FHI142" s="3507"/>
      <c r="FHJ142" s="3507"/>
      <c r="FHK142" s="3507"/>
      <c r="FHL142" s="3507"/>
      <c r="FHM142" s="3507"/>
      <c r="FHN142" s="3507"/>
      <c r="FHO142" s="3507"/>
      <c r="FHP142" s="3507"/>
      <c r="FHQ142" s="3507"/>
      <c r="FHR142" s="3507"/>
      <c r="FHS142" s="3507"/>
      <c r="FHT142" s="3507"/>
      <c r="FHU142" s="3507"/>
      <c r="FHV142" s="3507"/>
      <c r="FHW142" s="3507"/>
      <c r="FHX142" s="3507"/>
      <c r="FHY142" s="3507"/>
      <c r="FHZ142" s="3507"/>
      <c r="FIA142" s="3507"/>
      <c r="FIB142" s="3507"/>
      <c r="FIC142" s="3507"/>
      <c r="FID142" s="3507"/>
      <c r="FIE142" s="3507"/>
      <c r="FIF142" s="3507"/>
      <c r="FIG142" s="3507"/>
      <c r="FIH142" s="3507"/>
      <c r="FII142" s="3507"/>
      <c r="FIJ142" s="3507"/>
      <c r="FIK142" s="3507"/>
      <c r="FIL142" s="3507"/>
      <c r="FIM142" s="3507"/>
      <c r="FIN142" s="3507"/>
      <c r="FIO142" s="3507"/>
      <c r="FIP142" s="3507"/>
      <c r="FIQ142" s="3507"/>
      <c r="FIR142" s="3507"/>
      <c r="FIS142" s="3507"/>
      <c r="FIT142" s="3507"/>
      <c r="FIU142" s="3507"/>
      <c r="FIV142" s="3507"/>
      <c r="FIW142" s="3507"/>
      <c r="FIX142" s="3507"/>
      <c r="FIY142" s="3507"/>
      <c r="FIZ142" s="3507"/>
      <c r="FJA142" s="3507"/>
      <c r="FJB142" s="3507"/>
      <c r="FJC142" s="3507"/>
      <c r="FJD142" s="3507"/>
      <c r="FJE142" s="3507"/>
      <c r="FJF142" s="3507"/>
      <c r="FJG142" s="3507"/>
      <c r="FJH142" s="3507"/>
      <c r="FJI142" s="3507"/>
      <c r="FJJ142" s="3507"/>
      <c r="FJK142" s="3507"/>
      <c r="FJL142" s="3507"/>
      <c r="FJM142" s="3507"/>
      <c r="FJN142" s="3507"/>
      <c r="FJO142" s="3507"/>
      <c r="FJP142" s="3507"/>
      <c r="FJQ142" s="3507"/>
      <c r="FJR142" s="3507"/>
      <c r="FJS142" s="3507"/>
      <c r="FJT142" s="3507"/>
      <c r="FJU142" s="3507"/>
      <c r="FJV142" s="3507"/>
      <c r="FJW142" s="3507"/>
      <c r="FJX142" s="3507"/>
      <c r="FJY142" s="3507"/>
      <c r="FJZ142" s="3507"/>
      <c r="FKA142" s="3507"/>
      <c r="FKB142" s="3507"/>
      <c r="FKC142" s="3507"/>
      <c r="FKD142" s="3507"/>
      <c r="FKE142" s="3507"/>
      <c r="FKF142" s="3507"/>
      <c r="FKG142" s="3507"/>
      <c r="FKH142" s="3507"/>
      <c r="FKI142" s="3507"/>
      <c r="FKJ142" s="3507"/>
      <c r="FKK142" s="3507"/>
      <c r="FKL142" s="3507"/>
      <c r="FKM142" s="3507"/>
      <c r="FKN142" s="3507"/>
      <c r="FKO142" s="3507"/>
      <c r="FKP142" s="3507"/>
      <c r="FKQ142" s="3507"/>
      <c r="FKR142" s="3507"/>
      <c r="FKS142" s="3507"/>
      <c r="FKT142" s="3507"/>
      <c r="FKU142" s="3507"/>
      <c r="FKV142" s="3507"/>
      <c r="FKW142" s="3507"/>
      <c r="FKX142" s="3507"/>
      <c r="FKY142" s="3507"/>
      <c r="FKZ142" s="3507"/>
      <c r="FLA142" s="3507"/>
      <c r="FLB142" s="3507"/>
      <c r="FLC142" s="3507"/>
      <c r="FLD142" s="3507"/>
      <c r="FLE142" s="3507"/>
      <c r="FLF142" s="3507"/>
      <c r="FLG142" s="3507"/>
      <c r="FLH142" s="3507"/>
      <c r="FLI142" s="3507"/>
      <c r="FLJ142" s="3507"/>
      <c r="FLK142" s="3507"/>
      <c r="FLL142" s="3507"/>
      <c r="FLM142" s="3507"/>
      <c r="FLN142" s="3507"/>
      <c r="FLO142" s="3507"/>
      <c r="FLP142" s="3507"/>
      <c r="FLQ142" s="3507"/>
      <c r="FLR142" s="3507"/>
      <c r="FLS142" s="3507"/>
      <c r="FLT142" s="3507"/>
      <c r="FLU142" s="3507"/>
      <c r="FLV142" s="3507"/>
      <c r="FLW142" s="3507"/>
      <c r="FLX142" s="3507"/>
      <c r="FLY142" s="3507"/>
      <c r="FLZ142" s="3507"/>
      <c r="FMA142" s="3507"/>
      <c r="FMB142" s="3507"/>
      <c r="FMC142" s="3507"/>
      <c r="FMD142" s="3507"/>
      <c r="FME142" s="3507"/>
      <c r="FMF142" s="3507"/>
      <c r="FMG142" s="3507"/>
      <c r="FMH142" s="3507"/>
      <c r="FMI142" s="3507"/>
      <c r="FMJ142" s="3507"/>
      <c r="FMK142" s="3507"/>
      <c r="FML142" s="3507"/>
      <c r="FMM142" s="3507"/>
      <c r="FMN142" s="3507"/>
      <c r="FMO142" s="3507"/>
      <c r="FMP142" s="3507"/>
      <c r="FMQ142" s="3507"/>
      <c r="FMR142" s="3507"/>
      <c r="FMS142" s="3507"/>
      <c r="FMT142" s="3507"/>
      <c r="FMU142" s="3507"/>
      <c r="FMV142" s="3507"/>
      <c r="FMW142" s="3507"/>
      <c r="FMX142" s="3507"/>
      <c r="FMY142" s="3507"/>
      <c r="FMZ142" s="3507"/>
      <c r="FNA142" s="3507"/>
      <c r="FNB142" s="3507"/>
      <c r="FNC142" s="3507"/>
      <c r="FND142" s="3507"/>
      <c r="FNE142" s="3507"/>
      <c r="FNF142" s="3507"/>
      <c r="FNG142" s="3507"/>
      <c r="FNH142" s="3507"/>
      <c r="FNI142" s="3507"/>
      <c r="FNJ142" s="3507"/>
      <c r="FNK142" s="3507"/>
      <c r="FNL142" s="3507"/>
      <c r="FNM142" s="3507"/>
      <c r="FNN142" s="3507"/>
      <c r="FNO142" s="3507"/>
      <c r="FNP142" s="3507"/>
      <c r="FNQ142" s="3507"/>
      <c r="FNR142" s="3507"/>
      <c r="FNS142" s="3507"/>
      <c r="FNT142" s="3507"/>
      <c r="FNU142" s="3507"/>
      <c r="FNV142" s="3507"/>
      <c r="FNW142" s="3507"/>
      <c r="FNX142" s="3507"/>
      <c r="FNY142" s="3507"/>
      <c r="FNZ142" s="3507"/>
      <c r="FOA142" s="3507"/>
      <c r="FOB142" s="3507"/>
      <c r="FOC142" s="3507"/>
      <c r="FOD142" s="3507"/>
      <c r="FOE142" s="3507"/>
      <c r="FOF142" s="3507"/>
      <c r="FOG142" s="3507"/>
      <c r="FOH142" s="3507"/>
      <c r="FOI142" s="3507"/>
      <c r="FOJ142" s="3507"/>
      <c r="FOK142" s="3507"/>
      <c r="FOL142" s="3507"/>
      <c r="FOM142" s="3507"/>
      <c r="FON142" s="3507"/>
      <c r="FOO142" s="3507"/>
      <c r="FOP142" s="3507"/>
      <c r="FOQ142" s="3507"/>
      <c r="FOR142" s="3507"/>
      <c r="FOS142" s="3507"/>
      <c r="FOT142" s="3507"/>
      <c r="FOU142" s="3507"/>
      <c r="FOV142" s="3507"/>
      <c r="FOW142" s="3507"/>
      <c r="FOX142" s="3507"/>
      <c r="FOY142" s="3507"/>
      <c r="FOZ142" s="3507"/>
      <c r="FPA142" s="3507"/>
      <c r="FPB142" s="3507"/>
      <c r="FPC142" s="3507"/>
      <c r="FPD142" s="3507"/>
      <c r="FPE142" s="3507"/>
      <c r="FPF142" s="3507"/>
      <c r="FPG142" s="3507"/>
      <c r="FPH142" s="3507"/>
      <c r="FPI142" s="3507"/>
      <c r="FPJ142" s="3507"/>
      <c r="FPK142" s="3507"/>
      <c r="FPL142" s="3507"/>
      <c r="FPM142" s="3507"/>
      <c r="FPN142" s="3507"/>
      <c r="FPO142" s="3507"/>
      <c r="FPP142" s="3507"/>
      <c r="FPQ142" s="3507"/>
      <c r="FPR142" s="3507"/>
      <c r="FPS142" s="3507"/>
      <c r="FPT142" s="3507"/>
      <c r="FPU142" s="3507"/>
      <c r="FPV142" s="3507"/>
      <c r="FPW142" s="3507"/>
      <c r="FPX142" s="3507"/>
      <c r="FPY142" s="3507"/>
      <c r="FPZ142" s="3507"/>
      <c r="FQA142" s="3507"/>
      <c r="FQB142" s="3507"/>
      <c r="FQC142" s="3507"/>
      <c r="FQD142" s="3507"/>
      <c r="FQE142" s="3507"/>
      <c r="FQF142" s="3507"/>
      <c r="FQG142" s="3507"/>
      <c r="FQH142" s="3507"/>
      <c r="FQI142" s="3507"/>
      <c r="FQJ142" s="3507"/>
      <c r="FQK142" s="3507"/>
      <c r="FQL142" s="3507"/>
      <c r="FQM142" s="3507"/>
      <c r="FQN142" s="3507"/>
      <c r="FQO142" s="3507"/>
      <c r="FQP142" s="3507"/>
      <c r="FQQ142" s="3507"/>
      <c r="FQR142" s="3507"/>
      <c r="FQS142" s="3507"/>
      <c r="FQT142" s="3507"/>
      <c r="FQU142" s="3507"/>
      <c r="FQV142" s="3507"/>
      <c r="FQW142" s="3507"/>
      <c r="FQX142" s="3507"/>
      <c r="FQY142" s="3507"/>
      <c r="FQZ142" s="3507"/>
      <c r="FRA142" s="3507"/>
      <c r="FRB142" s="3507"/>
      <c r="FRC142" s="3507"/>
      <c r="FRD142" s="3507"/>
      <c r="FRE142" s="3507"/>
      <c r="FRF142" s="3507"/>
      <c r="FRG142" s="3507"/>
      <c r="FRH142" s="3507"/>
      <c r="FRI142" s="3507"/>
      <c r="FRJ142" s="3507"/>
      <c r="FRK142" s="3507"/>
      <c r="FRL142" s="3507"/>
      <c r="FRM142" s="3507"/>
      <c r="FRN142" s="3507"/>
      <c r="FRO142" s="3507"/>
      <c r="FRP142" s="3507"/>
      <c r="FRQ142" s="3507"/>
      <c r="FRR142" s="3507"/>
      <c r="FRS142" s="3507"/>
      <c r="FRT142" s="3507"/>
      <c r="FRU142" s="3507"/>
      <c r="FRV142" s="3507"/>
      <c r="FRW142" s="3507"/>
      <c r="FRX142" s="3507"/>
      <c r="FRY142" s="3507"/>
      <c r="FRZ142" s="3507"/>
      <c r="FSA142" s="3507"/>
      <c r="FSB142" s="3507"/>
      <c r="FSC142" s="3507"/>
      <c r="FSD142" s="3507"/>
      <c r="FSE142" s="3507"/>
      <c r="FSF142" s="3507"/>
      <c r="FSG142" s="3507"/>
      <c r="FSH142" s="3507"/>
      <c r="FSI142" s="3507"/>
      <c r="FSJ142" s="3507"/>
      <c r="FSK142" s="3507"/>
      <c r="FSL142" s="3507"/>
      <c r="FSM142" s="3507"/>
      <c r="FSN142" s="3507"/>
      <c r="FSO142" s="3507"/>
      <c r="FSP142" s="3507"/>
      <c r="FSQ142" s="3507"/>
      <c r="FSR142" s="3507"/>
      <c r="FSS142" s="3507"/>
      <c r="FST142" s="3507"/>
      <c r="FSU142" s="3507"/>
      <c r="FSV142" s="3507"/>
      <c r="FSW142" s="3507"/>
      <c r="FSX142" s="3507"/>
      <c r="FSY142" s="3507"/>
      <c r="FSZ142" s="3507"/>
      <c r="FTA142" s="3507"/>
      <c r="FTB142" s="3507"/>
      <c r="FTC142" s="3507"/>
      <c r="FTD142" s="3507"/>
      <c r="FTE142" s="3507"/>
      <c r="FTF142" s="3507"/>
      <c r="FTG142" s="3507"/>
      <c r="FTH142" s="3507"/>
      <c r="FTI142" s="3507"/>
      <c r="FTJ142" s="3507"/>
      <c r="FTK142" s="3507"/>
      <c r="FTL142" s="3507"/>
      <c r="FTM142" s="3507"/>
      <c r="FTN142" s="3507"/>
      <c r="FTO142" s="3507"/>
      <c r="FTP142" s="3507"/>
      <c r="FTQ142" s="3507"/>
      <c r="FTR142" s="3507"/>
      <c r="FTS142" s="3507"/>
      <c r="FTT142" s="3507"/>
      <c r="FTU142" s="3507"/>
      <c r="FTV142" s="3507"/>
      <c r="FTW142" s="3507"/>
      <c r="FTX142" s="3507"/>
      <c r="FTY142" s="3507"/>
      <c r="FTZ142" s="3507"/>
      <c r="FUA142" s="3507"/>
      <c r="FUB142" s="3507"/>
      <c r="FUC142" s="3507"/>
      <c r="FUD142" s="3507"/>
      <c r="FUE142" s="3507"/>
      <c r="FUF142" s="3507"/>
      <c r="FUG142" s="3507"/>
      <c r="FUH142" s="3507"/>
      <c r="FUI142" s="3507"/>
      <c r="FUJ142" s="3507"/>
      <c r="FUK142" s="3507"/>
      <c r="FUL142" s="3507"/>
      <c r="FUM142" s="3507"/>
      <c r="FUN142" s="3507"/>
      <c r="FUO142" s="3507"/>
      <c r="FUP142" s="3507"/>
      <c r="FUQ142" s="3507"/>
      <c r="FUR142" s="3507"/>
      <c r="FUS142" s="3507"/>
      <c r="FUT142" s="3507"/>
      <c r="FUU142" s="3507"/>
      <c r="FUV142" s="3507"/>
      <c r="FUW142" s="3507"/>
      <c r="FUX142" s="3507"/>
      <c r="FUY142" s="3507"/>
      <c r="FUZ142" s="3507"/>
      <c r="FVA142" s="3507"/>
      <c r="FVB142" s="3507"/>
      <c r="FVC142" s="3507"/>
      <c r="FVD142" s="3507"/>
      <c r="FVE142" s="3507"/>
      <c r="FVF142" s="3507"/>
      <c r="FVG142" s="3507"/>
      <c r="FVH142" s="3507"/>
      <c r="FVI142" s="3507"/>
      <c r="FVJ142" s="3507"/>
      <c r="FVK142" s="3507"/>
      <c r="FVL142" s="3507"/>
      <c r="FVM142" s="3507"/>
      <c r="FVN142" s="3507"/>
      <c r="FVO142" s="3507"/>
      <c r="FVP142" s="3507"/>
      <c r="FVQ142" s="3507"/>
      <c r="FVR142" s="3507"/>
      <c r="FVS142" s="3507"/>
      <c r="FVT142" s="3507"/>
      <c r="FVU142" s="3507"/>
      <c r="FVV142" s="3507"/>
      <c r="FVW142" s="3507"/>
      <c r="FVX142" s="3507"/>
      <c r="FVY142" s="3507"/>
      <c r="FVZ142" s="3507"/>
      <c r="FWA142" s="3507"/>
      <c r="FWB142" s="3507"/>
      <c r="FWC142" s="3507"/>
      <c r="FWD142" s="3507"/>
      <c r="FWE142" s="3507"/>
      <c r="FWF142" s="3507"/>
      <c r="FWG142" s="3507"/>
      <c r="FWH142" s="3507"/>
      <c r="FWI142" s="3507"/>
      <c r="FWJ142" s="3507"/>
      <c r="FWK142" s="3507"/>
      <c r="FWL142" s="3507"/>
      <c r="FWM142" s="3507"/>
      <c r="FWN142" s="3507"/>
      <c r="FWO142" s="3507"/>
      <c r="FWP142" s="3507"/>
      <c r="FWQ142" s="3507"/>
      <c r="FWR142" s="3507"/>
      <c r="FWS142" s="3507"/>
      <c r="FWT142" s="3507"/>
      <c r="FWU142" s="3507"/>
      <c r="FWV142" s="3507"/>
      <c r="FWW142" s="3507"/>
      <c r="FWX142" s="3507"/>
      <c r="FWY142" s="3507"/>
      <c r="FWZ142" s="3507"/>
      <c r="FXA142" s="3507"/>
      <c r="FXB142" s="3507"/>
      <c r="FXC142" s="3507"/>
      <c r="FXD142" s="3507"/>
      <c r="FXE142" s="3507"/>
      <c r="FXF142" s="3507"/>
      <c r="FXG142" s="3507"/>
      <c r="FXH142" s="3507"/>
      <c r="FXI142" s="3507"/>
      <c r="FXJ142" s="3507"/>
      <c r="FXK142" s="3507"/>
      <c r="FXL142" s="3507"/>
      <c r="FXM142" s="3507"/>
      <c r="FXN142" s="3507"/>
      <c r="FXO142" s="3507"/>
      <c r="FXP142" s="3507"/>
      <c r="FXQ142" s="3507"/>
      <c r="FXR142" s="3507"/>
      <c r="FXS142" s="3507"/>
      <c r="FXT142" s="3507"/>
      <c r="FXU142" s="3507"/>
      <c r="FXV142" s="3507"/>
      <c r="FXW142" s="3507"/>
      <c r="FXX142" s="3507"/>
      <c r="FXY142" s="3507"/>
      <c r="FXZ142" s="3507"/>
      <c r="FYA142" s="3507"/>
      <c r="FYB142" s="3507"/>
      <c r="FYC142" s="3507"/>
      <c r="FYD142" s="3507"/>
      <c r="FYE142" s="3507"/>
      <c r="FYF142" s="3507"/>
      <c r="FYG142" s="3507"/>
      <c r="FYH142" s="3507"/>
      <c r="FYI142" s="3507"/>
      <c r="FYJ142" s="3507"/>
      <c r="FYK142" s="3507"/>
      <c r="FYL142" s="3507"/>
      <c r="FYM142" s="3507"/>
      <c r="FYN142" s="3507"/>
      <c r="FYO142" s="3507"/>
      <c r="FYP142" s="3507"/>
      <c r="FYQ142" s="3507"/>
      <c r="FYR142" s="3507"/>
      <c r="FYS142" s="3507"/>
      <c r="FYT142" s="3507"/>
      <c r="FYU142" s="3507"/>
      <c r="FYV142" s="3507"/>
      <c r="FYW142" s="3507"/>
      <c r="FYX142" s="3507"/>
      <c r="FYY142" s="3507"/>
      <c r="FYZ142" s="3507"/>
      <c r="FZA142" s="3507"/>
      <c r="FZB142" s="3507"/>
      <c r="FZC142" s="3507"/>
      <c r="FZD142" s="3507"/>
      <c r="FZE142" s="3507"/>
      <c r="FZF142" s="3507"/>
      <c r="FZG142" s="3507"/>
      <c r="FZH142" s="3507"/>
      <c r="FZI142" s="3507"/>
      <c r="FZJ142" s="3507"/>
      <c r="FZK142" s="3507"/>
      <c r="FZL142" s="3507"/>
      <c r="FZM142" s="3507"/>
      <c r="FZN142" s="3507"/>
      <c r="FZO142" s="3507"/>
      <c r="FZP142" s="3507"/>
      <c r="FZQ142" s="3507"/>
      <c r="FZR142" s="3507"/>
      <c r="FZS142" s="3507"/>
      <c r="FZT142" s="3507"/>
      <c r="FZU142" s="3507"/>
      <c r="FZV142" s="3507"/>
      <c r="FZW142" s="3507"/>
      <c r="FZX142" s="3507"/>
      <c r="FZY142" s="3507"/>
      <c r="FZZ142" s="3507"/>
      <c r="GAA142" s="3507"/>
      <c r="GAB142" s="3507"/>
      <c r="GAC142" s="3507"/>
      <c r="GAD142" s="3507"/>
      <c r="GAE142" s="3507"/>
      <c r="GAF142" s="3507"/>
      <c r="GAG142" s="3507"/>
      <c r="GAH142" s="3507"/>
      <c r="GAI142" s="3507"/>
      <c r="GAJ142" s="3507"/>
      <c r="GAK142" s="3507"/>
      <c r="GAL142" s="3507"/>
      <c r="GAM142" s="3507"/>
      <c r="GAN142" s="3507"/>
      <c r="GAO142" s="3507"/>
      <c r="GAP142" s="3507"/>
      <c r="GAQ142" s="3507"/>
      <c r="GAR142" s="3507"/>
      <c r="GAS142" s="3507"/>
      <c r="GAT142" s="3507"/>
      <c r="GAU142" s="3507"/>
      <c r="GAV142" s="3507"/>
      <c r="GAW142" s="3507"/>
      <c r="GAX142" s="3507"/>
      <c r="GAY142" s="3507"/>
      <c r="GAZ142" s="3507"/>
      <c r="GBA142" s="3507"/>
      <c r="GBB142" s="3507"/>
      <c r="GBC142" s="3507"/>
      <c r="GBD142" s="3507"/>
      <c r="GBE142" s="3507"/>
      <c r="GBF142" s="3507"/>
      <c r="GBG142" s="3507"/>
      <c r="GBH142" s="3507"/>
      <c r="GBI142" s="3507"/>
      <c r="GBJ142" s="3507"/>
      <c r="GBK142" s="3507"/>
      <c r="GBL142" s="3507"/>
      <c r="GBM142" s="3507"/>
      <c r="GBN142" s="3507"/>
      <c r="GBO142" s="3507"/>
      <c r="GBP142" s="3507"/>
      <c r="GBQ142" s="3507"/>
      <c r="GBR142" s="3507"/>
      <c r="GBS142" s="3507"/>
      <c r="GBT142" s="3507"/>
      <c r="GBU142" s="3507"/>
      <c r="GBV142" s="3507"/>
      <c r="GBW142" s="3507"/>
      <c r="GBX142" s="3507"/>
      <c r="GBY142" s="3507"/>
      <c r="GBZ142" s="3507"/>
      <c r="GCA142" s="3507"/>
      <c r="GCB142" s="3507"/>
      <c r="GCC142" s="3507"/>
      <c r="GCD142" s="3507"/>
      <c r="GCE142" s="3507"/>
      <c r="GCF142" s="3507"/>
      <c r="GCG142" s="3507"/>
      <c r="GCH142" s="3507"/>
      <c r="GCI142" s="3507"/>
      <c r="GCJ142" s="3507"/>
      <c r="GCK142" s="3507"/>
      <c r="GCL142" s="3507"/>
      <c r="GCM142" s="3507"/>
      <c r="GCN142" s="3507"/>
      <c r="GCO142" s="3507"/>
      <c r="GCP142" s="3507"/>
      <c r="GCQ142" s="3507"/>
      <c r="GCR142" s="3507"/>
      <c r="GCS142" s="3507"/>
      <c r="GCT142" s="3507"/>
      <c r="GCU142" s="3507"/>
      <c r="GCV142" s="3507"/>
      <c r="GCW142" s="3507"/>
      <c r="GCX142" s="3507"/>
      <c r="GCY142" s="3507"/>
      <c r="GCZ142" s="3507"/>
      <c r="GDA142" s="3507"/>
      <c r="GDB142" s="3507"/>
      <c r="GDC142" s="3507"/>
      <c r="GDD142" s="3507"/>
      <c r="GDE142" s="3507"/>
      <c r="GDF142" s="3507"/>
      <c r="GDG142" s="3507"/>
      <c r="GDH142" s="3507"/>
      <c r="GDI142" s="3507"/>
      <c r="GDJ142" s="3507"/>
      <c r="GDK142" s="3507"/>
      <c r="GDL142" s="3507"/>
      <c r="GDM142" s="3507"/>
      <c r="GDN142" s="3507"/>
      <c r="GDO142" s="3507"/>
      <c r="GDP142" s="3507"/>
      <c r="GDQ142" s="3507"/>
      <c r="GDR142" s="3507"/>
      <c r="GDS142" s="3507"/>
      <c r="GDT142" s="3507"/>
      <c r="GDU142" s="3507"/>
      <c r="GDV142" s="3507"/>
      <c r="GDW142" s="3507"/>
      <c r="GDX142" s="3507"/>
      <c r="GDY142" s="3507"/>
      <c r="GDZ142" s="3507"/>
      <c r="GEA142" s="3507"/>
      <c r="GEB142" s="3507"/>
      <c r="GEC142" s="3507"/>
      <c r="GED142" s="3507"/>
      <c r="GEE142" s="3507"/>
      <c r="GEF142" s="3507"/>
      <c r="GEG142" s="3507"/>
      <c r="GEH142" s="3507"/>
      <c r="GEI142" s="3507"/>
      <c r="GEJ142" s="3507"/>
      <c r="GEK142" s="3507"/>
      <c r="GEL142" s="3507"/>
      <c r="GEM142" s="3507"/>
      <c r="GEN142" s="3507"/>
      <c r="GEO142" s="3507"/>
      <c r="GEP142" s="3507"/>
      <c r="GEQ142" s="3507"/>
      <c r="GER142" s="3507"/>
      <c r="GES142" s="3507"/>
      <c r="GET142" s="3507"/>
      <c r="GEU142" s="3507"/>
      <c r="GEV142" s="3507"/>
      <c r="GEW142" s="3507"/>
      <c r="GEX142" s="3507"/>
      <c r="GEY142" s="3507"/>
      <c r="GEZ142" s="3507"/>
      <c r="GFA142" s="3507"/>
      <c r="GFB142" s="3507"/>
      <c r="GFC142" s="3507"/>
      <c r="GFD142" s="3507"/>
      <c r="GFE142" s="3507"/>
      <c r="GFF142" s="3507"/>
      <c r="GFG142" s="3507"/>
      <c r="GFH142" s="3507"/>
      <c r="GFI142" s="3507"/>
      <c r="GFJ142" s="3507"/>
      <c r="GFK142" s="3507"/>
      <c r="GFL142" s="3507"/>
      <c r="GFM142" s="3507"/>
      <c r="GFN142" s="3507"/>
      <c r="GFO142" s="3507"/>
      <c r="GFP142" s="3507"/>
      <c r="GFQ142" s="3507"/>
      <c r="GFR142" s="3507"/>
      <c r="GFS142" s="3507"/>
      <c r="GFT142" s="3507"/>
      <c r="GFU142" s="3507"/>
      <c r="GFV142" s="3507"/>
      <c r="GFW142" s="3507"/>
      <c r="GFX142" s="3507"/>
      <c r="GFY142" s="3507"/>
      <c r="GFZ142" s="3507"/>
      <c r="GGA142" s="3507"/>
      <c r="GGB142" s="3507"/>
      <c r="GGC142" s="3507"/>
      <c r="GGD142" s="3507"/>
      <c r="GGE142" s="3507"/>
      <c r="GGF142" s="3507"/>
      <c r="GGG142" s="3507"/>
      <c r="GGH142" s="3507"/>
      <c r="GGI142" s="3507"/>
      <c r="GGJ142" s="3507"/>
      <c r="GGK142" s="3507"/>
      <c r="GGL142" s="3507"/>
      <c r="GGM142" s="3507"/>
      <c r="GGN142" s="3507"/>
      <c r="GGO142" s="3507"/>
      <c r="GGP142" s="3507"/>
      <c r="GGQ142" s="3507"/>
      <c r="GGR142" s="3507"/>
      <c r="GGS142" s="3507"/>
      <c r="GGT142" s="3507"/>
      <c r="GGU142" s="3507"/>
      <c r="GGV142" s="3507"/>
      <c r="GGW142" s="3507"/>
      <c r="GGX142" s="3507"/>
      <c r="GGY142" s="3507"/>
      <c r="GGZ142" s="3507"/>
      <c r="GHA142" s="3507"/>
      <c r="GHB142" s="3507"/>
      <c r="GHC142" s="3507"/>
      <c r="GHD142" s="3507"/>
      <c r="GHE142" s="3507"/>
      <c r="GHF142" s="3507"/>
      <c r="GHG142" s="3507"/>
      <c r="GHH142" s="3507"/>
      <c r="GHI142" s="3507"/>
      <c r="GHJ142" s="3507"/>
      <c r="GHK142" s="3507"/>
      <c r="GHL142" s="3507"/>
      <c r="GHM142" s="3507"/>
      <c r="GHN142" s="3507"/>
      <c r="GHO142" s="3507"/>
      <c r="GHP142" s="3507"/>
      <c r="GHQ142" s="3507"/>
      <c r="GHR142" s="3507"/>
      <c r="GHS142" s="3507"/>
      <c r="GHT142" s="3507"/>
      <c r="GHU142" s="3507"/>
      <c r="GHV142" s="3507"/>
      <c r="GHW142" s="3507"/>
      <c r="GHX142" s="3507"/>
      <c r="GHY142" s="3507"/>
      <c r="GHZ142" s="3507"/>
      <c r="GIA142" s="3507"/>
      <c r="GIB142" s="3507"/>
      <c r="GIC142" s="3507"/>
      <c r="GID142" s="3507"/>
      <c r="GIE142" s="3507"/>
      <c r="GIF142" s="3507"/>
      <c r="GIG142" s="3507"/>
      <c r="GIH142" s="3507"/>
      <c r="GII142" s="3507"/>
      <c r="GIJ142" s="3507"/>
      <c r="GIK142" s="3507"/>
      <c r="GIL142" s="3507"/>
      <c r="GIM142" s="3507"/>
      <c r="GIN142" s="3507"/>
      <c r="GIO142" s="3507"/>
      <c r="GIP142" s="3507"/>
      <c r="GIQ142" s="3507"/>
      <c r="GIR142" s="3507"/>
      <c r="GIS142" s="3507"/>
      <c r="GIT142" s="3507"/>
      <c r="GIU142" s="3507"/>
      <c r="GIV142" s="3507"/>
      <c r="GIW142" s="3507"/>
      <c r="GIX142" s="3507"/>
      <c r="GIY142" s="3507"/>
      <c r="GIZ142" s="3507"/>
      <c r="GJA142" s="3507"/>
      <c r="GJB142" s="3507"/>
      <c r="GJC142" s="3507"/>
      <c r="GJD142" s="3507"/>
      <c r="GJE142" s="3507"/>
      <c r="GJF142" s="3507"/>
      <c r="GJG142" s="3507"/>
      <c r="GJH142" s="3507"/>
      <c r="GJI142" s="3507"/>
      <c r="GJJ142" s="3507"/>
      <c r="GJK142" s="3507"/>
      <c r="GJL142" s="3507"/>
      <c r="GJM142" s="3507"/>
      <c r="GJN142" s="3507"/>
      <c r="GJO142" s="3507"/>
      <c r="GJP142" s="3507"/>
      <c r="GJQ142" s="3507"/>
      <c r="GJR142" s="3507"/>
      <c r="GJS142" s="3507"/>
      <c r="GJT142" s="3507"/>
      <c r="GJU142" s="3507"/>
      <c r="GJV142" s="3507"/>
      <c r="GJW142" s="3507"/>
      <c r="GJX142" s="3507"/>
      <c r="GJY142" s="3507"/>
      <c r="GJZ142" s="3507"/>
      <c r="GKA142" s="3507"/>
      <c r="GKB142" s="3507"/>
      <c r="GKC142" s="3507"/>
      <c r="GKD142" s="3507"/>
      <c r="GKE142" s="3507"/>
      <c r="GKF142" s="3507"/>
      <c r="GKG142" s="3507"/>
      <c r="GKH142" s="3507"/>
      <c r="GKI142" s="3507"/>
      <c r="GKJ142" s="3507"/>
      <c r="GKK142" s="3507"/>
      <c r="GKL142" s="3507"/>
      <c r="GKM142" s="3507"/>
      <c r="GKN142" s="3507"/>
      <c r="GKO142" s="3507"/>
      <c r="GKP142" s="3507"/>
      <c r="GKQ142" s="3507"/>
      <c r="GKR142" s="3507"/>
      <c r="GKS142" s="3507"/>
      <c r="GKT142" s="3507"/>
      <c r="GKU142" s="3507"/>
      <c r="GKV142" s="3507"/>
      <c r="GKW142" s="3507"/>
      <c r="GKX142" s="3507"/>
      <c r="GKY142" s="3507"/>
      <c r="GKZ142" s="3507"/>
      <c r="GLA142" s="3507"/>
      <c r="GLB142" s="3507"/>
      <c r="GLC142" s="3507"/>
      <c r="GLD142" s="3507"/>
      <c r="GLE142" s="3507"/>
      <c r="GLF142" s="3507"/>
      <c r="GLG142" s="3507"/>
      <c r="GLH142" s="3507"/>
      <c r="GLI142" s="3507"/>
      <c r="GLJ142" s="3507"/>
      <c r="GLK142" s="3507"/>
      <c r="GLL142" s="3507"/>
      <c r="GLM142" s="3507"/>
      <c r="GLN142" s="3507"/>
      <c r="GLO142" s="3507"/>
      <c r="GLP142" s="3507"/>
      <c r="GLQ142" s="3507"/>
      <c r="GLR142" s="3507"/>
      <c r="GLS142" s="3507"/>
      <c r="GLT142" s="3507"/>
      <c r="GLU142" s="3507"/>
      <c r="GLV142" s="3507"/>
      <c r="GLW142" s="3507"/>
      <c r="GLX142" s="3507"/>
      <c r="GLY142" s="3507"/>
      <c r="GLZ142" s="3507"/>
      <c r="GMA142" s="3507"/>
      <c r="GMB142" s="3507"/>
      <c r="GMC142" s="3507"/>
      <c r="GMD142" s="3507"/>
      <c r="GME142" s="3507"/>
      <c r="GMF142" s="3507"/>
      <c r="GMG142" s="3507"/>
      <c r="GMH142" s="3507"/>
      <c r="GMI142" s="3507"/>
      <c r="GMJ142" s="3507"/>
      <c r="GMK142" s="3507"/>
      <c r="GML142" s="3507"/>
      <c r="GMM142" s="3507"/>
      <c r="GMN142" s="3507"/>
      <c r="GMO142" s="3507"/>
      <c r="GMP142" s="3507"/>
      <c r="GMQ142" s="3507"/>
      <c r="GMR142" s="3507"/>
      <c r="GMS142" s="3507"/>
      <c r="GMT142" s="3507"/>
      <c r="GMU142" s="3507"/>
      <c r="GMV142" s="3507"/>
      <c r="GMW142" s="3507"/>
      <c r="GMX142" s="3507"/>
      <c r="GMY142" s="3507"/>
      <c r="GMZ142" s="3507"/>
      <c r="GNA142" s="3507"/>
      <c r="GNB142" s="3507"/>
      <c r="GNC142" s="3507"/>
      <c r="GND142" s="3507"/>
      <c r="GNE142" s="3507"/>
      <c r="GNF142" s="3507"/>
      <c r="GNG142" s="3507"/>
      <c r="GNH142" s="3507"/>
      <c r="GNI142" s="3507"/>
      <c r="GNJ142" s="3507"/>
      <c r="GNK142" s="3507"/>
      <c r="GNL142" s="3507"/>
      <c r="GNM142" s="3507"/>
      <c r="GNN142" s="3507"/>
      <c r="GNO142" s="3507"/>
      <c r="GNP142" s="3507"/>
      <c r="GNQ142" s="3507"/>
      <c r="GNR142" s="3507"/>
      <c r="GNS142" s="3507"/>
      <c r="GNT142" s="3507"/>
      <c r="GNU142" s="3507"/>
      <c r="GNV142" s="3507"/>
      <c r="GNW142" s="3507"/>
      <c r="GNX142" s="3507"/>
      <c r="GNY142" s="3507"/>
      <c r="GNZ142" s="3507"/>
      <c r="GOA142" s="3507"/>
      <c r="GOB142" s="3507"/>
      <c r="GOC142" s="3507"/>
      <c r="GOD142" s="3507"/>
      <c r="GOE142" s="3507"/>
      <c r="GOF142" s="3507"/>
      <c r="GOG142" s="3507"/>
      <c r="GOH142" s="3507"/>
      <c r="GOI142" s="3507"/>
      <c r="GOJ142" s="3507"/>
      <c r="GOK142" s="3507"/>
      <c r="GOL142" s="3507"/>
      <c r="GOM142" s="3507"/>
      <c r="GON142" s="3507"/>
      <c r="GOO142" s="3507"/>
      <c r="GOP142" s="3507"/>
      <c r="GOQ142" s="3507"/>
      <c r="GOR142" s="3507"/>
      <c r="GOS142" s="3507"/>
      <c r="GOT142" s="3507"/>
      <c r="GOU142" s="3507"/>
      <c r="GOV142" s="3507"/>
      <c r="GOW142" s="3507"/>
      <c r="GOX142" s="3507"/>
      <c r="GOY142" s="3507"/>
      <c r="GOZ142" s="3507"/>
      <c r="GPA142" s="3507"/>
      <c r="GPB142" s="3507"/>
      <c r="GPC142" s="3507"/>
      <c r="GPD142" s="3507"/>
      <c r="GPE142" s="3507"/>
      <c r="GPF142" s="3507"/>
      <c r="GPG142" s="3507"/>
      <c r="GPH142" s="3507"/>
      <c r="GPI142" s="3507"/>
      <c r="GPJ142" s="3507"/>
      <c r="GPK142" s="3507"/>
      <c r="GPL142" s="3507"/>
      <c r="GPM142" s="3507"/>
      <c r="GPN142" s="3507"/>
      <c r="GPO142" s="3507"/>
      <c r="GPP142" s="3507"/>
      <c r="GPQ142" s="3507"/>
      <c r="GPR142" s="3507"/>
      <c r="GPS142" s="3507"/>
      <c r="GPT142" s="3507"/>
      <c r="GPU142" s="3507"/>
      <c r="GPV142" s="3507"/>
      <c r="GPW142" s="3507"/>
      <c r="GPX142" s="3507"/>
      <c r="GPY142" s="3507"/>
      <c r="GPZ142" s="3507"/>
      <c r="GQA142" s="3507"/>
      <c r="GQB142" s="3507"/>
      <c r="GQC142" s="3507"/>
      <c r="GQD142" s="3507"/>
      <c r="GQE142" s="3507"/>
      <c r="GQF142" s="3507"/>
      <c r="GQG142" s="3507"/>
      <c r="GQH142" s="3507"/>
      <c r="GQI142" s="3507"/>
      <c r="GQJ142" s="3507"/>
      <c r="GQK142" s="3507"/>
      <c r="GQL142" s="3507"/>
      <c r="GQM142" s="3507"/>
      <c r="GQN142" s="3507"/>
      <c r="GQO142" s="3507"/>
      <c r="GQP142" s="3507"/>
      <c r="GQQ142" s="3507"/>
      <c r="GQR142" s="3507"/>
      <c r="GQS142" s="3507"/>
      <c r="GQT142" s="3507"/>
      <c r="GQU142" s="3507"/>
      <c r="GQV142" s="3507"/>
      <c r="GQW142" s="3507"/>
      <c r="GQX142" s="3507"/>
      <c r="GQY142" s="3507"/>
      <c r="GQZ142" s="3507"/>
      <c r="GRA142" s="3507"/>
      <c r="GRB142" s="3507"/>
      <c r="GRC142" s="3507"/>
      <c r="GRD142" s="3507"/>
      <c r="GRE142" s="3507"/>
      <c r="GRF142" s="3507"/>
      <c r="GRG142" s="3507"/>
      <c r="GRH142" s="3507"/>
      <c r="GRI142" s="3507"/>
      <c r="GRJ142" s="3507"/>
      <c r="GRK142" s="3507"/>
      <c r="GRL142" s="3507"/>
      <c r="GRM142" s="3507"/>
      <c r="GRN142" s="3507"/>
      <c r="GRO142" s="3507"/>
      <c r="GRP142" s="3507"/>
      <c r="GRQ142" s="3507"/>
      <c r="GRR142" s="3507"/>
      <c r="GRS142" s="3507"/>
      <c r="GRT142" s="3507"/>
      <c r="GRU142" s="3507"/>
      <c r="GRV142" s="3507"/>
      <c r="GRW142" s="3507"/>
      <c r="GRX142" s="3507"/>
      <c r="GRY142" s="3507"/>
      <c r="GRZ142" s="3507"/>
      <c r="GSA142" s="3507"/>
      <c r="GSB142" s="3507"/>
      <c r="GSC142" s="3507"/>
      <c r="GSD142" s="3507"/>
      <c r="GSE142" s="3507"/>
      <c r="GSF142" s="3507"/>
      <c r="GSG142" s="3507"/>
      <c r="GSH142" s="3507"/>
      <c r="GSI142" s="3507"/>
      <c r="GSJ142" s="3507"/>
      <c r="GSK142" s="3507"/>
      <c r="GSL142" s="3507"/>
      <c r="GSM142" s="3507"/>
      <c r="GSN142" s="3507"/>
      <c r="GSO142" s="3507"/>
      <c r="GSP142" s="3507"/>
      <c r="GSQ142" s="3507"/>
      <c r="GSR142" s="3507"/>
      <c r="GSS142" s="3507"/>
      <c r="GST142" s="3507"/>
      <c r="GSU142" s="3507"/>
      <c r="GSV142" s="3507"/>
      <c r="GSW142" s="3507"/>
      <c r="GSX142" s="3507"/>
      <c r="GSY142" s="3507"/>
      <c r="GSZ142" s="3507"/>
      <c r="GTA142" s="3507"/>
      <c r="GTB142" s="3507"/>
      <c r="GTC142" s="3507"/>
      <c r="GTD142" s="3507"/>
      <c r="GTE142" s="3507"/>
      <c r="GTF142" s="3507"/>
      <c r="GTG142" s="3507"/>
      <c r="GTH142" s="3507"/>
      <c r="GTI142" s="3507"/>
      <c r="GTJ142" s="3507"/>
      <c r="GTK142" s="3507"/>
      <c r="GTL142" s="3507"/>
      <c r="GTM142" s="3507"/>
      <c r="GTN142" s="3507"/>
      <c r="GTO142" s="3507"/>
      <c r="GTP142" s="3507"/>
      <c r="GTQ142" s="3507"/>
      <c r="GTR142" s="3507"/>
      <c r="GTS142" s="3507"/>
      <c r="GTT142" s="3507"/>
      <c r="GTU142" s="3507"/>
      <c r="GTV142" s="3507"/>
      <c r="GTW142" s="3507"/>
      <c r="GTX142" s="3507"/>
      <c r="GTY142" s="3507"/>
      <c r="GTZ142" s="3507"/>
      <c r="GUA142" s="3507"/>
      <c r="GUB142" s="3507"/>
      <c r="GUC142" s="3507"/>
      <c r="GUD142" s="3507"/>
      <c r="GUE142" s="3507"/>
      <c r="GUF142" s="3507"/>
      <c r="GUG142" s="3507"/>
      <c r="GUH142" s="3507"/>
      <c r="GUI142" s="3507"/>
      <c r="GUJ142" s="3507"/>
      <c r="GUK142" s="3507"/>
      <c r="GUL142" s="3507"/>
      <c r="GUM142" s="3507"/>
      <c r="GUN142" s="3507"/>
      <c r="GUO142" s="3507"/>
      <c r="GUP142" s="3507"/>
      <c r="GUQ142" s="3507"/>
      <c r="GUR142" s="3507"/>
      <c r="GUS142" s="3507"/>
      <c r="GUT142" s="3507"/>
      <c r="GUU142" s="3507"/>
      <c r="GUV142" s="3507"/>
      <c r="GUW142" s="3507"/>
      <c r="GUX142" s="3507"/>
      <c r="GUY142" s="3507"/>
      <c r="GUZ142" s="3507"/>
      <c r="GVA142" s="3507"/>
      <c r="GVB142" s="3507"/>
      <c r="GVC142" s="3507"/>
      <c r="GVD142" s="3507"/>
      <c r="GVE142" s="3507"/>
      <c r="GVF142" s="3507"/>
      <c r="GVG142" s="3507"/>
      <c r="GVH142" s="3507"/>
      <c r="GVI142" s="3507"/>
      <c r="GVJ142" s="3507"/>
      <c r="GVK142" s="3507"/>
      <c r="GVL142" s="3507"/>
      <c r="GVM142" s="3507"/>
      <c r="GVN142" s="3507"/>
      <c r="GVO142" s="3507"/>
      <c r="GVP142" s="3507"/>
      <c r="GVQ142" s="3507"/>
      <c r="GVR142" s="3507"/>
      <c r="GVS142" s="3507"/>
      <c r="GVT142" s="3507"/>
      <c r="GVU142" s="3507"/>
      <c r="GVV142" s="3507"/>
      <c r="GVW142" s="3507"/>
      <c r="GVX142" s="3507"/>
      <c r="GVY142" s="3507"/>
      <c r="GVZ142" s="3507"/>
      <c r="GWA142" s="3507"/>
      <c r="GWB142" s="3507"/>
      <c r="GWC142" s="3507"/>
      <c r="GWD142" s="3507"/>
      <c r="GWE142" s="3507"/>
      <c r="GWF142" s="3507"/>
      <c r="GWG142" s="3507"/>
      <c r="GWH142" s="3507"/>
      <c r="GWI142" s="3507"/>
      <c r="GWJ142" s="3507"/>
      <c r="GWK142" s="3507"/>
      <c r="GWL142" s="3507"/>
      <c r="GWM142" s="3507"/>
      <c r="GWN142" s="3507"/>
      <c r="GWO142" s="3507"/>
      <c r="GWP142" s="3507"/>
      <c r="GWQ142" s="3507"/>
      <c r="GWR142" s="3507"/>
      <c r="GWS142" s="3507"/>
      <c r="GWT142" s="3507"/>
      <c r="GWU142" s="3507"/>
      <c r="GWV142" s="3507"/>
      <c r="GWW142" s="3507"/>
      <c r="GWX142" s="3507"/>
      <c r="GWY142" s="3507"/>
      <c r="GWZ142" s="3507"/>
      <c r="GXA142" s="3507"/>
      <c r="GXB142" s="3507"/>
      <c r="GXC142" s="3507"/>
      <c r="GXD142" s="3507"/>
      <c r="GXE142" s="3507"/>
      <c r="GXF142" s="3507"/>
      <c r="GXG142" s="3507"/>
      <c r="GXH142" s="3507"/>
      <c r="GXI142" s="3507"/>
      <c r="GXJ142" s="3507"/>
      <c r="GXK142" s="3507"/>
      <c r="GXL142" s="3507"/>
      <c r="GXM142" s="3507"/>
      <c r="GXN142" s="3507"/>
      <c r="GXO142" s="3507"/>
      <c r="GXP142" s="3507"/>
      <c r="GXQ142" s="3507"/>
      <c r="GXR142" s="3507"/>
      <c r="GXS142" s="3507"/>
      <c r="GXT142" s="3507"/>
      <c r="GXU142" s="3507"/>
      <c r="GXV142" s="3507"/>
      <c r="GXW142" s="3507"/>
      <c r="GXX142" s="3507"/>
      <c r="GXY142" s="3507"/>
      <c r="GXZ142" s="3507"/>
      <c r="GYA142" s="3507"/>
      <c r="GYB142" s="3507"/>
      <c r="GYC142" s="3507"/>
      <c r="GYD142" s="3507"/>
      <c r="GYE142" s="3507"/>
      <c r="GYF142" s="3507"/>
      <c r="GYG142" s="3507"/>
      <c r="GYH142" s="3507"/>
      <c r="GYI142" s="3507"/>
      <c r="GYJ142" s="3507"/>
      <c r="GYK142" s="3507"/>
      <c r="GYL142" s="3507"/>
      <c r="GYM142" s="3507"/>
      <c r="GYN142" s="3507"/>
      <c r="GYO142" s="3507"/>
      <c r="GYP142" s="3507"/>
      <c r="GYQ142" s="3507"/>
      <c r="GYR142" s="3507"/>
      <c r="GYS142" s="3507"/>
      <c r="GYT142" s="3507"/>
      <c r="GYU142" s="3507"/>
      <c r="GYV142" s="3507"/>
      <c r="GYW142" s="3507"/>
      <c r="GYX142" s="3507"/>
      <c r="GYY142" s="3507"/>
      <c r="GYZ142" s="3507"/>
      <c r="GZA142" s="3507"/>
      <c r="GZB142" s="3507"/>
      <c r="GZC142" s="3507"/>
      <c r="GZD142" s="3507"/>
      <c r="GZE142" s="3507"/>
      <c r="GZF142" s="3507"/>
      <c r="GZG142" s="3507"/>
      <c r="GZH142" s="3507"/>
      <c r="GZI142" s="3507"/>
      <c r="GZJ142" s="3507"/>
      <c r="GZK142" s="3507"/>
      <c r="GZL142" s="3507"/>
      <c r="GZM142" s="3507"/>
      <c r="GZN142" s="3507"/>
      <c r="GZO142" s="3507"/>
      <c r="GZP142" s="3507"/>
      <c r="GZQ142" s="3507"/>
      <c r="GZR142" s="3507"/>
      <c r="GZS142" s="3507"/>
      <c r="GZT142" s="3507"/>
      <c r="GZU142" s="3507"/>
      <c r="GZV142" s="3507"/>
      <c r="GZW142" s="3507"/>
      <c r="GZX142" s="3507"/>
      <c r="GZY142" s="3507"/>
      <c r="GZZ142" s="3507"/>
      <c r="HAA142" s="3507"/>
      <c r="HAB142" s="3507"/>
      <c r="HAC142" s="3507"/>
      <c r="HAD142" s="3507"/>
      <c r="HAE142" s="3507"/>
      <c r="HAF142" s="3507"/>
      <c r="HAG142" s="3507"/>
      <c r="HAH142" s="3507"/>
      <c r="HAI142" s="3507"/>
      <c r="HAJ142" s="3507"/>
      <c r="HAK142" s="3507"/>
      <c r="HAL142" s="3507"/>
      <c r="HAM142" s="3507"/>
      <c r="HAN142" s="3507"/>
      <c r="HAO142" s="3507"/>
      <c r="HAP142" s="3507"/>
      <c r="HAQ142" s="3507"/>
      <c r="HAR142" s="3507"/>
      <c r="HAS142" s="3507"/>
      <c r="HAT142" s="3507"/>
      <c r="HAU142" s="3507"/>
      <c r="HAV142" s="3507"/>
      <c r="HAW142" s="3507"/>
      <c r="HAX142" s="3507"/>
      <c r="HAY142" s="3507"/>
      <c r="HAZ142" s="3507"/>
      <c r="HBA142" s="3507"/>
      <c r="HBB142" s="3507"/>
      <c r="HBC142" s="3507"/>
      <c r="HBD142" s="3507"/>
      <c r="HBE142" s="3507"/>
      <c r="HBF142" s="3507"/>
      <c r="HBG142" s="3507"/>
      <c r="HBH142" s="3507"/>
      <c r="HBI142" s="3507"/>
      <c r="HBJ142" s="3507"/>
      <c r="HBK142" s="3507"/>
      <c r="HBL142" s="3507"/>
      <c r="HBM142" s="3507"/>
      <c r="HBN142" s="3507"/>
      <c r="HBO142" s="3507"/>
      <c r="HBP142" s="3507"/>
      <c r="HBQ142" s="3507"/>
      <c r="HBR142" s="3507"/>
      <c r="HBS142" s="3507"/>
      <c r="HBT142" s="3507"/>
      <c r="HBU142" s="3507"/>
      <c r="HBV142" s="3507"/>
      <c r="HBW142" s="3507"/>
      <c r="HBX142" s="3507"/>
      <c r="HBY142" s="3507"/>
      <c r="HBZ142" s="3507"/>
      <c r="HCA142" s="3507"/>
      <c r="HCB142" s="3507"/>
      <c r="HCC142" s="3507"/>
      <c r="HCD142" s="3507"/>
      <c r="HCE142" s="3507"/>
      <c r="HCF142" s="3507"/>
      <c r="HCG142" s="3507"/>
      <c r="HCH142" s="3507"/>
      <c r="HCI142" s="3507"/>
      <c r="HCJ142" s="3507"/>
      <c r="HCK142" s="3507"/>
      <c r="HCL142" s="3507"/>
      <c r="HCM142" s="3507"/>
      <c r="HCN142" s="3507"/>
      <c r="HCO142" s="3507"/>
      <c r="HCP142" s="3507"/>
      <c r="HCQ142" s="3507"/>
      <c r="HCR142" s="3507"/>
      <c r="HCS142" s="3507"/>
      <c r="HCT142" s="3507"/>
      <c r="HCU142" s="3507"/>
      <c r="HCV142" s="3507"/>
      <c r="HCW142" s="3507"/>
      <c r="HCX142" s="3507"/>
      <c r="HCY142" s="3507"/>
      <c r="HCZ142" s="3507"/>
      <c r="HDA142" s="3507"/>
      <c r="HDB142" s="3507"/>
      <c r="HDC142" s="3507"/>
      <c r="HDD142" s="3507"/>
      <c r="HDE142" s="3507"/>
      <c r="HDF142" s="3507"/>
      <c r="HDG142" s="3507"/>
      <c r="HDH142" s="3507"/>
      <c r="HDI142" s="3507"/>
      <c r="HDJ142" s="3507"/>
      <c r="HDK142" s="3507"/>
      <c r="HDL142" s="3507"/>
      <c r="HDM142" s="3507"/>
      <c r="HDN142" s="3507"/>
      <c r="HDO142" s="3507"/>
      <c r="HDP142" s="3507"/>
      <c r="HDQ142" s="3507"/>
      <c r="HDR142" s="3507"/>
      <c r="HDS142" s="3507"/>
      <c r="HDT142" s="3507"/>
      <c r="HDU142" s="3507"/>
      <c r="HDV142" s="3507"/>
      <c r="HDW142" s="3507"/>
      <c r="HDX142" s="3507"/>
      <c r="HDY142" s="3507"/>
      <c r="HDZ142" s="3507"/>
      <c r="HEA142" s="3507"/>
      <c r="HEB142" s="3507"/>
      <c r="HEC142" s="3507"/>
      <c r="HED142" s="3507"/>
      <c r="HEE142" s="3507"/>
      <c r="HEF142" s="3507"/>
      <c r="HEG142" s="3507"/>
      <c r="HEH142" s="3507"/>
      <c r="HEI142" s="3507"/>
      <c r="HEJ142" s="3507"/>
      <c r="HEK142" s="3507"/>
      <c r="HEL142" s="3507"/>
      <c r="HEM142" s="3507"/>
      <c r="HEN142" s="3507"/>
      <c r="HEO142" s="3507"/>
      <c r="HEP142" s="3507"/>
      <c r="HEQ142" s="3507"/>
      <c r="HER142" s="3507"/>
      <c r="HES142" s="3507"/>
      <c r="HET142" s="3507"/>
      <c r="HEU142" s="3507"/>
      <c r="HEV142" s="3507"/>
      <c r="HEW142" s="3507"/>
      <c r="HEX142" s="3507"/>
      <c r="HEY142" s="3507"/>
      <c r="HEZ142" s="3507"/>
      <c r="HFA142" s="3507"/>
      <c r="HFB142" s="3507"/>
      <c r="HFC142" s="3507"/>
      <c r="HFD142" s="3507"/>
      <c r="HFE142" s="3507"/>
      <c r="HFF142" s="3507"/>
      <c r="HFG142" s="3507"/>
      <c r="HFH142" s="3507"/>
      <c r="HFI142" s="3507"/>
      <c r="HFJ142" s="3507"/>
      <c r="HFK142" s="3507"/>
      <c r="HFL142" s="3507"/>
      <c r="HFM142" s="3507"/>
      <c r="HFN142" s="3507"/>
      <c r="HFO142" s="3507"/>
      <c r="HFP142" s="3507"/>
      <c r="HFQ142" s="3507"/>
      <c r="HFR142" s="3507"/>
      <c r="HFS142" s="3507"/>
      <c r="HFT142" s="3507"/>
      <c r="HFU142" s="3507"/>
      <c r="HFV142" s="3507"/>
      <c r="HFW142" s="3507"/>
      <c r="HFX142" s="3507"/>
      <c r="HFY142" s="3507"/>
      <c r="HFZ142" s="3507"/>
      <c r="HGA142" s="3507"/>
      <c r="HGB142" s="3507"/>
      <c r="HGC142" s="3507"/>
      <c r="HGD142" s="3507"/>
      <c r="HGE142" s="3507"/>
      <c r="HGF142" s="3507"/>
      <c r="HGG142" s="3507"/>
      <c r="HGH142" s="3507"/>
      <c r="HGI142" s="3507"/>
      <c r="HGJ142" s="3507"/>
      <c r="HGK142" s="3507"/>
      <c r="HGL142" s="3507"/>
      <c r="HGM142" s="3507"/>
      <c r="HGN142" s="3507"/>
      <c r="HGO142" s="3507"/>
      <c r="HGP142" s="3507"/>
      <c r="HGQ142" s="3507"/>
      <c r="HGR142" s="3507"/>
      <c r="HGS142" s="3507"/>
      <c r="HGT142" s="3507"/>
      <c r="HGU142" s="3507"/>
      <c r="HGV142" s="3507"/>
      <c r="HGW142" s="3507"/>
      <c r="HGX142" s="3507"/>
      <c r="HGY142" s="3507"/>
      <c r="HGZ142" s="3507"/>
      <c r="HHA142" s="3507"/>
      <c r="HHB142" s="3507"/>
      <c r="HHC142" s="3507"/>
      <c r="HHD142" s="3507"/>
      <c r="HHE142" s="3507"/>
      <c r="HHF142" s="3507"/>
      <c r="HHG142" s="3507"/>
      <c r="HHH142" s="3507"/>
      <c r="HHI142" s="3507"/>
      <c r="HHJ142" s="3507"/>
      <c r="HHK142" s="3507"/>
      <c r="HHL142" s="3507"/>
      <c r="HHM142" s="3507"/>
      <c r="HHN142" s="3507"/>
      <c r="HHO142" s="3507"/>
      <c r="HHP142" s="3507"/>
      <c r="HHQ142" s="3507"/>
      <c r="HHR142" s="3507"/>
      <c r="HHS142" s="3507"/>
      <c r="HHT142" s="3507"/>
      <c r="HHU142" s="3507"/>
      <c r="HHV142" s="3507"/>
      <c r="HHW142" s="3507"/>
      <c r="HHX142" s="3507"/>
      <c r="HHY142" s="3507"/>
      <c r="HHZ142" s="3507"/>
      <c r="HIA142" s="3507"/>
      <c r="HIB142" s="3507"/>
      <c r="HIC142" s="3507"/>
      <c r="HID142" s="3507"/>
      <c r="HIE142" s="3507"/>
      <c r="HIF142" s="3507"/>
      <c r="HIG142" s="3507"/>
      <c r="HIH142" s="3507"/>
      <c r="HII142" s="3507"/>
      <c r="HIJ142" s="3507"/>
      <c r="HIK142" s="3507"/>
      <c r="HIL142" s="3507"/>
      <c r="HIM142" s="3507"/>
      <c r="HIN142" s="3507"/>
      <c r="HIO142" s="3507"/>
      <c r="HIP142" s="3507"/>
      <c r="HIQ142" s="3507"/>
      <c r="HIR142" s="3507"/>
      <c r="HIS142" s="3507"/>
      <c r="HIT142" s="3507"/>
      <c r="HIU142" s="3507"/>
      <c r="HIV142" s="3507"/>
      <c r="HIW142" s="3507"/>
      <c r="HIX142" s="3507"/>
      <c r="HIY142" s="3507"/>
      <c r="HIZ142" s="3507"/>
      <c r="HJA142" s="3507"/>
      <c r="HJB142" s="3507"/>
      <c r="HJC142" s="3507"/>
      <c r="HJD142" s="3507"/>
      <c r="HJE142" s="3507"/>
      <c r="HJF142" s="3507"/>
      <c r="HJG142" s="3507"/>
      <c r="HJH142" s="3507"/>
      <c r="HJI142" s="3507"/>
      <c r="HJJ142" s="3507"/>
      <c r="HJK142" s="3507"/>
      <c r="HJL142" s="3507"/>
      <c r="HJM142" s="3507"/>
      <c r="HJN142" s="3507"/>
      <c r="HJO142" s="3507"/>
      <c r="HJP142" s="3507"/>
      <c r="HJQ142" s="3507"/>
      <c r="HJR142" s="3507"/>
      <c r="HJS142" s="3507"/>
      <c r="HJT142" s="3507"/>
      <c r="HJU142" s="3507"/>
      <c r="HJV142" s="3507"/>
      <c r="HJW142" s="3507"/>
      <c r="HJX142" s="3507"/>
      <c r="HJY142" s="3507"/>
      <c r="HJZ142" s="3507"/>
      <c r="HKA142" s="3507"/>
      <c r="HKB142" s="3507"/>
      <c r="HKC142" s="3507"/>
      <c r="HKD142" s="3507"/>
      <c r="HKE142" s="3507"/>
      <c r="HKF142" s="3507"/>
      <c r="HKG142" s="3507"/>
      <c r="HKH142" s="3507"/>
      <c r="HKI142" s="3507"/>
      <c r="HKJ142" s="3507"/>
      <c r="HKK142" s="3507"/>
      <c r="HKL142" s="3507"/>
      <c r="HKM142" s="3507"/>
      <c r="HKN142" s="3507"/>
      <c r="HKO142" s="3507"/>
      <c r="HKP142" s="3507"/>
      <c r="HKQ142" s="3507"/>
      <c r="HKR142" s="3507"/>
      <c r="HKS142" s="3507"/>
      <c r="HKT142" s="3507"/>
      <c r="HKU142" s="3507"/>
      <c r="HKV142" s="3507"/>
      <c r="HKW142" s="3507"/>
      <c r="HKX142" s="3507"/>
      <c r="HKY142" s="3507"/>
      <c r="HKZ142" s="3507"/>
      <c r="HLA142" s="3507"/>
      <c r="HLB142" s="3507"/>
      <c r="HLC142" s="3507"/>
      <c r="HLD142" s="3507"/>
      <c r="HLE142" s="3507"/>
      <c r="HLF142" s="3507"/>
      <c r="HLG142" s="3507"/>
      <c r="HLH142" s="3507"/>
      <c r="HLI142" s="3507"/>
      <c r="HLJ142" s="3507"/>
      <c r="HLK142" s="3507"/>
      <c r="HLL142" s="3507"/>
      <c r="HLM142" s="3507"/>
      <c r="HLN142" s="3507"/>
      <c r="HLO142" s="3507"/>
      <c r="HLP142" s="3507"/>
      <c r="HLQ142" s="3507"/>
      <c r="HLR142" s="3507"/>
      <c r="HLS142" s="3507"/>
      <c r="HLT142" s="3507"/>
      <c r="HLU142" s="3507"/>
      <c r="HLV142" s="3507"/>
      <c r="HLW142" s="3507"/>
      <c r="HLX142" s="3507"/>
      <c r="HLY142" s="3507"/>
      <c r="HLZ142" s="3507"/>
      <c r="HMA142" s="3507"/>
      <c r="HMB142" s="3507"/>
      <c r="HMC142" s="3507"/>
      <c r="HMD142" s="3507"/>
      <c r="HME142" s="3507"/>
      <c r="HMF142" s="3507"/>
      <c r="HMG142" s="3507"/>
      <c r="HMH142" s="3507"/>
      <c r="HMI142" s="3507"/>
      <c r="HMJ142" s="3507"/>
      <c r="HMK142" s="3507"/>
      <c r="HML142" s="3507"/>
      <c r="HMM142" s="3507"/>
      <c r="HMN142" s="3507"/>
      <c r="HMO142" s="3507"/>
      <c r="HMP142" s="3507"/>
      <c r="HMQ142" s="3507"/>
      <c r="HMR142" s="3507"/>
      <c r="HMS142" s="3507"/>
      <c r="HMT142" s="3507"/>
      <c r="HMU142" s="3507"/>
      <c r="HMV142" s="3507"/>
      <c r="HMW142" s="3507"/>
      <c r="HMX142" s="3507"/>
      <c r="HMY142" s="3507"/>
      <c r="HMZ142" s="3507"/>
      <c r="HNA142" s="3507"/>
      <c r="HNB142" s="3507"/>
      <c r="HNC142" s="3507"/>
      <c r="HND142" s="3507"/>
      <c r="HNE142" s="3507"/>
      <c r="HNF142" s="3507"/>
      <c r="HNG142" s="3507"/>
      <c r="HNH142" s="3507"/>
      <c r="HNI142" s="3507"/>
      <c r="HNJ142" s="3507"/>
      <c r="HNK142" s="3507"/>
      <c r="HNL142" s="3507"/>
      <c r="HNM142" s="3507"/>
      <c r="HNN142" s="3507"/>
      <c r="HNO142" s="3507"/>
      <c r="HNP142" s="3507"/>
      <c r="HNQ142" s="3507"/>
      <c r="HNR142" s="3507"/>
      <c r="HNS142" s="3507"/>
      <c r="HNT142" s="3507"/>
      <c r="HNU142" s="3507"/>
      <c r="HNV142" s="3507"/>
      <c r="HNW142" s="3507"/>
      <c r="HNX142" s="3507"/>
      <c r="HNY142" s="3507"/>
      <c r="HNZ142" s="3507"/>
      <c r="HOA142" s="3507"/>
      <c r="HOB142" s="3507"/>
      <c r="HOC142" s="3507"/>
      <c r="HOD142" s="3507"/>
      <c r="HOE142" s="3507"/>
      <c r="HOF142" s="3507"/>
      <c r="HOG142" s="3507"/>
      <c r="HOH142" s="3507"/>
      <c r="HOI142" s="3507"/>
      <c r="HOJ142" s="3507"/>
      <c r="HOK142" s="3507"/>
      <c r="HOL142" s="3507"/>
      <c r="HOM142" s="3507"/>
      <c r="HON142" s="3507"/>
      <c r="HOO142" s="3507"/>
      <c r="HOP142" s="3507"/>
      <c r="HOQ142" s="3507"/>
      <c r="HOR142" s="3507"/>
      <c r="HOS142" s="3507"/>
      <c r="HOT142" s="3507"/>
      <c r="HOU142" s="3507"/>
      <c r="HOV142" s="3507"/>
      <c r="HOW142" s="3507"/>
      <c r="HOX142" s="3507"/>
      <c r="HOY142" s="3507"/>
      <c r="HOZ142" s="3507"/>
      <c r="HPA142" s="3507"/>
      <c r="HPB142" s="3507"/>
      <c r="HPC142" s="3507"/>
      <c r="HPD142" s="3507"/>
      <c r="HPE142" s="3507"/>
      <c r="HPF142" s="3507"/>
      <c r="HPG142" s="3507"/>
      <c r="HPH142" s="3507"/>
      <c r="HPI142" s="3507"/>
      <c r="HPJ142" s="3507"/>
      <c r="HPK142" s="3507"/>
      <c r="HPL142" s="3507"/>
      <c r="HPM142" s="3507"/>
      <c r="HPN142" s="3507"/>
      <c r="HPO142" s="3507"/>
      <c r="HPP142" s="3507"/>
      <c r="HPQ142" s="3507"/>
      <c r="HPR142" s="3507"/>
      <c r="HPS142" s="3507"/>
      <c r="HPT142" s="3507"/>
      <c r="HPU142" s="3507"/>
      <c r="HPV142" s="3507"/>
      <c r="HPW142" s="3507"/>
      <c r="HPX142" s="3507"/>
      <c r="HPY142" s="3507"/>
      <c r="HPZ142" s="3507"/>
      <c r="HQA142" s="3507"/>
      <c r="HQB142" s="3507"/>
      <c r="HQC142" s="3507"/>
      <c r="HQD142" s="3507"/>
      <c r="HQE142" s="3507"/>
      <c r="HQF142" s="3507"/>
      <c r="HQG142" s="3507"/>
      <c r="HQH142" s="3507"/>
      <c r="HQI142" s="3507"/>
      <c r="HQJ142" s="3507"/>
      <c r="HQK142" s="3507"/>
      <c r="HQL142" s="3507"/>
      <c r="HQM142" s="3507"/>
      <c r="HQN142" s="3507"/>
      <c r="HQO142" s="3507"/>
      <c r="HQP142" s="3507"/>
      <c r="HQQ142" s="3507"/>
      <c r="HQR142" s="3507"/>
      <c r="HQS142" s="3507"/>
      <c r="HQT142" s="3507"/>
      <c r="HQU142" s="3507"/>
      <c r="HQV142" s="3507"/>
      <c r="HQW142" s="3507"/>
      <c r="HQX142" s="3507"/>
      <c r="HQY142" s="3507"/>
      <c r="HQZ142" s="3507"/>
      <c r="HRA142" s="3507"/>
      <c r="HRB142" s="3507"/>
      <c r="HRC142" s="3507"/>
      <c r="HRD142" s="3507"/>
      <c r="HRE142" s="3507"/>
      <c r="HRF142" s="3507"/>
      <c r="HRG142" s="3507"/>
      <c r="HRH142" s="3507"/>
      <c r="HRI142" s="3507"/>
      <c r="HRJ142" s="3507"/>
      <c r="HRK142" s="3507"/>
      <c r="HRL142" s="3507"/>
      <c r="HRM142" s="3507"/>
      <c r="HRN142" s="3507"/>
      <c r="HRO142" s="3507"/>
      <c r="HRP142" s="3507"/>
      <c r="HRQ142" s="3507"/>
      <c r="HRR142" s="3507"/>
      <c r="HRS142" s="3507"/>
      <c r="HRT142" s="3507"/>
      <c r="HRU142" s="3507"/>
      <c r="HRV142" s="3507"/>
      <c r="HRW142" s="3507"/>
      <c r="HRX142" s="3507"/>
      <c r="HRY142" s="3507"/>
      <c r="HRZ142" s="3507"/>
      <c r="HSA142" s="3507"/>
      <c r="HSB142" s="3507"/>
      <c r="HSC142" s="3507"/>
      <c r="HSD142" s="3507"/>
      <c r="HSE142" s="3507"/>
      <c r="HSF142" s="3507"/>
      <c r="HSG142" s="3507"/>
      <c r="HSH142" s="3507"/>
      <c r="HSI142" s="3507"/>
      <c r="HSJ142" s="3507"/>
      <c r="HSK142" s="3507"/>
      <c r="HSL142" s="3507"/>
      <c r="HSM142" s="3507"/>
      <c r="HSN142" s="3507"/>
      <c r="HSO142" s="3507"/>
      <c r="HSP142" s="3507"/>
      <c r="HSQ142" s="3507"/>
      <c r="HSR142" s="3507"/>
      <c r="HSS142" s="3507"/>
      <c r="HST142" s="3507"/>
      <c r="HSU142" s="3507"/>
      <c r="HSV142" s="3507"/>
      <c r="HSW142" s="3507"/>
      <c r="HSX142" s="3507"/>
      <c r="HSY142" s="3507"/>
      <c r="HSZ142" s="3507"/>
      <c r="HTA142" s="3507"/>
      <c r="HTB142" s="3507"/>
      <c r="HTC142" s="3507"/>
      <c r="HTD142" s="3507"/>
      <c r="HTE142" s="3507"/>
      <c r="HTF142" s="3507"/>
      <c r="HTG142" s="3507"/>
      <c r="HTH142" s="3507"/>
      <c r="HTI142" s="3507"/>
      <c r="HTJ142" s="3507"/>
      <c r="HTK142" s="3507"/>
      <c r="HTL142" s="3507"/>
      <c r="HTM142" s="3507"/>
      <c r="HTN142" s="3507"/>
      <c r="HTO142" s="3507"/>
      <c r="HTP142" s="3507"/>
      <c r="HTQ142" s="3507"/>
      <c r="HTR142" s="3507"/>
      <c r="HTS142" s="3507"/>
      <c r="HTT142" s="3507"/>
      <c r="HTU142" s="3507"/>
      <c r="HTV142" s="3507"/>
      <c r="HTW142" s="3507"/>
      <c r="HTX142" s="3507"/>
      <c r="HTY142" s="3507"/>
      <c r="HTZ142" s="3507"/>
      <c r="HUA142" s="3507"/>
      <c r="HUB142" s="3507"/>
      <c r="HUC142" s="3507"/>
      <c r="HUD142" s="3507"/>
      <c r="HUE142" s="3507"/>
      <c r="HUF142" s="3507"/>
      <c r="HUG142" s="3507"/>
      <c r="HUH142" s="3507"/>
      <c r="HUI142" s="3507"/>
      <c r="HUJ142" s="3507"/>
      <c r="HUK142" s="3507"/>
      <c r="HUL142" s="3507"/>
      <c r="HUM142" s="3507"/>
      <c r="HUN142" s="3507"/>
      <c r="HUO142" s="3507"/>
      <c r="HUP142" s="3507"/>
      <c r="HUQ142" s="3507"/>
      <c r="HUR142" s="3507"/>
      <c r="HUS142" s="3507"/>
      <c r="HUT142" s="3507"/>
      <c r="HUU142" s="3507"/>
      <c r="HUV142" s="3507"/>
      <c r="HUW142" s="3507"/>
      <c r="HUX142" s="3507"/>
      <c r="HUY142" s="3507"/>
      <c r="HUZ142" s="3507"/>
      <c r="HVA142" s="3507"/>
      <c r="HVB142" s="3507"/>
      <c r="HVC142" s="3507"/>
      <c r="HVD142" s="3507"/>
      <c r="HVE142" s="3507"/>
      <c r="HVF142" s="3507"/>
      <c r="HVG142" s="3507"/>
      <c r="HVH142" s="3507"/>
      <c r="HVI142" s="3507"/>
      <c r="HVJ142" s="3507"/>
      <c r="HVK142" s="3507"/>
      <c r="HVL142" s="3507"/>
      <c r="HVM142" s="3507"/>
      <c r="HVN142" s="3507"/>
      <c r="HVO142" s="3507"/>
      <c r="HVP142" s="3507"/>
      <c r="HVQ142" s="3507"/>
      <c r="HVR142" s="3507"/>
      <c r="HVS142" s="3507"/>
      <c r="HVT142" s="3507"/>
      <c r="HVU142" s="3507"/>
      <c r="HVV142" s="3507"/>
      <c r="HVW142" s="3507"/>
      <c r="HVX142" s="3507"/>
      <c r="HVY142" s="3507"/>
      <c r="HVZ142" s="3507"/>
      <c r="HWA142" s="3507"/>
      <c r="HWB142" s="3507"/>
      <c r="HWC142" s="3507"/>
      <c r="HWD142" s="3507"/>
      <c r="HWE142" s="3507"/>
      <c r="HWF142" s="3507"/>
      <c r="HWG142" s="3507"/>
      <c r="HWH142" s="3507"/>
      <c r="HWI142" s="3507"/>
      <c r="HWJ142" s="3507"/>
      <c r="HWK142" s="3507"/>
      <c r="HWL142" s="3507"/>
      <c r="HWM142" s="3507"/>
      <c r="HWN142" s="3507"/>
      <c r="HWO142" s="3507"/>
      <c r="HWP142" s="3507"/>
      <c r="HWQ142" s="3507"/>
      <c r="HWR142" s="3507"/>
      <c r="HWS142" s="3507"/>
      <c r="HWT142" s="3507"/>
      <c r="HWU142" s="3507"/>
      <c r="HWV142" s="3507"/>
      <c r="HWW142" s="3507"/>
      <c r="HWX142" s="3507"/>
      <c r="HWY142" s="3507"/>
      <c r="HWZ142" s="3507"/>
      <c r="HXA142" s="3507"/>
      <c r="HXB142" s="3507"/>
      <c r="HXC142" s="3507"/>
      <c r="HXD142" s="3507"/>
      <c r="HXE142" s="3507"/>
      <c r="HXF142" s="3507"/>
      <c r="HXG142" s="3507"/>
      <c r="HXH142" s="3507"/>
      <c r="HXI142" s="3507"/>
      <c r="HXJ142" s="3507"/>
      <c r="HXK142" s="3507"/>
      <c r="HXL142" s="3507"/>
      <c r="HXM142" s="3507"/>
      <c r="HXN142" s="3507"/>
      <c r="HXO142" s="3507"/>
      <c r="HXP142" s="3507"/>
      <c r="HXQ142" s="3507"/>
      <c r="HXR142" s="3507"/>
      <c r="HXS142" s="3507"/>
      <c r="HXT142" s="3507"/>
      <c r="HXU142" s="3507"/>
      <c r="HXV142" s="3507"/>
      <c r="HXW142" s="3507"/>
      <c r="HXX142" s="3507"/>
      <c r="HXY142" s="3507"/>
      <c r="HXZ142" s="3507"/>
      <c r="HYA142" s="3507"/>
      <c r="HYB142" s="3507"/>
      <c r="HYC142" s="3507"/>
      <c r="HYD142" s="3507"/>
      <c r="HYE142" s="3507"/>
      <c r="HYF142" s="3507"/>
      <c r="HYG142" s="3507"/>
      <c r="HYH142" s="3507"/>
      <c r="HYI142" s="3507"/>
      <c r="HYJ142" s="3507"/>
      <c r="HYK142" s="3507"/>
      <c r="HYL142" s="3507"/>
      <c r="HYM142" s="3507"/>
      <c r="HYN142" s="3507"/>
      <c r="HYO142" s="3507"/>
      <c r="HYP142" s="3507"/>
      <c r="HYQ142" s="3507"/>
      <c r="HYR142" s="3507"/>
      <c r="HYS142" s="3507"/>
      <c r="HYT142" s="3507"/>
      <c r="HYU142" s="3507"/>
      <c r="HYV142" s="3507"/>
      <c r="HYW142" s="3507"/>
      <c r="HYX142" s="3507"/>
      <c r="HYY142" s="3507"/>
      <c r="HYZ142" s="3507"/>
      <c r="HZA142" s="3507"/>
      <c r="HZB142" s="3507"/>
      <c r="HZC142" s="3507"/>
      <c r="HZD142" s="3507"/>
      <c r="HZE142" s="3507"/>
      <c r="HZF142" s="3507"/>
      <c r="HZG142" s="3507"/>
      <c r="HZH142" s="3507"/>
      <c r="HZI142" s="3507"/>
      <c r="HZJ142" s="3507"/>
      <c r="HZK142" s="3507"/>
      <c r="HZL142" s="3507"/>
      <c r="HZM142" s="3507"/>
      <c r="HZN142" s="3507"/>
      <c r="HZO142" s="3507"/>
      <c r="HZP142" s="3507"/>
      <c r="HZQ142" s="3507"/>
      <c r="HZR142" s="3507"/>
      <c r="HZS142" s="3507"/>
      <c r="HZT142" s="3507"/>
      <c r="HZU142" s="3507"/>
      <c r="HZV142" s="3507"/>
      <c r="HZW142" s="3507"/>
      <c r="HZX142" s="3507"/>
      <c r="HZY142" s="3507"/>
      <c r="HZZ142" s="3507"/>
      <c r="IAA142" s="3507"/>
      <c r="IAB142" s="3507"/>
      <c r="IAC142" s="3507"/>
      <c r="IAD142" s="3507"/>
      <c r="IAE142" s="3507"/>
      <c r="IAF142" s="3507"/>
      <c r="IAG142" s="3507"/>
      <c r="IAH142" s="3507"/>
      <c r="IAI142" s="3507"/>
      <c r="IAJ142" s="3507"/>
      <c r="IAK142" s="3507"/>
      <c r="IAL142" s="3507"/>
      <c r="IAM142" s="3507"/>
      <c r="IAN142" s="3507"/>
      <c r="IAO142" s="3507"/>
      <c r="IAP142" s="3507"/>
      <c r="IAQ142" s="3507"/>
      <c r="IAR142" s="3507"/>
      <c r="IAS142" s="3507"/>
      <c r="IAT142" s="3507"/>
      <c r="IAU142" s="3507"/>
      <c r="IAV142" s="3507"/>
      <c r="IAW142" s="3507"/>
      <c r="IAX142" s="3507"/>
      <c r="IAY142" s="3507"/>
      <c r="IAZ142" s="3507"/>
      <c r="IBA142" s="3507"/>
      <c r="IBB142" s="3507"/>
      <c r="IBC142" s="3507"/>
      <c r="IBD142" s="3507"/>
      <c r="IBE142" s="3507"/>
      <c r="IBF142" s="3507"/>
      <c r="IBG142" s="3507"/>
      <c r="IBH142" s="3507"/>
      <c r="IBI142" s="3507"/>
      <c r="IBJ142" s="3507"/>
      <c r="IBK142" s="3507"/>
      <c r="IBL142" s="3507"/>
      <c r="IBM142" s="3507"/>
      <c r="IBN142" s="3507"/>
      <c r="IBO142" s="3507"/>
      <c r="IBP142" s="3507"/>
      <c r="IBQ142" s="3507"/>
      <c r="IBR142" s="3507"/>
      <c r="IBS142" s="3507"/>
      <c r="IBT142" s="3507"/>
      <c r="IBU142" s="3507"/>
      <c r="IBV142" s="3507"/>
      <c r="IBW142" s="3507"/>
      <c r="IBX142" s="3507"/>
      <c r="IBY142" s="3507"/>
      <c r="IBZ142" s="3507"/>
      <c r="ICA142" s="3507"/>
      <c r="ICB142" s="3507"/>
      <c r="ICC142" s="3507"/>
      <c r="ICD142" s="3507"/>
      <c r="ICE142" s="3507"/>
      <c r="ICF142" s="3507"/>
      <c r="ICG142" s="3507"/>
      <c r="ICH142" s="3507"/>
      <c r="ICI142" s="3507"/>
      <c r="ICJ142" s="3507"/>
      <c r="ICK142" s="3507"/>
      <c r="ICL142" s="3507"/>
      <c r="ICM142" s="3507"/>
      <c r="ICN142" s="3507"/>
      <c r="ICO142" s="3507"/>
      <c r="ICP142" s="3507"/>
      <c r="ICQ142" s="3507"/>
      <c r="ICR142" s="3507"/>
      <c r="ICS142" s="3507"/>
      <c r="ICT142" s="3507"/>
      <c r="ICU142" s="3507"/>
      <c r="ICV142" s="3507"/>
      <c r="ICW142" s="3507"/>
      <c r="ICX142" s="3507"/>
      <c r="ICY142" s="3507"/>
      <c r="ICZ142" s="3507"/>
      <c r="IDA142" s="3507"/>
      <c r="IDB142" s="3507"/>
      <c r="IDC142" s="3507"/>
      <c r="IDD142" s="3507"/>
      <c r="IDE142" s="3507"/>
      <c r="IDF142" s="3507"/>
      <c r="IDG142" s="3507"/>
      <c r="IDH142" s="3507"/>
      <c r="IDI142" s="3507"/>
      <c r="IDJ142" s="3507"/>
      <c r="IDK142" s="3507"/>
      <c r="IDL142" s="3507"/>
      <c r="IDM142" s="3507"/>
      <c r="IDN142" s="3507"/>
      <c r="IDO142" s="3507"/>
      <c r="IDP142" s="3507"/>
      <c r="IDQ142" s="3507"/>
      <c r="IDR142" s="3507"/>
      <c r="IDS142" s="3507"/>
      <c r="IDT142" s="3507"/>
      <c r="IDU142" s="3507"/>
      <c r="IDV142" s="3507"/>
      <c r="IDW142" s="3507"/>
      <c r="IDX142" s="3507"/>
      <c r="IDY142" s="3507"/>
      <c r="IDZ142" s="3507"/>
      <c r="IEA142" s="3507"/>
      <c r="IEB142" s="3507"/>
      <c r="IEC142" s="3507"/>
      <c r="IED142" s="3507"/>
      <c r="IEE142" s="3507"/>
      <c r="IEF142" s="3507"/>
      <c r="IEG142" s="3507"/>
      <c r="IEH142" s="3507"/>
      <c r="IEI142" s="3507"/>
      <c r="IEJ142" s="3507"/>
      <c r="IEK142" s="3507"/>
      <c r="IEL142" s="3507"/>
      <c r="IEM142" s="3507"/>
      <c r="IEN142" s="3507"/>
      <c r="IEO142" s="3507"/>
      <c r="IEP142" s="3507"/>
      <c r="IEQ142" s="3507"/>
      <c r="IER142" s="3507"/>
      <c r="IES142" s="3507"/>
      <c r="IET142" s="3507"/>
      <c r="IEU142" s="3507"/>
      <c r="IEV142" s="3507"/>
      <c r="IEW142" s="3507"/>
      <c r="IEX142" s="3507"/>
      <c r="IEY142" s="3507"/>
      <c r="IEZ142" s="3507"/>
      <c r="IFA142" s="3507"/>
      <c r="IFB142" s="3507"/>
      <c r="IFC142" s="3507"/>
      <c r="IFD142" s="3507"/>
      <c r="IFE142" s="3507"/>
      <c r="IFF142" s="3507"/>
      <c r="IFG142" s="3507"/>
      <c r="IFH142" s="3507"/>
      <c r="IFI142" s="3507"/>
      <c r="IFJ142" s="3507"/>
      <c r="IFK142" s="3507"/>
      <c r="IFL142" s="3507"/>
      <c r="IFM142" s="3507"/>
      <c r="IFN142" s="3507"/>
      <c r="IFO142" s="3507"/>
      <c r="IFP142" s="3507"/>
      <c r="IFQ142" s="3507"/>
      <c r="IFR142" s="3507"/>
      <c r="IFS142" s="3507"/>
      <c r="IFT142" s="3507"/>
      <c r="IFU142" s="3507"/>
      <c r="IFV142" s="3507"/>
      <c r="IFW142" s="3507"/>
      <c r="IFX142" s="3507"/>
      <c r="IFY142" s="3507"/>
      <c r="IFZ142" s="3507"/>
      <c r="IGA142" s="3507"/>
      <c r="IGB142" s="3507"/>
      <c r="IGC142" s="3507"/>
      <c r="IGD142" s="3507"/>
      <c r="IGE142" s="3507"/>
      <c r="IGF142" s="3507"/>
      <c r="IGG142" s="3507"/>
      <c r="IGH142" s="3507"/>
      <c r="IGI142" s="3507"/>
      <c r="IGJ142" s="3507"/>
      <c r="IGK142" s="3507"/>
      <c r="IGL142" s="3507"/>
      <c r="IGM142" s="3507"/>
      <c r="IGN142" s="3507"/>
      <c r="IGO142" s="3507"/>
      <c r="IGP142" s="3507"/>
      <c r="IGQ142" s="3507"/>
      <c r="IGR142" s="3507"/>
      <c r="IGS142" s="3507"/>
      <c r="IGT142" s="3507"/>
      <c r="IGU142" s="3507"/>
      <c r="IGV142" s="3507"/>
      <c r="IGW142" s="3507"/>
      <c r="IGX142" s="3507"/>
      <c r="IGY142" s="3507"/>
      <c r="IGZ142" s="3507"/>
      <c r="IHA142" s="3507"/>
      <c r="IHB142" s="3507"/>
      <c r="IHC142" s="3507"/>
      <c r="IHD142" s="3507"/>
      <c r="IHE142" s="3507"/>
      <c r="IHF142" s="3507"/>
      <c r="IHG142" s="3507"/>
      <c r="IHH142" s="3507"/>
      <c r="IHI142" s="3507"/>
      <c r="IHJ142" s="3507"/>
      <c r="IHK142" s="3507"/>
      <c r="IHL142" s="3507"/>
      <c r="IHM142" s="3507"/>
      <c r="IHN142" s="3507"/>
      <c r="IHO142" s="3507"/>
      <c r="IHP142" s="3507"/>
      <c r="IHQ142" s="3507"/>
      <c r="IHR142" s="3507"/>
      <c r="IHS142" s="3507"/>
      <c r="IHT142" s="3507"/>
      <c r="IHU142" s="3507"/>
      <c r="IHV142" s="3507"/>
      <c r="IHW142" s="3507"/>
      <c r="IHX142" s="3507"/>
      <c r="IHY142" s="3507"/>
      <c r="IHZ142" s="3507"/>
      <c r="IIA142" s="3507"/>
      <c r="IIB142" s="3507"/>
      <c r="IIC142" s="3507"/>
      <c r="IID142" s="3507"/>
      <c r="IIE142" s="3507"/>
      <c r="IIF142" s="3507"/>
      <c r="IIG142" s="3507"/>
      <c r="IIH142" s="3507"/>
      <c r="III142" s="3507"/>
      <c r="IIJ142" s="3507"/>
      <c r="IIK142" s="3507"/>
      <c r="IIL142" s="3507"/>
      <c r="IIM142" s="3507"/>
      <c r="IIN142" s="3507"/>
      <c r="IIO142" s="3507"/>
      <c r="IIP142" s="3507"/>
      <c r="IIQ142" s="3507"/>
      <c r="IIR142" s="3507"/>
      <c r="IIS142" s="3507"/>
      <c r="IIT142" s="3507"/>
      <c r="IIU142" s="3507"/>
      <c r="IIV142" s="3507"/>
      <c r="IIW142" s="3507"/>
      <c r="IIX142" s="3507"/>
      <c r="IIY142" s="3507"/>
      <c r="IIZ142" s="3507"/>
      <c r="IJA142" s="3507"/>
      <c r="IJB142" s="3507"/>
      <c r="IJC142" s="3507"/>
      <c r="IJD142" s="3507"/>
      <c r="IJE142" s="3507"/>
      <c r="IJF142" s="3507"/>
      <c r="IJG142" s="3507"/>
      <c r="IJH142" s="3507"/>
      <c r="IJI142" s="3507"/>
      <c r="IJJ142" s="3507"/>
      <c r="IJK142" s="3507"/>
      <c r="IJL142" s="3507"/>
      <c r="IJM142" s="3507"/>
      <c r="IJN142" s="3507"/>
      <c r="IJO142" s="3507"/>
      <c r="IJP142" s="3507"/>
      <c r="IJQ142" s="3507"/>
      <c r="IJR142" s="3507"/>
      <c r="IJS142" s="3507"/>
      <c r="IJT142" s="3507"/>
      <c r="IJU142" s="3507"/>
      <c r="IJV142" s="3507"/>
      <c r="IJW142" s="3507"/>
      <c r="IJX142" s="3507"/>
      <c r="IJY142" s="3507"/>
      <c r="IJZ142" s="3507"/>
      <c r="IKA142" s="3507"/>
      <c r="IKB142" s="3507"/>
      <c r="IKC142" s="3507"/>
      <c r="IKD142" s="3507"/>
      <c r="IKE142" s="3507"/>
      <c r="IKF142" s="3507"/>
      <c r="IKG142" s="3507"/>
      <c r="IKH142" s="3507"/>
      <c r="IKI142" s="3507"/>
      <c r="IKJ142" s="3507"/>
      <c r="IKK142" s="3507"/>
      <c r="IKL142" s="3507"/>
      <c r="IKM142" s="3507"/>
      <c r="IKN142" s="3507"/>
      <c r="IKO142" s="3507"/>
      <c r="IKP142" s="3507"/>
      <c r="IKQ142" s="3507"/>
      <c r="IKR142" s="3507"/>
      <c r="IKS142" s="3507"/>
      <c r="IKT142" s="3507"/>
      <c r="IKU142" s="3507"/>
      <c r="IKV142" s="3507"/>
      <c r="IKW142" s="3507"/>
      <c r="IKX142" s="3507"/>
      <c r="IKY142" s="3507"/>
      <c r="IKZ142" s="3507"/>
      <c r="ILA142" s="3507"/>
      <c r="ILB142" s="3507"/>
      <c r="ILC142" s="3507"/>
      <c r="ILD142" s="3507"/>
      <c r="ILE142" s="3507"/>
      <c r="ILF142" s="3507"/>
      <c r="ILG142" s="3507"/>
      <c r="ILH142" s="3507"/>
      <c r="ILI142" s="3507"/>
      <c r="ILJ142" s="3507"/>
      <c r="ILK142" s="3507"/>
      <c r="ILL142" s="3507"/>
      <c r="ILM142" s="3507"/>
      <c r="ILN142" s="3507"/>
      <c r="ILO142" s="3507"/>
      <c r="ILP142" s="3507"/>
      <c r="ILQ142" s="3507"/>
      <c r="ILR142" s="3507"/>
      <c r="ILS142" s="3507"/>
      <c r="ILT142" s="3507"/>
      <c r="ILU142" s="3507"/>
      <c r="ILV142" s="3507"/>
      <c r="ILW142" s="3507"/>
      <c r="ILX142" s="3507"/>
      <c r="ILY142" s="3507"/>
      <c r="ILZ142" s="3507"/>
      <c r="IMA142" s="3507"/>
      <c r="IMB142" s="3507"/>
      <c r="IMC142" s="3507"/>
      <c r="IMD142" s="3507"/>
      <c r="IME142" s="3507"/>
      <c r="IMF142" s="3507"/>
      <c r="IMG142" s="3507"/>
      <c r="IMH142" s="3507"/>
      <c r="IMI142" s="3507"/>
      <c r="IMJ142" s="3507"/>
      <c r="IMK142" s="3507"/>
      <c r="IML142" s="3507"/>
      <c r="IMM142" s="3507"/>
      <c r="IMN142" s="3507"/>
      <c r="IMO142" s="3507"/>
      <c r="IMP142" s="3507"/>
      <c r="IMQ142" s="3507"/>
      <c r="IMR142" s="3507"/>
      <c r="IMS142" s="3507"/>
      <c r="IMT142" s="3507"/>
      <c r="IMU142" s="3507"/>
      <c r="IMV142" s="3507"/>
      <c r="IMW142" s="3507"/>
      <c r="IMX142" s="3507"/>
      <c r="IMY142" s="3507"/>
      <c r="IMZ142" s="3507"/>
      <c r="INA142" s="3507"/>
      <c r="INB142" s="3507"/>
      <c r="INC142" s="3507"/>
      <c r="IND142" s="3507"/>
      <c r="INE142" s="3507"/>
      <c r="INF142" s="3507"/>
      <c r="ING142" s="3507"/>
      <c r="INH142" s="3507"/>
      <c r="INI142" s="3507"/>
      <c r="INJ142" s="3507"/>
      <c r="INK142" s="3507"/>
      <c r="INL142" s="3507"/>
      <c r="INM142" s="3507"/>
      <c r="INN142" s="3507"/>
      <c r="INO142" s="3507"/>
      <c r="INP142" s="3507"/>
      <c r="INQ142" s="3507"/>
      <c r="INR142" s="3507"/>
      <c r="INS142" s="3507"/>
      <c r="INT142" s="3507"/>
      <c r="INU142" s="3507"/>
      <c r="INV142" s="3507"/>
      <c r="INW142" s="3507"/>
      <c r="INX142" s="3507"/>
      <c r="INY142" s="3507"/>
      <c r="INZ142" s="3507"/>
      <c r="IOA142" s="3507"/>
      <c r="IOB142" s="3507"/>
      <c r="IOC142" s="3507"/>
      <c r="IOD142" s="3507"/>
      <c r="IOE142" s="3507"/>
      <c r="IOF142" s="3507"/>
      <c r="IOG142" s="3507"/>
      <c r="IOH142" s="3507"/>
      <c r="IOI142" s="3507"/>
      <c r="IOJ142" s="3507"/>
      <c r="IOK142" s="3507"/>
      <c r="IOL142" s="3507"/>
      <c r="IOM142" s="3507"/>
      <c r="ION142" s="3507"/>
      <c r="IOO142" s="3507"/>
      <c r="IOP142" s="3507"/>
      <c r="IOQ142" s="3507"/>
      <c r="IOR142" s="3507"/>
      <c r="IOS142" s="3507"/>
      <c r="IOT142" s="3507"/>
      <c r="IOU142" s="3507"/>
      <c r="IOV142" s="3507"/>
      <c r="IOW142" s="3507"/>
      <c r="IOX142" s="3507"/>
      <c r="IOY142" s="3507"/>
      <c r="IOZ142" s="3507"/>
      <c r="IPA142" s="3507"/>
      <c r="IPB142" s="3507"/>
      <c r="IPC142" s="3507"/>
      <c r="IPD142" s="3507"/>
      <c r="IPE142" s="3507"/>
      <c r="IPF142" s="3507"/>
      <c r="IPG142" s="3507"/>
      <c r="IPH142" s="3507"/>
      <c r="IPI142" s="3507"/>
      <c r="IPJ142" s="3507"/>
      <c r="IPK142" s="3507"/>
      <c r="IPL142" s="3507"/>
      <c r="IPM142" s="3507"/>
      <c r="IPN142" s="3507"/>
      <c r="IPO142" s="3507"/>
      <c r="IPP142" s="3507"/>
      <c r="IPQ142" s="3507"/>
      <c r="IPR142" s="3507"/>
      <c r="IPS142" s="3507"/>
      <c r="IPT142" s="3507"/>
      <c r="IPU142" s="3507"/>
      <c r="IPV142" s="3507"/>
      <c r="IPW142" s="3507"/>
      <c r="IPX142" s="3507"/>
      <c r="IPY142" s="3507"/>
      <c r="IPZ142" s="3507"/>
      <c r="IQA142" s="3507"/>
      <c r="IQB142" s="3507"/>
      <c r="IQC142" s="3507"/>
      <c r="IQD142" s="3507"/>
      <c r="IQE142" s="3507"/>
      <c r="IQF142" s="3507"/>
      <c r="IQG142" s="3507"/>
      <c r="IQH142" s="3507"/>
      <c r="IQI142" s="3507"/>
      <c r="IQJ142" s="3507"/>
      <c r="IQK142" s="3507"/>
      <c r="IQL142" s="3507"/>
      <c r="IQM142" s="3507"/>
      <c r="IQN142" s="3507"/>
      <c r="IQO142" s="3507"/>
      <c r="IQP142" s="3507"/>
      <c r="IQQ142" s="3507"/>
      <c r="IQR142" s="3507"/>
      <c r="IQS142" s="3507"/>
      <c r="IQT142" s="3507"/>
      <c r="IQU142" s="3507"/>
      <c r="IQV142" s="3507"/>
      <c r="IQW142" s="3507"/>
      <c r="IQX142" s="3507"/>
      <c r="IQY142" s="3507"/>
      <c r="IQZ142" s="3507"/>
      <c r="IRA142" s="3507"/>
      <c r="IRB142" s="3507"/>
      <c r="IRC142" s="3507"/>
      <c r="IRD142" s="3507"/>
      <c r="IRE142" s="3507"/>
      <c r="IRF142" s="3507"/>
      <c r="IRG142" s="3507"/>
      <c r="IRH142" s="3507"/>
      <c r="IRI142" s="3507"/>
      <c r="IRJ142" s="3507"/>
      <c r="IRK142" s="3507"/>
      <c r="IRL142" s="3507"/>
      <c r="IRM142" s="3507"/>
      <c r="IRN142" s="3507"/>
      <c r="IRO142" s="3507"/>
      <c r="IRP142" s="3507"/>
      <c r="IRQ142" s="3507"/>
      <c r="IRR142" s="3507"/>
      <c r="IRS142" s="3507"/>
      <c r="IRT142" s="3507"/>
      <c r="IRU142" s="3507"/>
      <c r="IRV142" s="3507"/>
      <c r="IRW142" s="3507"/>
      <c r="IRX142" s="3507"/>
      <c r="IRY142" s="3507"/>
      <c r="IRZ142" s="3507"/>
      <c r="ISA142" s="3507"/>
      <c r="ISB142" s="3507"/>
      <c r="ISC142" s="3507"/>
      <c r="ISD142" s="3507"/>
      <c r="ISE142" s="3507"/>
      <c r="ISF142" s="3507"/>
      <c r="ISG142" s="3507"/>
      <c r="ISH142" s="3507"/>
      <c r="ISI142" s="3507"/>
      <c r="ISJ142" s="3507"/>
      <c r="ISK142" s="3507"/>
      <c r="ISL142" s="3507"/>
      <c r="ISM142" s="3507"/>
      <c r="ISN142" s="3507"/>
      <c r="ISO142" s="3507"/>
      <c r="ISP142" s="3507"/>
      <c r="ISQ142" s="3507"/>
      <c r="ISR142" s="3507"/>
      <c r="ISS142" s="3507"/>
      <c r="IST142" s="3507"/>
      <c r="ISU142" s="3507"/>
      <c r="ISV142" s="3507"/>
      <c r="ISW142" s="3507"/>
      <c r="ISX142" s="3507"/>
      <c r="ISY142" s="3507"/>
      <c r="ISZ142" s="3507"/>
      <c r="ITA142" s="3507"/>
      <c r="ITB142" s="3507"/>
      <c r="ITC142" s="3507"/>
      <c r="ITD142" s="3507"/>
      <c r="ITE142" s="3507"/>
      <c r="ITF142" s="3507"/>
      <c r="ITG142" s="3507"/>
      <c r="ITH142" s="3507"/>
      <c r="ITI142" s="3507"/>
      <c r="ITJ142" s="3507"/>
      <c r="ITK142" s="3507"/>
      <c r="ITL142" s="3507"/>
      <c r="ITM142" s="3507"/>
      <c r="ITN142" s="3507"/>
      <c r="ITO142" s="3507"/>
      <c r="ITP142" s="3507"/>
      <c r="ITQ142" s="3507"/>
      <c r="ITR142" s="3507"/>
      <c r="ITS142" s="3507"/>
      <c r="ITT142" s="3507"/>
      <c r="ITU142" s="3507"/>
      <c r="ITV142" s="3507"/>
      <c r="ITW142" s="3507"/>
      <c r="ITX142" s="3507"/>
      <c r="ITY142" s="3507"/>
      <c r="ITZ142" s="3507"/>
      <c r="IUA142" s="3507"/>
      <c r="IUB142" s="3507"/>
      <c r="IUC142" s="3507"/>
      <c r="IUD142" s="3507"/>
      <c r="IUE142" s="3507"/>
      <c r="IUF142" s="3507"/>
      <c r="IUG142" s="3507"/>
      <c r="IUH142" s="3507"/>
      <c r="IUI142" s="3507"/>
      <c r="IUJ142" s="3507"/>
      <c r="IUK142" s="3507"/>
      <c r="IUL142" s="3507"/>
      <c r="IUM142" s="3507"/>
      <c r="IUN142" s="3507"/>
      <c r="IUO142" s="3507"/>
      <c r="IUP142" s="3507"/>
      <c r="IUQ142" s="3507"/>
      <c r="IUR142" s="3507"/>
      <c r="IUS142" s="3507"/>
      <c r="IUT142" s="3507"/>
      <c r="IUU142" s="3507"/>
      <c r="IUV142" s="3507"/>
      <c r="IUW142" s="3507"/>
      <c r="IUX142" s="3507"/>
      <c r="IUY142" s="3507"/>
      <c r="IUZ142" s="3507"/>
      <c r="IVA142" s="3507"/>
      <c r="IVB142" s="3507"/>
      <c r="IVC142" s="3507"/>
      <c r="IVD142" s="3507"/>
      <c r="IVE142" s="3507"/>
      <c r="IVF142" s="3507"/>
      <c r="IVG142" s="3507"/>
      <c r="IVH142" s="3507"/>
      <c r="IVI142" s="3507"/>
      <c r="IVJ142" s="3507"/>
      <c r="IVK142" s="3507"/>
      <c r="IVL142" s="3507"/>
      <c r="IVM142" s="3507"/>
      <c r="IVN142" s="3507"/>
      <c r="IVO142" s="3507"/>
      <c r="IVP142" s="3507"/>
      <c r="IVQ142" s="3507"/>
      <c r="IVR142" s="3507"/>
      <c r="IVS142" s="3507"/>
      <c r="IVT142" s="3507"/>
      <c r="IVU142" s="3507"/>
      <c r="IVV142" s="3507"/>
      <c r="IVW142" s="3507"/>
      <c r="IVX142" s="3507"/>
      <c r="IVY142" s="3507"/>
      <c r="IVZ142" s="3507"/>
      <c r="IWA142" s="3507"/>
      <c r="IWB142" s="3507"/>
      <c r="IWC142" s="3507"/>
      <c r="IWD142" s="3507"/>
      <c r="IWE142" s="3507"/>
      <c r="IWF142" s="3507"/>
      <c r="IWG142" s="3507"/>
      <c r="IWH142" s="3507"/>
      <c r="IWI142" s="3507"/>
      <c r="IWJ142" s="3507"/>
      <c r="IWK142" s="3507"/>
      <c r="IWL142" s="3507"/>
      <c r="IWM142" s="3507"/>
      <c r="IWN142" s="3507"/>
      <c r="IWO142" s="3507"/>
      <c r="IWP142" s="3507"/>
      <c r="IWQ142" s="3507"/>
      <c r="IWR142" s="3507"/>
      <c r="IWS142" s="3507"/>
      <c r="IWT142" s="3507"/>
      <c r="IWU142" s="3507"/>
      <c r="IWV142" s="3507"/>
      <c r="IWW142" s="3507"/>
      <c r="IWX142" s="3507"/>
      <c r="IWY142" s="3507"/>
      <c r="IWZ142" s="3507"/>
      <c r="IXA142" s="3507"/>
      <c r="IXB142" s="3507"/>
      <c r="IXC142" s="3507"/>
      <c r="IXD142" s="3507"/>
      <c r="IXE142" s="3507"/>
      <c r="IXF142" s="3507"/>
      <c r="IXG142" s="3507"/>
      <c r="IXH142" s="3507"/>
      <c r="IXI142" s="3507"/>
      <c r="IXJ142" s="3507"/>
      <c r="IXK142" s="3507"/>
      <c r="IXL142" s="3507"/>
      <c r="IXM142" s="3507"/>
      <c r="IXN142" s="3507"/>
      <c r="IXO142" s="3507"/>
      <c r="IXP142" s="3507"/>
      <c r="IXQ142" s="3507"/>
      <c r="IXR142" s="3507"/>
      <c r="IXS142" s="3507"/>
      <c r="IXT142" s="3507"/>
      <c r="IXU142" s="3507"/>
      <c r="IXV142" s="3507"/>
      <c r="IXW142" s="3507"/>
      <c r="IXX142" s="3507"/>
      <c r="IXY142" s="3507"/>
      <c r="IXZ142" s="3507"/>
      <c r="IYA142" s="3507"/>
      <c r="IYB142" s="3507"/>
      <c r="IYC142" s="3507"/>
      <c r="IYD142" s="3507"/>
      <c r="IYE142" s="3507"/>
      <c r="IYF142" s="3507"/>
      <c r="IYG142" s="3507"/>
      <c r="IYH142" s="3507"/>
      <c r="IYI142" s="3507"/>
      <c r="IYJ142" s="3507"/>
      <c r="IYK142" s="3507"/>
      <c r="IYL142" s="3507"/>
      <c r="IYM142" s="3507"/>
      <c r="IYN142" s="3507"/>
      <c r="IYO142" s="3507"/>
      <c r="IYP142" s="3507"/>
      <c r="IYQ142" s="3507"/>
      <c r="IYR142" s="3507"/>
      <c r="IYS142" s="3507"/>
      <c r="IYT142" s="3507"/>
      <c r="IYU142" s="3507"/>
      <c r="IYV142" s="3507"/>
      <c r="IYW142" s="3507"/>
      <c r="IYX142" s="3507"/>
      <c r="IYY142" s="3507"/>
      <c r="IYZ142" s="3507"/>
      <c r="IZA142" s="3507"/>
      <c r="IZB142" s="3507"/>
      <c r="IZC142" s="3507"/>
      <c r="IZD142" s="3507"/>
      <c r="IZE142" s="3507"/>
      <c r="IZF142" s="3507"/>
      <c r="IZG142" s="3507"/>
      <c r="IZH142" s="3507"/>
      <c r="IZI142" s="3507"/>
      <c r="IZJ142" s="3507"/>
      <c r="IZK142" s="3507"/>
      <c r="IZL142" s="3507"/>
      <c r="IZM142" s="3507"/>
      <c r="IZN142" s="3507"/>
      <c r="IZO142" s="3507"/>
      <c r="IZP142" s="3507"/>
      <c r="IZQ142" s="3507"/>
      <c r="IZR142" s="3507"/>
      <c r="IZS142" s="3507"/>
      <c r="IZT142" s="3507"/>
      <c r="IZU142" s="3507"/>
      <c r="IZV142" s="3507"/>
      <c r="IZW142" s="3507"/>
      <c r="IZX142" s="3507"/>
      <c r="IZY142" s="3507"/>
      <c r="IZZ142" s="3507"/>
      <c r="JAA142" s="3507"/>
      <c r="JAB142" s="3507"/>
      <c r="JAC142" s="3507"/>
      <c r="JAD142" s="3507"/>
      <c r="JAE142" s="3507"/>
      <c r="JAF142" s="3507"/>
      <c r="JAG142" s="3507"/>
      <c r="JAH142" s="3507"/>
      <c r="JAI142" s="3507"/>
      <c r="JAJ142" s="3507"/>
      <c r="JAK142" s="3507"/>
      <c r="JAL142" s="3507"/>
      <c r="JAM142" s="3507"/>
      <c r="JAN142" s="3507"/>
      <c r="JAO142" s="3507"/>
      <c r="JAP142" s="3507"/>
      <c r="JAQ142" s="3507"/>
      <c r="JAR142" s="3507"/>
      <c r="JAS142" s="3507"/>
      <c r="JAT142" s="3507"/>
      <c r="JAU142" s="3507"/>
      <c r="JAV142" s="3507"/>
      <c r="JAW142" s="3507"/>
      <c r="JAX142" s="3507"/>
      <c r="JAY142" s="3507"/>
      <c r="JAZ142" s="3507"/>
      <c r="JBA142" s="3507"/>
      <c r="JBB142" s="3507"/>
      <c r="JBC142" s="3507"/>
      <c r="JBD142" s="3507"/>
      <c r="JBE142" s="3507"/>
      <c r="JBF142" s="3507"/>
      <c r="JBG142" s="3507"/>
      <c r="JBH142" s="3507"/>
      <c r="JBI142" s="3507"/>
      <c r="JBJ142" s="3507"/>
      <c r="JBK142" s="3507"/>
      <c r="JBL142" s="3507"/>
      <c r="JBM142" s="3507"/>
      <c r="JBN142" s="3507"/>
      <c r="JBO142" s="3507"/>
      <c r="JBP142" s="3507"/>
      <c r="JBQ142" s="3507"/>
      <c r="JBR142" s="3507"/>
      <c r="JBS142" s="3507"/>
      <c r="JBT142" s="3507"/>
      <c r="JBU142" s="3507"/>
      <c r="JBV142" s="3507"/>
      <c r="JBW142" s="3507"/>
      <c r="JBX142" s="3507"/>
      <c r="JBY142" s="3507"/>
      <c r="JBZ142" s="3507"/>
      <c r="JCA142" s="3507"/>
      <c r="JCB142" s="3507"/>
      <c r="JCC142" s="3507"/>
      <c r="JCD142" s="3507"/>
      <c r="JCE142" s="3507"/>
      <c r="JCF142" s="3507"/>
      <c r="JCG142" s="3507"/>
      <c r="JCH142" s="3507"/>
      <c r="JCI142" s="3507"/>
      <c r="JCJ142" s="3507"/>
      <c r="JCK142" s="3507"/>
      <c r="JCL142" s="3507"/>
      <c r="JCM142" s="3507"/>
      <c r="JCN142" s="3507"/>
      <c r="JCO142" s="3507"/>
      <c r="JCP142" s="3507"/>
      <c r="JCQ142" s="3507"/>
      <c r="JCR142" s="3507"/>
      <c r="JCS142" s="3507"/>
      <c r="JCT142" s="3507"/>
      <c r="JCU142" s="3507"/>
      <c r="JCV142" s="3507"/>
      <c r="JCW142" s="3507"/>
      <c r="JCX142" s="3507"/>
      <c r="JCY142" s="3507"/>
      <c r="JCZ142" s="3507"/>
      <c r="JDA142" s="3507"/>
      <c r="JDB142" s="3507"/>
      <c r="JDC142" s="3507"/>
      <c r="JDD142" s="3507"/>
      <c r="JDE142" s="3507"/>
      <c r="JDF142" s="3507"/>
      <c r="JDG142" s="3507"/>
      <c r="JDH142" s="3507"/>
      <c r="JDI142" s="3507"/>
      <c r="JDJ142" s="3507"/>
      <c r="JDK142" s="3507"/>
      <c r="JDL142" s="3507"/>
      <c r="JDM142" s="3507"/>
      <c r="JDN142" s="3507"/>
      <c r="JDO142" s="3507"/>
      <c r="JDP142" s="3507"/>
      <c r="JDQ142" s="3507"/>
      <c r="JDR142" s="3507"/>
      <c r="JDS142" s="3507"/>
      <c r="JDT142" s="3507"/>
      <c r="JDU142" s="3507"/>
      <c r="JDV142" s="3507"/>
      <c r="JDW142" s="3507"/>
      <c r="JDX142" s="3507"/>
      <c r="JDY142" s="3507"/>
      <c r="JDZ142" s="3507"/>
      <c r="JEA142" s="3507"/>
      <c r="JEB142" s="3507"/>
      <c r="JEC142" s="3507"/>
      <c r="JED142" s="3507"/>
      <c r="JEE142" s="3507"/>
      <c r="JEF142" s="3507"/>
      <c r="JEG142" s="3507"/>
      <c r="JEH142" s="3507"/>
      <c r="JEI142" s="3507"/>
      <c r="JEJ142" s="3507"/>
      <c r="JEK142" s="3507"/>
      <c r="JEL142" s="3507"/>
      <c r="JEM142" s="3507"/>
      <c r="JEN142" s="3507"/>
      <c r="JEO142" s="3507"/>
      <c r="JEP142" s="3507"/>
      <c r="JEQ142" s="3507"/>
      <c r="JER142" s="3507"/>
      <c r="JES142" s="3507"/>
      <c r="JET142" s="3507"/>
      <c r="JEU142" s="3507"/>
      <c r="JEV142" s="3507"/>
      <c r="JEW142" s="3507"/>
      <c r="JEX142" s="3507"/>
      <c r="JEY142" s="3507"/>
      <c r="JEZ142" s="3507"/>
      <c r="JFA142" s="3507"/>
      <c r="JFB142" s="3507"/>
      <c r="JFC142" s="3507"/>
      <c r="JFD142" s="3507"/>
      <c r="JFE142" s="3507"/>
      <c r="JFF142" s="3507"/>
      <c r="JFG142" s="3507"/>
      <c r="JFH142" s="3507"/>
      <c r="JFI142" s="3507"/>
      <c r="JFJ142" s="3507"/>
      <c r="JFK142" s="3507"/>
      <c r="JFL142" s="3507"/>
      <c r="JFM142" s="3507"/>
      <c r="JFN142" s="3507"/>
      <c r="JFO142" s="3507"/>
      <c r="JFP142" s="3507"/>
      <c r="JFQ142" s="3507"/>
      <c r="JFR142" s="3507"/>
      <c r="JFS142" s="3507"/>
      <c r="JFT142" s="3507"/>
      <c r="JFU142" s="3507"/>
      <c r="JFV142" s="3507"/>
      <c r="JFW142" s="3507"/>
      <c r="JFX142" s="3507"/>
      <c r="JFY142" s="3507"/>
      <c r="JFZ142" s="3507"/>
      <c r="JGA142" s="3507"/>
      <c r="JGB142" s="3507"/>
      <c r="JGC142" s="3507"/>
      <c r="JGD142" s="3507"/>
      <c r="JGE142" s="3507"/>
      <c r="JGF142" s="3507"/>
      <c r="JGG142" s="3507"/>
      <c r="JGH142" s="3507"/>
      <c r="JGI142" s="3507"/>
      <c r="JGJ142" s="3507"/>
      <c r="JGK142" s="3507"/>
      <c r="JGL142" s="3507"/>
      <c r="JGM142" s="3507"/>
      <c r="JGN142" s="3507"/>
      <c r="JGO142" s="3507"/>
      <c r="JGP142" s="3507"/>
      <c r="JGQ142" s="3507"/>
      <c r="JGR142" s="3507"/>
      <c r="JGS142" s="3507"/>
      <c r="JGT142" s="3507"/>
      <c r="JGU142" s="3507"/>
      <c r="JGV142" s="3507"/>
      <c r="JGW142" s="3507"/>
      <c r="JGX142" s="3507"/>
      <c r="JGY142" s="3507"/>
      <c r="JGZ142" s="3507"/>
      <c r="JHA142" s="3507"/>
      <c r="JHB142" s="3507"/>
      <c r="JHC142" s="3507"/>
      <c r="JHD142" s="3507"/>
      <c r="JHE142" s="3507"/>
      <c r="JHF142" s="3507"/>
      <c r="JHG142" s="3507"/>
      <c r="JHH142" s="3507"/>
      <c r="JHI142" s="3507"/>
      <c r="JHJ142" s="3507"/>
      <c r="JHK142" s="3507"/>
      <c r="JHL142" s="3507"/>
      <c r="JHM142" s="3507"/>
      <c r="JHN142" s="3507"/>
      <c r="JHO142" s="3507"/>
      <c r="JHP142" s="3507"/>
      <c r="JHQ142" s="3507"/>
      <c r="JHR142" s="3507"/>
      <c r="JHS142" s="3507"/>
      <c r="JHT142" s="3507"/>
      <c r="JHU142" s="3507"/>
      <c r="JHV142" s="3507"/>
      <c r="JHW142" s="3507"/>
      <c r="JHX142" s="3507"/>
      <c r="JHY142" s="3507"/>
      <c r="JHZ142" s="3507"/>
      <c r="JIA142" s="3507"/>
      <c r="JIB142" s="3507"/>
      <c r="JIC142" s="3507"/>
      <c r="JID142" s="3507"/>
      <c r="JIE142" s="3507"/>
      <c r="JIF142" s="3507"/>
      <c r="JIG142" s="3507"/>
      <c r="JIH142" s="3507"/>
      <c r="JII142" s="3507"/>
      <c r="JIJ142" s="3507"/>
      <c r="JIK142" s="3507"/>
      <c r="JIL142" s="3507"/>
      <c r="JIM142" s="3507"/>
      <c r="JIN142" s="3507"/>
      <c r="JIO142" s="3507"/>
      <c r="JIP142" s="3507"/>
      <c r="JIQ142" s="3507"/>
      <c r="JIR142" s="3507"/>
      <c r="JIS142" s="3507"/>
      <c r="JIT142" s="3507"/>
      <c r="JIU142" s="3507"/>
      <c r="JIV142" s="3507"/>
      <c r="JIW142" s="3507"/>
      <c r="JIX142" s="3507"/>
      <c r="JIY142" s="3507"/>
      <c r="JIZ142" s="3507"/>
      <c r="JJA142" s="3507"/>
      <c r="JJB142" s="3507"/>
      <c r="JJC142" s="3507"/>
      <c r="JJD142" s="3507"/>
      <c r="JJE142" s="3507"/>
      <c r="JJF142" s="3507"/>
      <c r="JJG142" s="3507"/>
      <c r="JJH142" s="3507"/>
      <c r="JJI142" s="3507"/>
      <c r="JJJ142" s="3507"/>
      <c r="JJK142" s="3507"/>
      <c r="JJL142" s="3507"/>
      <c r="JJM142" s="3507"/>
      <c r="JJN142" s="3507"/>
      <c r="JJO142" s="3507"/>
      <c r="JJP142" s="3507"/>
      <c r="JJQ142" s="3507"/>
      <c r="JJR142" s="3507"/>
      <c r="JJS142" s="3507"/>
      <c r="JJT142" s="3507"/>
      <c r="JJU142" s="3507"/>
      <c r="JJV142" s="3507"/>
      <c r="JJW142" s="3507"/>
      <c r="JJX142" s="3507"/>
      <c r="JJY142" s="3507"/>
      <c r="JJZ142" s="3507"/>
      <c r="JKA142" s="3507"/>
      <c r="JKB142" s="3507"/>
      <c r="JKC142" s="3507"/>
      <c r="JKD142" s="3507"/>
      <c r="JKE142" s="3507"/>
      <c r="JKF142" s="3507"/>
      <c r="JKG142" s="3507"/>
      <c r="JKH142" s="3507"/>
      <c r="JKI142" s="3507"/>
      <c r="JKJ142" s="3507"/>
      <c r="JKK142" s="3507"/>
      <c r="JKL142" s="3507"/>
      <c r="JKM142" s="3507"/>
      <c r="JKN142" s="3507"/>
      <c r="JKO142" s="3507"/>
      <c r="JKP142" s="3507"/>
      <c r="JKQ142" s="3507"/>
      <c r="JKR142" s="3507"/>
      <c r="JKS142" s="3507"/>
      <c r="JKT142" s="3507"/>
      <c r="JKU142" s="3507"/>
      <c r="JKV142" s="3507"/>
      <c r="JKW142" s="3507"/>
      <c r="JKX142" s="3507"/>
      <c r="JKY142" s="3507"/>
      <c r="JKZ142" s="3507"/>
      <c r="JLA142" s="3507"/>
      <c r="JLB142" s="3507"/>
      <c r="JLC142" s="3507"/>
      <c r="JLD142" s="3507"/>
      <c r="JLE142" s="3507"/>
      <c r="JLF142" s="3507"/>
      <c r="JLG142" s="3507"/>
      <c r="JLH142" s="3507"/>
      <c r="JLI142" s="3507"/>
      <c r="JLJ142" s="3507"/>
      <c r="JLK142" s="3507"/>
      <c r="JLL142" s="3507"/>
      <c r="JLM142" s="3507"/>
      <c r="JLN142" s="3507"/>
      <c r="JLO142" s="3507"/>
      <c r="JLP142" s="3507"/>
      <c r="JLQ142" s="3507"/>
      <c r="JLR142" s="3507"/>
      <c r="JLS142" s="3507"/>
      <c r="JLT142" s="3507"/>
      <c r="JLU142" s="3507"/>
      <c r="JLV142" s="3507"/>
      <c r="JLW142" s="3507"/>
      <c r="JLX142" s="3507"/>
      <c r="JLY142" s="3507"/>
      <c r="JLZ142" s="3507"/>
      <c r="JMA142" s="3507"/>
      <c r="JMB142" s="3507"/>
      <c r="JMC142" s="3507"/>
      <c r="JMD142" s="3507"/>
      <c r="JME142" s="3507"/>
      <c r="JMF142" s="3507"/>
      <c r="JMG142" s="3507"/>
      <c r="JMH142" s="3507"/>
      <c r="JMI142" s="3507"/>
      <c r="JMJ142" s="3507"/>
      <c r="JMK142" s="3507"/>
      <c r="JML142" s="3507"/>
      <c r="JMM142" s="3507"/>
      <c r="JMN142" s="3507"/>
      <c r="JMO142" s="3507"/>
      <c r="JMP142" s="3507"/>
      <c r="JMQ142" s="3507"/>
      <c r="JMR142" s="3507"/>
      <c r="JMS142" s="3507"/>
      <c r="JMT142" s="3507"/>
      <c r="JMU142" s="3507"/>
      <c r="JMV142" s="3507"/>
      <c r="JMW142" s="3507"/>
      <c r="JMX142" s="3507"/>
      <c r="JMY142" s="3507"/>
      <c r="JMZ142" s="3507"/>
      <c r="JNA142" s="3507"/>
      <c r="JNB142" s="3507"/>
      <c r="JNC142" s="3507"/>
      <c r="JND142" s="3507"/>
      <c r="JNE142" s="3507"/>
      <c r="JNF142" s="3507"/>
      <c r="JNG142" s="3507"/>
      <c r="JNH142" s="3507"/>
      <c r="JNI142" s="3507"/>
      <c r="JNJ142" s="3507"/>
      <c r="JNK142" s="3507"/>
      <c r="JNL142" s="3507"/>
      <c r="JNM142" s="3507"/>
      <c r="JNN142" s="3507"/>
      <c r="JNO142" s="3507"/>
      <c r="JNP142" s="3507"/>
      <c r="JNQ142" s="3507"/>
      <c r="JNR142" s="3507"/>
      <c r="JNS142" s="3507"/>
      <c r="JNT142" s="3507"/>
      <c r="JNU142" s="3507"/>
      <c r="JNV142" s="3507"/>
      <c r="JNW142" s="3507"/>
      <c r="JNX142" s="3507"/>
      <c r="JNY142" s="3507"/>
      <c r="JNZ142" s="3507"/>
      <c r="JOA142" s="3507"/>
      <c r="JOB142" s="3507"/>
      <c r="JOC142" s="3507"/>
      <c r="JOD142" s="3507"/>
      <c r="JOE142" s="3507"/>
      <c r="JOF142" s="3507"/>
      <c r="JOG142" s="3507"/>
      <c r="JOH142" s="3507"/>
      <c r="JOI142" s="3507"/>
      <c r="JOJ142" s="3507"/>
      <c r="JOK142" s="3507"/>
      <c r="JOL142" s="3507"/>
      <c r="JOM142" s="3507"/>
      <c r="JON142" s="3507"/>
      <c r="JOO142" s="3507"/>
      <c r="JOP142" s="3507"/>
      <c r="JOQ142" s="3507"/>
      <c r="JOR142" s="3507"/>
      <c r="JOS142" s="3507"/>
      <c r="JOT142" s="3507"/>
      <c r="JOU142" s="3507"/>
      <c r="JOV142" s="3507"/>
      <c r="JOW142" s="3507"/>
      <c r="JOX142" s="3507"/>
      <c r="JOY142" s="3507"/>
      <c r="JOZ142" s="3507"/>
      <c r="JPA142" s="3507"/>
      <c r="JPB142" s="3507"/>
      <c r="JPC142" s="3507"/>
      <c r="JPD142" s="3507"/>
      <c r="JPE142" s="3507"/>
      <c r="JPF142" s="3507"/>
      <c r="JPG142" s="3507"/>
      <c r="JPH142" s="3507"/>
      <c r="JPI142" s="3507"/>
      <c r="JPJ142" s="3507"/>
      <c r="JPK142" s="3507"/>
      <c r="JPL142" s="3507"/>
      <c r="JPM142" s="3507"/>
      <c r="JPN142" s="3507"/>
      <c r="JPO142" s="3507"/>
      <c r="JPP142" s="3507"/>
      <c r="JPQ142" s="3507"/>
      <c r="JPR142" s="3507"/>
      <c r="JPS142" s="3507"/>
      <c r="JPT142" s="3507"/>
      <c r="JPU142" s="3507"/>
      <c r="JPV142" s="3507"/>
      <c r="JPW142" s="3507"/>
      <c r="JPX142" s="3507"/>
      <c r="JPY142" s="3507"/>
      <c r="JPZ142" s="3507"/>
      <c r="JQA142" s="3507"/>
      <c r="JQB142" s="3507"/>
      <c r="JQC142" s="3507"/>
      <c r="JQD142" s="3507"/>
      <c r="JQE142" s="3507"/>
      <c r="JQF142" s="3507"/>
      <c r="JQG142" s="3507"/>
      <c r="JQH142" s="3507"/>
      <c r="JQI142" s="3507"/>
      <c r="JQJ142" s="3507"/>
      <c r="JQK142" s="3507"/>
      <c r="JQL142" s="3507"/>
      <c r="JQM142" s="3507"/>
      <c r="JQN142" s="3507"/>
      <c r="JQO142" s="3507"/>
      <c r="JQP142" s="3507"/>
      <c r="JQQ142" s="3507"/>
      <c r="JQR142" s="3507"/>
      <c r="JQS142" s="3507"/>
      <c r="JQT142" s="3507"/>
      <c r="JQU142" s="3507"/>
      <c r="JQV142" s="3507"/>
      <c r="JQW142" s="3507"/>
      <c r="JQX142" s="3507"/>
      <c r="JQY142" s="3507"/>
      <c r="JQZ142" s="3507"/>
      <c r="JRA142" s="3507"/>
      <c r="JRB142" s="3507"/>
      <c r="JRC142" s="3507"/>
      <c r="JRD142" s="3507"/>
      <c r="JRE142" s="3507"/>
      <c r="JRF142" s="3507"/>
      <c r="JRG142" s="3507"/>
      <c r="JRH142" s="3507"/>
      <c r="JRI142" s="3507"/>
      <c r="JRJ142" s="3507"/>
      <c r="JRK142" s="3507"/>
      <c r="JRL142" s="3507"/>
      <c r="JRM142" s="3507"/>
      <c r="JRN142" s="3507"/>
      <c r="JRO142" s="3507"/>
      <c r="JRP142" s="3507"/>
      <c r="JRQ142" s="3507"/>
      <c r="JRR142" s="3507"/>
      <c r="JRS142" s="3507"/>
      <c r="JRT142" s="3507"/>
      <c r="JRU142" s="3507"/>
      <c r="JRV142" s="3507"/>
      <c r="JRW142" s="3507"/>
      <c r="JRX142" s="3507"/>
      <c r="JRY142" s="3507"/>
      <c r="JRZ142" s="3507"/>
      <c r="JSA142" s="3507"/>
      <c r="JSB142" s="3507"/>
      <c r="JSC142" s="3507"/>
      <c r="JSD142" s="3507"/>
      <c r="JSE142" s="3507"/>
      <c r="JSF142" s="3507"/>
      <c r="JSG142" s="3507"/>
      <c r="JSH142" s="3507"/>
      <c r="JSI142" s="3507"/>
      <c r="JSJ142" s="3507"/>
      <c r="JSK142" s="3507"/>
      <c r="JSL142" s="3507"/>
      <c r="JSM142" s="3507"/>
      <c r="JSN142" s="3507"/>
      <c r="JSO142" s="3507"/>
      <c r="JSP142" s="3507"/>
      <c r="JSQ142" s="3507"/>
      <c r="JSR142" s="3507"/>
      <c r="JSS142" s="3507"/>
      <c r="JST142" s="3507"/>
      <c r="JSU142" s="3507"/>
      <c r="JSV142" s="3507"/>
      <c r="JSW142" s="3507"/>
      <c r="JSX142" s="3507"/>
      <c r="JSY142" s="3507"/>
      <c r="JSZ142" s="3507"/>
      <c r="JTA142" s="3507"/>
      <c r="JTB142" s="3507"/>
      <c r="JTC142" s="3507"/>
      <c r="JTD142" s="3507"/>
      <c r="JTE142" s="3507"/>
      <c r="JTF142" s="3507"/>
      <c r="JTG142" s="3507"/>
      <c r="JTH142" s="3507"/>
      <c r="JTI142" s="3507"/>
      <c r="JTJ142" s="3507"/>
      <c r="JTK142" s="3507"/>
      <c r="JTL142" s="3507"/>
      <c r="JTM142" s="3507"/>
      <c r="JTN142" s="3507"/>
      <c r="JTO142" s="3507"/>
      <c r="JTP142" s="3507"/>
      <c r="JTQ142" s="3507"/>
      <c r="JTR142" s="3507"/>
      <c r="JTS142" s="3507"/>
      <c r="JTT142" s="3507"/>
      <c r="JTU142" s="3507"/>
      <c r="JTV142" s="3507"/>
      <c r="JTW142" s="3507"/>
      <c r="JTX142" s="3507"/>
      <c r="JTY142" s="3507"/>
      <c r="JTZ142" s="3507"/>
      <c r="JUA142" s="3507"/>
      <c r="JUB142" s="3507"/>
      <c r="JUC142" s="3507"/>
      <c r="JUD142" s="3507"/>
      <c r="JUE142" s="3507"/>
      <c r="JUF142" s="3507"/>
      <c r="JUG142" s="3507"/>
      <c r="JUH142" s="3507"/>
      <c r="JUI142" s="3507"/>
      <c r="JUJ142" s="3507"/>
      <c r="JUK142" s="3507"/>
      <c r="JUL142" s="3507"/>
      <c r="JUM142" s="3507"/>
      <c r="JUN142" s="3507"/>
      <c r="JUO142" s="3507"/>
      <c r="JUP142" s="3507"/>
      <c r="JUQ142" s="3507"/>
      <c r="JUR142" s="3507"/>
      <c r="JUS142" s="3507"/>
      <c r="JUT142" s="3507"/>
      <c r="JUU142" s="3507"/>
      <c r="JUV142" s="3507"/>
      <c r="JUW142" s="3507"/>
      <c r="JUX142" s="3507"/>
      <c r="JUY142" s="3507"/>
      <c r="JUZ142" s="3507"/>
      <c r="JVA142" s="3507"/>
      <c r="JVB142" s="3507"/>
      <c r="JVC142" s="3507"/>
      <c r="JVD142" s="3507"/>
      <c r="JVE142" s="3507"/>
      <c r="JVF142" s="3507"/>
      <c r="JVG142" s="3507"/>
      <c r="JVH142" s="3507"/>
      <c r="JVI142" s="3507"/>
      <c r="JVJ142" s="3507"/>
      <c r="JVK142" s="3507"/>
      <c r="JVL142" s="3507"/>
      <c r="JVM142" s="3507"/>
      <c r="JVN142" s="3507"/>
      <c r="JVO142" s="3507"/>
      <c r="JVP142" s="3507"/>
      <c r="JVQ142" s="3507"/>
      <c r="JVR142" s="3507"/>
      <c r="JVS142" s="3507"/>
      <c r="JVT142" s="3507"/>
      <c r="JVU142" s="3507"/>
      <c r="JVV142" s="3507"/>
      <c r="JVW142" s="3507"/>
      <c r="JVX142" s="3507"/>
      <c r="JVY142" s="3507"/>
      <c r="JVZ142" s="3507"/>
      <c r="JWA142" s="3507"/>
      <c r="JWB142" s="3507"/>
      <c r="JWC142" s="3507"/>
      <c r="JWD142" s="3507"/>
      <c r="JWE142" s="3507"/>
      <c r="JWF142" s="3507"/>
      <c r="JWG142" s="3507"/>
      <c r="JWH142" s="3507"/>
      <c r="JWI142" s="3507"/>
      <c r="JWJ142" s="3507"/>
      <c r="JWK142" s="3507"/>
      <c r="JWL142" s="3507"/>
      <c r="JWM142" s="3507"/>
      <c r="JWN142" s="3507"/>
      <c r="JWO142" s="3507"/>
      <c r="JWP142" s="3507"/>
      <c r="JWQ142" s="3507"/>
      <c r="JWR142" s="3507"/>
      <c r="JWS142" s="3507"/>
      <c r="JWT142" s="3507"/>
      <c r="JWU142" s="3507"/>
      <c r="JWV142" s="3507"/>
      <c r="JWW142" s="3507"/>
      <c r="JWX142" s="3507"/>
      <c r="JWY142" s="3507"/>
      <c r="JWZ142" s="3507"/>
      <c r="JXA142" s="3507"/>
      <c r="JXB142" s="3507"/>
      <c r="JXC142" s="3507"/>
      <c r="JXD142" s="3507"/>
      <c r="JXE142" s="3507"/>
      <c r="JXF142" s="3507"/>
      <c r="JXG142" s="3507"/>
      <c r="JXH142" s="3507"/>
      <c r="JXI142" s="3507"/>
      <c r="JXJ142" s="3507"/>
      <c r="JXK142" s="3507"/>
      <c r="JXL142" s="3507"/>
      <c r="JXM142" s="3507"/>
      <c r="JXN142" s="3507"/>
      <c r="JXO142" s="3507"/>
      <c r="JXP142" s="3507"/>
      <c r="JXQ142" s="3507"/>
      <c r="JXR142" s="3507"/>
      <c r="JXS142" s="3507"/>
      <c r="JXT142" s="3507"/>
      <c r="JXU142" s="3507"/>
      <c r="JXV142" s="3507"/>
      <c r="JXW142" s="3507"/>
      <c r="JXX142" s="3507"/>
      <c r="JXY142" s="3507"/>
      <c r="JXZ142" s="3507"/>
      <c r="JYA142" s="3507"/>
      <c r="JYB142" s="3507"/>
      <c r="JYC142" s="3507"/>
      <c r="JYD142" s="3507"/>
      <c r="JYE142" s="3507"/>
      <c r="JYF142" s="3507"/>
      <c r="JYG142" s="3507"/>
      <c r="JYH142" s="3507"/>
      <c r="JYI142" s="3507"/>
      <c r="JYJ142" s="3507"/>
      <c r="JYK142" s="3507"/>
      <c r="JYL142" s="3507"/>
      <c r="JYM142" s="3507"/>
      <c r="JYN142" s="3507"/>
      <c r="JYO142" s="3507"/>
      <c r="JYP142" s="3507"/>
      <c r="JYQ142" s="3507"/>
      <c r="JYR142" s="3507"/>
      <c r="JYS142" s="3507"/>
      <c r="JYT142" s="3507"/>
      <c r="JYU142" s="3507"/>
      <c r="JYV142" s="3507"/>
      <c r="JYW142" s="3507"/>
      <c r="JYX142" s="3507"/>
      <c r="JYY142" s="3507"/>
      <c r="JYZ142" s="3507"/>
      <c r="JZA142" s="3507"/>
      <c r="JZB142" s="3507"/>
      <c r="JZC142" s="3507"/>
      <c r="JZD142" s="3507"/>
      <c r="JZE142" s="3507"/>
      <c r="JZF142" s="3507"/>
      <c r="JZG142" s="3507"/>
      <c r="JZH142" s="3507"/>
      <c r="JZI142" s="3507"/>
      <c r="JZJ142" s="3507"/>
      <c r="JZK142" s="3507"/>
      <c r="JZL142" s="3507"/>
      <c r="JZM142" s="3507"/>
      <c r="JZN142" s="3507"/>
      <c r="JZO142" s="3507"/>
      <c r="JZP142" s="3507"/>
      <c r="JZQ142" s="3507"/>
      <c r="JZR142" s="3507"/>
      <c r="JZS142" s="3507"/>
      <c r="JZT142" s="3507"/>
      <c r="JZU142" s="3507"/>
      <c r="JZV142" s="3507"/>
      <c r="JZW142" s="3507"/>
      <c r="JZX142" s="3507"/>
      <c r="JZY142" s="3507"/>
      <c r="JZZ142" s="3507"/>
      <c r="KAA142" s="3507"/>
      <c r="KAB142" s="3507"/>
      <c r="KAC142" s="3507"/>
      <c r="KAD142" s="3507"/>
      <c r="KAE142" s="3507"/>
      <c r="KAF142" s="3507"/>
      <c r="KAG142" s="3507"/>
      <c r="KAH142" s="3507"/>
      <c r="KAI142" s="3507"/>
      <c r="KAJ142" s="3507"/>
      <c r="KAK142" s="3507"/>
      <c r="KAL142" s="3507"/>
      <c r="KAM142" s="3507"/>
      <c r="KAN142" s="3507"/>
      <c r="KAO142" s="3507"/>
      <c r="KAP142" s="3507"/>
      <c r="KAQ142" s="3507"/>
      <c r="KAR142" s="3507"/>
      <c r="KAS142" s="3507"/>
      <c r="KAT142" s="3507"/>
      <c r="KAU142" s="3507"/>
      <c r="KAV142" s="3507"/>
      <c r="KAW142" s="3507"/>
      <c r="KAX142" s="3507"/>
      <c r="KAY142" s="3507"/>
      <c r="KAZ142" s="3507"/>
      <c r="KBA142" s="3507"/>
      <c r="KBB142" s="3507"/>
      <c r="KBC142" s="3507"/>
      <c r="KBD142" s="3507"/>
      <c r="KBE142" s="3507"/>
      <c r="KBF142" s="3507"/>
      <c r="KBG142" s="3507"/>
      <c r="KBH142" s="3507"/>
      <c r="KBI142" s="3507"/>
      <c r="KBJ142" s="3507"/>
      <c r="KBK142" s="3507"/>
      <c r="KBL142" s="3507"/>
      <c r="KBM142" s="3507"/>
      <c r="KBN142" s="3507"/>
      <c r="KBO142" s="3507"/>
      <c r="KBP142" s="3507"/>
      <c r="KBQ142" s="3507"/>
      <c r="KBR142" s="3507"/>
      <c r="KBS142" s="3507"/>
      <c r="KBT142" s="3507"/>
      <c r="KBU142" s="3507"/>
      <c r="KBV142" s="3507"/>
      <c r="KBW142" s="3507"/>
      <c r="KBX142" s="3507"/>
      <c r="KBY142" s="3507"/>
      <c r="KBZ142" s="3507"/>
      <c r="KCA142" s="3507"/>
      <c r="KCB142" s="3507"/>
      <c r="KCC142" s="3507"/>
      <c r="KCD142" s="3507"/>
      <c r="KCE142" s="3507"/>
      <c r="KCF142" s="3507"/>
      <c r="KCG142" s="3507"/>
      <c r="KCH142" s="3507"/>
      <c r="KCI142" s="3507"/>
      <c r="KCJ142" s="3507"/>
      <c r="KCK142" s="3507"/>
      <c r="KCL142" s="3507"/>
      <c r="KCM142" s="3507"/>
      <c r="KCN142" s="3507"/>
      <c r="KCO142" s="3507"/>
      <c r="KCP142" s="3507"/>
      <c r="KCQ142" s="3507"/>
      <c r="KCR142" s="3507"/>
      <c r="KCS142" s="3507"/>
      <c r="KCT142" s="3507"/>
      <c r="KCU142" s="3507"/>
      <c r="KCV142" s="3507"/>
      <c r="KCW142" s="3507"/>
      <c r="KCX142" s="3507"/>
      <c r="KCY142" s="3507"/>
      <c r="KCZ142" s="3507"/>
      <c r="KDA142" s="3507"/>
      <c r="KDB142" s="3507"/>
      <c r="KDC142" s="3507"/>
      <c r="KDD142" s="3507"/>
      <c r="KDE142" s="3507"/>
      <c r="KDF142" s="3507"/>
      <c r="KDG142" s="3507"/>
      <c r="KDH142" s="3507"/>
      <c r="KDI142" s="3507"/>
      <c r="KDJ142" s="3507"/>
      <c r="KDK142" s="3507"/>
      <c r="KDL142" s="3507"/>
      <c r="KDM142" s="3507"/>
      <c r="KDN142" s="3507"/>
      <c r="KDO142" s="3507"/>
      <c r="KDP142" s="3507"/>
      <c r="KDQ142" s="3507"/>
      <c r="KDR142" s="3507"/>
      <c r="KDS142" s="3507"/>
      <c r="KDT142" s="3507"/>
      <c r="KDU142" s="3507"/>
      <c r="KDV142" s="3507"/>
      <c r="KDW142" s="3507"/>
      <c r="KDX142" s="3507"/>
      <c r="KDY142" s="3507"/>
      <c r="KDZ142" s="3507"/>
      <c r="KEA142" s="3507"/>
      <c r="KEB142" s="3507"/>
      <c r="KEC142" s="3507"/>
      <c r="KED142" s="3507"/>
      <c r="KEE142" s="3507"/>
      <c r="KEF142" s="3507"/>
      <c r="KEG142" s="3507"/>
      <c r="KEH142" s="3507"/>
      <c r="KEI142" s="3507"/>
      <c r="KEJ142" s="3507"/>
      <c r="KEK142" s="3507"/>
      <c r="KEL142" s="3507"/>
      <c r="KEM142" s="3507"/>
      <c r="KEN142" s="3507"/>
      <c r="KEO142" s="3507"/>
      <c r="KEP142" s="3507"/>
      <c r="KEQ142" s="3507"/>
      <c r="KER142" s="3507"/>
      <c r="KES142" s="3507"/>
      <c r="KET142" s="3507"/>
      <c r="KEU142" s="3507"/>
      <c r="KEV142" s="3507"/>
      <c r="KEW142" s="3507"/>
      <c r="KEX142" s="3507"/>
      <c r="KEY142" s="3507"/>
      <c r="KEZ142" s="3507"/>
      <c r="KFA142" s="3507"/>
      <c r="KFB142" s="3507"/>
      <c r="KFC142" s="3507"/>
      <c r="KFD142" s="3507"/>
      <c r="KFE142" s="3507"/>
      <c r="KFF142" s="3507"/>
      <c r="KFG142" s="3507"/>
      <c r="KFH142" s="3507"/>
      <c r="KFI142" s="3507"/>
      <c r="KFJ142" s="3507"/>
      <c r="KFK142" s="3507"/>
      <c r="KFL142" s="3507"/>
      <c r="KFM142" s="3507"/>
      <c r="KFN142" s="3507"/>
      <c r="KFO142" s="3507"/>
      <c r="KFP142" s="3507"/>
      <c r="KFQ142" s="3507"/>
      <c r="KFR142" s="3507"/>
      <c r="KFS142" s="3507"/>
      <c r="KFT142" s="3507"/>
      <c r="KFU142" s="3507"/>
      <c r="KFV142" s="3507"/>
      <c r="KFW142" s="3507"/>
      <c r="KFX142" s="3507"/>
      <c r="KFY142" s="3507"/>
      <c r="KFZ142" s="3507"/>
      <c r="KGA142" s="3507"/>
      <c r="KGB142" s="3507"/>
      <c r="KGC142" s="3507"/>
      <c r="KGD142" s="3507"/>
      <c r="KGE142" s="3507"/>
      <c r="KGF142" s="3507"/>
      <c r="KGG142" s="3507"/>
      <c r="KGH142" s="3507"/>
      <c r="KGI142" s="3507"/>
      <c r="KGJ142" s="3507"/>
      <c r="KGK142" s="3507"/>
      <c r="KGL142" s="3507"/>
      <c r="KGM142" s="3507"/>
      <c r="KGN142" s="3507"/>
      <c r="KGO142" s="3507"/>
      <c r="KGP142" s="3507"/>
      <c r="KGQ142" s="3507"/>
      <c r="KGR142" s="3507"/>
      <c r="KGS142" s="3507"/>
      <c r="KGT142" s="3507"/>
      <c r="KGU142" s="3507"/>
      <c r="KGV142" s="3507"/>
      <c r="KGW142" s="3507"/>
      <c r="KGX142" s="3507"/>
      <c r="KGY142" s="3507"/>
      <c r="KGZ142" s="3507"/>
      <c r="KHA142" s="3507"/>
      <c r="KHB142" s="3507"/>
      <c r="KHC142" s="3507"/>
      <c r="KHD142" s="3507"/>
      <c r="KHE142" s="3507"/>
      <c r="KHF142" s="3507"/>
      <c r="KHG142" s="3507"/>
      <c r="KHH142" s="3507"/>
      <c r="KHI142" s="3507"/>
      <c r="KHJ142" s="3507"/>
      <c r="KHK142" s="3507"/>
      <c r="KHL142" s="3507"/>
      <c r="KHM142" s="3507"/>
      <c r="KHN142" s="3507"/>
      <c r="KHO142" s="3507"/>
      <c r="KHP142" s="3507"/>
      <c r="KHQ142" s="3507"/>
      <c r="KHR142" s="3507"/>
      <c r="KHS142" s="3507"/>
      <c r="KHT142" s="3507"/>
      <c r="KHU142" s="3507"/>
      <c r="KHV142" s="3507"/>
      <c r="KHW142" s="3507"/>
      <c r="KHX142" s="3507"/>
      <c r="KHY142" s="3507"/>
      <c r="KHZ142" s="3507"/>
      <c r="KIA142" s="3507"/>
      <c r="KIB142" s="3507"/>
      <c r="KIC142" s="3507"/>
      <c r="KID142" s="3507"/>
      <c r="KIE142" s="3507"/>
      <c r="KIF142" s="3507"/>
      <c r="KIG142" s="3507"/>
      <c r="KIH142" s="3507"/>
      <c r="KII142" s="3507"/>
      <c r="KIJ142" s="3507"/>
      <c r="KIK142" s="3507"/>
      <c r="KIL142" s="3507"/>
      <c r="KIM142" s="3507"/>
      <c r="KIN142" s="3507"/>
      <c r="KIO142" s="3507"/>
      <c r="KIP142" s="3507"/>
      <c r="KIQ142" s="3507"/>
      <c r="KIR142" s="3507"/>
      <c r="KIS142" s="3507"/>
      <c r="KIT142" s="3507"/>
      <c r="KIU142" s="3507"/>
      <c r="KIV142" s="3507"/>
      <c r="KIW142" s="3507"/>
      <c r="KIX142" s="3507"/>
      <c r="KIY142" s="3507"/>
      <c r="KIZ142" s="3507"/>
      <c r="KJA142" s="3507"/>
      <c r="KJB142" s="3507"/>
      <c r="KJC142" s="3507"/>
      <c r="KJD142" s="3507"/>
      <c r="KJE142" s="3507"/>
      <c r="KJF142" s="3507"/>
      <c r="KJG142" s="3507"/>
      <c r="KJH142" s="3507"/>
      <c r="KJI142" s="3507"/>
      <c r="KJJ142" s="3507"/>
      <c r="KJK142" s="3507"/>
      <c r="KJL142" s="3507"/>
      <c r="KJM142" s="3507"/>
      <c r="KJN142" s="3507"/>
      <c r="KJO142" s="3507"/>
      <c r="KJP142" s="3507"/>
      <c r="KJQ142" s="3507"/>
      <c r="KJR142" s="3507"/>
      <c r="KJS142" s="3507"/>
      <c r="KJT142" s="3507"/>
      <c r="KJU142" s="3507"/>
      <c r="KJV142" s="3507"/>
      <c r="KJW142" s="3507"/>
      <c r="KJX142" s="3507"/>
      <c r="KJY142" s="3507"/>
      <c r="KJZ142" s="3507"/>
      <c r="KKA142" s="3507"/>
      <c r="KKB142" s="3507"/>
      <c r="KKC142" s="3507"/>
      <c r="KKD142" s="3507"/>
      <c r="KKE142" s="3507"/>
      <c r="KKF142" s="3507"/>
      <c r="KKG142" s="3507"/>
      <c r="KKH142" s="3507"/>
      <c r="KKI142" s="3507"/>
      <c r="KKJ142" s="3507"/>
      <c r="KKK142" s="3507"/>
      <c r="KKL142" s="3507"/>
      <c r="KKM142" s="3507"/>
      <c r="KKN142" s="3507"/>
      <c r="KKO142" s="3507"/>
      <c r="KKP142" s="3507"/>
      <c r="KKQ142" s="3507"/>
      <c r="KKR142" s="3507"/>
      <c r="KKS142" s="3507"/>
      <c r="KKT142" s="3507"/>
      <c r="KKU142" s="3507"/>
      <c r="KKV142" s="3507"/>
      <c r="KKW142" s="3507"/>
      <c r="KKX142" s="3507"/>
      <c r="KKY142" s="3507"/>
      <c r="KKZ142" s="3507"/>
      <c r="KLA142" s="3507"/>
      <c r="KLB142" s="3507"/>
      <c r="KLC142" s="3507"/>
      <c r="KLD142" s="3507"/>
      <c r="KLE142" s="3507"/>
      <c r="KLF142" s="3507"/>
      <c r="KLG142" s="3507"/>
      <c r="KLH142" s="3507"/>
      <c r="KLI142" s="3507"/>
      <c r="KLJ142" s="3507"/>
      <c r="KLK142" s="3507"/>
      <c r="KLL142" s="3507"/>
      <c r="KLM142" s="3507"/>
      <c r="KLN142" s="3507"/>
      <c r="KLO142" s="3507"/>
      <c r="KLP142" s="3507"/>
      <c r="KLQ142" s="3507"/>
      <c r="KLR142" s="3507"/>
      <c r="KLS142" s="3507"/>
      <c r="KLT142" s="3507"/>
      <c r="KLU142" s="3507"/>
      <c r="KLV142" s="3507"/>
      <c r="KLW142" s="3507"/>
      <c r="KLX142" s="3507"/>
      <c r="KLY142" s="3507"/>
      <c r="KLZ142" s="3507"/>
      <c r="KMA142" s="3507"/>
      <c r="KMB142" s="3507"/>
      <c r="KMC142" s="3507"/>
      <c r="KMD142" s="3507"/>
      <c r="KME142" s="3507"/>
      <c r="KMF142" s="3507"/>
      <c r="KMG142" s="3507"/>
      <c r="KMH142" s="3507"/>
      <c r="KMI142" s="3507"/>
      <c r="KMJ142" s="3507"/>
      <c r="KMK142" s="3507"/>
      <c r="KML142" s="3507"/>
      <c r="KMM142" s="3507"/>
      <c r="KMN142" s="3507"/>
      <c r="KMO142" s="3507"/>
      <c r="KMP142" s="3507"/>
      <c r="KMQ142" s="3507"/>
      <c r="KMR142" s="3507"/>
      <c r="KMS142" s="3507"/>
      <c r="KMT142" s="3507"/>
      <c r="KMU142" s="3507"/>
      <c r="KMV142" s="3507"/>
      <c r="KMW142" s="3507"/>
      <c r="KMX142" s="3507"/>
      <c r="KMY142" s="3507"/>
      <c r="KMZ142" s="3507"/>
      <c r="KNA142" s="3507"/>
      <c r="KNB142" s="3507"/>
      <c r="KNC142" s="3507"/>
      <c r="KND142" s="3507"/>
      <c r="KNE142" s="3507"/>
      <c r="KNF142" s="3507"/>
      <c r="KNG142" s="3507"/>
      <c r="KNH142" s="3507"/>
      <c r="KNI142" s="3507"/>
      <c r="KNJ142" s="3507"/>
      <c r="KNK142" s="3507"/>
      <c r="KNL142" s="3507"/>
      <c r="KNM142" s="3507"/>
      <c r="KNN142" s="3507"/>
      <c r="KNO142" s="3507"/>
      <c r="KNP142" s="3507"/>
      <c r="KNQ142" s="3507"/>
      <c r="KNR142" s="3507"/>
      <c r="KNS142" s="3507"/>
      <c r="KNT142" s="3507"/>
      <c r="KNU142" s="3507"/>
      <c r="KNV142" s="3507"/>
      <c r="KNW142" s="3507"/>
      <c r="KNX142" s="3507"/>
      <c r="KNY142" s="3507"/>
      <c r="KNZ142" s="3507"/>
      <c r="KOA142" s="3507"/>
      <c r="KOB142" s="3507"/>
      <c r="KOC142" s="3507"/>
      <c r="KOD142" s="3507"/>
      <c r="KOE142" s="3507"/>
      <c r="KOF142" s="3507"/>
      <c r="KOG142" s="3507"/>
      <c r="KOH142" s="3507"/>
      <c r="KOI142" s="3507"/>
      <c r="KOJ142" s="3507"/>
      <c r="KOK142" s="3507"/>
      <c r="KOL142" s="3507"/>
      <c r="KOM142" s="3507"/>
      <c r="KON142" s="3507"/>
      <c r="KOO142" s="3507"/>
      <c r="KOP142" s="3507"/>
      <c r="KOQ142" s="3507"/>
      <c r="KOR142" s="3507"/>
      <c r="KOS142" s="3507"/>
      <c r="KOT142" s="3507"/>
      <c r="KOU142" s="3507"/>
      <c r="KOV142" s="3507"/>
      <c r="KOW142" s="3507"/>
      <c r="KOX142" s="3507"/>
      <c r="KOY142" s="3507"/>
      <c r="KOZ142" s="3507"/>
      <c r="KPA142" s="3507"/>
      <c r="KPB142" s="3507"/>
      <c r="KPC142" s="3507"/>
      <c r="KPD142" s="3507"/>
      <c r="KPE142" s="3507"/>
      <c r="KPF142" s="3507"/>
      <c r="KPG142" s="3507"/>
      <c r="KPH142" s="3507"/>
      <c r="KPI142" s="3507"/>
      <c r="KPJ142" s="3507"/>
      <c r="KPK142" s="3507"/>
      <c r="KPL142" s="3507"/>
      <c r="KPM142" s="3507"/>
      <c r="KPN142" s="3507"/>
      <c r="KPO142" s="3507"/>
      <c r="KPP142" s="3507"/>
      <c r="KPQ142" s="3507"/>
      <c r="KPR142" s="3507"/>
      <c r="KPS142" s="3507"/>
      <c r="KPT142" s="3507"/>
      <c r="KPU142" s="3507"/>
      <c r="KPV142" s="3507"/>
      <c r="KPW142" s="3507"/>
      <c r="KPX142" s="3507"/>
      <c r="KPY142" s="3507"/>
      <c r="KPZ142" s="3507"/>
      <c r="KQA142" s="3507"/>
      <c r="KQB142" s="3507"/>
      <c r="KQC142" s="3507"/>
      <c r="KQD142" s="3507"/>
      <c r="KQE142" s="3507"/>
      <c r="KQF142" s="3507"/>
      <c r="KQG142" s="3507"/>
      <c r="KQH142" s="3507"/>
      <c r="KQI142" s="3507"/>
      <c r="KQJ142" s="3507"/>
      <c r="KQK142" s="3507"/>
      <c r="KQL142" s="3507"/>
      <c r="KQM142" s="3507"/>
      <c r="KQN142" s="3507"/>
      <c r="KQO142" s="3507"/>
      <c r="KQP142" s="3507"/>
      <c r="KQQ142" s="3507"/>
      <c r="KQR142" s="3507"/>
      <c r="KQS142" s="3507"/>
      <c r="KQT142" s="3507"/>
      <c r="KQU142" s="3507"/>
      <c r="KQV142" s="3507"/>
      <c r="KQW142" s="3507"/>
      <c r="KQX142" s="3507"/>
      <c r="KQY142" s="3507"/>
      <c r="KQZ142" s="3507"/>
      <c r="KRA142" s="3507"/>
      <c r="KRB142" s="3507"/>
      <c r="KRC142" s="3507"/>
      <c r="KRD142" s="3507"/>
      <c r="KRE142" s="3507"/>
      <c r="KRF142" s="3507"/>
      <c r="KRG142" s="3507"/>
      <c r="KRH142" s="3507"/>
      <c r="KRI142" s="3507"/>
      <c r="KRJ142" s="3507"/>
      <c r="KRK142" s="3507"/>
      <c r="KRL142" s="3507"/>
      <c r="KRM142" s="3507"/>
      <c r="KRN142" s="3507"/>
      <c r="KRO142" s="3507"/>
      <c r="KRP142" s="3507"/>
      <c r="KRQ142" s="3507"/>
      <c r="KRR142" s="3507"/>
      <c r="KRS142" s="3507"/>
      <c r="KRT142" s="3507"/>
      <c r="KRU142" s="3507"/>
      <c r="KRV142" s="3507"/>
      <c r="KRW142" s="3507"/>
      <c r="KRX142" s="3507"/>
      <c r="KRY142" s="3507"/>
      <c r="KRZ142" s="3507"/>
      <c r="KSA142" s="3507"/>
      <c r="KSB142" s="3507"/>
      <c r="KSC142" s="3507"/>
      <c r="KSD142" s="3507"/>
      <c r="KSE142" s="3507"/>
      <c r="KSF142" s="3507"/>
      <c r="KSG142" s="3507"/>
      <c r="KSH142" s="3507"/>
      <c r="KSI142" s="3507"/>
      <c r="KSJ142" s="3507"/>
      <c r="KSK142" s="3507"/>
      <c r="KSL142" s="3507"/>
      <c r="KSM142" s="3507"/>
      <c r="KSN142" s="3507"/>
      <c r="KSO142" s="3507"/>
      <c r="KSP142" s="3507"/>
      <c r="KSQ142" s="3507"/>
      <c r="KSR142" s="3507"/>
      <c r="KSS142" s="3507"/>
      <c r="KST142" s="3507"/>
      <c r="KSU142" s="3507"/>
      <c r="KSV142" s="3507"/>
      <c r="KSW142" s="3507"/>
      <c r="KSX142" s="3507"/>
      <c r="KSY142" s="3507"/>
      <c r="KSZ142" s="3507"/>
      <c r="KTA142" s="3507"/>
      <c r="KTB142" s="3507"/>
      <c r="KTC142" s="3507"/>
      <c r="KTD142" s="3507"/>
      <c r="KTE142" s="3507"/>
      <c r="KTF142" s="3507"/>
      <c r="KTG142" s="3507"/>
      <c r="KTH142" s="3507"/>
      <c r="KTI142" s="3507"/>
      <c r="KTJ142" s="3507"/>
      <c r="KTK142" s="3507"/>
      <c r="KTL142" s="3507"/>
      <c r="KTM142" s="3507"/>
      <c r="KTN142" s="3507"/>
      <c r="KTO142" s="3507"/>
      <c r="KTP142" s="3507"/>
      <c r="KTQ142" s="3507"/>
      <c r="KTR142" s="3507"/>
      <c r="KTS142" s="3507"/>
      <c r="KTT142" s="3507"/>
      <c r="KTU142" s="3507"/>
      <c r="KTV142" s="3507"/>
      <c r="KTW142" s="3507"/>
      <c r="KTX142" s="3507"/>
      <c r="KTY142" s="3507"/>
      <c r="KTZ142" s="3507"/>
      <c r="KUA142" s="3507"/>
      <c r="KUB142" s="3507"/>
      <c r="KUC142" s="3507"/>
      <c r="KUD142" s="3507"/>
      <c r="KUE142" s="3507"/>
      <c r="KUF142" s="3507"/>
      <c r="KUG142" s="3507"/>
      <c r="KUH142" s="3507"/>
      <c r="KUI142" s="3507"/>
      <c r="KUJ142" s="3507"/>
      <c r="KUK142" s="3507"/>
      <c r="KUL142" s="3507"/>
      <c r="KUM142" s="3507"/>
      <c r="KUN142" s="3507"/>
      <c r="KUO142" s="3507"/>
      <c r="KUP142" s="3507"/>
      <c r="KUQ142" s="3507"/>
      <c r="KUR142" s="3507"/>
      <c r="KUS142" s="3507"/>
      <c r="KUT142" s="3507"/>
      <c r="KUU142" s="3507"/>
      <c r="KUV142" s="3507"/>
      <c r="KUW142" s="3507"/>
      <c r="KUX142" s="3507"/>
      <c r="KUY142" s="3507"/>
      <c r="KUZ142" s="3507"/>
      <c r="KVA142" s="3507"/>
      <c r="KVB142" s="3507"/>
      <c r="KVC142" s="3507"/>
      <c r="KVD142" s="3507"/>
      <c r="KVE142" s="3507"/>
      <c r="KVF142" s="3507"/>
      <c r="KVG142" s="3507"/>
      <c r="KVH142" s="3507"/>
      <c r="KVI142" s="3507"/>
      <c r="KVJ142" s="3507"/>
      <c r="KVK142" s="3507"/>
      <c r="KVL142" s="3507"/>
      <c r="KVM142" s="3507"/>
      <c r="KVN142" s="3507"/>
      <c r="KVO142" s="3507"/>
      <c r="KVP142" s="3507"/>
      <c r="KVQ142" s="3507"/>
      <c r="KVR142" s="3507"/>
      <c r="KVS142" s="3507"/>
      <c r="KVT142" s="3507"/>
      <c r="KVU142" s="3507"/>
      <c r="KVV142" s="3507"/>
      <c r="KVW142" s="3507"/>
      <c r="KVX142" s="3507"/>
      <c r="KVY142" s="3507"/>
      <c r="KVZ142" s="3507"/>
      <c r="KWA142" s="3507"/>
      <c r="KWB142" s="3507"/>
      <c r="KWC142" s="3507"/>
      <c r="KWD142" s="3507"/>
      <c r="KWE142" s="3507"/>
      <c r="KWF142" s="3507"/>
      <c r="KWG142" s="3507"/>
      <c r="KWH142" s="3507"/>
      <c r="KWI142" s="3507"/>
      <c r="KWJ142" s="3507"/>
      <c r="KWK142" s="3507"/>
      <c r="KWL142" s="3507"/>
      <c r="KWM142" s="3507"/>
      <c r="KWN142" s="3507"/>
      <c r="KWO142" s="3507"/>
      <c r="KWP142" s="3507"/>
      <c r="KWQ142" s="3507"/>
      <c r="KWR142" s="3507"/>
      <c r="KWS142" s="3507"/>
      <c r="KWT142" s="3507"/>
      <c r="KWU142" s="3507"/>
      <c r="KWV142" s="3507"/>
      <c r="KWW142" s="3507"/>
      <c r="KWX142" s="3507"/>
      <c r="KWY142" s="3507"/>
      <c r="KWZ142" s="3507"/>
      <c r="KXA142" s="3507"/>
      <c r="KXB142" s="3507"/>
      <c r="KXC142" s="3507"/>
      <c r="KXD142" s="3507"/>
      <c r="KXE142" s="3507"/>
      <c r="KXF142" s="3507"/>
      <c r="KXG142" s="3507"/>
      <c r="KXH142" s="3507"/>
      <c r="KXI142" s="3507"/>
      <c r="KXJ142" s="3507"/>
      <c r="KXK142" s="3507"/>
      <c r="KXL142" s="3507"/>
      <c r="KXM142" s="3507"/>
      <c r="KXN142" s="3507"/>
      <c r="KXO142" s="3507"/>
      <c r="KXP142" s="3507"/>
      <c r="KXQ142" s="3507"/>
      <c r="KXR142" s="3507"/>
      <c r="KXS142" s="3507"/>
      <c r="KXT142" s="3507"/>
      <c r="KXU142" s="3507"/>
      <c r="KXV142" s="3507"/>
      <c r="KXW142" s="3507"/>
      <c r="KXX142" s="3507"/>
      <c r="KXY142" s="3507"/>
      <c r="KXZ142" s="3507"/>
      <c r="KYA142" s="3507"/>
      <c r="KYB142" s="3507"/>
      <c r="KYC142" s="3507"/>
      <c r="KYD142" s="3507"/>
      <c r="KYE142" s="3507"/>
      <c r="KYF142" s="3507"/>
      <c r="KYG142" s="3507"/>
      <c r="KYH142" s="3507"/>
      <c r="KYI142" s="3507"/>
      <c r="KYJ142" s="3507"/>
      <c r="KYK142" s="3507"/>
      <c r="KYL142" s="3507"/>
      <c r="KYM142" s="3507"/>
      <c r="KYN142" s="3507"/>
      <c r="KYO142" s="3507"/>
      <c r="KYP142" s="3507"/>
      <c r="KYQ142" s="3507"/>
      <c r="KYR142" s="3507"/>
      <c r="KYS142" s="3507"/>
      <c r="KYT142" s="3507"/>
      <c r="KYU142" s="3507"/>
      <c r="KYV142" s="3507"/>
      <c r="KYW142" s="3507"/>
      <c r="KYX142" s="3507"/>
      <c r="KYY142" s="3507"/>
      <c r="KYZ142" s="3507"/>
      <c r="KZA142" s="3507"/>
      <c r="KZB142" s="3507"/>
      <c r="KZC142" s="3507"/>
      <c r="KZD142" s="3507"/>
      <c r="KZE142" s="3507"/>
      <c r="KZF142" s="3507"/>
      <c r="KZG142" s="3507"/>
      <c r="KZH142" s="3507"/>
      <c r="KZI142" s="3507"/>
      <c r="KZJ142" s="3507"/>
      <c r="KZK142" s="3507"/>
      <c r="KZL142" s="3507"/>
      <c r="KZM142" s="3507"/>
      <c r="KZN142" s="3507"/>
      <c r="KZO142" s="3507"/>
      <c r="KZP142" s="3507"/>
      <c r="KZQ142" s="3507"/>
      <c r="KZR142" s="3507"/>
      <c r="KZS142" s="3507"/>
      <c r="KZT142" s="3507"/>
      <c r="KZU142" s="3507"/>
      <c r="KZV142" s="3507"/>
      <c r="KZW142" s="3507"/>
      <c r="KZX142" s="3507"/>
      <c r="KZY142" s="3507"/>
      <c r="KZZ142" s="3507"/>
      <c r="LAA142" s="3507"/>
      <c r="LAB142" s="3507"/>
      <c r="LAC142" s="3507"/>
      <c r="LAD142" s="3507"/>
      <c r="LAE142" s="3507"/>
      <c r="LAF142" s="3507"/>
      <c r="LAG142" s="3507"/>
      <c r="LAH142" s="3507"/>
      <c r="LAI142" s="3507"/>
      <c r="LAJ142" s="3507"/>
      <c r="LAK142" s="3507"/>
      <c r="LAL142" s="3507"/>
      <c r="LAM142" s="3507"/>
      <c r="LAN142" s="3507"/>
      <c r="LAO142" s="3507"/>
      <c r="LAP142" s="3507"/>
      <c r="LAQ142" s="3507"/>
      <c r="LAR142" s="3507"/>
      <c r="LAS142" s="3507"/>
      <c r="LAT142" s="3507"/>
      <c r="LAU142" s="3507"/>
      <c r="LAV142" s="3507"/>
      <c r="LAW142" s="3507"/>
      <c r="LAX142" s="3507"/>
      <c r="LAY142" s="3507"/>
      <c r="LAZ142" s="3507"/>
      <c r="LBA142" s="3507"/>
      <c r="LBB142" s="3507"/>
      <c r="LBC142" s="3507"/>
      <c r="LBD142" s="3507"/>
      <c r="LBE142" s="3507"/>
      <c r="LBF142" s="3507"/>
      <c r="LBG142" s="3507"/>
      <c r="LBH142" s="3507"/>
      <c r="LBI142" s="3507"/>
      <c r="LBJ142" s="3507"/>
      <c r="LBK142" s="3507"/>
      <c r="LBL142" s="3507"/>
      <c r="LBM142" s="3507"/>
      <c r="LBN142" s="3507"/>
      <c r="LBO142" s="3507"/>
      <c r="LBP142" s="3507"/>
      <c r="LBQ142" s="3507"/>
      <c r="LBR142" s="3507"/>
      <c r="LBS142" s="3507"/>
      <c r="LBT142" s="3507"/>
      <c r="LBU142" s="3507"/>
      <c r="LBV142" s="3507"/>
      <c r="LBW142" s="3507"/>
      <c r="LBX142" s="3507"/>
      <c r="LBY142" s="3507"/>
      <c r="LBZ142" s="3507"/>
      <c r="LCA142" s="3507"/>
      <c r="LCB142" s="3507"/>
      <c r="LCC142" s="3507"/>
      <c r="LCD142" s="3507"/>
      <c r="LCE142" s="3507"/>
      <c r="LCF142" s="3507"/>
      <c r="LCG142" s="3507"/>
      <c r="LCH142" s="3507"/>
      <c r="LCI142" s="3507"/>
      <c r="LCJ142" s="3507"/>
      <c r="LCK142" s="3507"/>
      <c r="LCL142" s="3507"/>
      <c r="LCM142" s="3507"/>
      <c r="LCN142" s="3507"/>
      <c r="LCO142" s="3507"/>
      <c r="LCP142" s="3507"/>
      <c r="LCQ142" s="3507"/>
      <c r="LCR142" s="3507"/>
      <c r="LCS142" s="3507"/>
      <c r="LCT142" s="3507"/>
      <c r="LCU142" s="3507"/>
      <c r="LCV142" s="3507"/>
      <c r="LCW142" s="3507"/>
      <c r="LCX142" s="3507"/>
      <c r="LCY142" s="3507"/>
      <c r="LCZ142" s="3507"/>
      <c r="LDA142" s="3507"/>
      <c r="LDB142" s="3507"/>
      <c r="LDC142" s="3507"/>
      <c r="LDD142" s="3507"/>
      <c r="LDE142" s="3507"/>
      <c r="LDF142" s="3507"/>
      <c r="LDG142" s="3507"/>
      <c r="LDH142" s="3507"/>
      <c r="LDI142" s="3507"/>
      <c r="LDJ142" s="3507"/>
      <c r="LDK142" s="3507"/>
      <c r="LDL142" s="3507"/>
      <c r="LDM142" s="3507"/>
      <c r="LDN142" s="3507"/>
      <c r="LDO142" s="3507"/>
      <c r="LDP142" s="3507"/>
      <c r="LDQ142" s="3507"/>
      <c r="LDR142" s="3507"/>
      <c r="LDS142" s="3507"/>
      <c r="LDT142" s="3507"/>
      <c r="LDU142" s="3507"/>
      <c r="LDV142" s="3507"/>
      <c r="LDW142" s="3507"/>
      <c r="LDX142" s="3507"/>
      <c r="LDY142" s="3507"/>
      <c r="LDZ142" s="3507"/>
      <c r="LEA142" s="3507"/>
      <c r="LEB142" s="3507"/>
      <c r="LEC142" s="3507"/>
      <c r="LED142" s="3507"/>
      <c r="LEE142" s="3507"/>
      <c r="LEF142" s="3507"/>
      <c r="LEG142" s="3507"/>
      <c r="LEH142" s="3507"/>
      <c r="LEI142" s="3507"/>
      <c r="LEJ142" s="3507"/>
      <c r="LEK142" s="3507"/>
      <c r="LEL142" s="3507"/>
      <c r="LEM142" s="3507"/>
      <c r="LEN142" s="3507"/>
      <c r="LEO142" s="3507"/>
      <c r="LEP142" s="3507"/>
      <c r="LEQ142" s="3507"/>
      <c r="LER142" s="3507"/>
      <c r="LES142" s="3507"/>
      <c r="LET142" s="3507"/>
      <c r="LEU142" s="3507"/>
      <c r="LEV142" s="3507"/>
      <c r="LEW142" s="3507"/>
      <c r="LEX142" s="3507"/>
      <c r="LEY142" s="3507"/>
      <c r="LEZ142" s="3507"/>
      <c r="LFA142" s="3507"/>
      <c r="LFB142" s="3507"/>
      <c r="LFC142" s="3507"/>
      <c r="LFD142" s="3507"/>
      <c r="LFE142" s="3507"/>
      <c r="LFF142" s="3507"/>
      <c r="LFG142" s="3507"/>
      <c r="LFH142" s="3507"/>
      <c r="LFI142" s="3507"/>
      <c r="LFJ142" s="3507"/>
      <c r="LFK142" s="3507"/>
      <c r="LFL142" s="3507"/>
      <c r="LFM142" s="3507"/>
      <c r="LFN142" s="3507"/>
      <c r="LFO142" s="3507"/>
      <c r="LFP142" s="3507"/>
      <c r="LFQ142" s="3507"/>
      <c r="LFR142" s="3507"/>
      <c r="LFS142" s="3507"/>
      <c r="LFT142" s="3507"/>
      <c r="LFU142" s="3507"/>
      <c r="LFV142" s="3507"/>
      <c r="LFW142" s="3507"/>
      <c r="LFX142" s="3507"/>
      <c r="LFY142" s="3507"/>
      <c r="LFZ142" s="3507"/>
      <c r="LGA142" s="3507"/>
      <c r="LGB142" s="3507"/>
      <c r="LGC142" s="3507"/>
      <c r="LGD142" s="3507"/>
      <c r="LGE142" s="3507"/>
      <c r="LGF142" s="3507"/>
      <c r="LGG142" s="3507"/>
      <c r="LGH142" s="3507"/>
      <c r="LGI142" s="3507"/>
      <c r="LGJ142" s="3507"/>
      <c r="LGK142" s="3507"/>
      <c r="LGL142" s="3507"/>
      <c r="LGM142" s="3507"/>
      <c r="LGN142" s="3507"/>
      <c r="LGO142" s="3507"/>
      <c r="LGP142" s="3507"/>
      <c r="LGQ142" s="3507"/>
      <c r="LGR142" s="3507"/>
      <c r="LGS142" s="3507"/>
      <c r="LGT142" s="3507"/>
      <c r="LGU142" s="3507"/>
      <c r="LGV142" s="3507"/>
      <c r="LGW142" s="3507"/>
      <c r="LGX142" s="3507"/>
      <c r="LGY142" s="3507"/>
      <c r="LGZ142" s="3507"/>
      <c r="LHA142" s="3507"/>
      <c r="LHB142" s="3507"/>
      <c r="LHC142" s="3507"/>
      <c r="LHD142" s="3507"/>
      <c r="LHE142" s="3507"/>
      <c r="LHF142" s="3507"/>
      <c r="LHG142" s="3507"/>
      <c r="LHH142" s="3507"/>
      <c r="LHI142" s="3507"/>
      <c r="LHJ142" s="3507"/>
      <c r="LHK142" s="3507"/>
      <c r="LHL142" s="3507"/>
      <c r="LHM142" s="3507"/>
      <c r="LHN142" s="3507"/>
      <c r="LHO142" s="3507"/>
      <c r="LHP142" s="3507"/>
      <c r="LHQ142" s="3507"/>
      <c r="LHR142" s="3507"/>
      <c r="LHS142" s="3507"/>
      <c r="LHT142" s="3507"/>
      <c r="LHU142" s="3507"/>
      <c r="LHV142" s="3507"/>
      <c r="LHW142" s="3507"/>
      <c r="LHX142" s="3507"/>
      <c r="LHY142" s="3507"/>
      <c r="LHZ142" s="3507"/>
      <c r="LIA142" s="3507"/>
      <c r="LIB142" s="3507"/>
      <c r="LIC142" s="3507"/>
      <c r="LID142" s="3507"/>
      <c r="LIE142" s="3507"/>
      <c r="LIF142" s="3507"/>
      <c r="LIG142" s="3507"/>
      <c r="LIH142" s="3507"/>
      <c r="LII142" s="3507"/>
      <c r="LIJ142" s="3507"/>
      <c r="LIK142" s="3507"/>
      <c r="LIL142" s="3507"/>
      <c r="LIM142" s="3507"/>
      <c r="LIN142" s="3507"/>
      <c r="LIO142" s="3507"/>
      <c r="LIP142" s="3507"/>
      <c r="LIQ142" s="3507"/>
      <c r="LIR142" s="3507"/>
      <c r="LIS142" s="3507"/>
      <c r="LIT142" s="3507"/>
      <c r="LIU142" s="3507"/>
      <c r="LIV142" s="3507"/>
      <c r="LIW142" s="3507"/>
      <c r="LIX142" s="3507"/>
      <c r="LIY142" s="3507"/>
      <c r="LIZ142" s="3507"/>
      <c r="LJA142" s="3507"/>
      <c r="LJB142" s="3507"/>
      <c r="LJC142" s="3507"/>
      <c r="LJD142" s="3507"/>
      <c r="LJE142" s="3507"/>
      <c r="LJF142" s="3507"/>
      <c r="LJG142" s="3507"/>
      <c r="LJH142" s="3507"/>
      <c r="LJI142" s="3507"/>
      <c r="LJJ142" s="3507"/>
      <c r="LJK142" s="3507"/>
      <c r="LJL142" s="3507"/>
      <c r="LJM142" s="3507"/>
      <c r="LJN142" s="3507"/>
      <c r="LJO142" s="3507"/>
      <c r="LJP142" s="3507"/>
      <c r="LJQ142" s="3507"/>
      <c r="LJR142" s="3507"/>
      <c r="LJS142" s="3507"/>
      <c r="LJT142" s="3507"/>
      <c r="LJU142" s="3507"/>
      <c r="LJV142" s="3507"/>
      <c r="LJW142" s="3507"/>
      <c r="LJX142" s="3507"/>
      <c r="LJY142" s="3507"/>
      <c r="LJZ142" s="3507"/>
      <c r="LKA142" s="3507"/>
      <c r="LKB142" s="3507"/>
      <c r="LKC142" s="3507"/>
      <c r="LKD142" s="3507"/>
      <c r="LKE142" s="3507"/>
      <c r="LKF142" s="3507"/>
      <c r="LKG142" s="3507"/>
      <c r="LKH142" s="3507"/>
      <c r="LKI142" s="3507"/>
      <c r="LKJ142" s="3507"/>
      <c r="LKK142" s="3507"/>
      <c r="LKL142" s="3507"/>
      <c r="LKM142" s="3507"/>
      <c r="LKN142" s="3507"/>
      <c r="LKO142" s="3507"/>
      <c r="LKP142" s="3507"/>
      <c r="LKQ142" s="3507"/>
      <c r="LKR142" s="3507"/>
      <c r="LKS142" s="3507"/>
      <c r="LKT142" s="3507"/>
      <c r="LKU142" s="3507"/>
      <c r="LKV142" s="3507"/>
      <c r="LKW142" s="3507"/>
      <c r="LKX142" s="3507"/>
      <c r="LKY142" s="3507"/>
      <c r="LKZ142" s="3507"/>
      <c r="LLA142" s="3507"/>
      <c r="LLB142" s="3507"/>
      <c r="LLC142" s="3507"/>
      <c r="LLD142" s="3507"/>
      <c r="LLE142" s="3507"/>
      <c r="LLF142" s="3507"/>
      <c r="LLG142" s="3507"/>
      <c r="LLH142" s="3507"/>
      <c r="LLI142" s="3507"/>
      <c r="LLJ142" s="3507"/>
      <c r="LLK142" s="3507"/>
      <c r="LLL142" s="3507"/>
      <c r="LLM142" s="3507"/>
      <c r="LLN142" s="3507"/>
      <c r="LLO142" s="3507"/>
      <c r="LLP142" s="3507"/>
      <c r="LLQ142" s="3507"/>
      <c r="LLR142" s="3507"/>
      <c r="LLS142" s="3507"/>
      <c r="LLT142" s="3507"/>
      <c r="LLU142" s="3507"/>
      <c r="LLV142" s="3507"/>
      <c r="LLW142" s="3507"/>
      <c r="LLX142" s="3507"/>
      <c r="LLY142" s="3507"/>
      <c r="LLZ142" s="3507"/>
      <c r="LMA142" s="3507"/>
      <c r="LMB142" s="3507"/>
      <c r="LMC142" s="3507"/>
      <c r="LMD142" s="3507"/>
      <c r="LME142" s="3507"/>
      <c r="LMF142" s="3507"/>
      <c r="LMG142" s="3507"/>
      <c r="LMH142" s="3507"/>
      <c r="LMI142" s="3507"/>
      <c r="LMJ142" s="3507"/>
      <c r="LMK142" s="3507"/>
      <c r="LML142" s="3507"/>
      <c r="LMM142" s="3507"/>
      <c r="LMN142" s="3507"/>
      <c r="LMO142" s="3507"/>
      <c r="LMP142" s="3507"/>
      <c r="LMQ142" s="3507"/>
      <c r="LMR142" s="3507"/>
      <c r="LMS142" s="3507"/>
      <c r="LMT142" s="3507"/>
      <c r="LMU142" s="3507"/>
      <c r="LMV142" s="3507"/>
      <c r="LMW142" s="3507"/>
      <c r="LMX142" s="3507"/>
      <c r="LMY142" s="3507"/>
      <c r="LMZ142" s="3507"/>
      <c r="LNA142" s="3507"/>
      <c r="LNB142" s="3507"/>
      <c r="LNC142" s="3507"/>
      <c r="LND142" s="3507"/>
      <c r="LNE142" s="3507"/>
      <c r="LNF142" s="3507"/>
      <c r="LNG142" s="3507"/>
      <c r="LNH142" s="3507"/>
      <c r="LNI142" s="3507"/>
      <c r="LNJ142" s="3507"/>
      <c r="LNK142" s="3507"/>
      <c r="LNL142" s="3507"/>
      <c r="LNM142" s="3507"/>
      <c r="LNN142" s="3507"/>
      <c r="LNO142" s="3507"/>
      <c r="LNP142" s="3507"/>
      <c r="LNQ142" s="3507"/>
      <c r="LNR142" s="3507"/>
      <c r="LNS142" s="3507"/>
      <c r="LNT142" s="3507"/>
      <c r="LNU142" s="3507"/>
      <c r="LNV142" s="3507"/>
      <c r="LNW142" s="3507"/>
      <c r="LNX142" s="3507"/>
      <c r="LNY142" s="3507"/>
      <c r="LNZ142" s="3507"/>
      <c r="LOA142" s="3507"/>
      <c r="LOB142" s="3507"/>
      <c r="LOC142" s="3507"/>
      <c r="LOD142" s="3507"/>
      <c r="LOE142" s="3507"/>
      <c r="LOF142" s="3507"/>
      <c r="LOG142" s="3507"/>
      <c r="LOH142" s="3507"/>
      <c r="LOI142" s="3507"/>
      <c r="LOJ142" s="3507"/>
      <c r="LOK142" s="3507"/>
      <c r="LOL142" s="3507"/>
      <c r="LOM142" s="3507"/>
      <c r="LON142" s="3507"/>
      <c r="LOO142" s="3507"/>
      <c r="LOP142" s="3507"/>
      <c r="LOQ142" s="3507"/>
      <c r="LOR142" s="3507"/>
      <c r="LOS142" s="3507"/>
      <c r="LOT142" s="3507"/>
      <c r="LOU142" s="3507"/>
      <c r="LOV142" s="3507"/>
      <c r="LOW142" s="3507"/>
      <c r="LOX142" s="3507"/>
      <c r="LOY142" s="3507"/>
      <c r="LOZ142" s="3507"/>
      <c r="LPA142" s="3507"/>
      <c r="LPB142" s="3507"/>
      <c r="LPC142" s="3507"/>
      <c r="LPD142" s="3507"/>
      <c r="LPE142" s="3507"/>
      <c r="LPF142" s="3507"/>
      <c r="LPG142" s="3507"/>
      <c r="LPH142" s="3507"/>
      <c r="LPI142" s="3507"/>
      <c r="LPJ142" s="3507"/>
      <c r="LPK142" s="3507"/>
      <c r="LPL142" s="3507"/>
      <c r="LPM142" s="3507"/>
      <c r="LPN142" s="3507"/>
      <c r="LPO142" s="3507"/>
      <c r="LPP142" s="3507"/>
      <c r="LPQ142" s="3507"/>
      <c r="LPR142" s="3507"/>
      <c r="LPS142" s="3507"/>
      <c r="LPT142" s="3507"/>
      <c r="LPU142" s="3507"/>
      <c r="LPV142" s="3507"/>
      <c r="LPW142" s="3507"/>
      <c r="LPX142" s="3507"/>
      <c r="LPY142" s="3507"/>
      <c r="LPZ142" s="3507"/>
      <c r="LQA142" s="3507"/>
      <c r="LQB142" s="3507"/>
      <c r="LQC142" s="3507"/>
      <c r="LQD142" s="3507"/>
      <c r="LQE142" s="3507"/>
      <c r="LQF142" s="3507"/>
      <c r="LQG142" s="3507"/>
      <c r="LQH142" s="3507"/>
      <c r="LQI142" s="3507"/>
      <c r="LQJ142" s="3507"/>
      <c r="LQK142" s="3507"/>
      <c r="LQL142" s="3507"/>
      <c r="LQM142" s="3507"/>
      <c r="LQN142" s="3507"/>
      <c r="LQO142" s="3507"/>
      <c r="LQP142" s="3507"/>
      <c r="LQQ142" s="3507"/>
      <c r="LQR142" s="3507"/>
      <c r="LQS142" s="3507"/>
      <c r="LQT142" s="3507"/>
      <c r="LQU142" s="3507"/>
      <c r="LQV142" s="3507"/>
      <c r="LQW142" s="3507"/>
      <c r="LQX142" s="3507"/>
      <c r="LQY142" s="3507"/>
      <c r="LQZ142" s="3507"/>
      <c r="LRA142" s="3507"/>
      <c r="LRB142" s="3507"/>
      <c r="LRC142" s="3507"/>
      <c r="LRD142" s="3507"/>
      <c r="LRE142" s="3507"/>
      <c r="LRF142" s="3507"/>
      <c r="LRG142" s="3507"/>
      <c r="LRH142" s="3507"/>
      <c r="LRI142" s="3507"/>
      <c r="LRJ142" s="3507"/>
      <c r="LRK142" s="3507"/>
      <c r="LRL142" s="3507"/>
      <c r="LRM142" s="3507"/>
      <c r="LRN142" s="3507"/>
      <c r="LRO142" s="3507"/>
      <c r="LRP142" s="3507"/>
      <c r="LRQ142" s="3507"/>
      <c r="LRR142" s="3507"/>
      <c r="LRS142" s="3507"/>
      <c r="LRT142" s="3507"/>
      <c r="LRU142" s="3507"/>
      <c r="LRV142" s="3507"/>
      <c r="LRW142" s="3507"/>
      <c r="LRX142" s="3507"/>
      <c r="LRY142" s="3507"/>
      <c r="LRZ142" s="3507"/>
      <c r="LSA142" s="3507"/>
      <c r="LSB142" s="3507"/>
      <c r="LSC142" s="3507"/>
      <c r="LSD142" s="3507"/>
      <c r="LSE142" s="3507"/>
      <c r="LSF142" s="3507"/>
      <c r="LSG142" s="3507"/>
      <c r="LSH142" s="3507"/>
      <c r="LSI142" s="3507"/>
      <c r="LSJ142" s="3507"/>
      <c r="LSK142" s="3507"/>
      <c r="LSL142" s="3507"/>
      <c r="LSM142" s="3507"/>
      <c r="LSN142" s="3507"/>
      <c r="LSO142" s="3507"/>
      <c r="LSP142" s="3507"/>
      <c r="LSQ142" s="3507"/>
      <c r="LSR142" s="3507"/>
      <c r="LSS142" s="3507"/>
      <c r="LST142" s="3507"/>
      <c r="LSU142" s="3507"/>
      <c r="LSV142" s="3507"/>
      <c r="LSW142" s="3507"/>
      <c r="LSX142" s="3507"/>
      <c r="LSY142" s="3507"/>
      <c r="LSZ142" s="3507"/>
      <c r="LTA142" s="3507"/>
      <c r="LTB142" s="3507"/>
      <c r="LTC142" s="3507"/>
      <c r="LTD142" s="3507"/>
      <c r="LTE142" s="3507"/>
      <c r="LTF142" s="3507"/>
      <c r="LTG142" s="3507"/>
      <c r="LTH142" s="3507"/>
      <c r="LTI142" s="3507"/>
      <c r="LTJ142" s="3507"/>
      <c r="LTK142" s="3507"/>
      <c r="LTL142" s="3507"/>
      <c r="LTM142" s="3507"/>
      <c r="LTN142" s="3507"/>
      <c r="LTO142" s="3507"/>
      <c r="LTP142" s="3507"/>
      <c r="LTQ142" s="3507"/>
      <c r="LTR142" s="3507"/>
      <c r="LTS142" s="3507"/>
      <c r="LTT142" s="3507"/>
      <c r="LTU142" s="3507"/>
      <c r="LTV142" s="3507"/>
      <c r="LTW142" s="3507"/>
      <c r="LTX142" s="3507"/>
      <c r="LTY142" s="3507"/>
      <c r="LTZ142" s="3507"/>
      <c r="LUA142" s="3507"/>
      <c r="LUB142" s="3507"/>
      <c r="LUC142" s="3507"/>
      <c r="LUD142" s="3507"/>
      <c r="LUE142" s="3507"/>
      <c r="LUF142" s="3507"/>
      <c r="LUG142" s="3507"/>
      <c r="LUH142" s="3507"/>
      <c r="LUI142" s="3507"/>
      <c r="LUJ142" s="3507"/>
      <c r="LUK142" s="3507"/>
      <c r="LUL142" s="3507"/>
      <c r="LUM142" s="3507"/>
      <c r="LUN142" s="3507"/>
      <c r="LUO142" s="3507"/>
      <c r="LUP142" s="3507"/>
      <c r="LUQ142" s="3507"/>
      <c r="LUR142" s="3507"/>
      <c r="LUS142" s="3507"/>
      <c r="LUT142" s="3507"/>
      <c r="LUU142" s="3507"/>
      <c r="LUV142" s="3507"/>
      <c r="LUW142" s="3507"/>
      <c r="LUX142" s="3507"/>
      <c r="LUY142" s="3507"/>
      <c r="LUZ142" s="3507"/>
      <c r="LVA142" s="3507"/>
      <c r="LVB142" s="3507"/>
      <c r="LVC142" s="3507"/>
      <c r="LVD142" s="3507"/>
      <c r="LVE142" s="3507"/>
      <c r="LVF142" s="3507"/>
      <c r="LVG142" s="3507"/>
      <c r="LVH142" s="3507"/>
      <c r="LVI142" s="3507"/>
      <c r="LVJ142" s="3507"/>
      <c r="LVK142" s="3507"/>
      <c r="LVL142" s="3507"/>
      <c r="LVM142" s="3507"/>
      <c r="LVN142" s="3507"/>
      <c r="LVO142" s="3507"/>
      <c r="LVP142" s="3507"/>
      <c r="LVQ142" s="3507"/>
      <c r="LVR142" s="3507"/>
      <c r="LVS142" s="3507"/>
      <c r="LVT142" s="3507"/>
      <c r="LVU142" s="3507"/>
      <c r="LVV142" s="3507"/>
      <c r="LVW142" s="3507"/>
      <c r="LVX142" s="3507"/>
      <c r="LVY142" s="3507"/>
      <c r="LVZ142" s="3507"/>
      <c r="LWA142" s="3507"/>
      <c r="LWB142" s="3507"/>
      <c r="LWC142" s="3507"/>
      <c r="LWD142" s="3507"/>
      <c r="LWE142" s="3507"/>
      <c r="LWF142" s="3507"/>
      <c r="LWG142" s="3507"/>
      <c r="LWH142" s="3507"/>
      <c r="LWI142" s="3507"/>
      <c r="LWJ142" s="3507"/>
      <c r="LWK142" s="3507"/>
      <c r="LWL142" s="3507"/>
      <c r="LWM142" s="3507"/>
      <c r="LWN142" s="3507"/>
      <c r="LWO142" s="3507"/>
      <c r="LWP142" s="3507"/>
      <c r="LWQ142" s="3507"/>
      <c r="LWR142" s="3507"/>
      <c r="LWS142" s="3507"/>
      <c r="LWT142" s="3507"/>
      <c r="LWU142" s="3507"/>
      <c r="LWV142" s="3507"/>
      <c r="LWW142" s="3507"/>
      <c r="LWX142" s="3507"/>
      <c r="LWY142" s="3507"/>
      <c r="LWZ142" s="3507"/>
      <c r="LXA142" s="3507"/>
      <c r="LXB142" s="3507"/>
      <c r="LXC142" s="3507"/>
      <c r="LXD142" s="3507"/>
      <c r="LXE142" s="3507"/>
      <c r="LXF142" s="3507"/>
      <c r="LXG142" s="3507"/>
      <c r="LXH142" s="3507"/>
      <c r="LXI142" s="3507"/>
      <c r="LXJ142" s="3507"/>
      <c r="LXK142" s="3507"/>
      <c r="LXL142" s="3507"/>
      <c r="LXM142" s="3507"/>
      <c r="LXN142" s="3507"/>
      <c r="LXO142" s="3507"/>
      <c r="LXP142" s="3507"/>
      <c r="LXQ142" s="3507"/>
      <c r="LXR142" s="3507"/>
      <c r="LXS142" s="3507"/>
      <c r="LXT142" s="3507"/>
      <c r="LXU142" s="3507"/>
      <c r="LXV142" s="3507"/>
      <c r="LXW142" s="3507"/>
      <c r="LXX142" s="3507"/>
      <c r="LXY142" s="3507"/>
      <c r="LXZ142" s="3507"/>
      <c r="LYA142" s="3507"/>
      <c r="LYB142" s="3507"/>
      <c r="LYC142" s="3507"/>
      <c r="LYD142" s="3507"/>
      <c r="LYE142" s="3507"/>
      <c r="LYF142" s="3507"/>
      <c r="LYG142" s="3507"/>
      <c r="LYH142" s="3507"/>
      <c r="LYI142" s="3507"/>
      <c r="LYJ142" s="3507"/>
      <c r="LYK142" s="3507"/>
      <c r="LYL142" s="3507"/>
      <c r="LYM142" s="3507"/>
      <c r="LYN142" s="3507"/>
      <c r="LYO142" s="3507"/>
      <c r="LYP142" s="3507"/>
      <c r="LYQ142" s="3507"/>
      <c r="LYR142" s="3507"/>
      <c r="LYS142" s="3507"/>
      <c r="LYT142" s="3507"/>
      <c r="LYU142" s="3507"/>
      <c r="LYV142" s="3507"/>
      <c r="LYW142" s="3507"/>
      <c r="LYX142" s="3507"/>
      <c r="LYY142" s="3507"/>
      <c r="LYZ142" s="3507"/>
      <c r="LZA142" s="3507"/>
      <c r="LZB142" s="3507"/>
      <c r="LZC142" s="3507"/>
      <c r="LZD142" s="3507"/>
      <c r="LZE142" s="3507"/>
      <c r="LZF142" s="3507"/>
      <c r="LZG142" s="3507"/>
      <c r="LZH142" s="3507"/>
      <c r="LZI142" s="3507"/>
      <c r="LZJ142" s="3507"/>
      <c r="LZK142" s="3507"/>
      <c r="LZL142" s="3507"/>
      <c r="LZM142" s="3507"/>
      <c r="LZN142" s="3507"/>
      <c r="LZO142" s="3507"/>
      <c r="LZP142" s="3507"/>
      <c r="LZQ142" s="3507"/>
      <c r="LZR142" s="3507"/>
      <c r="LZS142" s="3507"/>
      <c r="LZT142" s="3507"/>
      <c r="LZU142" s="3507"/>
      <c r="LZV142" s="3507"/>
      <c r="LZW142" s="3507"/>
      <c r="LZX142" s="3507"/>
      <c r="LZY142" s="3507"/>
      <c r="LZZ142" s="3507"/>
      <c r="MAA142" s="3507"/>
      <c r="MAB142" s="3507"/>
      <c r="MAC142" s="3507"/>
      <c r="MAD142" s="3507"/>
      <c r="MAE142" s="3507"/>
      <c r="MAF142" s="3507"/>
      <c r="MAG142" s="3507"/>
      <c r="MAH142" s="3507"/>
      <c r="MAI142" s="3507"/>
      <c r="MAJ142" s="3507"/>
      <c r="MAK142" s="3507"/>
      <c r="MAL142" s="3507"/>
      <c r="MAM142" s="3507"/>
      <c r="MAN142" s="3507"/>
      <c r="MAO142" s="3507"/>
      <c r="MAP142" s="3507"/>
      <c r="MAQ142" s="3507"/>
      <c r="MAR142" s="3507"/>
      <c r="MAS142" s="3507"/>
      <c r="MAT142" s="3507"/>
      <c r="MAU142" s="3507"/>
      <c r="MAV142" s="3507"/>
      <c r="MAW142" s="3507"/>
      <c r="MAX142" s="3507"/>
      <c r="MAY142" s="3507"/>
      <c r="MAZ142" s="3507"/>
      <c r="MBA142" s="3507"/>
      <c r="MBB142" s="3507"/>
      <c r="MBC142" s="3507"/>
      <c r="MBD142" s="3507"/>
      <c r="MBE142" s="3507"/>
      <c r="MBF142" s="3507"/>
      <c r="MBG142" s="3507"/>
      <c r="MBH142" s="3507"/>
      <c r="MBI142" s="3507"/>
      <c r="MBJ142" s="3507"/>
      <c r="MBK142" s="3507"/>
      <c r="MBL142" s="3507"/>
      <c r="MBM142" s="3507"/>
      <c r="MBN142" s="3507"/>
      <c r="MBO142" s="3507"/>
      <c r="MBP142" s="3507"/>
      <c r="MBQ142" s="3507"/>
      <c r="MBR142" s="3507"/>
      <c r="MBS142" s="3507"/>
      <c r="MBT142" s="3507"/>
      <c r="MBU142" s="3507"/>
      <c r="MBV142" s="3507"/>
      <c r="MBW142" s="3507"/>
      <c r="MBX142" s="3507"/>
      <c r="MBY142" s="3507"/>
      <c r="MBZ142" s="3507"/>
      <c r="MCA142" s="3507"/>
      <c r="MCB142" s="3507"/>
      <c r="MCC142" s="3507"/>
      <c r="MCD142" s="3507"/>
      <c r="MCE142" s="3507"/>
      <c r="MCF142" s="3507"/>
      <c r="MCG142" s="3507"/>
      <c r="MCH142" s="3507"/>
      <c r="MCI142" s="3507"/>
      <c r="MCJ142" s="3507"/>
      <c r="MCK142" s="3507"/>
      <c r="MCL142" s="3507"/>
      <c r="MCM142" s="3507"/>
      <c r="MCN142" s="3507"/>
      <c r="MCO142" s="3507"/>
      <c r="MCP142" s="3507"/>
      <c r="MCQ142" s="3507"/>
      <c r="MCR142" s="3507"/>
      <c r="MCS142" s="3507"/>
      <c r="MCT142" s="3507"/>
      <c r="MCU142" s="3507"/>
      <c r="MCV142" s="3507"/>
      <c r="MCW142" s="3507"/>
      <c r="MCX142" s="3507"/>
      <c r="MCY142" s="3507"/>
      <c r="MCZ142" s="3507"/>
      <c r="MDA142" s="3507"/>
      <c r="MDB142" s="3507"/>
      <c r="MDC142" s="3507"/>
      <c r="MDD142" s="3507"/>
      <c r="MDE142" s="3507"/>
      <c r="MDF142" s="3507"/>
      <c r="MDG142" s="3507"/>
      <c r="MDH142" s="3507"/>
      <c r="MDI142" s="3507"/>
      <c r="MDJ142" s="3507"/>
      <c r="MDK142" s="3507"/>
      <c r="MDL142" s="3507"/>
      <c r="MDM142" s="3507"/>
      <c r="MDN142" s="3507"/>
      <c r="MDO142" s="3507"/>
      <c r="MDP142" s="3507"/>
      <c r="MDQ142" s="3507"/>
      <c r="MDR142" s="3507"/>
      <c r="MDS142" s="3507"/>
      <c r="MDT142" s="3507"/>
      <c r="MDU142" s="3507"/>
      <c r="MDV142" s="3507"/>
      <c r="MDW142" s="3507"/>
      <c r="MDX142" s="3507"/>
      <c r="MDY142" s="3507"/>
      <c r="MDZ142" s="3507"/>
      <c r="MEA142" s="3507"/>
      <c r="MEB142" s="3507"/>
      <c r="MEC142" s="3507"/>
      <c r="MED142" s="3507"/>
      <c r="MEE142" s="3507"/>
      <c r="MEF142" s="3507"/>
      <c r="MEG142" s="3507"/>
      <c r="MEH142" s="3507"/>
      <c r="MEI142" s="3507"/>
      <c r="MEJ142" s="3507"/>
      <c r="MEK142" s="3507"/>
      <c r="MEL142" s="3507"/>
      <c r="MEM142" s="3507"/>
      <c r="MEN142" s="3507"/>
      <c r="MEO142" s="3507"/>
      <c r="MEP142" s="3507"/>
      <c r="MEQ142" s="3507"/>
      <c r="MER142" s="3507"/>
      <c r="MES142" s="3507"/>
      <c r="MET142" s="3507"/>
      <c r="MEU142" s="3507"/>
      <c r="MEV142" s="3507"/>
      <c r="MEW142" s="3507"/>
      <c r="MEX142" s="3507"/>
      <c r="MEY142" s="3507"/>
      <c r="MEZ142" s="3507"/>
      <c r="MFA142" s="3507"/>
      <c r="MFB142" s="3507"/>
      <c r="MFC142" s="3507"/>
      <c r="MFD142" s="3507"/>
      <c r="MFE142" s="3507"/>
      <c r="MFF142" s="3507"/>
      <c r="MFG142" s="3507"/>
      <c r="MFH142" s="3507"/>
      <c r="MFI142" s="3507"/>
      <c r="MFJ142" s="3507"/>
      <c r="MFK142" s="3507"/>
      <c r="MFL142" s="3507"/>
      <c r="MFM142" s="3507"/>
      <c r="MFN142" s="3507"/>
      <c r="MFO142" s="3507"/>
      <c r="MFP142" s="3507"/>
      <c r="MFQ142" s="3507"/>
      <c r="MFR142" s="3507"/>
      <c r="MFS142" s="3507"/>
      <c r="MFT142" s="3507"/>
      <c r="MFU142" s="3507"/>
      <c r="MFV142" s="3507"/>
      <c r="MFW142" s="3507"/>
      <c r="MFX142" s="3507"/>
      <c r="MFY142" s="3507"/>
      <c r="MFZ142" s="3507"/>
      <c r="MGA142" s="3507"/>
      <c r="MGB142" s="3507"/>
      <c r="MGC142" s="3507"/>
      <c r="MGD142" s="3507"/>
      <c r="MGE142" s="3507"/>
      <c r="MGF142" s="3507"/>
      <c r="MGG142" s="3507"/>
      <c r="MGH142" s="3507"/>
      <c r="MGI142" s="3507"/>
      <c r="MGJ142" s="3507"/>
      <c r="MGK142" s="3507"/>
      <c r="MGL142" s="3507"/>
      <c r="MGM142" s="3507"/>
      <c r="MGN142" s="3507"/>
      <c r="MGO142" s="3507"/>
      <c r="MGP142" s="3507"/>
      <c r="MGQ142" s="3507"/>
      <c r="MGR142" s="3507"/>
      <c r="MGS142" s="3507"/>
      <c r="MGT142" s="3507"/>
      <c r="MGU142" s="3507"/>
      <c r="MGV142" s="3507"/>
      <c r="MGW142" s="3507"/>
      <c r="MGX142" s="3507"/>
      <c r="MGY142" s="3507"/>
      <c r="MGZ142" s="3507"/>
      <c r="MHA142" s="3507"/>
      <c r="MHB142" s="3507"/>
      <c r="MHC142" s="3507"/>
      <c r="MHD142" s="3507"/>
      <c r="MHE142" s="3507"/>
      <c r="MHF142" s="3507"/>
      <c r="MHG142" s="3507"/>
      <c r="MHH142" s="3507"/>
      <c r="MHI142" s="3507"/>
      <c r="MHJ142" s="3507"/>
      <c r="MHK142" s="3507"/>
      <c r="MHL142" s="3507"/>
      <c r="MHM142" s="3507"/>
      <c r="MHN142" s="3507"/>
      <c r="MHO142" s="3507"/>
      <c r="MHP142" s="3507"/>
      <c r="MHQ142" s="3507"/>
      <c r="MHR142" s="3507"/>
      <c r="MHS142" s="3507"/>
      <c r="MHT142" s="3507"/>
      <c r="MHU142" s="3507"/>
      <c r="MHV142" s="3507"/>
      <c r="MHW142" s="3507"/>
      <c r="MHX142" s="3507"/>
      <c r="MHY142" s="3507"/>
      <c r="MHZ142" s="3507"/>
      <c r="MIA142" s="3507"/>
      <c r="MIB142" s="3507"/>
      <c r="MIC142" s="3507"/>
      <c r="MID142" s="3507"/>
      <c r="MIE142" s="3507"/>
      <c r="MIF142" s="3507"/>
      <c r="MIG142" s="3507"/>
      <c r="MIH142" s="3507"/>
      <c r="MII142" s="3507"/>
      <c r="MIJ142" s="3507"/>
      <c r="MIK142" s="3507"/>
      <c r="MIL142" s="3507"/>
      <c r="MIM142" s="3507"/>
      <c r="MIN142" s="3507"/>
      <c r="MIO142" s="3507"/>
      <c r="MIP142" s="3507"/>
      <c r="MIQ142" s="3507"/>
      <c r="MIR142" s="3507"/>
      <c r="MIS142" s="3507"/>
      <c r="MIT142" s="3507"/>
      <c r="MIU142" s="3507"/>
      <c r="MIV142" s="3507"/>
      <c r="MIW142" s="3507"/>
      <c r="MIX142" s="3507"/>
      <c r="MIY142" s="3507"/>
      <c r="MIZ142" s="3507"/>
      <c r="MJA142" s="3507"/>
      <c r="MJB142" s="3507"/>
      <c r="MJC142" s="3507"/>
      <c r="MJD142" s="3507"/>
      <c r="MJE142" s="3507"/>
      <c r="MJF142" s="3507"/>
      <c r="MJG142" s="3507"/>
      <c r="MJH142" s="3507"/>
      <c r="MJI142" s="3507"/>
      <c r="MJJ142" s="3507"/>
      <c r="MJK142" s="3507"/>
      <c r="MJL142" s="3507"/>
      <c r="MJM142" s="3507"/>
      <c r="MJN142" s="3507"/>
      <c r="MJO142" s="3507"/>
      <c r="MJP142" s="3507"/>
      <c r="MJQ142" s="3507"/>
      <c r="MJR142" s="3507"/>
      <c r="MJS142" s="3507"/>
      <c r="MJT142" s="3507"/>
      <c r="MJU142" s="3507"/>
      <c r="MJV142" s="3507"/>
      <c r="MJW142" s="3507"/>
      <c r="MJX142" s="3507"/>
      <c r="MJY142" s="3507"/>
      <c r="MJZ142" s="3507"/>
      <c r="MKA142" s="3507"/>
      <c r="MKB142" s="3507"/>
      <c r="MKC142" s="3507"/>
      <c r="MKD142" s="3507"/>
      <c r="MKE142" s="3507"/>
      <c r="MKF142" s="3507"/>
      <c r="MKG142" s="3507"/>
      <c r="MKH142" s="3507"/>
      <c r="MKI142" s="3507"/>
      <c r="MKJ142" s="3507"/>
      <c r="MKK142" s="3507"/>
      <c r="MKL142" s="3507"/>
      <c r="MKM142" s="3507"/>
      <c r="MKN142" s="3507"/>
      <c r="MKO142" s="3507"/>
      <c r="MKP142" s="3507"/>
      <c r="MKQ142" s="3507"/>
      <c r="MKR142" s="3507"/>
      <c r="MKS142" s="3507"/>
      <c r="MKT142" s="3507"/>
      <c r="MKU142" s="3507"/>
      <c r="MKV142" s="3507"/>
      <c r="MKW142" s="3507"/>
      <c r="MKX142" s="3507"/>
      <c r="MKY142" s="3507"/>
      <c r="MKZ142" s="3507"/>
      <c r="MLA142" s="3507"/>
      <c r="MLB142" s="3507"/>
      <c r="MLC142" s="3507"/>
      <c r="MLD142" s="3507"/>
      <c r="MLE142" s="3507"/>
      <c r="MLF142" s="3507"/>
      <c r="MLG142" s="3507"/>
      <c r="MLH142" s="3507"/>
      <c r="MLI142" s="3507"/>
      <c r="MLJ142" s="3507"/>
      <c r="MLK142" s="3507"/>
      <c r="MLL142" s="3507"/>
      <c r="MLM142" s="3507"/>
      <c r="MLN142" s="3507"/>
      <c r="MLO142" s="3507"/>
      <c r="MLP142" s="3507"/>
      <c r="MLQ142" s="3507"/>
      <c r="MLR142" s="3507"/>
      <c r="MLS142" s="3507"/>
      <c r="MLT142" s="3507"/>
      <c r="MLU142" s="3507"/>
      <c r="MLV142" s="3507"/>
      <c r="MLW142" s="3507"/>
      <c r="MLX142" s="3507"/>
      <c r="MLY142" s="3507"/>
      <c r="MLZ142" s="3507"/>
      <c r="MMA142" s="3507"/>
      <c r="MMB142" s="3507"/>
      <c r="MMC142" s="3507"/>
      <c r="MMD142" s="3507"/>
      <c r="MME142" s="3507"/>
      <c r="MMF142" s="3507"/>
      <c r="MMG142" s="3507"/>
      <c r="MMH142" s="3507"/>
      <c r="MMI142" s="3507"/>
      <c r="MMJ142" s="3507"/>
      <c r="MMK142" s="3507"/>
      <c r="MML142" s="3507"/>
      <c r="MMM142" s="3507"/>
      <c r="MMN142" s="3507"/>
      <c r="MMO142" s="3507"/>
      <c r="MMP142" s="3507"/>
      <c r="MMQ142" s="3507"/>
      <c r="MMR142" s="3507"/>
      <c r="MMS142" s="3507"/>
      <c r="MMT142" s="3507"/>
      <c r="MMU142" s="3507"/>
      <c r="MMV142" s="3507"/>
      <c r="MMW142" s="3507"/>
      <c r="MMX142" s="3507"/>
      <c r="MMY142" s="3507"/>
      <c r="MMZ142" s="3507"/>
      <c r="MNA142" s="3507"/>
      <c r="MNB142" s="3507"/>
      <c r="MNC142" s="3507"/>
      <c r="MND142" s="3507"/>
      <c r="MNE142" s="3507"/>
      <c r="MNF142" s="3507"/>
      <c r="MNG142" s="3507"/>
      <c r="MNH142" s="3507"/>
      <c r="MNI142" s="3507"/>
      <c r="MNJ142" s="3507"/>
      <c r="MNK142" s="3507"/>
      <c r="MNL142" s="3507"/>
      <c r="MNM142" s="3507"/>
      <c r="MNN142" s="3507"/>
      <c r="MNO142" s="3507"/>
      <c r="MNP142" s="3507"/>
      <c r="MNQ142" s="3507"/>
      <c r="MNR142" s="3507"/>
      <c r="MNS142" s="3507"/>
      <c r="MNT142" s="3507"/>
      <c r="MNU142" s="3507"/>
      <c r="MNV142" s="3507"/>
      <c r="MNW142" s="3507"/>
      <c r="MNX142" s="3507"/>
      <c r="MNY142" s="3507"/>
      <c r="MNZ142" s="3507"/>
      <c r="MOA142" s="3507"/>
      <c r="MOB142" s="3507"/>
      <c r="MOC142" s="3507"/>
      <c r="MOD142" s="3507"/>
      <c r="MOE142" s="3507"/>
      <c r="MOF142" s="3507"/>
      <c r="MOG142" s="3507"/>
      <c r="MOH142" s="3507"/>
      <c r="MOI142" s="3507"/>
      <c r="MOJ142" s="3507"/>
      <c r="MOK142" s="3507"/>
      <c r="MOL142" s="3507"/>
      <c r="MOM142" s="3507"/>
      <c r="MON142" s="3507"/>
      <c r="MOO142" s="3507"/>
      <c r="MOP142" s="3507"/>
      <c r="MOQ142" s="3507"/>
      <c r="MOR142" s="3507"/>
      <c r="MOS142" s="3507"/>
      <c r="MOT142" s="3507"/>
      <c r="MOU142" s="3507"/>
      <c r="MOV142" s="3507"/>
      <c r="MOW142" s="3507"/>
      <c r="MOX142" s="3507"/>
      <c r="MOY142" s="3507"/>
      <c r="MOZ142" s="3507"/>
      <c r="MPA142" s="3507"/>
      <c r="MPB142" s="3507"/>
      <c r="MPC142" s="3507"/>
      <c r="MPD142" s="3507"/>
      <c r="MPE142" s="3507"/>
      <c r="MPF142" s="3507"/>
      <c r="MPG142" s="3507"/>
      <c r="MPH142" s="3507"/>
      <c r="MPI142" s="3507"/>
      <c r="MPJ142" s="3507"/>
      <c r="MPK142" s="3507"/>
      <c r="MPL142" s="3507"/>
      <c r="MPM142" s="3507"/>
      <c r="MPN142" s="3507"/>
      <c r="MPO142" s="3507"/>
      <c r="MPP142" s="3507"/>
      <c r="MPQ142" s="3507"/>
      <c r="MPR142" s="3507"/>
      <c r="MPS142" s="3507"/>
      <c r="MPT142" s="3507"/>
      <c r="MPU142" s="3507"/>
      <c r="MPV142" s="3507"/>
      <c r="MPW142" s="3507"/>
      <c r="MPX142" s="3507"/>
      <c r="MPY142" s="3507"/>
      <c r="MPZ142" s="3507"/>
      <c r="MQA142" s="3507"/>
      <c r="MQB142" s="3507"/>
      <c r="MQC142" s="3507"/>
      <c r="MQD142" s="3507"/>
      <c r="MQE142" s="3507"/>
      <c r="MQF142" s="3507"/>
      <c r="MQG142" s="3507"/>
      <c r="MQH142" s="3507"/>
      <c r="MQI142" s="3507"/>
      <c r="MQJ142" s="3507"/>
      <c r="MQK142" s="3507"/>
      <c r="MQL142" s="3507"/>
      <c r="MQM142" s="3507"/>
      <c r="MQN142" s="3507"/>
      <c r="MQO142" s="3507"/>
      <c r="MQP142" s="3507"/>
      <c r="MQQ142" s="3507"/>
      <c r="MQR142" s="3507"/>
      <c r="MQS142" s="3507"/>
      <c r="MQT142" s="3507"/>
      <c r="MQU142" s="3507"/>
      <c r="MQV142" s="3507"/>
      <c r="MQW142" s="3507"/>
      <c r="MQX142" s="3507"/>
      <c r="MQY142" s="3507"/>
      <c r="MQZ142" s="3507"/>
      <c r="MRA142" s="3507"/>
      <c r="MRB142" s="3507"/>
      <c r="MRC142" s="3507"/>
      <c r="MRD142" s="3507"/>
      <c r="MRE142" s="3507"/>
      <c r="MRF142" s="3507"/>
      <c r="MRG142" s="3507"/>
      <c r="MRH142" s="3507"/>
      <c r="MRI142" s="3507"/>
      <c r="MRJ142" s="3507"/>
      <c r="MRK142" s="3507"/>
      <c r="MRL142" s="3507"/>
      <c r="MRM142" s="3507"/>
      <c r="MRN142" s="3507"/>
      <c r="MRO142" s="3507"/>
      <c r="MRP142" s="3507"/>
      <c r="MRQ142" s="3507"/>
      <c r="MRR142" s="3507"/>
      <c r="MRS142" s="3507"/>
      <c r="MRT142" s="3507"/>
      <c r="MRU142" s="3507"/>
      <c r="MRV142" s="3507"/>
      <c r="MRW142" s="3507"/>
      <c r="MRX142" s="3507"/>
      <c r="MRY142" s="3507"/>
      <c r="MRZ142" s="3507"/>
      <c r="MSA142" s="3507"/>
      <c r="MSB142" s="3507"/>
      <c r="MSC142" s="3507"/>
      <c r="MSD142" s="3507"/>
      <c r="MSE142" s="3507"/>
      <c r="MSF142" s="3507"/>
      <c r="MSG142" s="3507"/>
      <c r="MSH142" s="3507"/>
      <c r="MSI142" s="3507"/>
      <c r="MSJ142" s="3507"/>
      <c r="MSK142" s="3507"/>
      <c r="MSL142" s="3507"/>
      <c r="MSM142" s="3507"/>
      <c r="MSN142" s="3507"/>
      <c r="MSO142" s="3507"/>
      <c r="MSP142" s="3507"/>
      <c r="MSQ142" s="3507"/>
      <c r="MSR142" s="3507"/>
      <c r="MSS142" s="3507"/>
      <c r="MST142" s="3507"/>
      <c r="MSU142" s="3507"/>
      <c r="MSV142" s="3507"/>
      <c r="MSW142" s="3507"/>
      <c r="MSX142" s="3507"/>
      <c r="MSY142" s="3507"/>
      <c r="MSZ142" s="3507"/>
      <c r="MTA142" s="3507"/>
      <c r="MTB142" s="3507"/>
      <c r="MTC142" s="3507"/>
      <c r="MTD142" s="3507"/>
      <c r="MTE142" s="3507"/>
      <c r="MTF142" s="3507"/>
      <c r="MTG142" s="3507"/>
      <c r="MTH142" s="3507"/>
      <c r="MTI142" s="3507"/>
      <c r="MTJ142" s="3507"/>
      <c r="MTK142" s="3507"/>
      <c r="MTL142" s="3507"/>
      <c r="MTM142" s="3507"/>
      <c r="MTN142" s="3507"/>
      <c r="MTO142" s="3507"/>
      <c r="MTP142" s="3507"/>
      <c r="MTQ142" s="3507"/>
      <c r="MTR142" s="3507"/>
      <c r="MTS142" s="3507"/>
      <c r="MTT142" s="3507"/>
      <c r="MTU142" s="3507"/>
      <c r="MTV142" s="3507"/>
      <c r="MTW142" s="3507"/>
      <c r="MTX142" s="3507"/>
      <c r="MTY142" s="3507"/>
      <c r="MTZ142" s="3507"/>
      <c r="MUA142" s="3507"/>
      <c r="MUB142" s="3507"/>
      <c r="MUC142" s="3507"/>
      <c r="MUD142" s="3507"/>
      <c r="MUE142" s="3507"/>
      <c r="MUF142" s="3507"/>
      <c r="MUG142" s="3507"/>
      <c r="MUH142" s="3507"/>
      <c r="MUI142" s="3507"/>
      <c r="MUJ142" s="3507"/>
      <c r="MUK142" s="3507"/>
      <c r="MUL142" s="3507"/>
      <c r="MUM142" s="3507"/>
      <c r="MUN142" s="3507"/>
      <c r="MUO142" s="3507"/>
      <c r="MUP142" s="3507"/>
      <c r="MUQ142" s="3507"/>
      <c r="MUR142" s="3507"/>
      <c r="MUS142" s="3507"/>
      <c r="MUT142" s="3507"/>
      <c r="MUU142" s="3507"/>
      <c r="MUV142" s="3507"/>
      <c r="MUW142" s="3507"/>
      <c r="MUX142" s="3507"/>
      <c r="MUY142" s="3507"/>
      <c r="MUZ142" s="3507"/>
      <c r="MVA142" s="3507"/>
      <c r="MVB142" s="3507"/>
      <c r="MVC142" s="3507"/>
      <c r="MVD142" s="3507"/>
      <c r="MVE142" s="3507"/>
      <c r="MVF142" s="3507"/>
      <c r="MVG142" s="3507"/>
      <c r="MVH142" s="3507"/>
      <c r="MVI142" s="3507"/>
      <c r="MVJ142" s="3507"/>
      <c r="MVK142" s="3507"/>
      <c r="MVL142" s="3507"/>
      <c r="MVM142" s="3507"/>
      <c r="MVN142" s="3507"/>
      <c r="MVO142" s="3507"/>
      <c r="MVP142" s="3507"/>
      <c r="MVQ142" s="3507"/>
      <c r="MVR142" s="3507"/>
      <c r="MVS142" s="3507"/>
      <c r="MVT142" s="3507"/>
      <c r="MVU142" s="3507"/>
      <c r="MVV142" s="3507"/>
      <c r="MVW142" s="3507"/>
      <c r="MVX142" s="3507"/>
      <c r="MVY142" s="3507"/>
      <c r="MVZ142" s="3507"/>
      <c r="MWA142" s="3507"/>
      <c r="MWB142" s="3507"/>
      <c r="MWC142" s="3507"/>
      <c r="MWD142" s="3507"/>
      <c r="MWE142" s="3507"/>
      <c r="MWF142" s="3507"/>
      <c r="MWG142" s="3507"/>
      <c r="MWH142" s="3507"/>
      <c r="MWI142" s="3507"/>
      <c r="MWJ142" s="3507"/>
      <c r="MWK142" s="3507"/>
      <c r="MWL142" s="3507"/>
      <c r="MWM142" s="3507"/>
      <c r="MWN142" s="3507"/>
      <c r="MWO142" s="3507"/>
      <c r="MWP142" s="3507"/>
      <c r="MWQ142" s="3507"/>
      <c r="MWR142" s="3507"/>
      <c r="MWS142" s="3507"/>
      <c r="MWT142" s="3507"/>
      <c r="MWU142" s="3507"/>
      <c r="MWV142" s="3507"/>
      <c r="MWW142" s="3507"/>
      <c r="MWX142" s="3507"/>
      <c r="MWY142" s="3507"/>
      <c r="MWZ142" s="3507"/>
      <c r="MXA142" s="3507"/>
      <c r="MXB142" s="3507"/>
      <c r="MXC142" s="3507"/>
      <c r="MXD142" s="3507"/>
      <c r="MXE142" s="3507"/>
      <c r="MXF142" s="3507"/>
      <c r="MXG142" s="3507"/>
      <c r="MXH142" s="3507"/>
      <c r="MXI142" s="3507"/>
      <c r="MXJ142" s="3507"/>
      <c r="MXK142" s="3507"/>
      <c r="MXL142" s="3507"/>
      <c r="MXM142" s="3507"/>
      <c r="MXN142" s="3507"/>
      <c r="MXO142" s="3507"/>
      <c r="MXP142" s="3507"/>
      <c r="MXQ142" s="3507"/>
      <c r="MXR142" s="3507"/>
      <c r="MXS142" s="3507"/>
      <c r="MXT142" s="3507"/>
      <c r="MXU142" s="3507"/>
      <c r="MXV142" s="3507"/>
      <c r="MXW142" s="3507"/>
      <c r="MXX142" s="3507"/>
      <c r="MXY142" s="3507"/>
      <c r="MXZ142" s="3507"/>
      <c r="MYA142" s="3507"/>
      <c r="MYB142" s="3507"/>
      <c r="MYC142" s="3507"/>
      <c r="MYD142" s="3507"/>
      <c r="MYE142" s="3507"/>
      <c r="MYF142" s="3507"/>
      <c r="MYG142" s="3507"/>
      <c r="MYH142" s="3507"/>
      <c r="MYI142" s="3507"/>
      <c r="MYJ142" s="3507"/>
      <c r="MYK142" s="3507"/>
      <c r="MYL142" s="3507"/>
      <c r="MYM142" s="3507"/>
      <c r="MYN142" s="3507"/>
      <c r="MYO142" s="3507"/>
      <c r="MYP142" s="3507"/>
      <c r="MYQ142" s="3507"/>
      <c r="MYR142" s="3507"/>
      <c r="MYS142" s="3507"/>
      <c r="MYT142" s="3507"/>
      <c r="MYU142" s="3507"/>
      <c r="MYV142" s="3507"/>
      <c r="MYW142" s="3507"/>
      <c r="MYX142" s="3507"/>
      <c r="MYY142" s="3507"/>
      <c r="MYZ142" s="3507"/>
      <c r="MZA142" s="3507"/>
      <c r="MZB142" s="3507"/>
      <c r="MZC142" s="3507"/>
      <c r="MZD142" s="3507"/>
      <c r="MZE142" s="3507"/>
      <c r="MZF142" s="3507"/>
      <c r="MZG142" s="3507"/>
      <c r="MZH142" s="3507"/>
      <c r="MZI142" s="3507"/>
      <c r="MZJ142" s="3507"/>
      <c r="MZK142" s="3507"/>
      <c r="MZL142" s="3507"/>
      <c r="MZM142" s="3507"/>
      <c r="MZN142" s="3507"/>
      <c r="MZO142" s="3507"/>
      <c r="MZP142" s="3507"/>
      <c r="MZQ142" s="3507"/>
      <c r="MZR142" s="3507"/>
      <c r="MZS142" s="3507"/>
      <c r="MZT142" s="3507"/>
      <c r="MZU142" s="3507"/>
      <c r="MZV142" s="3507"/>
      <c r="MZW142" s="3507"/>
      <c r="MZX142" s="3507"/>
      <c r="MZY142" s="3507"/>
      <c r="MZZ142" s="3507"/>
      <c r="NAA142" s="3507"/>
      <c r="NAB142" s="3507"/>
      <c r="NAC142" s="3507"/>
      <c r="NAD142" s="3507"/>
      <c r="NAE142" s="3507"/>
      <c r="NAF142" s="3507"/>
      <c r="NAG142" s="3507"/>
      <c r="NAH142" s="3507"/>
      <c r="NAI142" s="3507"/>
      <c r="NAJ142" s="3507"/>
      <c r="NAK142" s="3507"/>
      <c r="NAL142" s="3507"/>
      <c r="NAM142" s="3507"/>
      <c r="NAN142" s="3507"/>
      <c r="NAO142" s="3507"/>
      <c r="NAP142" s="3507"/>
      <c r="NAQ142" s="3507"/>
      <c r="NAR142" s="3507"/>
      <c r="NAS142" s="3507"/>
      <c r="NAT142" s="3507"/>
      <c r="NAU142" s="3507"/>
      <c r="NAV142" s="3507"/>
      <c r="NAW142" s="3507"/>
      <c r="NAX142" s="3507"/>
      <c r="NAY142" s="3507"/>
      <c r="NAZ142" s="3507"/>
      <c r="NBA142" s="3507"/>
      <c r="NBB142" s="3507"/>
      <c r="NBC142" s="3507"/>
      <c r="NBD142" s="3507"/>
      <c r="NBE142" s="3507"/>
      <c r="NBF142" s="3507"/>
      <c r="NBG142" s="3507"/>
      <c r="NBH142" s="3507"/>
      <c r="NBI142" s="3507"/>
      <c r="NBJ142" s="3507"/>
      <c r="NBK142" s="3507"/>
      <c r="NBL142" s="3507"/>
      <c r="NBM142" s="3507"/>
      <c r="NBN142" s="3507"/>
      <c r="NBO142" s="3507"/>
      <c r="NBP142" s="3507"/>
      <c r="NBQ142" s="3507"/>
      <c r="NBR142" s="3507"/>
      <c r="NBS142" s="3507"/>
      <c r="NBT142" s="3507"/>
      <c r="NBU142" s="3507"/>
      <c r="NBV142" s="3507"/>
      <c r="NBW142" s="3507"/>
      <c r="NBX142" s="3507"/>
      <c r="NBY142" s="3507"/>
      <c r="NBZ142" s="3507"/>
      <c r="NCA142" s="3507"/>
      <c r="NCB142" s="3507"/>
      <c r="NCC142" s="3507"/>
      <c r="NCD142" s="3507"/>
      <c r="NCE142" s="3507"/>
      <c r="NCF142" s="3507"/>
      <c r="NCG142" s="3507"/>
      <c r="NCH142" s="3507"/>
      <c r="NCI142" s="3507"/>
      <c r="NCJ142" s="3507"/>
      <c r="NCK142" s="3507"/>
      <c r="NCL142" s="3507"/>
      <c r="NCM142" s="3507"/>
      <c r="NCN142" s="3507"/>
      <c r="NCO142" s="3507"/>
      <c r="NCP142" s="3507"/>
      <c r="NCQ142" s="3507"/>
      <c r="NCR142" s="3507"/>
      <c r="NCS142" s="3507"/>
      <c r="NCT142" s="3507"/>
      <c r="NCU142" s="3507"/>
      <c r="NCV142" s="3507"/>
      <c r="NCW142" s="3507"/>
      <c r="NCX142" s="3507"/>
      <c r="NCY142" s="3507"/>
      <c r="NCZ142" s="3507"/>
      <c r="NDA142" s="3507"/>
      <c r="NDB142" s="3507"/>
      <c r="NDC142" s="3507"/>
      <c r="NDD142" s="3507"/>
      <c r="NDE142" s="3507"/>
      <c r="NDF142" s="3507"/>
      <c r="NDG142" s="3507"/>
      <c r="NDH142" s="3507"/>
      <c r="NDI142" s="3507"/>
      <c r="NDJ142" s="3507"/>
      <c r="NDK142" s="3507"/>
      <c r="NDL142" s="3507"/>
      <c r="NDM142" s="3507"/>
      <c r="NDN142" s="3507"/>
      <c r="NDO142" s="3507"/>
      <c r="NDP142" s="3507"/>
      <c r="NDQ142" s="3507"/>
      <c r="NDR142" s="3507"/>
      <c r="NDS142" s="3507"/>
      <c r="NDT142" s="3507"/>
      <c r="NDU142" s="3507"/>
      <c r="NDV142" s="3507"/>
      <c r="NDW142" s="3507"/>
      <c r="NDX142" s="3507"/>
      <c r="NDY142" s="3507"/>
      <c r="NDZ142" s="3507"/>
      <c r="NEA142" s="3507"/>
      <c r="NEB142" s="3507"/>
      <c r="NEC142" s="3507"/>
      <c r="NED142" s="3507"/>
      <c r="NEE142" s="3507"/>
      <c r="NEF142" s="3507"/>
      <c r="NEG142" s="3507"/>
      <c r="NEH142" s="3507"/>
      <c r="NEI142" s="3507"/>
      <c r="NEJ142" s="3507"/>
      <c r="NEK142" s="3507"/>
      <c r="NEL142" s="3507"/>
      <c r="NEM142" s="3507"/>
      <c r="NEN142" s="3507"/>
      <c r="NEO142" s="3507"/>
      <c r="NEP142" s="3507"/>
      <c r="NEQ142" s="3507"/>
      <c r="NER142" s="3507"/>
      <c r="NES142" s="3507"/>
      <c r="NET142" s="3507"/>
      <c r="NEU142" s="3507"/>
      <c r="NEV142" s="3507"/>
      <c r="NEW142" s="3507"/>
      <c r="NEX142" s="3507"/>
      <c r="NEY142" s="3507"/>
      <c r="NEZ142" s="3507"/>
      <c r="NFA142" s="3507"/>
      <c r="NFB142" s="3507"/>
      <c r="NFC142" s="3507"/>
      <c r="NFD142" s="3507"/>
      <c r="NFE142" s="3507"/>
      <c r="NFF142" s="3507"/>
      <c r="NFG142" s="3507"/>
      <c r="NFH142" s="3507"/>
      <c r="NFI142" s="3507"/>
      <c r="NFJ142" s="3507"/>
      <c r="NFK142" s="3507"/>
      <c r="NFL142" s="3507"/>
      <c r="NFM142" s="3507"/>
      <c r="NFN142" s="3507"/>
      <c r="NFO142" s="3507"/>
      <c r="NFP142" s="3507"/>
      <c r="NFQ142" s="3507"/>
      <c r="NFR142" s="3507"/>
      <c r="NFS142" s="3507"/>
      <c r="NFT142" s="3507"/>
      <c r="NFU142" s="3507"/>
      <c r="NFV142" s="3507"/>
      <c r="NFW142" s="3507"/>
      <c r="NFX142" s="3507"/>
      <c r="NFY142" s="3507"/>
      <c r="NFZ142" s="3507"/>
      <c r="NGA142" s="3507"/>
      <c r="NGB142" s="3507"/>
      <c r="NGC142" s="3507"/>
      <c r="NGD142" s="3507"/>
      <c r="NGE142" s="3507"/>
      <c r="NGF142" s="3507"/>
      <c r="NGG142" s="3507"/>
      <c r="NGH142" s="3507"/>
      <c r="NGI142" s="3507"/>
      <c r="NGJ142" s="3507"/>
      <c r="NGK142" s="3507"/>
      <c r="NGL142" s="3507"/>
      <c r="NGM142" s="3507"/>
      <c r="NGN142" s="3507"/>
      <c r="NGO142" s="3507"/>
      <c r="NGP142" s="3507"/>
      <c r="NGQ142" s="3507"/>
      <c r="NGR142" s="3507"/>
      <c r="NGS142" s="3507"/>
      <c r="NGT142" s="3507"/>
      <c r="NGU142" s="3507"/>
      <c r="NGV142" s="3507"/>
      <c r="NGW142" s="3507"/>
      <c r="NGX142" s="3507"/>
      <c r="NGY142" s="3507"/>
      <c r="NGZ142" s="3507"/>
      <c r="NHA142" s="3507"/>
      <c r="NHB142" s="3507"/>
      <c r="NHC142" s="3507"/>
      <c r="NHD142" s="3507"/>
      <c r="NHE142" s="3507"/>
      <c r="NHF142" s="3507"/>
      <c r="NHG142" s="3507"/>
      <c r="NHH142" s="3507"/>
      <c r="NHI142" s="3507"/>
      <c r="NHJ142" s="3507"/>
      <c r="NHK142" s="3507"/>
      <c r="NHL142" s="3507"/>
      <c r="NHM142" s="3507"/>
      <c r="NHN142" s="3507"/>
      <c r="NHO142" s="3507"/>
      <c r="NHP142" s="3507"/>
      <c r="NHQ142" s="3507"/>
      <c r="NHR142" s="3507"/>
      <c r="NHS142" s="3507"/>
      <c r="NHT142" s="3507"/>
      <c r="NHU142" s="3507"/>
      <c r="NHV142" s="3507"/>
      <c r="NHW142" s="3507"/>
      <c r="NHX142" s="3507"/>
      <c r="NHY142" s="3507"/>
      <c r="NHZ142" s="3507"/>
      <c r="NIA142" s="3507"/>
      <c r="NIB142" s="3507"/>
      <c r="NIC142" s="3507"/>
      <c r="NID142" s="3507"/>
      <c r="NIE142" s="3507"/>
      <c r="NIF142" s="3507"/>
      <c r="NIG142" s="3507"/>
      <c r="NIH142" s="3507"/>
      <c r="NII142" s="3507"/>
      <c r="NIJ142" s="3507"/>
      <c r="NIK142" s="3507"/>
      <c r="NIL142" s="3507"/>
      <c r="NIM142" s="3507"/>
      <c r="NIN142" s="3507"/>
      <c r="NIO142" s="3507"/>
      <c r="NIP142" s="3507"/>
      <c r="NIQ142" s="3507"/>
      <c r="NIR142" s="3507"/>
      <c r="NIS142" s="3507"/>
      <c r="NIT142" s="3507"/>
      <c r="NIU142" s="3507"/>
      <c r="NIV142" s="3507"/>
      <c r="NIW142" s="3507"/>
      <c r="NIX142" s="3507"/>
      <c r="NIY142" s="3507"/>
      <c r="NIZ142" s="3507"/>
      <c r="NJA142" s="3507"/>
      <c r="NJB142" s="3507"/>
      <c r="NJC142" s="3507"/>
      <c r="NJD142" s="3507"/>
      <c r="NJE142" s="3507"/>
      <c r="NJF142" s="3507"/>
      <c r="NJG142" s="3507"/>
      <c r="NJH142" s="3507"/>
      <c r="NJI142" s="3507"/>
      <c r="NJJ142" s="3507"/>
      <c r="NJK142" s="3507"/>
      <c r="NJL142" s="3507"/>
      <c r="NJM142" s="3507"/>
      <c r="NJN142" s="3507"/>
      <c r="NJO142" s="3507"/>
      <c r="NJP142" s="3507"/>
      <c r="NJQ142" s="3507"/>
      <c r="NJR142" s="3507"/>
      <c r="NJS142" s="3507"/>
      <c r="NJT142" s="3507"/>
      <c r="NJU142" s="3507"/>
      <c r="NJV142" s="3507"/>
      <c r="NJW142" s="3507"/>
      <c r="NJX142" s="3507"/>
      <c r="NJY142" s="3507"/>
      <c r="NJZ142" s="3507"/>
      <c r="NKA142" s="3507"/>
      <c r="NKB142" s="3507"/>
      <c r="NKC142" s="3507"/>
      <c r="NKD142" s="3507"/>
      <c r="NKE142" s="3507"/>
      <c r="NKF142" s="3507"/>
      <c r="NKG142" s="3507"/>
      <c r="NKH142" s="3507"/>
      <c r="NKI142" s="3507"/>
      <c r="NKJ142" s="3507"/>
      <c r="NKK142" s="3507"/>
      <c r="NKL142" s="3507"/>
      <c r="NKM142" s="3507"/>
      <c r="NKN142" s="3507"/>
      <c r="NKO142" s="3507"/>
      <c r="NKP142" s="3507"/>
      <c r="NKQ142" s="3507"/>
      <c r="NKR142" s="3507"/>
      <c r="NKS142" s="3507"/>
      <c r="NKT142" s="3507"/>
      <c r="NKU142" s="3507"/>
      <c r="NKV142" s="3507"/>
      <c r="NKW142" s="3507"/>
      <c r="NKX142" s="3507"/>
      <c r="NKY142" s="3507"/>
      <c r="NKZ142" s="3507"/>
      <c r="NLA142" s="3507"/>
      <c r="NLB142" s="3507"/>
      <c r="NLC142" s="3507"/>
      <c r="NLD142" s="3507"/>
      <c r="NLE142" s="3507"/>
      <c r="NLF142" s="3507"/>
      <c r="NLG142" s="3507"/>
      <c r="NLH142" s="3507"/>
      <c r="NLI142" s="3507"/>
      <c r="NLJ142" s="3507"/>
      <c r="NLK142" s="3507"/>
      <c r="NLL142" s="3507"/>
      <c r="NLM142" s="3507"/>
      <c r="NLN142" s="3507"/>
      <c r="NLO142" s="3507"/>
      <c r="NLP142" s="3507"/>
      <c r="NLQ142" s="3507"/>
      <c r="NLR142" s="3507"/>
      <c r="NLS142" s="3507"/>
      <c r="NLT142" s="3507"/>
      <c r="NLU142" s="3507"/>
      <c r="NLV142" s="3507"/>
      <c r="NLW142" s="3507"/>
      <c r="NLX142" s="3507"/>
      <c r="NLY142" s="3507"/>
      <c r="NLZ142" s="3507"/>
      <c r="NMA142" s="3507"/>
      <c r="NMB142" s="3507"/>
      <c r="NMC142" s="3507"/>
      <c r="NMD142" s="3507"/>
      <c r="NME142" s="3507"/>
      <c r="NMF142" s="3507"/>
      <c r="NMG142" s="3507"/>
      <c r="NMH142" s="3507"/>
      <c r="NMI142" s="3507"/>
      <c r="NMJ142" s="3507"/>
      <c r="NMK142" s="3507"/>
      <c r="NML142" s="3507"/>
      <c r="NMM142" s="3507"/>
      <c r="NMN142" s="3507"/>
      <c r="NMO142" s="3507"/>
      <c r="NMP142" s="3507"/>
      <c r="NMQ142" s="3507"/>
      <c r="NMR142" s="3507"/>
      <c r="NMS142" s="3507"/>
      <c r="NMT142" s="3507"/>
      <c r="NMU142" s="3507"/>
      <c r="NMV142" s="3507"/>
      <c r="NMW142" s="3507"/>
      <c r="NMX142" s="3507"/>
      <c r="NMY142" s="3507"/>
      <c r="NMZ142" s="3507"/>
      <c r="NNA142" s="3507"/>
      <c r="NNB142" s="3507"/>
      <c r="NNC142" s="3507"/>
      <c r="NND142" s="3507"/>
      <c r="NNE142" s="3507"/>
      <c r="NNF142" s="3507"/>
      <c r="NNG142" s="3507"/>
      <c r="NNH142" s="3507"/>
      <c r="NNI142" s="3507"/>
      <c r="NNJ142" s="3507"/>
      <c r="NNK142" s="3507"/>
      <c r="NNL142" s="3507"/>
      <c r="NNM142" s="3507"/>
      <c r="NNN142" s="3507"/>
      <c r="NNO142" s="3507"/>
      <c r="NNP142" s="3507"/>
      <c r="NNQ142" s="3507"/>
      <c r="NNR142" s="3507"/>
      <c r="NNS142" s="3507"/>
      <c r="NNT142" s="3507"/>
      <c r="NNU142" s="3507"/>
      <c r="NNV142" s="3507"/>
      <c r="NNW142" s="3507"/>
      <c r="NNX142" s="3507"/>
      <c r="NNY142" s="3507"/>
      <c r="NNZ142" s="3507"/>
      <c r="NOA142" s="3507"/>
      <c r="NOB142" s="3507"/>
      <c r="NOC142" s="3507"/>
      <c r="NOD142" s="3507"/>
      <c r="NOE142" s="3507"/>
      <c r="NOF142" s="3507"/>
      <c r="NOG142" s="3507"/>
      <c r="NOH142" s="3507"/>
      <c r="NOI142" s="3507"/>
      <c r="NOJ142" s="3507"/>
      <c r="NOK142" s="3507"/>
      <c r="NOL142" s="3507"/>
      <c r="NOM142" s="3507"/>
      <c r="NON142" s="3507"/>
      <c r="NOO142" s="3507"/>
      <c r="NOP142" s="3507"/>
      <c r="NOQ142" s="3507"/>
      <c r="NOR142" s="3507"/>
      <c r="NOS142" s="3507"/>
      <c r="NOT142" s="3507"/>
      <c r="NOU142" s="3507"/>
      <c r="NOV142" s="3507"/>
      <c r="NOW142" s="3507"/>
      <c r="NOX142" s="3507"/>
      <c r="NOY142" s="3507"/>
      <c r="NOZ142" s="3507"/>
      <c r="NPA142" s="3507"/>
      <c r="NPB142" s="3507"/>
      <c r="NPC142" s="3507"/>
      <c r="NPD142" s="3507"/>
      <c r="NPE142" s="3507"/>
      <c r="NPF142" s="3507"/>
      <c r="NPG142" s="3507"/>
      <c r="NPH142" s="3507"/>
      <c r="NPI142" s="3507"/>
      <c r="NPJ142" s="3507"/>
      <c r="NPK142" s="3507"/>
      <c r="NPL142" s="3507"/>
      <c r="NPM142" s="3507"/>
      <c r="NPN142" s="3507"/>
      <c r="NPO142" s="3507"/>
      <c r="NPP142" s="3507"/>
      <c r="NPQ142" s="3507"/>
      <c r="NPR142" s="3507"/>
      <c r="NPS142" s="3507"/>
      <c r="NPT142" s="3507"/>
      <c r="NPU142" s="3507"/>
      <c r="NPV142" s="3507"/>
      <c r="NPW142" s="3507"/>
      <c r="NPX142" s="3507"/>
      <c r="NPY142" s="3507"/>
      <c r="NPZ142" s="3507"/>
      <c r="NQA142" s="3507"/>
      <c r="NQB142" s="3507"/>
      <c r="NQC142" s="3507"/>
      <c r="NQD142" s="3507"/>
      <c r="NQE142" s="3507"/>
      <c r="NQF142" s="3507"/>
      <c r="NQG142" s="3507"/>
      <c r="NQH142" s="3507"/>
      <c r="NQI142" s="3507"/>
      <c r="NQJ142" s="3507"/>
      <c r="NQK142" s="3507"/>
      <c r="NQL142" s="3507"/>
      <c r="NQM142" s="3507"/>
      <c r="NQN142" s="3507"/>
      <c r="NQO142" s="3507"/>
      <c r="NQP142" s="3507"/>
      <c r="NQQ142" s="3507"/>
      <c r="NQR142" s="3507"/>
      <c r="NQS142" s="3507"/>
      <c r="NQT142" s="3507"/>
      <c r="NQU142" s="3507"/>
      <c r="NQV142" s="3507"/>
      <c r="NQW142" s="3507"/>
      <c r="NQX142" s="3507"/>
      <c r="NQY142" s="3507"/>
      <c r="NQZ142" s="3507"/>
      <c r="NRA142" s="3507"/>
      <c r="NRB142" s="3507"/>
      <c r="NRC142" s="3507"/>
      <c r="NRD142" s="3507"/>
      <c r="NRE142" s="3507"/>
      <c r="NRF142" s="3507"/>
      <c r="NRG142" s="3507"/>
      <c r="NRH142" s="3507"/>
      <c r="NRI142" s="3507"/>
      <c r="NRJ142" s="3507"/>
      <c r="NRK142" s="3507"/>
      <c r="NRL142" s="3507"/>
      <c r="NRM142" s="3507"/>
      <c r="NRN142" s="3507"/>
      <c r="NRO142" s="3507"/>
      <c r="NRP142" s="3507"/>
      <c r="NRQ142" s="3507"/>
      <c r="NRR142" s="3507"/>
      <c r="NRS142" s="3507"/>
      <c r="NRT142" s="3507"/>
      <c r="NRU142" s="3507"/>
      <c r="NRV142" s="3507"/>
      <c r="NRW142" s="3507"/>
      <c r="NRX142" s="3507"/>
      <c r="NRY142" s="3507"/>
      <c r="NRZ142" s="3507"/>
      <c r="NSA142" s="3507"/>
      <c r="NSB142" s="3507"/>
      <c r="NSC142" s="3507"/>
      <c r="NSD142" s="3507"/>
      <c r="NSE142" s="3507"/>
      <c r="NSF142" s="3507"/>
      <c r="NSG142" s="3507"/>
      <c r="NSH142" s="3507"/>
      <c r="NSI142" s="3507"/>
      <c r="NSJ142" s="3507"/>
      <c r="NSK142" s="3507"/>
      <c r="NSL142" s="3507"/>
      <c r="NSM142" s="3507"/>
      <c r="NSN142" s="3507"/>
      <c r="NSO142" s="3507"/>
      <c r="NSP142" s="3507"/>
      <c r="NSQ142" s="3507"/>
      <c r="NSR142" s="3507"/>
      <c r="NSS142" s="3507"/>
      <c r="NST142" s="3507"/>
      <c r="NSU142" s="3507"/>
      <c r="NSV142" s="3507"/>
      <c r="NSW142" s="3507"/>
      <c r="NSX142" s="3507"/>
      <c r="NSY142" s="3507"/>
      <c r="NSZ142" s="3507"/>
      <c r="NTA142" s="3507"/>
      <c r="NTB142" s="3507"/>
      <c r="NTC142" s="3507"/>
      <c r="NTD142" s="3507"/>
      <c r="NTE142" s="3507"/>
      <c r="NTF142" s="3507"/>
      <c r="NTG142" s="3507"/>
      <c r="NTH142" s="3507"/>
      <c r="NTI142" s="3507"/>
      <c r="NTJ142" s="3507"/>
      <c r="NTK142" s="3507"/>
      <c r="NTL142" s="3507"/>
      <c r="NTM142" s="3507"/>
      <c r="NTN142" s="3507"/>
      <c r="NTO142" s="3507"/>
      <c r="NTP142" s="3507"/>
      <c r="NTQ142" s="3507"/>
      <c r="NTR142" s="3507"/>
      <c r="NTS142" s="3507"/>
      <c r="NTT142" s="3507"/>
      <c r="NTU142" s="3507"/>
      <c r="NTV142" s="3507"/>
      <c r="NTW142" s="3507"/>
      <c r="NTX142" s="3507"/>
      <c r="NTY142" s="3507"/>
      <c r="NTZ142" s="3507"/>
      <c r="NUA142" s="3507"/>
      <c r="NUB142" s="3507"/>
      <c r="NUC142" s="3507"/>
      <c r="NUD142" s="3507"/>
      <c r="NUE142" s="3507"/>
      <c r="NUF142" s="3507"/>
      <c r="NUG142" s="3507"/>
      <c r="NUH142" s="3507"/>
      <c r="NUI142" s="3507"/>
      <c r="NUJ142" s="3507"/>
      <c r="NUK142" s="3507"/>
      <c r="NUL142" s="3507"/>
      <c r="NUM142" s="3507"/>
      <c r="NUN142" s="3507"/>
      <c r="NUO142" s="3507"/>
      <c r="NUP142" s="3507"/>
      <c r="NUQ142" s="3507"/>
      <c r="NUR142" s="3507"/>
      <c r="NUS142" s="3507"/>
      <c r="NUT142" s="3507"/>
      <c r="NUU142" s="3507"/>
      <c r="NUV142" s="3507"/>
      <c r="NUW142" s="3507"/>
      <c r="NUX142" s="3507"/>
      <c r="NUY142" s="3507"/>
      <c r="NUZ142" s="3507"/>
      <c r="NVA142" s="3507"/>
      <c r="NVB142" s="3507"/>
      <c r="NVC142" s="3507"/>
      <c r="NVD142" s="3507"/>
      <c r="NVE142" s="3507"/>
      <c r="NVF142" s="3507"/>
      <c r="NVG142" s="3507"/>
      <c r="NVH142" s="3507"/>
      <c r="NVI142" s="3507"/>
      <c r="NVJ142" s="3507"/>
      <c r="NVK142" s="3507"/>
      <c r="NVL142" s="3507"/>
      <c r="NVM142" s="3507"/>
      <c r="NVN142" s="3507"/>
      <c r="NVO142" s="3507"/>
      <c r="NVP142" s="3507"/>
      <c r="NVQ142" s="3507"/>
      <c r="NVR142" s="3507"/>
      <c r="NVS142" s="3507"/>
      <c r="NVT142" s="3507"/>
      <c r="NVU142" s="3507"/>
      <c r="NVV142" s="3507"/>
      <c r="NVW142" s="3507"/>
      <c r="NVX142" s="3507"/>
      <c r="NVY142" s="3507"/>
      <c r="NVZ142" s="3507"/>
      <c r="NWA142" s="3507"/>
      <c r="NWB142" s="3507"/>
      <c r="NWC142" s="3507"/>
      <c r="NWD142" s="3507"/>
      <c r="NWE142" s="3507"/>
      <c r="NWF142" s="3507"/>
      <c r="NWG142" s="3507"/>
      <c r="NWH142" s="3507"/>
      <c r="NWI142" s="3507"/>
      <c r="NWJ142" s="3507"/>
      <c r="NWK142" s="3507"/>
      <c r="NWL142" s="3507"/>
      <c r="NWM142" s="3507"/>
      <c r="NWN142" s="3507"/>
      <c r="NWO142" s="3507"/>
      <c r="NWP142" s="3507"/>
      <c r="NWQ142" s="3507"/>
      <c r="NWR142" s="3507"/>
      <c r="NWS142" s="3507"/>
      <c r="NWT142" s="3507"/>
      <c r="NWU142" s="3507"/>
      <c r="NWV142" s="3507"/>
      <c r="NWW142" s="3507"/>
      <c r="NWX142" s="3507"/>
      <c r="NWY142" s="3507"/>
      <c r="NWZ142" s="3507"/>
      <c r="NXA142" s="3507"/>
      <c r="NXB142" s="3507"/>
      <c r="NXC142" s="3507"/>
      <c r="NXD142" s="3507"/>
      <c r="NXE142" s="3507"/>
      <c r="NXF142" s="3507"/>
      <c r="NXG142" s="3507"/>
      <c r="NXH142" s="3507"/>
      <c r="NXI142" s="3507"/>
      <c r="NXJ142" s="3507"/>
      <c r="NXK142" s="3507"/>
      <c r="NXL142" s="3507"/>
      <c r="NXM142" s="3507"/>
      <c r="NXN142" s="3507"/>
      <c r="NXO142" s="3507"/>
      <c r="NXP142" s="3507"/>
      <c r="NXQ142" s="3507"/>
      <c r="NXR142" s="3507"/>
      <c r="NXS142" s="3507"/>
      <c r="NXT142" s="3507"/>
      <c r="NXU142" s="3507"/>
      <c r="NXV142" s="3507"/>
      <c r="NXW142" s="3507"/>
      <c r="NXX142" s="3507"/>
      <c r="NXY142" s="3507"/>
      <c r="NXZ142" s="3507"/>
      <c r="NYA142" s="3507"/>
      <c r="NYB142" s="3507"/>
      <c r="NYC142" s="3507"/>
      <c r="NYD142" s="3507"/>
      <c r="NYE142" s="3507"/>
      <c r="NYF142" s="3507"/>
      <c r="NYG142" s="3507"/>
      <c r="NYH142" s="3507"/>
      <c r="NYI142" s="3507"/>
      <c r="NYJ142" s="3507"/>
      <c r="NYK142" s="3507"/>
      <c r="NYL142" s="3507"/>
      <c r="NYM142" s="3507"/>
      <c r="NYN142" s="3507"/>
      <c r="NYO142" s="3507"/>
      <c r="NYP142" s="3507"/>
      <c r="NYQ142" s="3507"/>
      <c r="NYR142" s="3507"/>
      <c r="NYS142" s="3507"/>
      <c r="NYT142" s="3507"/>
      <c r="NYU142" s="3507"/>
      <c r="NYV142" s="3507"/>
      <c r="NYW142" s="3507"/>
      <c r="NYX142" s="3507"/>
      <c r="NYY142" s="3507"/>
      <c r="NYZ142" s="3507"/>
      <c r="NZA142" s="3507"/>
      <c r="NZB142" s="3507"/>
      <c r="NZC142" s="3507"/>
      <c r="NZD142" s="3507"/>
      <c r="NZE142" s="3507"/>
      <c r="NZF142" s="3507"/>
      <c r="NZG142" s="3507"/>
      <c r="NZH142" s="3507"/>
      <c r="NZI142" s="3507"/>
      <c r="NZJ142" s="3507"/>
      <c r="NZK142" s="3507"/>
      <c r="NZL142" s="3507"/>
      <c r="NZM142" s="3507"/>
      <c r="NZN142" s="3507"/>
      <c r="NZO142" s="3507"/>
      <c r="NZP142" s="3507"/>
      <c r="NZQ142" s="3507"/>
      <c r="NZR142" s="3507"/>
      <c r="NZS142" s="3507"/>
      <c r="NZT142" s="3507"/>
      <c r="NZU142" s="3507"/>
      <c r="NZV142" s="3507"/>
      <c r="NZW142" s="3507"/>
      <c r="NZX142" s="3507"/>
      <c r="NZY142" s="3507"/>
      <c r="NZZ142" s="3507"/>
      <c r="OAA142" s="3507"/>
      <c r="OAB142" s="3507"/>
      <c r="OAC142" s="3507"/>
      <c r="OAD142" s="3507"/>
      <c r="OAE142" s="3507"/>
      <c r="OAF142" s="3507"/>
      <c r="OAG142" s="3507"/>
      <c r="OAH142" s="3507"/>
      <c r="OAI142" s="3507"/>
      <c r="OAJ142" s="3507"/>
      <c r="OAK142" s="3507"/>
      <c r="OAL142" s="3507"/>
      <c r="OAM142" s="3507"/>
      <c r="OAN142" s="3507"/>
      <c r="OAO142" s="3507"/>
      <c r="OAP142" s="3507"/>
      <c r="OAQ142" s="3507"/>
      <c r="OAR142" s="3507"/>
      <c r="OAS142" s="3507"/>
      <c r="OAT142" s="3507"/>
      <c r="OAU142" s="3507"/>
      <c r="OAV142" s="3507"/>
      <c r="OAW142" s="3507"/>
      <c r="OAX142" s="3507"/>
      <c r="OAY142" s="3507"/>
      <c r="OAZ142" s="3507"/>
      <c r="OBA142" s="3507"/>
      <c r="OBB142" s="3507"/>
      <c r="OBC142" s="3507"/>
      <c r="OBD142" s="3507"/>
      <c r="OBE142" s="3507"/>
      <c r="OBF142" s="3507"/>
      <c r="OBG142" s="3507"/>
      <c r="OBH142" s="3507"/>
      <c r="OBI142" s="3507"/>
      <c r="OBJ142" s="3507"/>
      <c r="OBK142" s="3507"/>
      <c r="OBL142" s="3507"/>
      <c r="OBM142" s="3507"/>
      <c r="OBN142" s="3507"/>
      <c r="OBO142" s="3507"/>
      <c r="OBP142" s="3507"/>
      <c r="OBQ142" s="3507"/>
      <c r="OBR142" s="3507"/>
      <c r="OBS142" s="3507"/>
      <c r="OBT142" s="3507"/>
      <c r="OBU142" s="3507"/>
      <c r="OBV142" s="3507"/>
      <c r="OBW142" s="3507"/>
      <c r="OBX142" s="3507"/>
      <c r="OBY142" s="3507"/>
      <c r="OBZ142" s="3507"/>
      <c r="OCA142" s="3507"/>
      <c r="OCB142" s="3507"/>
      <c r="OCC142" s="3507"/>
      <c r="OCD142" s="3507"/>
      <c r="OCE142" s="3507"/>
      <c r="OCF142" s="3507"/>
      <c r="OCG142" s="3507"/>
      <c r="OCH142" s="3507"/>
      <c r="OCI142" s="3507"/>
      <c r="OCJ142" s="3507"/>
      <c r="OCK142" s="3507"/>
      <c r="OCL142" s="3507"/>
      <c r="OCM142" s="3507"/>
      <c r="OCN142" s="3507"/>
      <c r="OCO142" s="3507"/>
      <c r="OCP142" s="3507"/>
      <c r="OCQ142" s="3507"/>
      <c r="OCR142" s="3507"/>
      <c r="OCS142" s="3507"/>
      <c r="OCT142" s="3507"/>
      <c r="OCU142" s="3507"/>
      <c r="OCV142" s="3507"/>
      <c r="OCW142" s="3507"/>
      <c r="OCX142" s="3507"/>
      <c r="OCY142" s="3507"/>
      <c r="OCZ142" s="3507"/>
      <c r="ODA142" s="3507"/>
      <c r="ODB142" s="3507"/>
      <c r="ODC142" s="3507"/>
      <c r="ODD142" s="3507"/>
      <c r="ODE142" s="3507"/>
      <c r="ODF142" s="3507"/>
      <c r="ODG142" s="3507"/>
      <c r="ODH142" s="3507"/>
      <c r="ODI142" s="3507"/>
      <c r="ODJ142" s="3507"/>
      <c r="ODK142" s="3507"/>
      <c r="ODL142" s="3507"/>
      <c r="ODM142" s="3507"/>
      <c r="ODN142" s="3507"/>
      <c r="ODO142" s="3507"/>
      <c r="ODP142" s="3507"/>
      <c r="ODQ142" s="3507"/>
      <c r="ODR142" s="3507"/>
      <c r="ODS142" s="3507"/>
      <c r="ODT142" s="3507"/>
      <c r="ODU142" s="3507"/>
      <c r="ODV142" s="3507"/>
      <c r="ODW142" s="3507"/>
      <c r="ODX142" s="3507"/>
      <c r="ODY142" s="3507"/>
      <c r="ODZ142" s="3507"/>
      <c r="OEA142" s="3507"/>
      <c r="OEB142" s="3507"/>
      <c r="OEC142" s="3507"/>
      <c r="OED142" s="3507"/>
      <c r="OEE142" s="3507"/>
      <c r="OEF142" s="3507"/>
      <c r="OEG142" s="3507"/>
      <c r="OEH142" s="3507"/>
      <c r="OEI142" s="3507"/>
      <c r="OEJ142" s="3507"/>
      <c r="OEK142" s="3507"/>
      <c r="OEL142" s="3507"/>
      <c r="OEM142" s="3507"/>
      <c r="OEN142" s="3507"/>
      <c r="OEO142" s="3507"/>
      <c r="OEP142" s="3507"/>
      <c r="OEQ142" s="3507"/>
      <c r="OER142" s="3507"/>
      <c r="OES142" s="3507"/>
      <c r="OET142" s="3507"/>
      <c r="OEU142" s="3507"/>
      <c r="OEV142" s="3507"/>
      <c r="OEW142" s="3507"/>
      <c r="OEX142" s="3507"/>
      <c r="OEY142" s="3507"/>
      <c r="OEZ142" s="3507"/>
      <c r="OFA142" s="3507"/>
      <c r="OFB142" s="3507"/>
      <c r="OFC142" s="3507"/>
      <c r="OFD142" s="3507"/>
      <c r="OFE142" s="3507"/>
      <c r="OFF142" s="3507"/>
      <c r="OFG142" s="3507"/>
      <c r="OFH142" s="3507"/>
      <c r="OFI142" s="3507"/>
      <c r="OFJ142" s="3507"/>
      <c r="OFK142" s="3507"/>
      <c r="OFL142" s="3507"/>
      <c r="OFM142" s="3507"/>
      <c r="OFN142" s="3507"/>
      <c r="OFO142" s="3507"/>
      <c r="OFP142" s="3507"/>
      <c r="OFQ142" s="3507"/>
      <c r="OFR142" s="3507"/>
      <c r="OFS142" s="3507"/>
      <c r="OFT142" s="3507"/>
      <c r="OFU142" s="3507"/>
      <c r="OFV142" s="3507"/>
      <c r="OFW142" s="3507"/>
      <c r="OFX142" s="3507"/>
      <c r="OFY142" s="3507"/>
      <c r="OFZ142" s="3507"/>
      <c r="OGA142" s="3507"/>
      <c r="OGB142" s="3507"/>
      <c r="OGC142" s="3507"/>
      <c r="OGD142" s="3507"/>
      <c r="OGE142" s="3507"/>
      <c r="OGF142" s="3507"/>
      <c r="OGG142" s="3507"/>
      <c r="OGH142" s="3507"/>
      <c r="OGI142" s="3507"/>
      <c r="OGJ142" s="3507"/>
      <c r="OGK142" s="3507"/>
      <c r="OGL142" s="3507"/>
      <c r="OGM142" s="3507"/>
      <c r="OGN142" s="3507"/>
      <c r="OGO142" s="3507"/>
      <c r="OGP142" s="3507"/>
      <c r="OGQ142" s="3507"/>
      <c r="OGR142" s="3507"/>
      <c r="OGS142" s="3507"/>
      <c r="OGT142" s="3507"/>
      <c r="OGU142" s="3507"/>
      <c r="OGV142" s="3507"/>
      <c r="OGW142" s="3507"/>
      <c r="OGX142" s="3507"/>
      <c r="OGY142" s="3507"/>
      <c r="OGZ142" s="3507"/>
      <c r="OHA142" s="3507"/>
      <c r="OHB142" s="3507"/>
      <c r="OHC142" s="3507"/>
      <c r="OHD142" s="3507"/>
      <c r="OHE142" s="3507"/>
      <c r="OHF142" s="3507"/>
      <c r="OHG142" s="3507"/>
      <c r="OHH142" s="3507"/>
      <c r="OHI142" s="3507"/>
      <c r="OHJ142" s="3507"/>
      <c r="OHK142" s="3507"/>
      <c r="OHL142" s="3507"/>
      <c r="OHM142" s="3507"/>
      <c r="OHN142" s="3507"/>
      <c r="OHO142" s="3507"/>
      <c r="OHP142" s="3507"/>
      <c r="OHQ142" s="3507"/>
      <c r="OHR142" s="3507"/>
      <c r="OHS142" s="3507"/>
      <c r="OHT142" s="3507"/>
      <c r="OHU142" s="3507"/>
      <c r="OHV142" s="3507"/>
      <c r="OHW142" s="3507"/>
      <c r="OHX142" s="3507"/>
      <c r="OHY142" s="3507"/>
      <c r="OHZ142" s="3507"/>
      <c r="OIA142" s="3507"/>
      <c r="OIB142" s="3507"/>
      <c r="OIC142" s="3507"/>
      <c r="OID142" s="3507"/>
      <c r="OIE142" s="3507"/>
      <c r="OIF142" s="3507"/>
      <c r="OIG142" s="3507"/>
      <c r="OIH142" s="3507"/>
      <c r="OII142" s="3507"/>
      <c r="OIJ142" s="3507"/>
      <c r="OIK142" s="3507"/>
      <c r="OIL142" s="3507"/>
      <c r="OIM142" s="3507"/>
      <c r="OIN142" s="3507"/>
      <c r="OIO142" s="3507"/>
      <c r="OIP142" s="3507"/>
      <c r="OIQ142" s="3507"/>
      <c r="OIR142" s="3507"/>
      <c r="OIS142" s="3507"/>
      <c r="OIT142" s="3507"/>
      <c r="OIU142" s="3507"/>
      <c r="OIV142" s="3507"/>
      <c r="OIW142" s="3507"/>
      <c r="OIX142" s="3507"/>
      <c r="OIY142" s="3507"/>
      <c r="OIZ142" s="3507"/>
      <c r="OJA142" s="3507"/>
      <c r="OJB142" s="3507"/>
      <c r="OJC142" s="3507"/>
      <c r="OJD142" s="3507"/>
      <c r="OJE142" s="3507"/>
      <c r="OJF142" s="3507"/>
      <c r="OJG142" s="3507"/>
      <c r="OJH142" s="3507"/>
      <c r="OJI142" s="3507"/>
      <c r="OJJ142" s="3507"/>
      <c r="OJK142" s="3507"/>
      <c r="OJL142" s="3507"/>
      <c r="OJM142" s="3507"/>
      <c r="OJN142" s="3507"/>
      <c r="OJO142" s="3507"/>
      <c r="OJP142" s="3507"/>
      <c r="OJQ142" s="3507"/>
      <c r="OJR142" s="3507"/>
      <c r="OJS142" s="3507"/>
      <c r="OJT142" s="3507"/>
      <c r="OJU142" s="3507"/>
      <c r="OJV142" s="3507"/>
      <c r="OJW142" s="3507"/>
      <c r="OJX142" s="3507"/>
      <c r="OJY142" s="3507"/>
      <c r="OJZ142" s="3507"/>
      <c r="OKA142" s="3507"/>
      <c r="OKB142" s="3507"/>
      <c r="OKC142" s="3507"/>
      <c r="OKD142" s="3507"/>
      <c r="OKE142" s="3507"/>
      <c r="OKF142" s="3507"/>
      <c r="OKG142" s="3507"/>
      <c r="OKH142" s="3507"/>
      <c r="OKI142" s="3507"/>
      <c r="OKJ142" s="3507"/>
      <c r="OKK142" s="3507"/>
      <c r="OKL142" s="3507"/>
      <c r="OKM142" s="3507"/>
      <c r="OKN142" s="3507"/>
      <c r="OKO142" s="3507"/>
      <c r="OKP142" s="3507"/>
      <c r="OKQ142" s="3507"/>
      <c r="OKR142" s="3507"/>
      <c r="OKS142" s="3507"/>
      <c r="OKT142" s="3507"/>
      <c r="OKU142" s="3507"/>
      <c r="OKV142" s="3507"/>
      <c r="OKW142" s="3507"/>
      <c r="OKX142" s="3507"/>
      <c r="OKY142" s="3507"/>
      <c r="OKZ142" s="3507"/>
      <c r="OLA142" s="3507"/>
      <c r="OLB142" s="3507"/>
      <c r="OLC142" s="3507"/>
      <c r="OLD142" s="3507"/>
      <c r="OLE142" s="3507"/>
      <c r="OLF142" s="3507"/>
      <c r="OLG142" s="3507"/>
      <c r="OLH142" s="3507"/>
      <c r="OLI142" s="3507"/>
      <c r="OLJ142" s="3507"/>
      <c r="OLK142" s="3507"/>
      <c r="OLL142" s="3507"/>
      <c r="OLM142" s="3507"/>
      <c r="OLN142" s="3507"/>
      <c r="OLO142" s="3507"/>
      <c r="OLP142" s="3507"/>
      <c r="OLQ142" s="3507"/>
      <c r="OLR142" s="3507"/>
      <c r="OLS142" s="3507"/>
      <c r="OLT142" s="3507"/>
      <c r="OLU142" s="3507"/>
      <c r="OLV142" s="3507"/>
      <c r="OLW142" s="3507"/>
      <c r="OLX142" s="3507"/>
      <c r="OLY142" s="3507"/>
      <c r="OLZ142" s="3507"/>
      <c r="OMA142" s="3507"/>
      <c r="OMB142" s="3507"/>
      <c r="OMC142" s="3507"/>
      <c r="OMD142" s="3507"/>
      <c r="OME142" s="3507"/>
      <c r="OMF142" s="3507"/>
      <c r="OMG142" s="3507"/>
      <c r="OMH142" s="3507"/>
      <c r="OMI142" s="3507"/>
      <c r="OMJ142" s="3507"/>
      <c r="OMK142" s="3507"/>
      <c r="OML142" s="3507"/>
      <c r="OMM142" s="3507"/>
      <c r="OMN142" s="3507"/>
      <c r="OMO142" s="3507"/>
      <c r="OMP142" s="3507"/>
      <c r="OMQ142" s="3507"/>
      <c r="OMR142" s="3507"/>
      <c r="OMS142" s="3507"/>
      <c r="OMT142" s="3507"/>
      <c r="OMU142" s="3507"/>
      <c r="OMV142" s="3507"/>
      <c r="OMW142" s="3507"/>
      <c r="OMX142" s="3507"/>
      <c r="OMY142" s="3507"/>
      <c r="OMZ142" s="3507"/>
      <c r="ONA142" s="3507"/>
      <c r="ONB142" s="3507"/>
      <c r="ONC142" s="3507"/>
      <c r="OND142" s="3507"/>
      <c r="ONE142" s="3507"/>
      <c r="ONF142" s="3507"/>
      <c r="ONG142" s="3507"/>
      <c r="ONH142" s="3507"/>
      <c r="ONI142" s="3507"/>
      <c r="ONJ142" s="3507"/>
      <c r="ONK142" s="3507"/>
      <c r="ONL142" s="3507"/>
      <c r="ONM142" s="3507"/>
      <c r="ONN142" s="3507"/>
      <c r="ONO142" s="3507"/>
      <c r="ONP142" s="3507"/>
      <c r="ONQ142" s="3507"/>
      <c r="ONR142" s="3507"/>
      <c r="ONS142" s="3507"/>
      <c r="ONT142" s="3507"/>
      <c r="ONU142" s="3507"/>
      <c r="ONV142" s="3507"/>
      <c r="ONW142" s="3507"/>
      <c r="ONX142" s="3507"/>
      <c r="ONY142" s="3507"/>
      <c r="ONZ142" s="3507"/>
      <c r="OOA142" s="3507"/>
      <c r="OOB142" s="3507"/>
      <c r="OOC142" s="3507"/>
      <c r="OOD142" s="3507"/>
      <c r="OOE142" s="3507"/>
      <c r="OOF142" s="3507"/>
      <c r="OOG142" s="3507"/>
      <c r="OOH142" s="3507"/>
      <c r="OOI142" s="3507"/>
      <c r="OOJ142" s="3507"/>
      <c r="OOK142" s="3507"/>
      <c r="OOL142" s="3507"/>
      <c r="OOM142" s="3507"/>
      <c r="OON142" s="3507"/>
      <c r="OOO142" s="3507"/>
      <c r="OOP142" s="3507"/>
      <c r="OOQ142" s="3507"/>
      <c r="OOR142" s="3507"/>
      <c r="OOS142" s="3507"/>
      <c r="OOT142" s="3507"/>
      <c r="OOU142" s="3507"/>
      <c r="OOV142" s="3507"/>
      <c r="OOW142" s="3507"/>
      <c r="OOX142" s="3507"/>
      <c r="OOY142" s="3507"/>
      <c r="OOZ142" s="3507"/>
      <c r="OPA142" s="3507"/>
      <c r="OPB142" s="3507"/>
      <c r="OPC142" s="3507"/>
      <c r="OPD142" s="3507"/>
      <c r="OPE142" s="3507"/>
      <c r="OPF142" s="3507"/>
      <c r="OPG142" s="3507"/>
      <c r="OPH142" s="3507"/>
      <c r="OPI142" s="3507"/>
      <c r="OPJ142" s="3507"/>
      <c r="OPK142" s="3507"/>
      <c r="OPL142" s="3507"/>
      <c r="OPM142" s="3507"/>
      <c r="OPN142" s="3507"/>
      <c r="OPO142" s="3507"/>
      <c r="OPP142" s="3507"/>
      <c r="OPQ142" s="3507"/>
      <c r="OPR142" s="3507"/>
      <c r="OPS142" s="3507"/>
      <c r="OPT142" s="3507"/>
      <c r="OPU142" s="3507"/>
      <c r="OPV142" s="3507"/>
      <c r="OPW142" s="3507"/>
      <c r="OPX142" s="3507"/>
      <c r="OPY142" s="3507"/>
      <c r="OPZ142" s="3507"/>
      <c r="OQA142" s="3507"/>
      <c r="OQB142" s="3507"/>
      <c r="OQC142" s="3507"/>
      <c r="OQD142" s="3507"/>
      <c r="OQE142" s="3507"/>
      <c r="OQF142" s="3507"/>
      <c r="OQG142" s="3507"/>
      <c r="OQH142" s="3507"/>
      <c r="OQI142" s="3507"/>
      <c r="OQJ142" s="3507"/>
      <c r="OQK142" s="3507"/>
      <c r="OQL142" s="3507"/>
      <c r="OQM142" s="3507"/>
      <c r="OQN142" s="3507"/>
      <c r="OQO142" s="3507"/>
      <c r="OQP142" s="3507"/>
      <c r="OQQ142" s="3507"/>
      <c r="OQR142" s="3507"/>
      <c r="OQS142" s="3507"/>
      <c r="OQT142" s="3507"/>
      <c r="OQU142" s="3507"/>
      <c r="OQV142" s="3507"/>
      <c r="OQW142" s="3507"/>
      <c r="OQX142" s="3507"/>
      <c r="OQY142" s="3507"/>
      <c r="OQZ142" s="3507"/>
      <c r="ORA142" s="3507"/>
      <c r="ORB142" s="3507"/>
      <c r="ORC142" s="3507"/>
      <c r="ORD142" s="3507"/>
      <c r="ORE142" s="3507"/>
      <c r="ORF142" s="3507"/>
      <c r="ORG142" s="3507"/>
      <c r="ORH142" s="3507"/>
      <c r="ORI142" s="3507"/>
      <c r="ORJ142" s="3507"/>
      <c r="ORK142" s="3507"/>
      <c r="ORL142" s="3507"/>
      <c r="ORM142" s="3507"/>
      <c r="ORN142" s="3507"/>
      <c r="ORO142" s="3507"/>
      <c r="ORP142" s="3507"/>
      <c r="ORQ142" s="3507"/>
      <c r="ORR142" s="3507"/>
      <c r="ORS142" s="3507"/>
      <c r="ORT142" s="3507"/>
      <c r="ORU142" s="3507"/>
      <c r="ORV142" s="3507"/>
      <c r="ORW142" s="3507"/>
      <c r="ORX142" s="3507"/>
      <c r="ORY142" s="3507"/>
      <c r="ORZ142" s="3507"/>
      <c r="OSA142" s="3507"/>
      <c r="OSB142" s="3507"/>
      <c r="OSC142" s="3507"/>
      <c r="OSD142" s="3507"/>
      <c r="OSE142" s="3507"/>
      <c r="OSF142" s="3507"/>
      <c r="OSG142" s="3507"/>
      <c r="OSH142" s="3507"/>
      <c r="OSI142" s="3507"/>
      <c r="OSJ142" s="3507"/>
      <c r="OSK142" s="3507"/>
      <c r="OSL142" s="3507"/>
      <c r="OSM142" s="3507"/>
      <c r="OSN142" s="3507"/>
      <c r="OSO142" s="3507"/>
      <c r="OSP142" s="3507"/>
      <c r="OSQ142" s="3507"/>
      <c r="OSR142" s="3507"/>
      <c r="OSS142" s="3507"/>
      <c r="OST142" s="3507"/>
      <c r="OSU142" s="3507"/>
      <c r="OSV142" s="3507"/>
      <c r="OSW142" s="3507"/>
      <c r="OSX142" s="3507"/>
      <c r="OSY142" s="3507"/>
      <c r="OSZ142" s="3507"/>
      <c r="OTA142" s="3507"/>
      <c r="OTB142" s="3507"/>
      <c r="OTC142" s="3507"/>
      <c r="OTD142" s="3507"/>
      <c r="OTE142" s="3507"/>
      <c r="OTF142" s="3507"/>
      <c r="OTG142" s="3507"/>
      <c r="OTH142" s="3507"/>
      <c r="OTI142" s="3507"/>
      <c r="OTJ142" s="3507"/>
      <c r="OTK142" s="3507"/>
      <c r="OTL142" s="3507"/>
      <c r="OTM142" s="3507"/>
      <c r="OTN142" s="3507"/>
      <c r="OTO142" s="3507"/>
      <c r="OTP142" s="3507"/>
      <c r="OTQ142" s="3507"/>
      <c r="OTR142" s="3507"/>
      <c r="OTS142" s="3507"/>
      <c r="OTT142" s="3507"/>
      <c r="OTU142" s="3507"/>
      <c r="OTV142" s="3507"/>
      <c r="OTW142" s="3507"/>
      <c r="OTX142" s="3507"/>
      <c r="OTY142" s="3507"/>
      <c r="OTZ142" s="3507"/>
      <c r="OUA142" s="3507"/>
      <c r="OUB142" s="3507"/>
      <c r="OUC142" s="3507"/>
      <c r="OUD142" s="3507"/>
      <c r="OUE142" s="3507"/>
      <c r="OUF142" s="3507"/>
      <c r="OUG142" s="3507"/>
      <c r="OUH142" s="3507"/>
      <c r="OUI142" s="3507"/>
      <c r="OUJ142" s="3507"/>
      <c r="OUK142" s="3507"/>
      <c r="OUL142" s="3507"/>
      <c r="OUM142" s="3507"/>
      <c r="OUN142" s="3507"/>
      <c r="OUO142" s="3507"/>
      <c r="OUP142" s="3507"/>
      <c r="OUQ142" s="3507"/>
      <c r="OUR142" s="3507"/>
      <c r="OUS142" s="3507"/>
      <c r="OUT142" s="3507"/>
      <c r="OUU142" s="3507"/>
      <c r="OUV142" s="3507"/>
      <c r="OUW142" s="3507"/>
      <c r="OUX142" s="3507"/>
      <c r="OUY142" s="3507"/>
      <c r="OUZ142" s="3507"/>
      <c r="OVA142" s="3507"/>
      <c r="OVB142" s="3507"/>
      <c r="OVC142" s="3507"/>
      <c r="OVD142" s="3507"/>
      <c r="OVE142" s="3507"/>
      <c r="OVF142" s="3507"/>
      <c r="OVG142" s="3507"/>
      <c r="OVH142" s="3507"/>
      <c r="OVI142" s="3507"/>
      <c r="OVJ142" s="3507"/>
      <c r="OVK142" s="3507"/>
      <c r="OVL142" s="3507"/>
      <c r="OVM142" s="3507"/>
      <c r="OVN142" s="3507"/>
      <c r="OVO142" s="3507"/>
      <c r="OVP142" s="3507"/>
      <c r="OVQ142" s="3507"/>
      <c r="OVR142" s="3507"/>
      <c r="OVS142" s="3507"/>
      <c r="OVT142" s="3507"/>
      <c r="OVU142" s="3507"/>
      <c r="OVV142" s="3507"/>
      <c r="OVW142" s="3507"/>
      <c r="OVX142" s="3507"/>
      <c r="OVY142" s="3507"/>
      <c r="OVZ142" s="3507"/>
      <c r="OWA142" s="3507"/>
      <c r="OWB142" s="3507"/>
      <c r="OWC142" s="3507"/>
      <c r="OWD142" s="3507"/>
      <c r="OWE142" s="3507"/>
      <c r="OWF142" s="3507"/>
      <c r="OWG142" s="3507"/>
      <c r="OWH142" s="3507"/>
      <c r="OWI142" s="3507"/>
      <c r="OWJ142" s="3507"/>
      <c r="OWK142" s="3507"/>
      <c r="OWL142" s="3507"/>
      <c r="OWM142" s="3507"/>
      <c r="OWN142" s="3507"/>
      <c r="OWO142" s="3507"/>
      <c r="OWP142" s="3507"/>
      <c r="OWQ142" s="3507"/>
      <c r="OWR142" s="3507"/>
      <c r="OWS142" s="3507"/>
      <c r="OWT142" s="3507"/>
      <c r="OWU142" s="3507"/>
      <c r="OWV142" s="3507"/>
      <c r="OWW142" s="3507"/>
      <c r="OWX142" s="3507"/>
      <c r="OWY142" s="3507"/>
      <c r="OWZ142" s="3507"/>
      <c r="OXA142" s="3507"/>
      <c r="OXB142" s="3507"/>
      <c r="OXC142" s="3507"/>
      <c r="OXD142" s="3507"/>
      <c r="OXE142" s="3507"/>
      <c r="OXF142" s="3507"/>
      <c r="OXG142" s="3507"/>
      <c r="OXH142" s="3507"/>
      <c r="OXI142" s="3507"/>
      <c r="OXJ142" s="3507"/>
      <c r="OXK142" s="3507"/>
      <c r="OXL142" s="3507"/>
      <c r="OXM142" s="3507"/>
      <c r="OXN142" s="3507"/>
      <c r="OXO142" s="3507"/>
      <c r="OXP142" s="3507"/>
      <c r="OXQ142" s="3507"/>
      <c r="OXR142" s="3507"/>
      <c r="OXS142" s="3507"/>
      <c r="OXT142" s="3507"/>
      <c r="OXU142" s="3507"/>
      <c r="OXV142" s="3507"/>
      <c r="OXW142" s="3507"/>
      <c r="OXX142" s="3507"/>
      <c r="OXY142" s="3507"/>
      <c r="OXZ142" s="3507"/>
      <c r="OYA142" s="3507"/>
      <c r="OYB142" s="3507"/>
      <c r="OYC142" s="3507"/>
      <c r="OYD142" s="3507"/>
      <c r="OYE142" s="3507"/>
      <c r="OYF142" s="3507"/>
      <c r="OYG142" s="3507"/>
      <c r="OYH142" s="3507"/>
      <c r="OYI142" s="3507"/>
      <c r="OYJ142" s="3507"/>
      <c r="OYK142" s="3507"/>
      <c r="OYL142" s="3507"/>
      <c r="OYM142" s="3507"/>
      <c r="OYN142" s="3507"/>
      <c r="OYO142" s="3507"/>
      <c r="OYP142" s="3507"/>
      <c r="OYQ142" s="3507"/>
      <c r="OYR142" s="3507"/>
      <c r="OYS142" s="3507"/>
      <c r="OYT142" s="3507"/>
      <c r="OYU142" s="3507"/>
      <c r="OYV142" s="3507"/>
      <c r="OYW142" s="3507"/>
      <c r="OYX142" s="3507"/>
      <c r="OYY142" s="3507"/>
      <c r="OYZ142" s="3507"/>
      <c r="OZA142" s="3507"/>
      <c r="OZB142" s="3507"/>
      <c r="OZC142" s="3507"/>
      <c r="OZD142" s="3507"/>
      <c r="OZE142" s="3507"/>
      <c r="OZF142" s="3507"/>
      <c r="OZG142" s="3507"/>
      <c r="OZH142" s="3507"/>
      <c r="OZI142" s="3507"/>
      <c r="OZJ142" s="3507"/>
      <c r="OZK142" s="3507"/>
      <c r="OZL142" s="3507"/>
      <c r="OZM142" s="3507"/>
      <c r="OZN142" s="3507"/>
      <c r="OZO142" s="3507"/>
      <c r="OZP142" s="3507"/>
      <c r="OZQ142" s="3507"/>
      <c r="OZR142" s="3507"/>
      <c r="OZS142" s="3507"/>
      <c r="OZT142" s="3507"/>
      <c r="OZU142" s="3507"/>
      <c r="OZV142" s="3507"/>
      <c r="OZW142" s="3507"/>
      <c r="OZX142" s="3507"/>
      <c r="OZY142" s="3507"/>
      <c r="OZZ142" s="3507"/>
      <c r="PAA142" s="3507"/>
      <c r="PAB142" s="3507"/>
      <c r="PAC142" s="3507"/>
      <c r="PAD142" s="3507"/>
      <c r="PAE142" s="3507"/>
      <c r="PAF142" s="3507"/>
      <c r="PAG142" s="3507"/>
      <c r="PAH142" s="3507"/>
      <c r="PAI142" s="3507"/>
      <c r="PAJ142" s="3507"/>
      <c r="PAK142" s="3507"/>
      <c r="PAL142" s="3507"/>
      <c r="PAM142" s="3507"/>
      <c r="PAN142" s="3507"/>
      <c r="PAO142" s="3507"/>
      <c r="PAP142" s="3507"/>
      <c r="PAQ142" s="3507"/>
      <c r="PAR142" s="3507"/>
      <c r="PAS142" s="3507"/>
      <c r="PAT142" s="3507"/>
      <c r="PAU142" s="3507"/>
      <c r="PAV142" s="3507"/>
      <c r="PAW142" s="3507"/>
      <c r="PAX142" s="3507"/>
      <c r="PAY142" s="3507"/>
      <c r="PAZ142" s="3507"/>
      <c r="PBA142" s="3507"/>
      <c r="PBB142" s="3507"/>
      <c r="PBC142" s="3507"/>
      <c r="PBD142" s="3507"/>
      <c r="PBE142" s="3507"/>
      <c r="PBF142" s="3507"/>
      <c r="PBG142" s="3507"/>
      <c r="PBH142" s="3507"/>
      <c r="PBI142" s="3507"/>
      <c r="PBJ142" s="3507"/>
      <c r="PBK142" s="3507"/>
      <c r="PBL142" s="3507"/>
      <c r="PBM142" s="3507"/>
      <c r="PBN142" s="3507"/>
      <c r="PBO142" s="3507"/>
      <c r="PBP142" s="3507"/>
      <c r="PBQ142" s="3507"/>
      <c r="PBR142" s="3507"/>
      <c r="PBS142" s="3507"/>
      <c r="PBT142" s="3507"/>
      <c r="PBU142" s="3507"/>
      <c r="PBV142" s="3507"/>
      <c r="PBW142" s="3507"/>
      <c r="PBX142" s="3507"/>
      <c r="PBY142" s="3507"/>
      <c r="PBZ142" s="3507"/>
      <c r="PCA142" s="3507"/>
      <c r="PCB142" s="3507"/>
      <c r="PCC142" s="3507"/>
      <c r="PCD142" s="3507"/>
      <c r="PCE142" s="3507"/>
      <c r="PCF142" s="3507"/>
      <c r="PCG142" s="3507"/>
      <c r="PCH142" s="3507"/>
      <c r="PCI142" s="3507"/>
      <c r="PCJ142" s="3507"/>
      <c r="PCK142" s="3507"/>
      <c r="PCL142" s="3507"/>
      <c r="PCM142" s="3507"/>
      <c r="PCN142" s="3507"/>
      <c r="PCO142" s="3507"/>
      <c r="PCP142" s="3507"/>
      <c r="PCQ142" s="3507"/>
      <c r="PCR142" s="3507"/>
      <c r="PCS142" s="3507"/>
      <c r="PCT142" s="3507"/>
      <c r="PCU142" s="3507"/>
      <c r="PCV142" s="3507"/>
      <c r="PCW142" s="3507"/>
      <c r="PCX142" s="3507"/>
      <c r="PCY142" s="3507"/>
      <c r="PCZ142" s="3507"/>
      <c r="PDA142" s="3507"/>
      <c r="PDB142" s="3507"/>
      <c r="PDC142" s="3507"/>
      <c r="PDD142" s="3507"/>
      <c r="PDE142" s="3507"/>
      <c r="PDF142" s="3507"/>
      <c r="PDG142" s="3507"/>
      <c r="PDH142" s="3507"/>
      <c r="PDI142" s="3507"/>
      <c r="PDJ142" s="3507"/>
      <c r="PDK142" s="3507"/>
      <c r="PDL142" s="3507"/>
      <c r="PDM142" s="3507"/>
      <c r="PDN142" s="3507"/>
      <c r="PDO142" s="3507"/>
      <c r="PDP142" s="3507"/>
      <c r="PDQ142" s="3507"/>
      <c r="PDR142" s="3507"/>
      <c r="PDS142" s="3507"/>
      <c r="PDT142" s="3507"/>
      <c r="PDU142" s="3507"/>
      <c r="PDV142" s="3507"/>
      <c r="PDW142" s="3507"/>
      <c r="PDX142" s="3507"/>
      <c r="PDY142" s="3507"/>
      <c r="PDZ142" s="3507"/>
      <c r="PEA142" s="3507"/>
      <c r="PEB142" s="3507"/>
      <c r="PEC142" s="3507"/>
      <c r="PED142" s="3507"/>
      <c r="PEE142" s="3507"/>
      <c r="PEF142" s="3507"/>
      <c r="PEG142" s="3507"/>
      <c r="PEH142" s="3507"/>
      <c r="PEI142" s="3507"/>
      <c r="PEJ142" s="3507"/>
      <c r="PEK142" s="3507"/>
      <c r="PEL142" s="3507"/>
      <c r="PEM142" s="3507"/>
      <c r="PEN142" s="3507"/>
      <c r="PEO142" s="3507"/>
      <c r="PEP142" s="3507"/>
      <c r="PEQ142" s="3507"/>
      <c r="PER142" s="3507"/>
      <c r="PES142" s="3507"/>
      <c r="PET142" s="3507"/>
      <c r="PEU142" s="3507"/>
      <c r="PEV142" s="3507"/>
      <c r="PEW142" s="3507"/>
      <c r="PEX142" s="3507"/>
      <c r="PEY142" s="3507"/>
      <c r="PEZ142" s="3507"/>
      <c r="PFA142" s="3507"/>
      <c r="PFB142" s="3507"/>
      <c r="PFC142" s="3507"/>
      <c r="PFD142" s="3507"/>
      <c r="PFE142" s="3507"/>
      <c r="PFF142" s="3507"/>
      <c r="PFG142" s="3507"/>
      <c r="PFH142" s="3507"/>
      <c r="PFI142" s="3507"/>
      <c r="PFJ142" s="3507"/>
      <c r="PFK142" s="3507"/>
      <c r="PFL142" s="3507"/>
      <c r="PFM142" s="3507"/>
      <c r="PFN142" s="3507"/>
      <c r="PFO142" s="3507"/>
      <c r="PFP142" s="3507"/>
      <c r="PFQ142" s="3507"/>
      <c r="PFR142" s="3507"/>
      <c r="PFS142" s="3507"/>
      <c r="PFT142" s="3507"/>
      <c r="PFU142" s="3507"/>
      <c r="PFV142" s="3507"/>
      <c r="PFW142" s="3507"/>
      <c r="PFX142" s="3507"/>
      <c r="PFY142" s="3507"/>
      <c r="PFZ142" s="3507"/>
      <c r="PGA142" s="3507"/>
      <c r="PGB142" s="3507"/>
      <c r="PGC142" s="3507"/>
      <c r="PGD142" s="3507"/>
      <c r="PGE142" s="3507"/>
      <c r="PGF142" s="3507"/>
      <c r="PGG142" s="3507"/>
      <c r="PGH142" s="3507"/>
      <c r="PGI142" s="3507"/>
      <c r="PGJ142" s="3507"/>
      <c r="PGK142" s="3507"/>
      <c r="PGL142" s="3507"/>
      <c r="PGM142" s="3507"/>
      <c r="PGN142" s="3507"/>
      <c r="PGO142" s="3507"/>
      <c r="PGP142" s="3507"/>
      <c r="PGQ142" s="3507"/>
      <c r="PGR142" s="3507"/>
      <c r="PGS142" s="3507"/>
      <c r="PGT142" s="3507"/>
      <c r="PGU142" s="3507"/>
      <c r="PGV142" s="3507"/>
      <c r="PGW142" s="3507"/>
      <c r="PGX142" s="3507"/>
      <c r="PGY142" s="3507"/>
      <c r="PGZ142" s="3507"/>
      <c r="PHA142" s="3507"/>
      <c r="PHB142" s="3507"/>
      <c r="PHC142" s="3507"/>
      <c r="PHD142" s="3507"/>
      <c r="PHE142" s="3507"/>
      <c r="PHF142" s="3507"/>
      <c r="PHG142" s="3507"/>
      <c r="PHH142" s="3507"/>
      <c r="PHI142" s="3507"/>
      <c r="PHJ142" s="3507"/>
      <c r="PHK142" s="3507"/>
      <c r="PHL142" s="3507"/>
      <c r="PHM142" s="3507"/>
      <c r="PHN142" s="3507"/>
      <c r="PHO142" s="3507"/>
      <c r="PHP142" s="3507"/>
      <c r="PHQ142" s="3507"/>
      <c r="PHR142" s="3507"/>
      <c r="PHS142" s="3507"/>
      <c r="PHT142" s="3507"/>
      <c r="PHU142" s="3507"/>
      <c r="PHV142" s="3507"/>
      <c r="PHW142" s="3507"/>
      <c r="PHX142" s="3507"/>
      <c r="PHY142" s="3507"/>
      <c r="PHZ142" s="3507"/>
      <c r="PIA142" s="3507"/>
      <c r="PIB142" s="3507"/>
      <c r="PIC142" s="3507"/>
      <c r="PID142" s="3507"/>
      <c r="PIE142" s="3507"/>
      <c r="PIF142" s="3507"/>
      <c r="PIG142" s="3507"/>
      <c r="PIH142" s="3507"/>
      <c r="PII142" s="3507"/>
      <c r="PIJ142" s="3507"/>
      <c r="PIK142" s="3507"/>
      <c r="PIL142" s="3507"/>
      <c r="PIM142" s="3507"/>
      <c r="PIN142" s="3507"/>
      <c r="PIO142" s="3507"/>
      <c r="PIP142" s="3507"/>
      <c r="PIQ142" s="3507"/>
      <c r="PIR142" s="3507"/>
      <c r="PIS142" s="3507"/>
      <c r="PIT142" s="3507"/>
      <c r="PIU142" s="3507"/>
      <c r="PIV142" s="3507"/>
      <c r="PIW142" s="3507"/>
      <c r="PIX142" s="3507"/>
      <c r="PIY142" s="3507"/>
      <c r="PIZ142" s="3507"/>
      <c r="PJA142" s="3507"/>
      <c r="PJB142" s="3507"/>
      <c r="PJC142" s="3507"/>
      <c r="PJD142" s="3507"/>
      <c r="PJE142" s="3507"/>
      <c r="PJF142" s="3507"/>
      <c r="PJG142" s="3507"/>
      <c r="PJH142" s="3507"/>
      <c r="PJI142" s="3507"/>
      <c r="PJJ142" s="3507"/>
      <c r="PJK142" s="3507"/>
      <c r="PJL142" s="3507"/>
      <c r="PJM142" s="3507"/>
      <c r="PJN142" s="3507"/>
      <c r="PJO142" s="3507"/>
      <c r="PJP142" s="3507"/>
      <c r="PJQ142" s="3507"/>
      <c r="PJR142" s="3507"/>
      <c r="PJS142" s="3507"/>
      <c r="PJT142" s="3507"/>
      <c r="PJU142" s="3507"/>
      <c r="PJV142" s="3507"/>
      <c r="PJW142" s="3507"/>
      <c r="PJX142" s="3507"/>
      <c r="PJY142" s="3507"/>
      <c r="PJZ142" s="3507"/>
      <c r="PKA142" s="3507"/>
      <c r="PKB142" s="3507"/>
      <c r="PKC142" s="3507"/>
      <c r="PKD142" s="3507"/>
      <c r="PKE142" s="3507"/>
      <c r="PKF142" s="3507"/>
      <c r="PKG142" s="3507"/>
      <c r="PKH142" s="3507"/>
      <c r="PKI142" s="3507"/>
      <c r="PKJ142" s="3507"/>
      <c r="PKK142" s="3507"/>
      <c r="PKL142" s="3507"/>
      <c r="PKM142" s="3507"/>
      <c r="PKN142" s="3507"/>
      <c r="PKO142" s="3507"/>
      <c r="PKP142" s="3507"/>
      <c r="PKQ142" s="3507"/>
      <c r="PKR142" s="3507"/>
      <c r="PKS142" s="3507"/>
      <c r="PKT142" s="3507"/>
      <c r="PKU142" s="3507"/>
      <c r="PKV142" s="3507"/>
      <c r="PKW142" s="3507"/>
      <c r="PKX142" s="3507"/>
      <c r="PKY142" s="3507"/>
      <c r="PKZ142" s="3507"/>
      <c r="PLA142" s="3507"/>
      <c r="PLB142" s="3507"/>
      <c r="PLC142" s="3507"/>
      <c r="PLD142" s="3507"/>
      <c r="PLE142" s="3507"/>
      <c r="PLF142" s="3507"/>
      <c r="PLG142" s="3507"/>
      <c r="PLH142" s="3507"/>
      <c r="PLI142" s="3507"/>
      <c r="PLJ142" s="3507"/>
      <c r="PLK142" s="3507"/>
      <c r="PLL142" s="3507"/>
      <c r="PLM142" s="3507"/>
      <c r="PLN142" s="3507"/>
      <c r="PLO142" s="3507"/>
      <c r="PLP142" s="3507"/>
      <c r="PLQ142" s="3507"/>
      <c r="PLR142" s="3507"/>
      <c r="PLS142" s="3507"/>
      <c r="PLT142" s="3507"/>
      <c r="PLU142" s="3507"/>
      <c r="PLV142" s="3507"/>
      <c r="PLW142" s="3507"/>
      <c r="PLX142" s="3507"/>
      <c r="PLY142" s="3507"/>
      <c r="PLZ142" s="3507"/>
      <c r="PMA142" s="3507"/>
      <c r="PMB142" s="3507"/>
      <c r="PMC142" s="3507"/>
      <c r="PMD142" s="3507"/>
      <c r="PME142" s="3507"/>
      <c r="PMF142" s="3507"/>
      <c r="PMG142" s="3507"/>
      <c r="PMH142" s="3507"/>
      <c r="PMI142" s="3507"/>
      <c r="PMJ142" s="3507"/>
      <c r="PMK142" s="3507"/>
      <c r="PML142" s="3507"/>
      <c r="PMM142" s="3507"/>
      <c r="PMN142" s="3507"/>
      <c r="PMO142" s="3507"/>
      <c r="PMP142" s="3507"/>
      <c r="PMQ142" s="3507"/>
      <c r="PMR142" s="3507"/>
      <c r="PMS142" s="3507"/>
      <c r="PMT142" s="3507"/>
      <c r="PMU142" s="3507"/>
      <c r="PMV142" s="3507"/>
      <c r="PMW142" s="3507"/>
      <c r="PMX142" s="3507"/>
      <c r="PMY142" s="3507"/>
      <c r="PMZ142" s="3507"/>
      <c r="PNA142" s="3507"/>
      <c r="PNB142" s="3507"/>
      <c r="PNC142" s="3507"/>
      <c r="PND142" s="3507"/>
      <c r="PNE142" s="3507"/>
      <c r="PNF142" s="3507"/>
      <c r="PNG142" s="3507"/>
      <c r="PNH142" s="3507"/>
      <c r="PNI142" s="3507"/>
      <c r="PNJ142" s="3507"/>
      <c r="PNK142" s="3507"/>
      <c r="PNL142" s="3507"/>
      <c r="PNM142" s="3507"/>
      <c r="PNN142" s="3507"/>
      <c r="PNO142" s="3507"/>
      <c r="PNP142" s="3507"/>
      <c r="PNQ142" s="3507"/>
      <c r="PNR142" s="3507"/>
      <c r="PNS142" s="3507"/>
      <c r="PNT142" s="3507"/>
      <c r="PNU142" s="3507"/>
      <c r="PNV142" s="3507"/>
      <c r="PNW142" s="3507"/>
      <c r="PNX142" s="3507"/>
      <c r="PNY142" s="3507"/>
      <c r="PNZ142" s="3507"/>
      <c r="POA142" s="3507"/>
      <c r="POB142" s="3507"/>
      <c r="POC142" s="3507"/>
      <c r="POD142" s="3507"/>
      <c r="POE142" s="3507"/>
      <c r="POF142" s="3507"/>
      <c r="POG142" s="3507"/>
      <c r="POH142" s="3507"/>
      <c r="POI142" s="3507"/>
      <c r="POJ142" s="3507"/>
      <c r="POK142" s="3507"/>
      <c r="POL142" s="3507"/>
      <c r="POM142" s="3507"/>
      <c r="PON142" s="3507"/>
      <c r="POO142" s="3507"/>
      <c r="POP142" s="3507"/>
      <c r="POQ142" s="3507"/>
      <c r="POR142" s="3507"/>
      <c r="POS142" s="3507"/>
      <c r="POT142" s="3507"/>
      <c r="POU142" s="3507"/>
      <c r="POV142" s="3507"/>
      <c r="POW142" s="3507"/>
      <c r="POX142" s="3507"/>
      <c r="POY142" s="3507"/>
      <c r="POZ142" s="3507"/>
      <c r="PPA142" s="3507"/>
      <c r="PPB142" s="3507"/>
      <c r="PPC142" s="3507"/>
      <c r="PPD142" s="3507"/>
      <c r="PPE142" s="3507"/>
      <c r="PPF142" s="3507"/>
      <c r="PPG142" s="3507"/>
      <c r="PPH142" s="3507"/>
      <c r="PPI142" s="3507"/>
      <c r="PPJ142" s="3507"/>
      <c r="PPK142" s="3507"/>
      <c r="PPL142" s="3507"/>
      <c r="PPM142" s="3507"/>
      <c r="PPN142" s="3507"/>
      <c r="PPO142" s="3507"/>
      <c r="PPP142" s="3507"/>
      <c r="PPQ142" s="3507"/>
      <c r="PPR142" s="3507"/>
      <c r="PPS142" s="3507"/>
      <c r="PPT142" s="3507"/>
      <c r="PPU142" s="3507"/>
      <c r="PPV142" s="3507"/>
      <c r="PPW142" s="3507"/>
      <c r="PPX142" s="3507"/>
      <c r="PPY142" s="3507"/>
      <c r="PPZ142" s="3507"/>
      <c r="PQA142" s="3507"/>
      <c r="PQB142" s="3507"/>
      <c r="PQC142" s="3507"/>
      <c r="PQD142" s="3507"/>
      <c r="PQE142" s="3507"/>
      <c r="PQF142" s="3507"/>
      <c r="PQG142" s="3507"/>
      <c r="PQH142" s="3507"/>
      <c r="PQI142" s="3507"/>
      <c r="PQJ142" s="3507"/>
      <c r="PQK142" s="3507"/>
      <c r="PQL142" s="3507"/>
      <c r="PQM142" s="3507"/>
      <c r="PQN142" s="3507"/>
      <c r="PQO142" s="3507"/>
      <c r="PQP142" s="3507"/>
      <c r="PQQ142" s="3507"/>
      <c r="PQR142" s="3507"/>
      <c r="PQS142" s="3507"/>
      <c r="PQT142" s="3507"/>
      <c r="PQU142" s="3507"/>
      <c r="PQV142" s="3507"/>
      <c r="PQW142" s="3507"/>
      <c r="PQX142" s="3507"/>
      <c r="PQY142" s="3507"/>
      <c r="PQZ142" s="3507"/>
      <c r="PRA142" s="3507"/>
      <c r="PRB142" s="3507"/>
      <c r="PRC142" s="3507"/>
      <c r="PRD142" s="3507"/>
      <c r="PRE142" s="3507"/>
      <c r="PRF142" s="3507"/>
      <c r="PRG142" s="3507"/>
      <c r="PRH142" s="3507"/>
      <c r="PRI142" s="3507"/>
      <c r="PRJ142" s="3507"/>
      <c r="PRK142" s="3507"/>
      <c r="PRL142" s="3507"/>
      <c r="PRM142" s="3507"/>
      <c r="PRN142" s="3507"/>
      <c r="PRO142" s="3507"/>
      <c r="PRP142" s="3507"/>
      <c r="PRQ142" s="3507"/>
      <c r="PRR142" s="3507"/>
      <c r="PRS142" s="3507"/>
      <c r="PRT142" s="3507"/>
      <c r="PRU142" s="3507"/>
      <c r="PRV142" s="3507"/>
      <c r="PRW142" s="3507"/>
      <c r="PRX142" s="3507"/>
      <c r="PRY142" s="3507"/>
      <c r="PRZ142" s="3507"/>
      <c r="PSA142" s="3507"/>
      <c r="PSB142" s="3507"/>
      <c r="PSC142" s="3507"/>
      <c r="PSD142" s="3507"/>
      <c r="PSE142" s="3507"/>
      <c r="PSF142" s="3507"/>
      <c r="PSG142" s="3507"/>
      <c r="PSH142" s="3507"/>
      <c r="PSI142" s="3507"/>
      <c r="PSJ142" s="3507"/>
      <c r="PSK142" s="3507"/>
      <c r="PSL142" s="3507"/>
      <c r="PSM142" s="3507"/>
      <c r="PSN142" s="3507"/>
      <c r="PSO142" s="3507"/>
      <c r="PSP142" s="3507"/>
      <c r="PSQ142" s="3507"/>
      <c r="PSR142" s="3507"/>
      <c r="PSS142" s="3507"/>
      <c r="PST142" s="3507"/>
      <c r="PSU142" s="3507"/>
      <c r="PSV142" s="3507"/>
      <c r="PSW142" s="3507"/>
      <c r="PSX142" s="3507"/>
      <c r="PSY142" s="3507"/>
      <c r="PSZ142" s="3507"/>
      <c r="PTA142" s="3507"/>
      <c r="PTB142" s="3507"/>
      <c r="PTC142" s="3507"/>
      <c r="PTD142" s="3507"/>
      <c r="PTE142" s="3507"/>
      <c r="PTF142" s="3507"/>
      <c r="PTG142" s="3507"/>
      <c r="PTH142" s="3507"/>
      <c r="PTI142" s="3507"/>
      <c r="PTJ142" s="3507"/>
      <c r="PTK142" s="3507"/>
      <c r="PTL142" s="3507"/>
      <c r="PTM142" s="3507"/>
      <c r="PTN142" s="3507"/>
      <c r="PTO142" s="3507"/>
      <c r="PTP142" s="3507"/>
      <c r="PTQ142" s="3507"/>
      <c r="PTR142" s="3507"/>
      <c r="PTS142" s="3507"/>
      <c r="PTT142" s="3507"/>
      <c r="PTU142" s="3507"/>
      <c r="PTV142" s="3507"/>
      <c r="PTW142" s="3507"/>
      <c r="PTX142" s="3507"/>
      <c r="PTY142" s="3507"/>
      <c r="PTZ142" s="3507"/>
      <c r="PUA142" s="3507"/>
      <c r="PUB142" s="3507"/>
      <c r="PUC142" s="3507"/>
      <c r="PUD142" s="3507"/>
      <c r="PUE142" s="3507"/>
      <c r="PUF142" s="3507"/>
      <c r="PUG142" s="3507"/>
      <c r="PUH142" s="3507"/>
      <c r="PUI142" s="3507"/>
      <c r="PUJ142" s="3507"/>
      <c r="PUK142" s="3507"/>
      <c r="PUL142" s="3507"/>
      <c r="PUM142" s="3507"/>
      <c r="PUN142" s="3507"/>
      <c r="PUO142" s="3507"/>
      <c r="PUP142" s="3507"/>
      <c r="PUQ142" s="3507"/>
      <c r="PUR142" s="3507"/>
      <c r="PUS142" s="3507"/>
      <c r="PUT142" s="3507"/>
      <c r="PUU142" s="3507"/>
      <c r="PUV142" s="3507"/>
      <c r="PUW142" s="3507"/>
      <c r="PUX142" s="3507"/>
      <c r="PUY142" s="3507"/>
      <c r="PUZ142" s="3507"/>
      <c r="PVA142" s="3507"/>
      <c r="PVB142" s="3507"/>
      <c r="PVC142" s="3507"/>
      <c r="PVD142" s="3507"/>
      <c r="PVE142" s="3507"/>
      <c r="PVF142" s="3507"/>
      <c r="PVG142" s="3507"/>
      <c r="PVH142" s="3507"/>
      <c r="PVI142" s="3507"/>
      <c r="PVJ142" s="3507"/>
      <c r="PVK142" s="3507"/>
      <c r="PVL142" s="3507"/>
      <c r="PVM142" s="3507"/>
      <c r="PVN142" s="3507"/>
      <c r="PVO142" s="3507"/>
      <c r="PVP142" s="3507"/>
      <c r="PVQ142" s="3507"/>
      <c r="PVR142" s="3507"/>
      <c r="PVS142" s="3507"/>
      <c r="PVT142" s="3507"/>
      <c r="PVU142" s="3507"/>
      <c r="PVV142" s="3507"/>
      <c r="PVW142" s="3507"/>
      <c r="PVX142" s="3507"/>
      <c r="PVY142" s="3507"/>
      <c r="PVZ142" s="3507"/>
      <c r="PWA142" s="3507"/>
      <c r="PWB142" s="3507"/>
      <c r="PWC142" s="3507"/>
      <c r="PWD142" s="3507"/>
      <c r="PWE142" s="3507"/>
      <c r="PWF142" s="3507"/>
      <c r="PWG142" s="3507"/>
      <c r="PWH142" s="3507"/>
      <c r="PWI142" s="3507"/>
      <c r="PWJ142" s="3507"/>
      <c r="PWK142" s="3507"/>
      <c r="PWL142" s="3507"/>
      <c r="PWM142" s="3507"/>
      <c r="PWN142" s="3507"/>
      <c r="PWO142" s="3507"/>
      <c r="PWP142" s="3507"/>
      <c r="PWQ142" s="3507"/>
      <c r="PWR142" s="3507"/>
      <c r="PWS142" s="3507"/>
      <c r="PWT142" s="3507"/>
      <c r="PWU142" s="3507"/>
      <c r="PWV142" s="3507"/>
      <c r="PWW142" s="3507"/>
      <c r="PWX142" s="3507"/>
      <c r="PWY142" s="3507"/>
      <c r="PWZ142" s="3507"/>
      <c r="PXA142" s="3507"/>
      <c r="PXB142" s="3507"/>
      <c r="PXC142" s="3507"/>
      <c r="PXD142" s="3507"/>
      <c r="PXE142" s="3507"/>
      <c r="PXF142" s="3507"/>
      <c r="PXG142" s="3507"/>
      <c r="PXH142" s="3507"/>
      <c r="PXI142" s="3507"/>
      <c r="PXJ142" s="3507"/>
      <c r="PXK142" s="3507"/>
      <c r="PXL142" s="3507"/>
      <c r="PXM142" s="3507"/>
      <c r="PXN142" s="3507"/>
      <c r="PXO142" s="3507"/>
      <c r="PXP142" s="3507"/>
      <c r="PXQ142" s="3507"/>
      <c r="PXR142" s="3507"/>
      <c r="PXS142" s="3507"/>
      <c r="PXT142" s="3507"/>
      <c r="PXU142" s="3507"/>
      <c r="PXV142" s="3507"/>
      <c r="PXW142" s="3507"/>
      <c r="PXX142" s="3507"/>
      <c r="PXY142" s="3507"/>
      <c r="PXZ142" s="3507"/>
      <c r="PYA142" s="3507"/>
      <c r="PYB142" s="3507"/>
      <c r="PYC142" s="3507"/>
      <c r="PYD142" s="3507"/>
      <c r="PYE142" s="3507"/>
      <c r="PYF142" s="3507"/>
      <c r="PYG142" s="3507"/>
      <c r="PYH142" s="3507"/>
      <c r="PYI142" s="3507"/>
      <c r="PYJ142" s="3507"/>
      <c r="PYK142" s="3507"/>
      <c r="PYL142" s="3507"/>
      <c r="PYM142" s="3507"/>
      <c r="PYN142" s="3507"/>
      <c r="PYO142" s="3507"/>
      <c r="PYP142" s="3507"/>
      <c r="PYQ142" s="3507"/>
      <c r="PYR142" s="3507"/>
      <c r="PYS142" s="3507"/>
      <c r="PYT142" s="3507"/>
      <c r="PYU142" s="3507"/>
      <c r="PYV142" s="3507"/>
      <c r="PYW142" s="3507"/>
      <c r="PYX142" s="3507"/>
      <c r="PYY142" s="3507"/>
      <c r="PYZ142" s="3507"/>
      <c r="PZA142" s="3507"/>
      <c r="PZB142" s="3507"/>
      <c r="PZC142" s="3507"/>
      <c r="PZD142" s="3507"/>
      <c r="PZE142" s="3507"/>
      <c r="PZF142" s="3507"/>
      <c r="PZG142" s="3507"/>
      <c r="PZH142" s="3507"/>
      <c r="PZI142" s="3507"/>
      <c r="PZJ142" s="3507"/>
      <c r="PZK142" s="3507"/>
      <c r="PZL142" s="3507"/>
      <c r="PZM142" s="3507"/>
      <c r="PZN142" s="3507"/>
      <c r="PZO142" s="3507"/>
      <c r="PZP142" s="3507"/>
      <c r="PZQ142" s="3507"/>
      <c r="PZR142" s="3507"/>
      <c r="PZS142" s="3507"/>
      <c r="PZT142" s="3507"/>
      <c r="PZU142" s="3507"/>
      <c r="PZV142" s="3507"/>
      <c r="PZW142" s="3507"/>
      <c r="PZX142" s="3507"/>
      <c r="PZY142" s="3507"/>
      <c r="PZZ142" s="3507"/>
      <c r="QAA142" s="3507"/>
      <c r="QAB142" s="3507"/>
      <c r="QAC142" s="3507"/>
      <c r="QAD142" s="3507"/>
      <c r="QAE142" s="3507"/>
      <c r="QAF142" s="3507"/>
      <c r="QAG142" s="3507"/>
      <c r="QAH142" s="3507"/>
      <c r="QAI142" s="3507"/>
      <c r="QAJ142" s="3507"/>
      <c r="QAK142" s="3507"/>
      <c r="QAL142" s="3507"/>
      <c r="QAM142" s="3507"/>
      <c r="QAN142" s="3507"/>
      <c r="QAO142" s="3507"/>
      <c r="QAP142" s="3507"/>
      <c r="QAQ142" s="3507"/>
      <c r="QAR142" s="3507"/>
      <c r="QAS142" s="3507"/>
      <c r="QAT142" s="3507"/>
      <c r="QAU142" s="3507"/>
      <c r="QAV142" s="3507"/>
      <c r="QAW142" s="3507"/>
      <c r="QAX142" s="3507"/>
      <c r="QAY142" s="3507"/>
      <c r="QAZ142" s="3507"/>
      <c r="QBA142" s="3507"/>
      <c r="QBB142" s="3507"/>
      <c r="QBC142" s="3507"/>
      <c r="QBD142" s="3507"/>
      <c r="QBE142" s="3507"/>
      <c r="QBF142" s="3507"/>
      <c r="QBG142" s="3507"/>
      <c r="QBH142" s="3507"/>
      <c r="QBI142" s="3507"/>
      <c r="QBJ142" s="3507"/>
      <c r="QBK142" s="3507"/>
      <c r="QBL142" s="3507"/>
      <c r="QBM142" s="3507"/>
      <c r="QBN142" s="3507"/>
      <c r="QBO142" s="3507"/>
      <c r="QBP142" s="3507"/>
      <c r="QBQ142" s="3507"/>
      <c r="QBR142" s="3507"/>
      <c r="QBS142" s="3507"/>
      <c r="QBT142" s="3507"/>
      <c r="QBU142" s="3507"/>
      <c r="QBV142" s="3507"/>
      <c r="QBW142" s="3507"/>
      <c r="QBX142" s="3507"/>
      <c r="QBY142" s="3507"/>
      <c r="QBZ142" s="3507"/>
      <c r="QCA142" s="3507"/>
      <c r="QCB142" s="3507"/>
      <c r="QCC142" s="3507"/>
      <c r="QCD142" s="3507"/>
      <c r="QCE142" s="3507"/>
      <c r="QCF142" s="3507"/>
      <c r="QCG142" s="3507"/>
      <c r="QCH142" s="3507"/>
      <c r="QCI142" s="3507"/>
      <c r="QCJ142" s="3507"/>
      <c r="QCK142" s="3507"/>
      <c r="QCL142" s="3507"/>
      <c r="QCM142" s="3507"/>
      <c r="QCN142" s="3507"/>
      <c r="QCO142" s="3507"/>
      <c r="QCP142" s="3507"/>
      <c r="QCQ142" s="3507"/>
      <c r="QCR142" s="3507"/>
      <c r="QCS142" s="3507"/>
      <c r="QCT142" s="3507"/>
      <c r="QCU142" s="3507"/>
      <c r="QCV142" s="3507"/>
      <c r="QCW142" s="3507"/>
      <c r="QCX142" s="3507"/>
      <c r="QCY142" s="3507"/>
      <c r="QCZ142" s="3507"/>
      <c r="QDA142" s="3507"/>
      <c r="QDB142" s="3507"/>
      <c r="QDC142" s="3507"/>
      <c r="QDD142" s="3507"/>
      <c r="QDE142" s="3507"/>
      <c r="QDF142" s="3507"/>
      <c r="QDG142" s="3507"/>
      <c r="QDH142" s="3507"/>
      <c r="QDI142" s="3507"/>
      <c r="QDJ142" s="3507"/>
      <c r="QDK142" s="3507"/>
      <c r="QDL142" s="3507"/>
      <c r="QDM142" s="3507"/>
      <c r="QDN142" s="3507"/>
      <c r="QDO142" s="3507"/>
      <c r="QDP142" s="3507"/>
      <c r="QDQ142" s="3507"/>
      <c r="QDR142" s="3507"/>
      <c r="QDS142" s="3507"/>
      <c r="QDT142" s="3507"/>
      <c r="QDU142" s="3507"/>
      <c r="QDV142" s="3507"/>
      <c r="QDW142" s="3507"/>
      <c r="QDX142" s="3507"/>
      <c r="QDY142" s="3507"/>
      <c r="QDZ142" s="3507"/>
      <c r="QEA142" s="3507"/>
      <c r="QEB142" s="3507"/>
      <c r="QEC142" s="3507"/>
      <c r="QED142" s="3507"/>
      <c r="QEE142" s="3507"/>
      <c r="QEF142" s="3507"/>
      <c r="QEG142" s="3507"/>
      <c r="QEH142" s="3507"/>
      <c r="QEI142" s="3507"/>
      <c r="QEJ142" s="3507"/>
      <c r="QEK142" s="3507"/>
      <c r="QEL142" s="3507"/>
      <c r="QEM142" s="3507"/>
      <c r="QEN142" s="3507"/>
      <c r="QEO142" s="3507"/>
      <c r="QEP142" s="3507"/>
      <c r="QEQ142" s="3507"/>
      <c r="QER142" s="3507"/>
      <c r="QES142" s="3507"/>
      <c r="QET142" s="3507"/>
      <c r="QEU142" s="3507"/>
      <c r="QEV142" s="3507"/>
      <c r="QEW142" s="3507"/>
      <c r="QEX142" s="3507"/>
      <c r="QEY142" s="3507"/>
      <c r="QEZ142" s="3507"/>
      <c r="QFA142" s="3507"/>
      <c r="QFB142" s="3507"/>
      <c r="QFC142" s="3507"/>
      <c r="QFD142" s="3507"/>
      <c r="QFE142" s="3507"/>
      <c r="QFF142" s="3507"/>
      <c r="QFG142" s="3507"/>
      <c r="QFH142" s="3507"/>
      <c r="QFI142" s="3507"/>
      <c r="QFJ142" s="3507"/>
      <c r="QFK142" s="3507"/>
      <c r="QFL142" s="3507"/>
      <c r="QFM142" s="3507"/>
      <c r="QFN142" s="3507"/>
      <c r="QFO142" s="3507"/>
      <c r="QFP142" s="3507"/>
      <c r="QFQ142" s="3507"/>
      <c r="QFR142" s="3507"/>
      <c r="QFS142" s="3507"/>
      <c r="QFT142" s="3507"/>
      <c r="QFU142" s="3507"/>
      <c r="QFV142" s="3507"/>
      <c r="QFW142" s="3507"/>
      <c r="QFX142" s="3507"/>
      <c r="QFY142" s="3507"/>
      <c r="QFZ142" s="3507"/>
      <c r="QGA142" s="3507"/>
      <c r="QGB142" s="3507"/>
      <c r="QGC142" s="3507"/>
      <c r="QGD142" s="3507"/>
      <c r="QGE142" s="3507"/>
      <c r="QGF142" s="3507"/>
      <c r="QGG142" s="3507"/>
      <c r="QGH142" s="3507"/>
      <c r="QGI142" s="3507"/>
      <c r="QGJ142" s="3507"/>
      <c r="QGK142" s="3507"/>
      <c r="QGL142" s="3507"/>
      <c r="QGM142" s="3507"/>
      <c r="QGN142" s="3507"/>
      <c r="QGO142" s="3507"/>
      <c r="QGP142" s="3507"/>
      <c r="QGQ142" s="3507"/>
      <c r="QGR142" s="3507"/>
      <c r="QGS142" s="3507"/>
      <c r="QGT142" s="3507"/>
      <c r="QGU142" s="3507"/>
      <c r="QGV142" s="3507"/>
      <c r="QGW142" s="3507"/>
      <c r="QGX142" s="3507"/>
      <c r="QGY142" s="3507"/>
      <c r="QGZ142" s="3507"/>
      <c r="QHA142" s="3507"/>
      <c r="QHB142" s="3507"/>
      <c r="QHC142" s="3507"/>
      <c r="QHD142" s="3507"/>
      <c r="QHE142" s="3507"/>
      <c r="QHF142" s="3507"/>
      <c r="QHG142" s="3507"/>
      <c r="QHH142" s="3507"/>
      <c r="QHI142" s="3507"/>
      <c r="QHJ142" s="3507"/>
      <c r="QHK142" s="3507"/>
      <c r="QHL142" s="3507"/>
      <c r="QHM142" s="3507"/>
      <c r="QHN142" s="3507"/>
      <c r="QHO142" s="3507"/>
      <c r="QHP142" s="3507"/>
      <c r="QHQ142" s="3507"/>
      <c r="QHR142" s="3507"/>
      <c r="QHS142" s="3507"/>
      <c r="QHT142" s="3507"/>
      <c r="QHU142" s="3507"/>
      <c r="QHV142" s="3507"/>
      <c r="QHW142" s="3507"/>
      <c r="QHX142" s="3507"/>
      <c r="QHY142" s="3507"/>
      <c r="QHZ142" s="3507"/>
      <c r="QIA142" s="3507"/>
      <c r="QIB142" s="3507"/>
      <c r="QIC142" s="3507"/>
      <c r="QID142" s="3507"/>
      <c r="QIE142" s="3507"/>
      <c r="QIF142" s="3507"/>
      <c r="QIG142" s="3507"/>
      <c r="QIH142" s="3507"/>
      <c r="QII142" s="3507"/>
      <c r="QIJ142" s="3507"/>
      <c r="QIK142" s="3507"/>
      <c r="QIL142" s="3507"/>
      <c r="QIM142" s="3507"/>
      <c r="QIN142" s="3507"/>
      <c r="QIO142" s="3507"/>
      <c r="QIP142" s="3507"/>
      <c r="QIQ142" s="3507"/>
      <c r="QIR142" s="3507"/>
      <c r="QIS142" s="3507"/>
      <c r="QIT142" s="3507"/>
      <c r="QIU142" s="3507"/>
      <c r="QIV142" s="3507"/>
      <c r="QIW142" s="3507"/>
      <c r="QIX142" s="3507"/>
      <c r="QIY142" s="3507"/>
      <c r="QIZ142" s="3507"/>
      <c r="QJA142" s="3507"/>
      <c r="QJB142" s="3507"/>
      <c r="QJC142" s="3507"/>
      <c r="QJD142" s="3507"/>
      <c r="QJE142" s="3507"/>
      <c r="QJF142" s="3507"/>
      <c r="QJG142" s="3507"/>
      <c r="QJH142" s="3507"/>
      <c r="QJI142" s="3507"/>
      <c r="QJJ142" s="3507"/>
      <c r="QJK142" s="3507"/>
      <c r="QJL142" s="3507"/>
      <c r="QJM142" s="3507"/>
      <c r="QJN142" s="3507"/>
      <c r="QJO142" s="3507"/>
      <c r="QJP142" s="3507"/>
      <c r="QJQ142" s="3507"/>
      <c r="QJR142" s="3507"/>
      <c r="QJS142" s="3507"/>
      <c r="QJT142" s="3507"/>
      <c r="QJU142" s="3507"/>
      <c r="QJV142" s="3507"/>
      <c r="QJW142" s="3507"/>
      <c r="QJX142" s="3507"/>
      <c r="QJY142" s="3507"/>
      <c r="QJZ142" s="3507"/>
      <c r="QKA142" s="3507"/>
      <c r="QKB142" s="3507"/>
      <c r="QKC142" s="3507"/>
      <c r="QKD142" s="3507"/>
      <c r="QKE142" s="3507"/>
      <c r="QKF142" s="3507"/>
      <c r="QKG142" s="3507"/>
      <c r="QKH142" s="3507"/>
      <c r="QKI142" s="3507"/>
      <c r="QKJ142" s="3507"/>
      <c r="QKK142" s="3507"/>
      <c r="QKL142" s="3507"/>
      <c r="QKM142" s="3507"/>
      <c r="QKN142" s="3507"/>
      <c r="QKO142" s="3507"/>
      <c r="QKP142" s="3507"/>
      <c r="QKQ142" s="3507"/>
      <c r="QKR142" s="3507"/>
      <c r="QKS142" s="3507"/>
      <c r="QKT142" s="3507"/>
      <c r="QKU142" s="3507"/>
      <c r="QKV142" s="3507"/>
      <c r="QKW142" s="3507"/>
      <c r="QKX142" s="3507"/>
      <c r="QKY142" s="3507"/>
      <c r="QKZ142" s="3507"/>
      <c r="QLA142" s="3507"/>
      <c r="QLB142" s="3507"/>
      <c r="QLC142" s="3507"/>
      <c r="QLD142" s="3507"/>
      <c r="QLE142" s="3507"/>
      <c r="QLF142" s="3507"/>
      <c r="QLG142" s="3507"/>
      <c r="QLH142" s="3507"/>
      <c r="QLI142" s="3507"/>
      <c r="QLJ142" s="3507"/>
      <c r="QLK142" s="3507"/>
      <c r="QLL142" s="3507"/>
      <c r="QLM142" s="3507"/>
      <c r="QLN142" s="3507"/>
      <c r="QLO142" s="3507"/>
      <c r="QLP142" s="3507"/>
      <c r="QLQ142" s="3507"/>
      <c r="QLR142" s="3507"/>
      <c r="QLS142" s="3507"/>
      <c r="QLT142" s="3507"/>
      <c r="QLU142" s="3507"/>
      <c r="QLV142" s="3507"/>
      <c r="QLW142" s="3507"/>
      <c r="QLX142" s="3507"/>
      <c r="QLY142" s="3507"/>
      <c r="QLZ142" s="3507"/>
      <c r="QMA142" s="3507"/>
      <c r="QMB142" s="3507"/>
      <c r="QMC142" s="3507"/>
      <c r="QMD142" s="3507"/>
      <c r="QME142" s="3507"/>
      <c r="QMF142" s="3507"/>
      <c r="QMG142" s="3507"/>
      <c r="QMH142" s="3507"/>
      <c r="QMI142" s="3507"/>
      <c r="QMJ142" s="3507"/>
      <c r="QMK142" s="3507"/>
      <c r="QML142" s="3507"/>
      <c r="QMM142" s="3507"/>
      <c r="QMN142" s="3507"/>
      <c r="QMO142" s="3507"/>
      <c r="QMP142" s="3507"/>
      <c r="QMQ142" s="3507"/>
      <c r="QMR142" s="3507"/>
      <c r="QMS142" s="3507"/>
      <c r="QMT142" s="3507"/>
      <c r="QMU142" s="3507"/>
      <c r="QMV142" s="3507"/>
      <c r="QMW142" s="3507"/>
      <c r="QMX142" s="3507"/>
      <c r="QMY142" s="3507"/>
      <c r="QMZ142" s="3507"/>
      <c r="QNA142" s="3507"/>
      <c r="QNB142" s="3507"/>
      <c r="QNC142" s="3507"/>
      <c r="QND142" s="3507"/>
      <c r="QNE142" s="3507"/>
      <c r="QNF142" s="3507"/>
      <c r="QNG142" s="3507"/>
      <c r="QNH142" s="3507"/>
      <c r="QNI142" s="3507"/>
      <c r="QNJ142" s="3507"/>
      <c r="QNK142" s="3507"/>
      <c r="QNL142" s="3507"/>
      <c r="QNM142" s="3507"/>
      <c r="QNN142" s="3507"/>
      <c r="QNO142" s="3507"/>
      <c r="QNP142" s="3507"/>
      <c r="QNQ142" s="3507"/>
      <c r="QNR142" s="3507"/>
      <c r="QNS142" s="3507"/>
      <c r="QNT142" s="3507"/>
      <c r="QNU142" s="3507"/>
      <c r="QNV142" s="3507"/>
      <c r="QNW142" s="3507"/>
      <c r="QNX142" s="3507"/>
      <c r="QNY142" s="3507"/>
      <c r="QNZ142" s="3507"/>
      <c r="QOA142" s="3507"/>
      <c r="QOB142" s="3507"/>
      <c r="QOC142" s="3507"/>
      <c r="QOD142" s="3507"/>
      <c r="QOE142" s="3507"/>
      <c r="QOF142" s="3507"/>
      <c r="QOG142" s="3507"/>
      <c r="QOH142" s="3507"/>
      <c r="QOI142" s="3507"/>
      <c r="QOJ142" s="3507"/>
      <c r="QOK142" s="3507"/>
      <c r="QOL142" s="3507"/>
      <c r="QOM142" s="3507"/>
      <c r="QON142" s="3507"/>
      <c r="QOO142" s="3507"/>
      <c r="QOP142" s="3507"/>
      <c r="QOQ142" s="3507"/>
      <c r="QOR142" s="3507"/>
      <c r="QOS142" s="3507"/>
      <c r="QOT142" s="3507"/>
      <c r="QOU142" s="3507"/>
      <c r="QOV142" s="3507"/>
      <c r="QOW142" s="3507"/>
      <c r="QOX142" s="3507"/>
      <c r="QOY142" s="3507"/>
      <c r="QOZ142" s="3507"/>
      <c r="QPA142" s="3507"/>
      <c r="QPB142" s="3507"/>
      <c r="QPC142" s="3507"/>
      <c r="QPD142" s="3507"/>
      <c r="QPE142" s="3507"/>
      <c r="QPF142" s="3507"/>
      <c r="QPG142" s="3507"/>
      <c r="QPH142" s="3507"/>
      <c r="QPI142" s="3507"/>
      <c r="QPJ142" s="3507"/>
      <c r="QPK142" s="3507"/>
      <c r="QPL142" s="3507"/>
      <c r="QPM142" s="3507"/>
      <c r="QPN142" s="3507"/>
      <c r="QPO142" s="3507"/>
      <c r="QPP142" s="3507"/>
      <c r="QPQ142" s="3507"/>
      <c r="QPR142" s="3507"/>
      <c r="QPS142" s="3507"/>
      <c r="QPT142" s="3507"/>
      <c r="QPU142" s="3507"/>
      <c r="QPV142" s="3507"/>
      <c r="QPW142" s="3507"/>
      <c r="QPX142" s="3507"/>
      <c r="QPY142" s="3507"/>
      <c r="QPZ142" s="3507"/>
      <c r="QQA142" s="3507"/>
      <c r="QQB142" s="3507"/>
      <c r="QQC142" s="3507"/>
      <c r="QQD142" s="3507"/>
      <c r="QQE142" s="3507"/>
      <c r="QQF142" s="3507"/>
      <c r="QQG142" s="3507"/>
      <c r="QQH142" s="3507"/>
      <c r="QQI142" s="3507"/>
      <c r="QQJ142" s="3507"/>
      <c r="QQK142" s="3507"/>
      <c r="QQL142" s="3507"/>
      <c r="QQM142" s="3507"/>
      <c r="QQN142" s="3507"/>
      <c r="QQO142" s="3507"/>
      <c r="QQP142" s="3507"/>
      <c r="QQQ142" s="3507"/>
      <c r="QQR142" s="3507"/>
      <c r="QQS142" s="3507"/>
      <c r="QQT142" s="3507"/>
      <c r="QQU142" s="3507"/>
      <c r="QQV142" s="3507"/>
      <c r="QQW142" s="3507"/>
      <c r="QQX142" s="3507"/>
      <c r="QQY142" s="3507"/>
      <c r="QQZ142" s="3507"/>
      <c r="QRA142" s="3507"/>
      <c r="QRB142" s="3507"/>
      <c r="QRC142" s="3507"/>
      <c r="QRD142" s="3507"/>
      <c r="QRE142" s="3507"/>
      <c r="QRF142" s="3507"/>
      <c r="QRG142" s="3507"/>
      <c r="QRH142" s="3507"/>
      <c r="QRI142" s="3507"/>
      <c r="QRJ142" s="3507"/>
      <c r="QRK142" s="3507"/>
      <c r="QRL142" s="3507"/>
      <c r="QRM142" s="3507"/>
      <c r="QRN142" s="3507"/>
      <c r="QRO142" s="3507"/>
      <c r="QRP142" s="3507"/>
      <c r="QRQ142" s="3507"/>
      <c r="QRR142" s="3507"/>
      <c r="QRS142" s="3507"/>
      <c r="QRT142" s="3507"/>
      <c r="QRU142" s="3507"/>
      <c r="QRV142" s="3507"/>
      <c r="QRW142" s="3507"/>
      <c r="QRX142" s="3507"/>
      <c r="QRY142" s="3507"/>
      <c r="QRZ142" s="3507"/>
      <c r="QSA142" s="3507"/>
      <c r="QSB142" s="3507"/>
      <c r="QSC142" s="3507"/>
      <c r="QSD142" s="3507"/>
      <c r="QSE142" s="3507"/>
      <c r="QSF142" s="3507"/>
      <c r="QSG142" s="3507"/>
      <c r="QSH142" s="3507"/>
      <c r="QSI142" s="3507"/>
      <c r="QSJ142" s="3507"/>
      <c r="QSK142" s="3507"/>
      <c r="QSL142" s="3507"/>
      <c r="QSM142" s="3507"/>
      <c r="QSN142" s="3507"/>
      <c r="QSO142" s="3507"/>
      <c r="QSP142" s="3507"/>
      <c r="QSQ142" s="3507"/>
      <c r="QSR142" s="3507"/>
      <c r="QSS142" s="3507"/>
      <c r="QST142" s="3507"/>
      <c r="QSU142" s="3507"/>
      <c r="QSV142" s="3507"/>
      <c r="QSW142" s="3507"/>
      <c r="QSX142" s="3507"/>
      <c r="QSY142" s="3507"/>
      <c r="QSZ142" s="3507"/>
      <c r="QTA142" s="3507"/>
      <c r="QTB142" s="3507"/>
      <c r="QTC142" s="3507"/>
      <c r="QTD142" s="3507"/>
      <c r="QTE142" s="3507"/>
      <c r="QTF142" s="3507"/>
      <c r="QTG142" s="3507"/>
      <c r="QTH142" s="3507"/>
      <c r="QTI142" s="3507"/>
      <c r="QTJ142" s="3507"/>
      <c r="QTK142" s="3507"/>
      <c r="QTL142" s="3507"/>
      <c r="QTM142" s="3507"/>
      <c r="QTN142" s="3507"/>
      <c r="QTO142" s="3507"/>
      <c r="QTP142" s="3507"/>
      <c r="QTQ142" s="3507"/>
      <c r="QTR142" s="3507"/>
      <c r="QTS142" s="3507"/>
      <c r="QTT142" s="3507"/>
      <c r="QTU142" s="3507"/>
      <c r="QTV142" s="3507"/>
      <c r="QTW142" s="3507"/>
      <c r="QTX142" s="3507"/>
      <c r="QTY142" s="3507"/>
      <c r="QTZ142" s="3507"/>
      <c r="QUA142" s="3507"/>
      <c r="QUB142" s="3507"/>
      <c r="QUC142" s="3507"/>
      <c r="QUD142" s="3507"/>
      <c r="QUE142" s="3507"/>
      <c r="QUF142" s="3507"/>
      <c r="QUG142" s="3507"/>
      <c r="QUH142" s="3507"/>
      <c r="QUI142" s="3507"/>
      <c r="QUJ142" s="3507"/>
      <c r="QUK142" s="3507"/>
      <c r="QUL142" s="3507"/>
      <c r="QUM142" s="3507"/>
      <c r="QUN142" s="3507"/>
      <c r="QUO142" s="3507"/>
      <c r="QUP142" s="3507"/>
      <c r="QUQ142" s="3507"/>
      <c r="QUR142" s="3507"/>
      <c r="QUS142" s="3507"/>
      <c r="QUT142" s="3507"/>
      <c r="QUU142" s="3507"/>
      <c r="QUV142" s="3507"/>
      <c r="QUW142" s="3507"/>
      <c r="QUX142" s="3507"/>
      <c r="QUY142" s="3507"/>
      <c r="QUZ142" s="3507"/>
      <c r="QVA142" s="3507"/>
      <c r="QVB142" s="3507"/>
      <c r="QVC142" s="3507"/>
      <c r="QVD142" s="3507"/>
      <c r="QVE142" s="3507"/>
      <c r="QVF142" s="3507"/>
      <c r="QVG142" s="3507"/>
      <c r="QVH142" s="3507"/>
      <c r="QVI142" s="3507"/>
      <c r="QVJ142" s="3507"/>
      <c r="QVK142" s="3507"/>
      <c r="QVL142" s="3507"/>
      <c r="QVM142" s="3507"/>
      <c r="QVN142" s="3507"/>
      <c r="QVO142" s="3507"/>
      <c r="QVP142" s="3507"/>
      <c r="QVQ142" s="3507"/>
      <c r="QVR142" s="3507"/>
      <c r="QVS142" s="3507"/>
      <c r="QVT142" s="3507"/>
      <c r="QVU142" s="3507"/>
      <c r="QVV142" s="3507"/>
      <c r="QVW142" s="3507"/>
      <c r="QVX142" s="3507"/>
      <c r="QVY142" s="3507"/>
      <c r="QVZ142" s="3507"/>
      <c r="QWA142" s="3507"/>
      <c r="QWB142" s="3507"/>
      <c r="QWC142" s="3507"/>
      <c r="QWD142" s="3507"/>
      <c r="QWE142" s="3507"/>
      <c r="QWF142" s="3507"/>
      <c r="QWG142" s="3507"/>
      <c r="QWH142" s="3507"/>
      <c r="QWI142" s="3507"/>
      <c r="QWJ142" s="3507"/>
      <c r="QWK142" s="3507"/>
      <c r="QWL142" s="3507"/>
      <c r="QWM142" s="3507"/>
      <c r="QWN142" s="3507"/>
      <c r="QWO142" s="3507"/>
      <c r="QWP142" s="3507"/>
      <c r="QWQ142" s="3507"/>
      <c r="QWR142" s="3507"/>
      <c r="QWS142" s="3507"/>
      <c r="QWT142" s="3507"/>
      <c r="QWU142" s="3507"/>
      <c r="QWV142" s="3507"/>
      <c r="QWW142" s="3507"/>
      <c r="QWX142" s="3507"/>
      <c r="QWY142" s="3507"/>
      <c r="QWZ142" s="3507"/>
      <c r="QXA142" s="3507"/>
      <c r="QXB142" s="3507"/>
      <c r="QXC142" s="3507"/>
      <c r="QXD142" s="3507"/>
      <c r="QXE142" s="3507"/>
      <c r="QXF142" s="3507"/>
      <c r="QXG142" s="3507"/>
      <c r="QXH142" s="3507"/>
      <c r="QXI142" s="3507"/>
      <c r="QXJ142" s="3507"/>
      <c r="QXK142" s="3507"/>
      <c r="QXL142" s="3507"/>
      <c r="QXM142" s="3507"/>
      <c r="QXN142" s="3507"/>
      <c r="QXO142" s="3507"/>
      <c r="QXP142" s="3507"/>
      <c r="QXQ142" s="3507"/>
      <c r="QXR142" s="3507"/>
      <c r="QXS142" s="3507"/>
      <c r="QXT142" s="3507"/>
      <c r="QXU142" s="3507"/>
      <c r="QXV142" s="3507"/>
      <c r="QXW142" s="3507"/>
      <c r="QXX142" s="3507"/>
      <c r="QXY142" s="3507"/>
      <c r="QXZ142" s="3507"/>
      <c r="QYA142" s="3507"/>
      <c r="QYB142" s="3507"/>
      <c r="QYC142" s="3507"/>
      <c r="QYD142" s="3507"/>
      <c r="QYE142" s="3507"/>
      <c r="QYF142" s="3507"/>
      <c r="QYG142" s="3507"/>
      <c r="QYH142" s="3507"/>
      <c r="QYI142" s="3507"/>
      <c r="QYJ142" s="3507"/>
      <c r="QYK142" s="3507"/>
      <c r="QYL142" s="3507"/>
      <c r="QYM142" s="3507"/>
      <c r="QYN142" s="3507"/>
      <c r="QYO142" s="3507"/>
      <c r="QYP142" s="3507"/>
      <c r="QYQ142" s="3507"/>
      <c r="QYR142" s="3507"/>
      <c r="QYS142" s="3507"/>
      <c r="QYT142" s="3507"/>
      <c r="QYU142" s="3507"/>
      <c r="QYV142" s="3507"/>
      <c r="QYW142" s="3507"/>
      <c r="QYX142" s="3507"/>
      <c r="QYY142" s="3507"/>
      <c r="QYZ142" s="3507"/>
      <c r="QZA142" s="3507"/>
      <c r="QZB142" s="3507"/>
      <c r="QZC142" s="3507"/>
      <c r="QZD142" s="3507"/>
      <c r="QZE142" s="3507"/>
      <c r="QZF142" s="3507"/>
      <c r="QZG142" s="3507"/>
      <c r="QZH142" s="3507"/>
      <c r="QZI142" s="3507"/>
      <c r="QZJ142" s="3507"/>
      <c r="QZK142" s="3507"/>
      <c r="QZL142" s="3507"/>
      <c r="QZM142" s="3507"/>
      <c r="QZN142" s="3507"/>
      <c r="QZO142" s="3507"/>
      <c r="QZP142" s="3507"/>
      <c r="QZQ142" s="3507"/>
      <c r="QZR142" s="3507"/>
      <c r="QZS142" s="3507"/>
      <c r="QZT142" s="3507"/>
      <c r="QZU142" s="3507"/>
      <c r="QZV142" s="3507"/>
      <c r="QZW142" s="3507"/>
      <c r="QZX142" s="3507"/>
      <c r="QZY142" s="3507"/>
      <c r="QZZ142" s="3507"/>
      <c r="RAA142" s="3507"/>
      <c r="RAB142" s="3507"/>
      <c r="RAC142" s="3507"/>
      <c r="RAD142" s="3507"/>
      <c r="RAE142" s="3507"/>
      <c r="RAF142" s="3507"/>
      <c r="RAG142" s="3507"/>
      <c r="RAH142" s="3507"/>
      <c r="RAI142" s="3507"/>
      <c r="RAJ142" s="3507"/>
      <c r="RAK142" s="3507"/>
      <c r="RAL142" s="3507"/>
      <c r="RAM142" s="3507"/>
      <c r="RAN142" s="3507"/>
      <c r="RAO142" s="3507"/>
      <c r="RAP142" s="3507"/>
      <c r="RAQ142" s="3507"/>
      <c r="RAR142" s="3507"/>
      <c r="RAS142" s="3507"/>
      <c r="RAT142" s="3507"/>
      <c r="RAU142" s="3507"/>
      <c r="RAV142" s="3507"/>
      <c r="RAW142" s="3507"/>
      <c r="RAX142" s="3507"/>
      <c r="RAY142" s="3507"/>
      <c r="RAZ142" s="3507"/>
      <c r="RBA142" s="3507"/>
      <c r="RBB142" s="3507"/>
      <c r="RBC142" s="3507"/>
      <c r="RBD142" s="3507"/>
      <c r="RBE142" s="3507"/>
      <c r="RBF142" s="3507"/>
      <c r="RBG142" s="3507"/>
      <c r="RBH142" s="3507"/>
      <c r="RBI142" s="3507"/>
      <c r="RBJ142" s="3507"/>
      <c r="RBK142" s="3507"/>
      <c r="RBL142" s="3507"/>
      <c r="RBM142" s="3507"/>
      <c r="RBN142" s="3507"/>
      <c r="RBO142" s="3507"/>
      <c r="RBP142" s="3507"/>
      <c r="RBQ142" s="3507"/>
      <c r="RBR142" s="3507"/>
      <c r="RBS142" s="3507"/>
      <c r="RBT142" s="3507"/>
      <c r="RBU142" s="3507"/>
      <c r="RBV142" s="3507"/>
      <c r="RBW142" s="3507"/>
      <c r="RBX142" s="3507"/>
      <c r="RBY142" s="3507"/>
      <c r="RBZ142" s="3507"/>
      <c r="RCA142" s="3507"/>
      <c r="RCB142" s="3507"/>
      <c r="RCC142" s="3507"/>
      <c r="RCD142" s="3507"/>
      <c r="RCE142" s="3507"/>
      <c r="RCF142" s="3507"/>
      <c r="RCG142" s="3507"/>
      <c r="RCH142" s="3507"/>
      <c r="RCI142" s="3507"/>
      <c r="RCJ142" s="3507"/>
      <c r="RCK142" s="3507"/>
      <c r="RCL142" s="3507"/>
      <c r="RCM142" s="3507"/>
      <c r="RCN142" s="3507"/>
      <c r="RCO142" s="3507"/>
      <c r="RCP142" s="3507"/>
      <c r="RCQ142" s="3507"/>
      <c r="RCR142" s="3507"/>
      <c r="RCS142" s="3507"/>
      <c r="RCT142" s="3507"/>
      <c r="RCU142" s="3507"/>
      <c r="RCV142" s="3507"/>
      <c r="RCW142" s="3507"/>
      <c r="RCX142" s="3507"/>
      <c r="RCY142" s="3507"/>
      <c r="RCZ142" s="3507"/>
      <c r="RDA142" s="3507"/>
      <c r="RDB142" s="3507"/>
      <c r="RDC142" s="3507"/>
      <c r="RDD142" s="3507"/>
      <c r="RDE142" s="3507"/>
      <c r="RDF142" s="3507"/>
      <c r="RDG142" s="3507"/>
      <c r="RDH142" s="3507"/>
      <c r="RDI142" s="3507"/>
      <c r="RDJ142" s="3507"/>
      <c r="RDK142" s="3507"/>
      <c r="RDL142" s="3507"/>
      <c r="RDM142" s="3507"/>
      <c r="RDN142" s="3507"/>
      <c r="RDO142" s="3507"/>
      <c r="RDP142" s="3507"/>
      <c r="RDQ142" s="3507"/>
      <c r="RDR142" s="3507"/>
      <c r="RDS142" s="3507"/>
      <c r="RDT142" s="3507"/>
      <c r="RDU142" s="3507"/>
      <c r="RDV142" s="3507"/>
      <c r="RDW142" s="3507"/>
      <c r="RDX142" s="3507"/>
      <c r="RDY142" s="3507"/>
      <c r="RDZ142" s="3507"/>
      <c r="REA142" s="3507"/>
      <c r="REB142" s="3507"/>
      <c r="REC142" s="3507"/>
      <c r="RED142" s="3507"/>
      <c r="REE142" s="3507"/>
      <c r="REF142" s="3507"/>
      <c r="REG142" s="3507"/>
      <c r="REH142" s="3507"/>
      <c r="REI142" s="3507"/>
      <c r="REJ142" s="3507"/>
      <c r="REK142" s="3507"/>
      <c r="REL142" s="3507"/>
      <c r="REM142" s="3507"/>
      <c r="REN142" s="3507"/>
      <c r="REO142" s="3507"/>
      <c r="REP142" s="3507"/>
      <c r="REQ142" s="3507"/>
      <c r="RER142" s="3507"/>
      <c r="RES142" s="3507"/>
      <c r="RET142" s="3507"/>
      <c r="REU142" s="3507"/>
      <c r="REV142" s="3507"/>
      <c r="REW142" s="3507"/>
      <c r="REX142" s="3507"/>
      <c r="REY142" s="3507"/>
      <c r="REZ142" s="3507"/>
      <c r="RFA142" s="3507"/>
      <c r="RFB142" s="3507"/>
      <c r="RFC142" s="3507"/>
      <c r="RFD142" s="3507"/>
      <c r="RFE142" s="3507"/>
      <c r="RFF142" s="3507"/>
      <c r="RFG142" s="3507"/>
      <c r="RFH142" s="3507"/>
      <c r="RFI142" s="3507"/>
      <c r="RFJ142" s="3507"/>
      <c r="RFK142" s="3507"/>
      <c r="RFL142" s="3507"/>
      <c r="RFM142" s="3507"/>
      <c r="RFN142" s="3507"/>
      <c r="RFO142" s="3507"/>
      <c r="RFP142" s="3507"/>
      <c r="RFQ142" s="3507"/>
      <c r="RFR142" s="3507"/>
      <c r="RFS142" s="3507"/>
      <c r="RFT142" s="3507"/>
      <c r="RFU142" s="3507"/>
      <c r="RFV142" s="3507"/>
      <c r="RFW142" s="3507"/>
      <c r="RFX142" s="3507"/>
      <c r="RFY142" s="3507"/>
      <c r="RFZ142" s="3507"/>
      <c r="RGA142" s="3507"/>
      <c r="RGB142" s="3507"/>
      <c r="RGC142" s="3507"/>
      <c r="RGD142" s="3507"/>
      <c r="RGE142" s="3507"/>
      <c r="RGF142" s="3507"/>
      <c r="RGG142" s="3507"/>
      <c r="RGH142" s="3507"/>
      <c r="RGI142" s="3507"/>
      <c r="RGJ142" s="3507"/>
      <c r="RGK142" s="3507"/>
      <c r="RGL142" s="3507"/>
      <c r="RGM142" s="3507"/>
      <c r="RGN142" s="3507"/>
      <c r="RGO142" s="3507"/>
      <c r="RGP142" s="3507"/>
      <c r="RGQ142" s="3507"/>
      <c r="RGR142" s="3507"/>
      <c r="RGS142" s="3507"/>
      <c r="RGT142" s="3507"/>
      <c r="RGU142" s="3507"/>
      <c r="RGV142" s="3507"/>
      <c r="RGW142" s="3507"/>
      <c r="RGX142" s="3507"/>
      <c r="RGY142" s="3507"/>
      <c r="RGZ142" s="3507"/>
      <c r="RHA142" s="3507"/>
      <c r="RHB142" s="3507"/>
      <c r="RHC142" s="3507"/>
      <c r="RHD142" s="3507"/>
      <c r="RHE142" s="3507"/>
      <c r="RHF142" s="3507"/>
      <c r="RHG142" s="3507"/>
      <c r="RHH142" s="3507"/>
      <c r="RHI142" s="3507"/>
      <c r="RHJ142" s="3507"/>
      <c r="RHK142" s="3507"/>
      <c r="RHL142" s="3507"/>
      <c r="RHM142" s="3507"/>
      <c r="RHN142" s="3507"/>
      <c r="RHO142" s="3507"/>
      <c r="RHP142" s="3507"/>
      <c r="RHQ142" s="3507"/>
      <c r="RHR142" s="3507"/>
      <c r="RHS142" s="3507"/>
      <c r="RHT142" s="3507"/>
      <c r="RHU142" s="3507"/>
      <c r="RHV142" s="3507"/>
      <c r="RHW142" s="3507"/>
      <c r="RHX142" s="3507"/>
      <c r="RHY142" s="3507"/>
      <c r="RHZ142" s="3507"/>
      <c r="RIA142" s="3507"/>
      <c r="RIB142" s="3507"/>
      <c r="RIC142" s="3507"/>
      <c r="RID142" s="3507"/>
      <c r="RIE142" s="3507"/>
      <c r="RIF142" s="3507"/>
      <c r="RIG142" s="3507"/>
      <c r="RIH142" s="3507"/>
      <c r="RII142" s="3507"/>
      <c r="RIJ142" s="3507"/>
      <c r="RIK142" s="3507"/>
      <c r="RIL142" s="3507"/>
      <c r="RIM142" s="3507"/>
      <c r="RIN142" s="3507"/>
      <c r="RIO142" s="3507"/>
      <c r="RIP142" s="3507"/>
      <c r="RIQ142" s="3507"/>
      <c r="RIR142" s="3507"/>
      <c r="RIS142" s="3507"/>
      <c r="RIT142" s="3507"/>
      <c r="RIU142" s="3507"/>
      <c r="RIV142" s="3507"/>
      <c r="RIW142" s="3507"/>
      <c r="RIX142" s="3507"/>
      <c r="RIY142" s="3507"/>
      <c r="RIZ142" s="3507"/>
      <c r="RJA142" s="3507"/>
      <c r="RJB142" s="3507"/>
      <c r="RJC142" s="3507"/>
      <c r="RJD142" s="3507"/>
      <c r="RJE142" s="3507"/>
      <c r="RJF142" s="3507"/>
      <c r="RJG142" s="3507"/>
      <c r="RJH142" s="3507"/>
      <c r="RJI142" s="3507"/>
      <c r="RJJ142" s="3507"/>
      <c r="RJK142" s="3507"/>
      <c r="RJL142" s="3507"/>
      <c r="RJM142" s="3507"/>
      <c r="RJN142" s="3507"/>
      <c r="RJO142" s="3507"/>
      <c r="RJP142" s="3507"/>
      <c r="RJQ142" s="3507"/>
      <c r="RJR142" s="3507"/>
      <c r="RJS142" s="3507"/>
      <c r="RJT142" s="3507"/>
      <c r="RJU142" s="3507"/>
      <c r="RJV142" s="3507"/>
      <c r="RJW142" s="3507"/>
      <c r="RJX142" s="3507"/>
      <c r="RJY142" s="3507"/>
      <c r="RJZ142" s="3507"/>
      <c r="RKA142" s="3507"/>
      <c r="RKB142" s="3507"/>
      <c r="RKC142" s="3507"/>
      <c r="RKD142" s="3507"/>
      <c r="RKE142" s="3507"/>
      <c r="RKF142" s="3507"/>
      <c r="RKG142" s="3507"/>
      <c r="RKH142" s="3507"/>
      <c r="RKI142" s="3507"/>
      <c r="RKJ142" s="3507"/>
      <c r="RKK142" s="3507"/>
      <c r="RKL142" s="3507"/>
      <c r="RKM142" s="3507"/>
      <c r="RKN142" s="3507"/>
      <c r="RKO142" s="3507"/>
      <c r="RKP142" s="3507"/>
      <c r="RKQ142" s="3507"/>
      <c r="RKR142" s="3507"/>
      <c r="RKS142" s="3507"/>
      <c r="RKT142" s="3507"/>
      <c r="RKU142" s="3507"/>
      <c r="RKV142" s="3507"/>
      <c r="RKW142" s="3507"/>
      <c r="RKX142" s="3507"/>
      <c r="RKY142" s="3507"/>
      <c r="RKZ142" s="3507"/>
      <c r="RLA142" s="3507"/>
      <c r="RLB142" s="3507"/>
      <c r="RLC142" s="3507"/>
      <c r="RLD142" s="3507"/>
      <c r="RLE142" s="3507"/>
      <c r="RLF142" s="3507"/>
      <c r="RLG142" s="3507"/>
      <c r="RLH142" s="3507"/>
      <c r="RLI142" s="3507"/>
      <c r="RLJ142" s="3507"/>
      <c r="RLK142" s="3507"/>
      <c r="RLL142" s="3507"/>
      <c r="RLM142" s="3507"/>
      <c r="RLN142" s="3507"/>
      <c r="RLO142" s="3507"/>
      <c r="RLP142" s="3507"/>
      <c r="RLQ142" s="3507"/>
      <c r="RLR142" s="3507"/>
      <c r="RLS142" s="3507"/>
      <c r="RLT142" s="3507"/>
      <c r="RLU142" s="3507"/>
      <c r="RLV142" s="3507"/>
      <c r="RLW142" s="3507"/>
      <c r="RLX142" s="3507"/>
      <c r="RLY142" s="3507"/>
      <c r="RLZ142" s="3507"/>
      <c r="RMA142" s="3507"/>
      <c r="RMB142" s="3507"/>
      <c r="RMC142" s="3507"/>
      <c r="RMD142" s="3507"/>
      <c r="RME142" s="3507"/>
      <c r="RMF142" s="3507"/>
      <c r="RMG142" s="3507"/>
      <c r="RMH142" s="3507"/>
      <c r="RMI142" s="3507"/>
      <c r="RMJ142" s="3507"/>
      <c r="RMK142" s="3507"/>
      <c r="RML142" s="3507"/>
      <c r="RMM142" s="3507"/>
      <c r="RMN142" s="3507"/>
      <c r="RMO142" s="3507"/>
      <c r="RMP142" s="3507"/>
      <c r="RMQ142" s="3507"/>
      <c r="RMR142" s="3507"/>
      <c r="RMS142" s="3507"/>
      <c r="RMT142" s="3507"/>
      <c r="RMU142" s="3507"/>
      <c r="RMV142" s="3507"/>
      <c r="RMW142" s="3507"/>
      <c r="RMX142" s="3507"/>
      <c r="RMY142" s="3507"/>
      <c r="RMZ142" s="3507"/>
      <c r="RNA142" s="3507"/>
      <c r="RNB142" s="3507"/>
      <c r="RNC142" s="3507"/>
      <c r="RND142" s="3507"/>
      <c r="RNE142" s="3507"/>
      <c r="RNF142" s="3507"/>
      <c r="RNG142" s="3507"/>
      <c r="RNH142" s="3507"/>
      <c r="RNI142" s="3507"/>
      <c r="RNJ142" s="3507"/>
      <c r="RNK142" s="3507"/>
      <c r="RNL142" s="3507"/>
      <c r="RNM142" s="3507"/>
      <c r="RNN142" s="3507"/>
      <c r="RNO142" s="3507"/>
      <c r="RNP142" s="3507"/>
      <c r="RNQ142" s="3507"/>
      <c r="RNR142" s="3507"/>
      <c r="RNS142" s="3507"/>
      <c r="RNT142" s="3507"/>
      <c r="RNU142" s="3507"/>
      <c r="RNV142" s="3507"/>
      <c r="RNW142" s="3507"/>
      <c r="RNX142" s="3507"/>
      <c r="RNY142" s="3507"/>
      <c r="RNZ142" s="3507"/>
      <c r="ROA142" s="3507"/>
      <c r="ROB142" s="3507"/>
      <c r="ROC142" s="3507"/>
      <c r="ROD142" s="3507"/>
      <c r="ROE142" s="3507"/>
      <c r="ROF142" s="3507"/>
      <c r="ROG142" s="3507"/>
      <c r="ROH142" s="3507"/>
      <c r="ROI142" s="3507"/>
      <c r="ROJ142" s="3507"/>
      <c r="ROK142" s="3507"/>
      <c r="ROL142" s="3507"/>
      <c r="ROM142" s="3507"/>
      <c r="RON142" s="3507"/>
      <c r="ROO142" s="3507"/>
      <c r="ROP142" s="3507"/>
      <c r="ROQ142" s="3507"/>
      <c r="ROR142" s="3507"/>
      <c r="ROS142" s="3507"/>
      <c r="ROT142" s="3507"/>
      <c r="ROU142" s="3507"/>
      <c r="ROV142" s="3507"/>
      <c r="ROW142" s="3507"/>
      <c r="ROX142" s="3507"/>
      <c r="ROY142" s="3507"/>
      <c r="ROZ142" s="3507"/>
      <c r="RPA142" s="3507"/>
      <c r="RPB142" s="3507"/>
      <c r="RPC142" s="3507"/>
      <c r="RPD142" s="3507"/>
      <c r="RPE142" s="3507"/>
      <c r="RPF142" s="3507"/>
      <c r="RPG142" s="3507"/>
      <c r="RPH142" s="3507"/>
      <c r="RPI142" s="3507"/>
      <c r="RPJ142" s="3507"/>
      <c r="RPK142" s="3507"/>
      <c r="RPL142" s="3507"/>
      <c r="RPM142" s="3507"/>
      <c r="RPN142" s="3507"/>
      <c r="RPO142" s="3507"/>
      <c r="RPP142" s="3507"/>
      <c r="RPQ142" s="3507"/>
      <c r="RPR142" s="3507"/>
      <c r="RPS142" s="3507"/>
      <c r="RPT142" s="3507"/>
      <c r="RPU142" s="3507"/>
      <c r="RPV142" s="3507"/>
      <c r="RPW142" s="3507"/>
      <c r="RPX142" s="3507"/>
      <c r="RPY142" s="3507"/>
      <c r="RPZ142" s="3507"/>
      <c r="RQA142" s="3507"/>
      <c r="RQB142" s="3507"/>
      <c r="RQC142" s="3507"/>
      <c r="RQD142" s="3507"/>
      <c r="RQE142" s="3507"/>
      <c r="RQF142" s="3507"/>
      <c r="RQG142" s="3507"/>
      <c r="RQH142" s="3507"/>
      <c r="RQI142" s="3507"/>
      <c r="RQJ142" s="3507"/>
      <c r="RQK142" s="3507"/>
      <c r="RQL142" s="3507"/>
      <c r="RQM142" s="3507"/>
      <c r="RQN142" s="3507"/>
      <c r="RQO142" s="3507"/>
      <c r="RQP142" s="3507"/>
      <c r="RQQ142" s="3507"/>
      <c r="RQR142" s="3507"/>
      <c r="RQS142" s="3507"/>
      <c r="RQT142" s="3507"/>
      <c r="RQU142" s="3507"/>
      <c r="RQV142" s="3507"/>
      <c r="RQW142" s="3507"/>
      <c r="RQX142" s="3507"/>
      <c r="RQY142" s="3507"/>
      <c r="RQZ142" s="3507"/>
      <c r="RRA142" s="3507"/>
      <c r="RRB142" s="3507"/>
      <c r="RRC142" s="3507"/>
      <c r="RRD142" s="3507"/>
      <c r="RRE142" s="3507"/>
      <c r="RRF142" s="3507"/>
      <c r="RRG142" s="3507"/>
      <c r="RRH142" s="3507"/>
      <c r="RRI142" s="3507"/>
      <c r="RRJ142" s="3507"/>
      <c r="RRK142" s="3507"/>
      <c r="RRL142" s="3507"/>
      <c r="RRM142" s="3507"/>
      <c r="RRN142" s="3507"/>
      <c r="RRO142" s="3507"/>
      <c r="RRP142" s="3507"/>
      <c r="RRQ142" s="3507"/>
      <c r="RRR142" s="3507"/>
      <c r="RRS142" s="3507"/>
      <c r="RRT142" s="3507"/>
      <c r="RRU142" s="3507"/>
      <c r="RRV142" s="3507"/>
      <c r="RRW142" s="3507"/>
      <c r="RRX142" s="3507"/>
      <c r="RRY142" s="3507"/>
      <c r="RRZ142" s="3507"/>
      <c r="RSA142" s="3507"/>
      <c r="RSB142" s="3507"/>
      <c r="RSC142" s="3507"/>
      <c r="RSD142" s="3507"/>
      <c r="RSE142" s="3507"/>
      <c r="RSF142" s="3507"/>
      <c r="RSG142" s="3507"/>
      <c r="RSH142" s="3507"/>
      <c r="RSI142" s="3507"/>
      <c r="RSJ142" s="3507"/>
      <c r="RSK142" s="3507"/>
      <c r="RSL142" s="3507"/>
      <c r="RSM142" s="3507"/>
      <c r="RSN142" s="3507"/>
      <c r="RSO142" s="3507"/>
      <c r="RSP142" s="3507"/>
      <c r="RSQ142" s="3507"/>
      <c r="RSR142" s="3507"/>
      <c r="RSS142" s="3507"/>
      <c r="RST142" s="3507"/>
      <c r="RSU142" s="3507"/>
      <c r="RSV142" s="3507"/>
      <c r="RSW142" s="3507"/>
      <c r="RSX142" s="3507"/>
      <c r="RSY142" s="3507"/>
      <c r="RSZ142" s="3507"/>
      <c r="RTA142" s="3507"/>
      <c r="RTB142" s="3507"/>
      <c r="RTC142" s="3507"/>
      <c r="RTD142" s="3507"/>
      <c r="RTE142" s="3507"/>
      <c r="RTF142" s="3507"/>
      <c r="RTG142" s="3507"/>
      <c r="RTH142" s="3507"/>
      <c r="RTI142" s="3507"/>
      <c r="RTJ142" s="3507"/>
      <c r="RTK142" s="3507"/>
      <c r="RTL142" s="3507"/>
      <c r="RTM142" s="3507"/>
      <c r="RTN142" s="3507"/>
      <c r="RTO142" s="3507"/>
      <c r="RTP142" s="3507"/>
      <c r="RTQ142" s="3507"/>
      <c r="RTR142" s="3507"/>
      <c r="RTS142" s="3507"/>
      <c r="RTT142" s="3507"/>
      <c r="RTU142" s="3507"/>
      <c r="RTV142" s="3507"/>
      <c r="RTW142" s="3507"/>
      <c r="RTX142" s="3507"/>
      <c r="RTY142" s="3507"/>
      <c r="RTZ142" s="3507"/>
      <c r="RUA142" s="3507"/>
      <c r="RUB142" s="3507"/>
      <c r="RUC142" s="3507"/>
      <c r="RUD142" s="3507"/>
      <c r="RUE142" s="3507"/>
      <c r="RUF142" s="3507"/>
      <c r="RUG142" s="3507"/>
      <c r="RUH142" s="3507"/>
      <c r="RUI142" s="3507"/>
      <c r="RUJ142" s="3507"/>
      <c r="RUK142" s="3507"/>
      <c r="RUL142" s="3507"/>
      <c r="RUM142" s="3507"/>
      <c r="RUN142" s="3507"/>
      <c r="RUO142" s="3507"/>
      <c r="RUP142" s="3507"/>
      <c r="RUQ142" s="3507"/>
      <c r="RUR142" s="3507"/>
      <c r="RUS142" s="3507"/>
      <c r="RUT142" s="3507"/>
      <c r="RUU142" s="3507"/>
      <c r="RUV142" s="3507"/>
      <c r="RUW142" s="3507"/>
      <c r="RUX142" s="3507"/>
      <c r="RUY142" s="3507"/>
      <c r="RUZ142" s="3507"/>
      <c r="RVA142" s="3507"/>
      <c r="RVB142" s="3507"/>
      <c r="RVC142" s="3507"/>
      <c r="RVD142" s="3507"/>
      <c r="RVE142" s="3507"/>
      <c r="RVF142" s="3507"/>
      <c r="RVG142" s="3507"/>
      <c r="RVH142" s="3507"/>
      <c r="RVI142" s="3507"/>
      <c r="RVJ142" s="3507"/>
      <c r="RVK142" s="3507"/>
      <c r="RVL142" s="3507"/>
      <c r="RVM142" s="3507"/>
      <c r="RVN142" s="3507"/>
      <c r="RVO142" s="3507"/>
      <c r="RVP142" s="3507"/>
      <c r="RVQ142" s="3507"/>
      <c r="RVR142" s="3507"/>
      <c r="RVS142" s="3507"/>
      <c r="RVT142" s="3507"/>
      <c r="RVU142" s="3507"/>
      <c r="RVV142" s="3507"/>
      <c r="RVW142" s="3507"/>
      <c r="RVX142" s="3507"/>
      <c r="RVY142" s="3507"/>
      <c r="RVZ142" s="3507"/>
      <c r="RWA142" s="3507"/>
      <c r="RWB142" s="3507"/>
      <c r="RWC142" s="3507"/>
      <c r="RWD142" s="3507"/>
      <c r="RWE142" s="3507"/>
      <c r="RWF142" s="3507"/>
      <c r="RWG142" s="3507"/>
      <c r="RWH142" s="3507"/>
      <c r="RWI142" s="3507"/>
      <c r="RWJ142" s="3507"/>
      <c r="RWK142" s="3507"/>
      <c r="RWL142" s="3507"/>
      <c r="RWM142" s="3507"/>
      <c r="RWN142" s="3507"/>
      <c r="RWO142" s="3507"/>
      <c r="RWP142" s="3507"/>
      <c r="RWQ142" s="3507"/>
      <c r="RWR142" s="3507"/>
      <c r="RWS142" s="3507"/>
      <c r="RWT142" s="3507"/>
      <c r="RWU142" s="3507"/>
      <c r="RWV142" s="3507"/>
      <c r="RWW142" s="3507"/>
      <c r="RWX142" s="3507"/>
      <c r="RWY142" s="3507"/>
      <c r="RWZ142" s="3507"/>
      <c r="RXA142" s="3507"/>
      <c r="RXB142" s="3507"/>
      <c r="RXC142" s="3507"/>
      <c r="RXD142" s="3507"/>
      <c r="RXE142" s="3507"/>
      <c r="RXF142" s="3507"/>
      <c r="RXG142" s="3507"/>
      <c r="RXH142" s="3507"/>
      <c r="RXI142" s="3507"/>
      <c r="RXJ142" s="3507"/>
      <c r="RXK142" s="3507"/>
      <c r="RXL142" s="3507"/>
      <c r="RXM142" s="3507"/>
      <c r="RXN142" s="3507"/>
      <c r="RXO142" s="3507"/>
      <c r="RXP142" s="3507"/>
      <c r="RXQ142" s="3507"/>
      <c r="RXR142" s="3507"/>
      <c r="RXS142" s="3507"/>
      <c r="RXT142" s="3507"/>
      <c r="RXU142" s="3507"/>
      <c r="RXV142" s="3507"/>
      <c r="RXW142" s="3507"/>
      <c r="RXX142" s="3507"/>
      <c r="RXY142" s="3507"/>
      <c r="RXZ142" s="3507"/>
      <c r="RYA142" s="3507"/>
      <c r="RYB142" s="3507"/>
      <c r="RYC142" s="3507"/>
      <c r="RYD142" s="3507"/>
      <c r="RYE142" s="3507"/>
      <c r="RYF142" s="3507"/>
      <c r="RYG142" s="3507"/>
      <c r="RYH142" s="3507"/>
      <c r="RYI142" s="3507"/>
      <c r="RYJ142" s="3507"/>
      <c r="RYK142" s="3507"/>
      <c r="RYL142" s="3507"/>
      <c r="RYM142" s="3507"/>
      <c r="RYN142" s="3507"/>
      <c r="RYO142" s="3507"/>
      <c r="RYP142" s="3507"/>
      <c r="RYQ142" s="3507"/>
      <c r="RYR142" s="3507"/>
      <c r="RYS142" s="3507"/>
      <c r="RYT142" s="3507"/>
      <c r="RYU142" s="3507"/>
      <c r="RYV142" s="3507"/>
      <c r="RYW142" s="3507"/>
      <c r="RYX142" s="3507"/>
      <c r="RYY142" s="3507"/>
      <c r="RYZ142" s="3507"/>
      <c r="RZA142" s="3507"/>
      <c r="RZB142" s="3507"/>
      <c r="RZC142" s="3507"/>
      <c r="RZD142" s="3507"/>
      <c r="RZE142" s="3507"/>
      <c r="RZF142" s="3507"/>
      <c r="RZG142" s="3507"/>
      <c r="RZH142" s="3507"/>
      <c r="RZI142" s="3507"/>
      <c r="RZJ142" s="3507"/>
      <c r="RZK142" s="3507"/>
      <c r="RZL142" s="3507"/>
      <c r="RZM142" s="3507"/>
      <c r="RZN142" s="3507"/>
      <c r="RZO142" s="3507"/>
      <c r="RZP142" s="3507"/>
      <c r="RZQ142" s="3507"/>
      <c r="RZR142" s="3507"/>
      <c r="RZS142" s="3507"/>
      <c r="RZT142" s="3507"/>
      <c r="RZU142" s="3507"/>
      <c r="RZV142" s="3507"/>
      <c r="RZW142" s="3507"/>
      <c r="RZX142" s="3507"/>
      <c r="RZY142" s="3507"/>
      <c r="RZZ142" s="3507"/>
      <c r="SAA142" s="3507"/>
      <c r="SAB142" s="3507"/>
      <c r="SAC142" s="3507"/>
      <c r="SAD142" s="3507"/>
      <c r="SAE142" s="3507"/>
      <c r="SAF142" s="3507"/>
      <c r="SAG142" s="3507"/>
      <c r="SAH142" s="3507"/>
      <c r="SAI142" s="3507"/>
      <c r="SAJ142" s="3507"/>
      <c r="SAK142" s="3507"/>
      <c r="SAL142" s="3507"/>
      <c r="SAM142" s="3507"/>
      <c r="SAN142" s="3507"/>
      <c r="SAO142" s="3507"/>
      <c r="SAP142" s="3507"/>
      <c r="SAQ142" s="3507"/>
      <c r="SAR142" s="3507"/>
      <c r="SAS142" s="3507"/>
      <c r="SAT142" s="3507"/>
      <c r="SAU142" s="3507"/>
      <c r="SAV142" s="3507"/>
      <c r="SAW142" s="3507"/>
      <c r="SAX142" s="3507"/>
      <c r="SAY142" s="3507"/>
      <c r="SAZ142" s="3507"/>
      <c r="SBA142" s="3507"/>
      <c r="SBB142" s="3507"/>
      <c r="SBC142" s="3507"/>
      <c r="SBD142" s="3507"/>
      <c r="SBE142" s="3507"/>
      <c r="SBF142" s="3507"/>
      <c r="SBG142" s="3507"/>
      <c r="SBH142" s="3507"/>
      <c r="SBI142" s="3507"/>
      <c r="SBJ142" s="3507"/>
      <c r="SBK142" s="3507"/>
      <c r="SBL142" s="3507"/>
      <c r="SBM142" s="3507"/>
      <c r="SBN142" s="3507"/>
      <c r="SBO142" s="3507"/>
      <c r="SBP142" s="3507"/>
      <c r="SBQ142" s="3507"/>
      <c r="SBR142" s="3507"/>
      <c r="SBS142" s="3507"/>
      <c r="SBT142" s="3507"/>
      <c r="SBU142" s="3507"/>
      <c r="SBV142" s="3507"/>
      <c r="SBW142" s="3507"/>
      <c r="SBX142" s="3507"/>
      <c r="SBY142" s="3507"/>
      <c r="SBZ142" s="3507"/>
      <c r="SCA142" s="3507"/>
      <c r="SCB142" s="3507"/>
      <c r="SCC142" s="3507"/>
      <c r="SCD142" s="3507"/>
      <c r="SCE142" s="3507"/>
      <c r="SCF142" s="3507"/>
      <c r="SCG142" s="3507"/>
      <c r="SCH142" s="3507"/>
      <c r="SCI142" s="3507"/>
      <c r="SCJ142" s="3507"/>
      <c r="SCK142" s="3507"/>
      <c r="SCL142" s="3507"/>
      <c r="SCM142" s="3507"/>
      <c r="SCN142" s="3507"/>
      <c r="SCO142" s="3507"/>
      <c r="SCP142" s="3507"/>
      <c r="SCQ142" s="3507"/>
      <c r="SCR142" s="3507"/>
      <c r="SCS142" s="3507"/>
      <c r="SCT142" s="3507"/>
      <c r="SCU142" s="3507"/>
      <c r="SCV142" s="3507"/>
      <c r="SCW142" s="3507"/>
      <c r="SCX142" s="3507"/>
      <c r="SCY142" s="3507"/>
      <c r="SCZ142" s="3507"/>
      <c r="SDA142" s="3507"/>
      <c r="SDB142" s="3507"/>
      <c r="SDC142" s="3507"/>
      <c r="SDD142" s="3507"/>
      <c r="SDE142" s="3507"/>
      <c r="SDF142" s="3507"/>
      <c r="SDG142" s="3507"/>
      <c r="SDH142" s="3507"/>
      <c r="SDI142" s="3507"/>
      <c r="SDJ142" s="3507"/>
      <c r="SDK142" s="3507"/>
      <c r="SDL142" s="3507"/>
      <c r="SDM142" s="3507"/>
      <c r="SDN142" s="3507"/>
      <c r="SDO142" s="3507"/>
      <c r="SDP142" s="3507"/>
      <c r="SDQ142" s="3507"/>
      <c r="SDR142" s="3507"/>
      <c r="SDS142" s="3507"/>
      <c r="SDT142" s="3507"/>
      <c r="SDU142" s="3507"/>
      <c r="SDV142" s="3507"/>
      <c r="SDW142" s="3507"/>
      <c r="SDX142" s="3507"/>
      <c r="SDY142" s="3507"/>
      <c r="SDZ142" s="3507"/>
      <c r="SEA142" s="3507"/>
      <c r="SEB142" s="3507"/>
      <c r="SEC142" s="3507"/>
      <c r="SED142" s="3507"/>
      <c r="SEE142" s="3507"/>
      <c r="SEF142" s="3507"/>
      <c r="SEG142" s="3507"/>
      <c r="SEH142" s="3507"/>
      <c r="SEI142" s="3507"/>
      <c r="SEJ142" s="3507"/>
      <c r="SEK142" s="3507"/>
      <c r="SEL142" s="3507"/>
      <c r="SEM142" s="3507"/>
      <c r="SEN142" s="3507"/>
      <c r="SEO142" s="3507"/>
      <c r="SEP142" s="3507"/>
      <c r="SEQ142" s="3507"/>
      <c r="SER142" s="3507"/>
      <c r="SES142" s="3507"/>
      <c r="SET142" s="3507"/>
      <c r="SEU142" s="3507"/>
      <c r="SEV142" s="3507"/>
      <c r="SEW142" s="3507"/>
      <c r="SEX142" s="3507"/>
      <c r="SEY142" s="3507"/>
      <c r="SEZ142" s="3507"/>
      <c r="SFA142" s="3507"/>
      <c r="SFB142" s="3507"/>
      <c r="SFC142" s="3507"/>
      <c r="SFD142" s="3507"/>
      <c r="SFE142" s="3507"/>
      <c r="SFF142" s="3507"/>
      <c r="SFG142" s="3507"/>
      <c r="SFH142" s="3507"/>
      <c r="SFI142" s="3507"/>
      <c r="SFJ142" s="3507"/>
      <c r="SFK142" s="3507"/>
      <c r="SFL142" s="3507"/>
      <c r="SFM142" s="3507"/>
      <c r="SFN142" s="3507"/>
      <c r="SFO142" s="3507"/>
      <c r="SFP142" s="3507"/>
      <c r="SFQ142" s="3507"/>
      <c r="SFR142" s="3507"/>
      <c r="SFS142" s="3507"/>
      <c r="SFT142" s="3507"/>
      <c r="SFU142" s="3507"/>
      <c r="SFV142" s="3507"/>
      <c r="SFW142" s="3507"/>
      <c r="SFX142" s="3507"/>
      <c r="SFY142" s="3507"/>
      <c r="SFZ142" s="3507"/>
      <c r="SGA142" s="3507"/>
      <c r="SGB142" s="3507"/>
      <c r="SGC142" s="3507"/>
      <c r="SGD142" s="3507"/>
      <c r="SGE142" s="3507"/>
      <c r="SGF142" s="3507"/>
      <c r="SGG142" s="3507"/>
      <c r="SGH142" s="3507"/>
      <c r="SGI142" s="3507"/>
      <c r="SGJ142" s="3507"/>
      <c r="SGK142" s="3507"/>
      <c r="SGL142" s="3507"/>
      <c r="SGM142" s="3507"/>
      <c r="SGN142" s="3507"/>
      <c r="SGO142" s="3507"/>
      <c r="SGP142" s="3507"/>
      <c r="SGQ142" s="3507"/>
      <c r="SGR142" s="3507"/>
      <c r="SGS142" s="3507"/>
      <c r="SGT142" s="3507"/>
      <c r="SGU142" s="3507"/>
      <c r="SGV142" s="3507"/>
      <c r="SGW142" s="3507"/>
      <c r="SGX142" s="3507"/>
      <c r="SGY142" s="3507"/>
      <c r="SGZ142" s="3507"/>
      <c r="SHA142" s="3507"/>
      <c r="SHB142" s="3507"/>
      <c r="SHC142" s="3507"/>
      <c r="SHD142" s="3507"/>
      <c r="SHE142" s="3507"/>
      <c r="SHF142" s="3507"/>
      <c r="SHG142" s="3507"/>
      <c r="SHH142" s="3507"/>
      <c r="SHI142" s="3507"/>
      <c r="SHJ142" s="3507"/>
      <c r="SHK142" s="3507"/>
      <c r="SHL142" s="3507"/>
      <c r="SHM142" s="3507"/>
      <c r="SHN142" s="3507"/>
      <c r="SHO142" s="3507"/>
      <c r="SHP142" s="3507"/>
      <c r="SHQ142" s="3507"/>
      <c r="SHR142" s="3507"/>
      <c r="SHS142" s="3507"/>
      <c r="SHT142" s="3507"/>
      <c r="SHU142" s="3507"/>
      <c r="SHV142" s="3507"/>
      <c r="SHW142" s="3507"/>
      <c r="SHX142" s="3507"/>
      <c r="SHY142" s="3507"/>
      <c r="SHZ142" s="3507"/>
      <c r="SIA142" s="3507"/>
      <c r="SIB142" s="3507"/>
      <c r="SIC142" s="3507"/>
      <c r="SID142" s="3507"/>
      <c r="SIE142" s="3507"/>
      <c r="SIF142" s="3507"/>
      <c r="SIG142" s="3507"/>
      <c r="SIH142" s="3507"/>
      <c r="SII142" s="3507"/>
      <c r="SIJ142" s="3507"/>
      <c r="SIK142" s="3507"/>
      <c r="SIL142" s="3507"/>
      <c r="SIM142" s="3507"/>
      <c r="SIN142" s="3507"/>
      <c r="SIO142" s="3507"/>
      <c r="SIP142" s="3507"/>
      <c r="SIQ142" s="3507"/>
      <c r="SIR142" s="3507"/>
      <c r="SIS142" s="3507"/>
      <c r="SIT142" s="3507"/>
      <c r="SIU142" s="3507"/>
      <c r="SIV142" s="3507"/>
      <c r="SIW142" s="3507"/>
      <c r="SIX142" s="3507"/>
      <c r="SIY142" s="3507"/>
      <c r="SIZ142" s="3507"/>
      <c r="SJA142" s="3507"/>
      <c r="SJB142" s="3507"/>
      <c r="SJC142" s="3507"/>
      <c r="SJD142" s="3507"/>
      <c r="SJE142" s="3507"/>
      <c r="SJF142" s="3507"/>
      <c r="SJG142" s="3507"/>
      <c r="SJH142" s="3507"/>
      <c r="SJI142" s="3507"/>
      <c r="SJJ142" s="3507"/>
      <c r="SJK142" s="3507"/>
      <c r="SJL142" s="3507"/>
      <c r="SJM142" s="3507"/>
      <c r="SJN142" s="3507"/>
      <c r="SJO142" s="3507"/>
      <c r="SJP142" s="3507"/>
      <c r="SJQ142" s="3507"/>
      <c r="SJR142" s="3507"/>
      <c r="SJS142" s="3507"/>
      <c r="SJT142" s="3507"/>
      <c r="SJU142" s="3507"/>
      <c r="SJV142" s="3507"/>
      <c r="SJW142" s="3507"/>
      <c r="SJX142" s="3507"/>
      <c r="SJY142" s="3507"/>
      <c r="SJZ142" s="3507"/>
      <c r="SKA142" s="3507"/>
      <c r="SKB142" s="3507"/>
      <c r="SKC142" s="3507"/>
      <c r="SKD142" s="3507"/>
      <c r="SKE142" s="3507"/>
      <c r="SKF142" s="3507"/>
      <c r="SKG142" s="3507"/>
      <c r="SKH142" s="3507"/>
      <c r="SKI142" s="3507"/>
      <c r="SKJ142" s="3507"/>
      <c r="SKK142" s="3507"/>
      <c r="SKL142" s="3507"/>
      <c r="SKM142" s="3507"/>
      <c r="SKN142" s="3507"/>
      <c r="SKO142" s="3507"/>
      <c r="SKP142" s="3507"/>
      <c r="SKQ142" s="3507"/>
      <c r="SKR142" s="3507"/>
      <c r="SKS142" s="3507"/>
      <c r="SKT142" s="3507"/>
      <c r="SKU142" s="3507"/>
      <c r="SKV142" s="3507"/>
      <c r="SKW142" s="3507"/>
      <c r="SKX142" s="3507"/>
      <c r="SKY142" s="3507"/>
      <c r="SKZ142" s="3507"/>
      <c r="SLA142" s="3507"/>
      <c r="SLB142" s="3507"/>
      <c r="SLC142" s="3507"/>
      <c r="SLD142" s="3507"/>
      <c r="SLE142" s="3507"/>
      <c r="SLF142" s="3507"/>
      <c r="SLG142" s="3507"/>
      <c r="SLH142" s="3507"/>
      <c r="SLI142" s="3507"/>
      <c r="SLJ142" s="3507"/>
      <c r="SLK142" s="3507"/>
      <c r="SLL142" s="3507"/>
      <c r="SLM142" s="3507"/>
      <c r="SLN142" s="3507"/>
      <c r="SLO142" s="3507"/>
      <c r="SLP142" s="3507"/>
      <c r="SLQ142" s="3507"/>
      <c r="SLR142" s="3507"/>
      <c r="SLS142" s="3507"/>
      <c r="SLT142" s="3507"/>
      <c r="SLU142" s="3507"/>
      <c r="SLV142" s="3507"/>
      <c r="SLW142" s="3507"/>
      <c r="SLX142" s="3507"/>
      <c r="SLY142" s="3507"/>
      <c r="SLZ142" s="3507"/>
      <c r="SMA142" s="3507"/>
      <c r="SMB142" s="3507"/>
      <c r="SMC142" s="3507"/>
      <c r="SMD142" s="3507"/>
      <c r="SME142" s="3507"/>
      <c r="SMF142" s="3507"/>
      <c r="SMG142" s="3507"/>
      <c r="SMH142" s="3507"/>
      <c r="SMI142" s="3507"/>
      <c r="SMJ142" s="3507"/>
      <c r="SMK142" s="3507"/>
      <c r="SML142" s="3507"/>
      <c r="SMM142" s="3507"/>
      <c r="SMN142" s="3507"/>
      <c r="SMO142" s="3507"/>
      <c r="SMP142" s="3507"/>
      <c r="SMQ142" s="3507"/>
      <c r="SMR142" s="3507"/>
      <c r="SMS142" s="3507"/>
      <c r="SMT142" s="3507"/>
      <c r="SMU142" s="3507"/>
      <c r="SMV142" s="3507"/>
      <c r="SMW142" s="3507"/>
      <c r="SMX142" s="3507"/>
      <c r="SMY142" s="3507"/>
      <c r="SMZ142" s="3507"/>
      <c r="SNA142" s="3507"/>
      <c r="SNB142" s="3507"/>
      <c r="SNC142" s="3507"/>
      <c r="SND142" s="3507"/>
      <c r="SNE142" s="3507"/>
      <c r="SNF142" s="3507"/>
      <c r="SNG142" s="3507"/>
      <c r="SNH142" s="3507"/>
      <c r="SNI142" s="3507"/>
      <c r="SNJ142" s="3507"/>
      <c r="SNK142" s="3507"/>
      <c r="SNL142" s="3507"/>
      <c r="SNM142" s="3507"/>
      <c r="SNN142" s="3507"/>
      <c r="SNO142" s="3507"/>
      <c r="SNP142" s="3507"/>
      <c r="SNQ142" s="3507"/>
      <c r="SNR142" s="3507"/>
      <c r="SNS142" s="3507"/>
      <c r="SNT142" s="3507"/>
      <c r="SNU142" s="3507"/>
      <c r="SNV142" s="3507"/>
      <c r="SNW142" s="3507"/>
      <c r="SNX142" s="3507"/>
      <c r="SNY142" s="3507"/>
      <c r="SNZ142" s="3507"/>
      <c r="SOA142" s="3507"/>
      <c r="SOB142" s="3507"/>
      <c r="SOC142" s="3507"/>
      <c r="SOD142" s="3507"/>
      <c r="SOE142" s="3507"/>
      <c r="SOF142" s="3507"/>
      <c r="SOG142" s="3507"/>
      <c r="SOH142" s="3507"/>
      <c r="SOI142" s="3507"/>
      <c r="SOJ142" s="3507"/>
      <c r="SOK142" s="3507"/>
      <c r="SOL142" s="3507"/>
      <c r="SOM142" s="3507"/>
      <c r="SON142" s="3507"/>
      <c r="SOO142" s="3507"/>
      <c r="SOP142" s="3507"/>
      <c r="SOQ142" s="3507"/>
      <c r="SOR142" s="3507"/>
      <c r="SOS142" s="3507"/>
      <c r="SOT142" s="3507"/>
      <c r="SOU142" s="3507"/>
      <c r="SOV142" s="3507"/>
      <c r="SOW142" s="3507"/>
      <c r="SOX142" s="3507"/>
      <c r="SOY142" s="3507"/>
      <c r="SOZ142" s="3507"/>
      <c r="SPA142" s="3507"/>
      <c r="SPB142" s="3507"/>
      <c r="SPC142" s="3507"/>
      <c r="SPD142" s="3507"/>
      <c r="SPE142" s="3507"/>
      <c r="SPF142" s="3507"/>
      <c r="SPG142" s="3507"/>
      <c r="SPH142" s="3507"/>
      <c r="SPI142" s="3507"/>
      <c r="SPJ142" s="3507"/>
      <c r="SPK142" s="3507"/>
      <c r="SPL142" s="3507"/>
      <c r="SPM142" s="3507"/>
      <c r="SPN142" s="3507"/>
      <c r="SPO142" s="3507"/>
      <c r="SPP142" s="3507"/>
      <c r="SPQ142" s="3507"/>
      <c r="SPR142" s="3507"/>
      <c r="SPS142" s="3507"/>
      <c r="SPT142" s="3507"/>
      <c r="SPU142" s="3507"/>
      <c r="SPV142" s="3507"/>
      <c r="SPW142" s="3507"/>
      <c r="SPX142" s="3507"/>
      <c r="SPY142" s="3507"/>
      <c r="SPZ142" s="3507"/>
      <c r="SQA142" s="3507"/>
      <c r="SQB142" s="3507"/>
      <c r="SQC142" s="3507"/>
      <c r="SQD142" s="3507"/>
      <c r="SQE142" s="3507"/>
      <c r="SQF142" s="3507"/>
      <c r="SQG142" s="3507"/>
      <c r="SQH142" s="3507"/>
      <c r="SQI142" s="3507"/>
      <c r="SQJ142" s="3507"/>
      <c r="SQK142" s="3507"/>
      <c r="SQL142" s="3507"/>
      <c r="SQM142" s="3507"/>
      <c r="SQN142" s="3507"/>
      <c r="SQO142" s="3507"/>
      <c r="SQP142" s="3507"/>
      <c r="SQQ142" s="3507"/>
      <c r="SQR142" s="3507"/>
      <c r="SQS142" s="3507"/>
      <c r="SQT142" s="3507"/>
      <c r="SQU142" s="3507"/>
      <c r="SQV142" s="3507"/>
      <c r="SQW142" s="3507"/>
      <c r="SQX142" s="3507"/>
      <c r="SQY142" s="3507"/>
      <c r="SQZ142" s="3507"/>
      <c r="SRA142" s="3507"/>
      <c r="SRB142" s="3507"/>
      <c r="SRC142" s="3507"/>
      <c r="SRD142" s="3507"/>
      <c r="SRE142" s="3507"/>
      <c r="SRF142" s="3507"/>
      <c r="SRG142" s="3507"/>
      <c r="SRH142" s="3507"/>
      <c r="SRI142" s="3507"/>
      <c r="SRJ142" s="3507"/>
      <c r="SRK142" s="3507"/>
      <c r="SRL142" s="3507"/>
      <c r="SRM142" s="3507"/>
      <c r="SRN142" s="3507"/>
      <c r="SRO142" s="3507"/>
      <c r="SRP142" s="3507"/>
      <c r="SRQ142" s="3507"/>
      <c r="SRR142" s="3507"/>
      <c r="SRS142" s="3507"/>
      <c r="SRT142" s="3507"/>
      <c r="SRU142" s="3507"/>
      <c r="SRV142" s="3507"/>
      <c r="SRW142" s="3507"/>
      <c r="SRX142" s="3507"/>
      <c r="SRY142" s="3507"/>
      <c r="SRZ142" s="3507"/>
      <c r="SSA142" s="3507"/>
      <c r="SSB142" s="3507"/>
      <c r="SSC142" s="3507"/>
      <c r="SSD142" s="3507"/>
      <c r="SSE142" s="3507"/>
      <c r="SSF142" s="3507"/>
      <c r="SSG142" s="3507"/>
      <c r="SSH142" s="3507"/>
      <c r="SSI142" s="3507"/>
      <c r="SSJ142" s="3507"/>
      <c r="SSK142" s="3507"/>
      <c r="SSL142" s="3507"/>
      <c r="SSM142" s="3507"/>
      <c r="SSN142" s="3507"/>
      <c r="SSO142" s="3507"/>
      <c r="SSP142" s="3507"/>
      <c r="SSQ142" s="3507"/>
      <c r="SSR142" s="3507"/>
      <c r="SSS142" s="3507"/>
      <c r="SST142" s="3507"/>
      <c r="SSU142" s="3507"/>
      <c r="SSV142" s="3507"/>
      <c r="SSW142" s="3507"/>
      <c r="SSX142" s="3507"/>
      <c r="SSY142" s="3507"/>
      <c r="SSZ142" s="3507"/>
      <c r="STA142" s="3507"/>
      <c r="STB142" s="3507"/>
      <c r="STC142" s="3507"/>
      <c r="STD142" s="3507"/>
      <c r="STE142" s="3507"/>
      <c r="STF142" s="3507"/>
      <c r="STG142" s="3507"/>
      <c r="STH142" s="3507"/>
      <c r="STI142" s="3507"/>
      <c r="STJ142" s="3507"/>
      <c r="STK142" s="3507"/>
      <c r="STL142" s="3507"/>
      <c r="STM142" s="3507"/>
      <c r="STN142" s="3507"/>
      <c r="STO142" s="3507"/>
      <c r="STP142" s="3507"/>
      <c r="STQ142" s="3507"/>
      <c r="STR142" s="3507"/>
      <c r="STS142" s="3507"/>
      <c r="STT142" s="3507"/>
      <c r="STU142" s="3507"/>
      <c r="STV142" s="3507"/>
      <c r="STW142" s="3507"/>
      <c r="STX142" s="3507"/>
      <c r="STY142" s="3507"/>
      <c r="STZ142" s="3507"/>
      <c r="SUA142" s="3507"/>
      <c r="SUB142" s="3507"/>
      <c r="SUC142" s="3507"/>
      <c r="SUD142" s="3507"/>
      <c r="SUE142" s="3507"/>
      <c r="SUF142" s="3507"/>
      <c r="SUG142" s="3507"/>
      <c r="SUH142" s="3507"/>
      <c r="SUI142" s="3507"/>
      <c r="SUJ142" s="3507"/>
      <c r="SUK142" s="3507"/>
      <c r="SUL142" s="3507"/>
      <c r="SUM142" s="3507"/>
      <c r="SUN142" s="3507"/>
      <c r="SUO142" s="3507"/>
      <c r="SUP142" s="3507"/>
      <c r="SUQ142" s="3507"/>
      <c r="SUR142" s="3507"/>
      <c r="SUS142" s="3507"/>
      <c r="SUT142" s="3507"/>
      <c r="SUU142" s="3507"/>
      <c r="SUV142" s="3507"/>
      <c r="SUW142" s="3507"/>
      <c r="SUX142" s="3507"/>
      <c r="SUY142" s="3507"/>
      <c r="SUZ142" s="3507"/>
      <c r="SVA142" s="3507"/>
      <c r="SVB142" s="3507"/>
      <c r="SVC142" s="3507"/>
      <c r="SVD142" s="3507"/>
      <c r="SVE142" s="3507"/>
      <c r="SVF142" s="3507"/>
      <c r="SVG142" s="3507"/>
      <c r="SVH142" s="3507"/>
      <c r="SVI142" s="3507"/>
      <c r="SVJ142" s="3507"/>
      <c r="SVK142" s="3507"/>
      <c r="SVL142" s="3507"/>
      <c r="SVM142" s="3507"/>
      <c r="SVN142" s="3507"/>
      <c r="SVO142" s="3507"/>
      <c r="SVP142" s="3507"/>
      <c r="SVQ142" s="3507"/>
      <c r="SVR142" s="3507"/>
      <c r="SVS142" s="3507"/>
      <c r="SVT142" s="3507"/>
      <c r="SVU142" s="3507"/>
      <c r="SVV142" s="3507"/>
      <c r="SVW142" s="3507"/>
      <c r="SVX142" s="3507"/>
      <c r="SVY142" s="3507"/>
      <c r="SVZ142" s="3507"/>
      <c r="SWA142" s="3507"/>
      <c r="SWB142" s="3507"/>
      <c r="SWC142" s="3507"/>
      <c r="SWD142" s="3507"/>
      <c r="SWE142" s="3507"/>
      <c r="SWF142" s="3507"/>
      <c r="SWG142" s="3507"/>
      <c r="SWH142" s="3507"/>
      <c r="SWI142" s="3507"/>
      <c r="SWJ142" s="3507"/>
      <c r="SWK142" s="3507"/>
      <c r="SWL142" s="3507"/>
      <c r="SWM142" s="3507"/>
      <c r="SWN142" s="3507"/>
      <c r="SWO142" s="3507"/>
      <c r="SWP142" s="3507"/>
      <c r="SWQ142" s="3507"/>
      <c r="SWR142" s="3507"/>
      <c r="SWS142" s="3507"/>
      <c r="SWT142" s="3507"/>
      <c r="SWU142" s="3507"/>
      <c r="SWV142" s="3507"/>
      <c r="SWW142" s="3507"/>
      <c r="SWX142" s="3507"/>
      <c r="SWY142" s="3507"/>
      <c r="SWZ142" s="3507"/>
      <c r="SXA142" s="3507"/>
      <c r="SXB142" s="3507"/>
      <c r="SXC142" s="3507"/>
      <c r="SXD142" s="3507"/>
      <c r="SXE142" s="3507"/>
      <c r="SXF142" s="3507"/>
      <c r="SXG142" s="3507"/>
      <c r="SXH142" s="3507"/>
      <c r="SXI142" s="3507"/>
      <c r="SXJ142" s="3507"/>
      <c r="SXK142" s="3507"/>
      <c r="SXL142" s="3507"/>
      <c r="SXM142" s="3507"/>
      <c r="SXN142" s="3507"/>
      <c r="SXO142" s="3507"/>
      <c r="SXP142" s="3507"/>
      <c r="SXQ142" s="3507"/>
      <c r="SXR142" s="3507"/>
      <c r="SXS142" s="3507"/>
      <c r="SXT142" s="3507"/>
      <c r="SXU142" s="3507"/>
      <c r="SXV142" s="3507"/>
      <c r="SXW142" s="3507"/>
      <c r="SXX142" s="3507"/>
      <c r="SXY142" s="3507"/>
      <c r="SXZ142" s="3507"/>
      <c r="SYA142" s="3507"/>
      <c r="SYB142" s="3507"/>
      <c r="SYC142" s="3507"/>
      <c r="SYD142" s="3507"/>
      <c r="SYE142" s="3507"/>
      <c r="SYF142" s="3507"/>
      <c r="SYG142" s="3507"/>
      <c r="SYH142" s="3507"/>
      <c r="SYI142" s="3507"/>
      <c r="SYJ142" s="3507"/>
      <c r="SYK142" s="3507"/>
      <c r="SYL142" s="3507"/>
      <c r="SYM142" s="3507"/>
      <c r="SYN142" s="3507"/>
      <c r="SYO142" s="3507"/>
      <c r="SYP142" s="3507"/>
      <c r="SYQ142" s="3507"/>
      <c r="SYR142" s="3507"/>
      <c r="SYS142" s="3507"/>
      <c r="SYT142" s="3507"/>
      <c r="SYU142" s="3507"/>
      <c r="SYV142" s="3507"/>
      <c r="SYW142" s="3507"/>
      <c r="SYX142" s="3507"/>
      <c r="SYY142" s="3507"/>
      <c r="SYZ142" s="3507"/>
      <c r="SZA142" s="3507"/>
      <c r="SZB142" s="3507"/>
      <c r="SZC142" s="3507"/>
      <c r="SZD142" s="3507"/>
      <c r="SZE142" s="3507"/>
      <c r="SZF142" s="3507"/>
      <c r="SZG142" s="3507"/>
      <c r="SZH142" s="3507"/>
      <c r="SZI142" s="3507"/>
      <c r="SZJ142" s="3507"/>
      <c r="SZK142" s="3507"/>
      <c r="SZL142" s="3507"/>
      <c r="SZM142" s="3507"/>
      <c r="SZN142" s="3507"/>
      <c r="SZO142" s="3507"/>
      <c r="SZP142" s="3507"/>
      <c r="SZQ142" s="3507"/>
      <c r="SZR142" s="3507"/>
      <c r="SZS142" s="3507"/>
      <c r="SZT142" s="3507"/>
      <c r="SZU142" s="3507"/>
      <c r="SZV142" s="3507"/>
      <c r="SZW142" s="3507"/>
      <c r="SZX142" s="3507"/>
      <c r="SZY142" s="3507"/>
      <c r="SZZ142" s="3507"/>
      <c r="TAA142" s="3507"/>
      <c r="TAB142" s="3507"/>
      <c r="TAC142" s="3507"/>
      <c r="TAD142" s="3507"/>
      <c r="TAE142" s="3507"/>
      <c r="TAF142" s="3507"/>
      <c r="TAG142" s="3507"/>
      <c r="TAH142" s="3507"/>
      <c r="TAI142" s="3507"/>
      <c r="TAJ142" s="3507"/>
      <c r="TAK142" s="3507"/>
      <c r="TAL142" s="3507"/>
      <c r="TAM142" s="3507"/>
      <c r="TAN142" s="3507"/>
      <c r="TAO142" s="3507"/>
      <c r="TAP142" s="3507"/>
      <c r="TAQ142" s="3507"/>
      <c r="TAR142" s="3507"/>
      <c r="TAS142" s="3507"/>
      <c r="TAT142" s="3507"/>
      <c r="TAU142" s="3507"/>
      <c r="TAV142" s="3507"/>
      <c r="TAW142" s="3507"/>
      <c r="TAX142" s="3507"/>
      <c r="TAY142" s="3507"/>
      <c r="TAZ142" s="3507"/>
      <c r="TBA142" s="3507"/>
      <c r="TBB142" s="3507"/>
      <c r="TBC142" s="3507"/>
      <c r="TBD142" s="3507"/>
      <c r="TBE142" s="3507"/>
      <c r="TBF142" s="3507"/>
      <c r="TBG142" s="3507"/>
      <c r="TBH142" s="3507"/>
      <c r="TBI142" s="3507"/>
      <c r="TBJ142" s="3507"/>
      <c r="TBK142" s="3507"/>
      <c r="TBL142" s="3507"/>
      <c r="TBM142" s="3507"/>
      <c r="TBN142" s="3507"/>
      <c r="TBO142" s="3507"/>
      <c r="TBP142" s="3507"/>
      <c r="TBQ142" s="3507"/>
      <c r="TBR142" s="3507"/>
      <c r="TBS142" s="3507"/>
      <c r="TBT142" s="3507"/>
      <c r="TBU142" s="3507"/>
      <c r="TBV142" s="3507"/>
      <c r="TBW142" s="3507"/>
      <c r="TBX142" s="3507"/>
      <c r="TBY142" s="3507"/>
      <c r="TBZ142" s="3507"/>
      <c r="TCA142" s="3507"/>
      <c r="TCB142" s="3507"/>
      <c r="TCC142" s="3507"/>
      <c r="TCD142" s="3507"/>
      <c r="TCE142" s="3507"/>
      <c r="TCF142" s="3507"/>
      <c r="TCG142" s="3507"/>
      <c r="TCH142" s="3507"/>
      <c r="TCI142" s="3507"/>
      <c r="TCJ142" s="3507"/>
      <c r="TCK142" s="3507"/>
      <c r="TCL142" s="3507"/>
      <c r="TCM142" s="3507"/>
      <c r="TCN142" s="3507"/>
      <c r="TCO142" s="3507"/>
      <c r="TCP142" s="3507"/>
      <c r="TCQ142" s="3507"/>
      <c r="TCR142" s="3507"/>
      <c r="TCS142" s="3507"/>
      <c r="TCT142" s="3507"/>
      <c r="TCU142" s="3507"/>
      <c r="TCV142" s="3507"/>
      <c r="TCW142" s="3507"/>
      <c r="TCX142" s="3507"/>
      <c r="TCY142" s="3507"/>
      <c r="TCZ142" s="3507"/>
      <c r="TDA142" s="3507"/>
      <c r="TDB142" s="3507"/>
      <c r="TDC142" s="3507"/>
      <c r="TDD142" s="3507"/>
      <c r="TDE142" s="3507"/>
      <c r="TDF142" s="3507"/>
      <c r="TDG142" s="3507"/>
      <c r="TDH142" s="3507"/>
      <c r="TDI142" s="3507"/>
      <c r="TDJ142" s="3507"/>
      <c r="TDK142" s="3507"/>
      <c r="TDL142" s="3507"/>
      <c r="TDM142" s="3507"/>
      <c r="TDN142" s="3507"/>
      <c r="TDO142" s="3507"/>
      <c r="TDP142" s="3507"/>
      <c r="TDQ142" s="3507"/>
      <c r="TDR142" s="3507"/>
      <c r="TDS142" s="3507"/>
      <c r="TDT142" s="3507"/>
      <c r="TDU142" s="3507"/>
      <c r="TDV142" s="3507"/>
      <c r="TDW142" s="3507"/>
      <c r="TDX142" s="3507"/>
      <c r="TDY142" s="3507"/>
      <c r="TDZ142" s="3507"/>
      <c r="TEA142" s="3507"/>
      <c r="TEB142" s="3507"/>
      <c r="TEC142" s="3507"/>
      <c r="TED142" s="3507"/>
      <c r="TEE142" s="3507"/>
      <c r="TEF142" s="3507"/>
      <c r="TEG142" s="3507"/>
      <c r="TEH142" s="3507"/>
      <c r="TEI142" s="3507"/>
      <c r="TEJ142" s="3507"/>
      <c r="TEK142" s="3507"/>
      <c r="TEL142" s="3507"/>
      <c r="TEM142" s="3507"/>
      <c r="TEN142" s="3507"/>
      <c r="TEO142" s="3507"/>
      <c r="TEP142" s="3507"/>
      <c r="TEQ142" s="3507"/>
      <c r="TER142" s="3507"/>
      <c r="TES142" s="3507"/>
      <c r="TET142" s="3507"/>
      <c r="TEU142" s="3507"/>
      <c r="TEV142" s="3507"/>
      <c r="TEW142" s="3507"/>
      <c r="TEX142" s="3507"/>
      <c r="TEY142" s="3507"/>
      <c r="TEZ142" s="3507"/>
      <c r="TFA142" s="3507"/>
      <c r="TFB142" s="3507"/>
      <c r="TFC142" s="3507"/>
      <c r="TFD142" s="3507"/>
      <c r="TFE142" s="3507"/>
      <c r="TFF142" s="3507"/>
      <c r="TFG142" s="3507"/>
      <c r="TFH142" s="3507"/>
      <c r="TFI142" s="3507"/>
      <c r="TFJ142" s="3507"/>
      <c r="TFK142" s="3507"/>
      <c r="TFL142" s="3507"/>
      <c r="TFM142" s="3507"/>
      <c r="TFN142" s="3507"/>
      <c r="TFO142" s="3507"/>
      <c r="TFP142" s="3507"/>
      <c r="TFQ142" s="3507"/>
      <c r="TFR142" s="3507"/>
      <c r="TFS142" s="3507"/>
      <c r="TFT142" s="3507"/>
      <c r="TFU142" s="3507"/>
      <c r="TFV142" s="3507"/>
      <c r="TFW142" s="3507"/>
      <c r="TFX142" s="3507"/>
      <c r="TFY142" s="3507"/>
      <c r="TFZ142" s="3507"/>
      <c r="TGA142" s="3507"/>
      <c r="TGB142" s="3507"/>
      <c r="TGC142" s="3507"/>
      <c r="TGD142" s="3507"/>
      <c r="TGE142" s="3507"/>
      <c r="TGF142" s="3507"/>
      <c r="TGG142" s="3507"/>
      <c r="TGH142" s="3507"/>
      <c r="TGI142" s="3507"/>
      <c r="TGJ142" s="3507"/>
      <c r="TGK142" s="3507"/>
      <c r="TGL142" s="3507"/>
      <c r="TGM142" s="3507"/>
      <c r="TGN142" s="3507"/>
      <c r="TGO142" s="3507"/>
      <c r="TGP142" s="3507"/>
      <c r="TGQ142" s="3507"/>
      <c r="TGR142" s="3507"/>
      <c r="TGS142" s="3507"/>
      <c r="TGT142" s="3507"/>
      <c r="TGU142" s="3507"/>
      <c r="TGV142" s="3507"/>
      <c r="TGW142" s="3507"/>
      <c r="TGX142" s="3507"/>
      <c r="TGY142" s="3507"/>
      <c r="TGZ142" s="3507"/>
      <c r="THA142" s="3507"/>
      <c r="THB142" s="3507"/>
      <c r="THC142" s="3507"/>
      <c r="THD142" s="3507"/>
      <c r="THE142" s="3507"/>
      <c r="THF142" s="3507"/>
      <c r="THG142" s="3507"/>
      <c r="THH142" s="3507"/>
      <c r="THI142" s="3507"/>
      <c r="THJ142" s="3507"/>
      <c r="THK142" s="3507"/>
      <c r="THL142" s="3507"/>
      <c r="THM142" s="3507"/>
      <c r="THN142" s="3507"/>
      <c r="THO142" s="3507"/>
      <c r="THP142" s="3507"/>
      <c r="THQ142" s="3507"/>
      <c r="THR142" s="3507"/>
      <c r="THS142" s="3507"/>
      <c r="THT142" s="3507"/>
      <c r="THU142" s="3507"/>
      <c r="THV142" s="3507"/>
      <c r="THW142" s="3507"/>
      <c r="THX142" s="3507"/>
      <c r="THY142" s="3507"/>
      <c r="THZ142" s="3507"/>
      <c r="TIA142" s="3507"/>
      <c r="TIB142" s="3507"/>
      <c r="TIC142" s="3507"/>
      <c r="TID142" s="3507"/>
      <c r="TIE142" s="3507"/>
      <c r="TIF142" s="3507"/>
      <c r="TIG142" s="3507"/>
      <c r="TIH142" s="3507"/>
      <c r="TII142" s="3507"/>
      <c r="TIJ142" s="3507"/>
      <c r="TIK142" s="3507"/>
      <c r="TIL142" s="3507"/>
      <c r="TIM142" s="3507"/>
      <c r="TIN142" s="3507"/>
      <c r="TIO142" s="3507"/>
      <c r="TIP142" s="3507"/>
      <c r="TIQ142" s="3507"/>
      <c r="TIR142" s="3507"/>
      <c r="TIS142" s="3507"/>
      <c r="TIT142" s="3507"/>
      <c r="TIU142" s="3507"/>
      <c r="TIV142" s="3507"/>
      <c r="TIW142" s="3507"/>
      <c r="TIX142" s="3507"/>
      <c r="TIY142" s="3507"/>
      <c r="TIZ142" s="3507"/>
      <c r="TJA142" s="3507"/>
      <c r="TJB142" s="3507"/>
      <c r="TJC142" s="3507"/>
      <c r="TJD142" s="3507"/>
      <c r="TJE142" s="3507"/>
      <c r="TJF142" s="3507"/>
      <c r="TJG142" s="3507"/>
      <c r="TJH142" s="3507"/>
      <c r="TJI142" s="3507"/>
      <c r="TJJ142" s="3507"/>
      <c r="TJK142" s="3507"/>
      <c r="TJL142" s="3507"/>
      <c r="TJM142" s="3507"/>
      <c r="TJN142" s="3507"/>
      <c r="TJO142" s="3507"/>
      <c r="TJP142" s="3507"/>
      <c r="TJQ142" s="3507"/>
      <c r="TJR142" s="3507"/>
      <c r="TJS142" s="3507"/>
      <c r="TJT142" s="3507"/>
      <c r="TJU142" s="3507"/>
      <c r="TJV142" s="3507"/>
      <c r="TJW142" s="3507"/>
      <c r="TJX142" s="3507"/>
      <c r="TJY142" s="3507"/>
      <c r="TJZ142" s="3507"/>
      <c r="TKA142" s="3507"/>
      <c r="TKB142" s="3507"/>
      <c r="TKC142" s="3507"/>
      <c r="TKD142" s="3507"/>
      <c r="TKE142" s="3507"/>
      <c r="TKF142" s="3507"/>
      <c r="TKG142" s="3507"/>
      <c r="TKH142" s="3507"/>
      <c r="TKI142" s="3507"/>
      <c r="TKJ142" s="3507"/>
      <c r="TKK142" s="3507"/>
      <c r="TKL142" s="3507"/>
      <c r="TKM142" s="3507"/>
      <c r="TKN142" s="3507"/>
      <c r="TKO142" s="3507"/>
      <c r="TKP142" s="3507"/>
      <c r="TKQ142" s="3507"/>
      <c r="TKR142" s="3507"/>
      <c r="TKS142" s="3507"/>
      <c r="TKT142" s="3507"/>
      <c r="TKU142" s="3507"/>
      <c r="TKV142" s="3507"/>
      <c r="TKW142" s="3507"/>
      <c r="TKX142" s="3507"/>
      <c r="TKY142" s="3507"/>
      <c r="TKZ142" s="3507"/>
      <c r="TLA142" s="3507"/>
      <c r="TLB142" s="3507"/>
      <c r="TLC142" s="3507"/>
      <c r="TLD142" s="3507"/>
      <c r="TLE142" s="3507"/>
      <c r="TLF142" s="3507"/>
      <c r="TLG142" s="3507"/>
      <c r="TLH142" s="3507"/>
      <c r="TLI142" s="3507"/>
      <c r="TLJ142" s="3507"/>
      <c r="TLK142" s="3507"/>
      <c r="TLL142" s="3507"/>
      <c r="TLM142" s="3507"/>
      <c r="TLN142" s="3507"/>
      <c r="TLO142" s="3507"/>
      <c r="TLP142" s="3507"/>
      <c r="TLQ142" s="3507"/>
      <c r="TLR142" s="3507"/>
      <c r="TLS142" s="3507"/>
      <c r="TLT142" s="3507"/>
      <c r="TLU142" s="3507"/>
      <c r="TLV142" s="3507"/>
      <c r="TLW142" s="3507"/>
      <c r="TLX142" s="3507"/>
      <c r="TLY142" s="3507"/>
      <c r="TLZ142" s="3507"/>
      <c r="TMA142" s="3507"/>
      <c r="TMB142" s="3507"/>
      <c r="TMC142" s="3507"/>
      <c r="TMD142" s="3507"/>
      <c r="TME142" s="3507"/>
      <c r="TMF142" s="3507"/>
      <c r="TMG142" s="3507"/>
      <c r="TMH142" s="3507"/>
      <c r="TMI142" s="3507"/>
      <c r="TMJ142" s="3507"/>
      <c r="TMK142" s="3507"/>
      <c r="TML142" s="3507"/>
      <c r="TMM142" s="3507"/>
      <c r="TMN142" s="3507"/>
      <c r="TMO142" s="3507"/>
      <c r="TMP142" s="3507"/>
      <c r="TMQ142" s="3507"/>
      <c r="TMR142" s="3507"/>
      <c r="TMS142" s="3507"/>
      <c r="TMT142" s="3507"/>
      <c r="TMU142" s="3507"/>
      <c r="TMV142" s="3507"/>
      <c r="TMW142" s="3507"/>
      <c r="TMX142" s="3507"/>
      <c r="TMY142" s="3507"/>
      <c r="TMZ142" s="3507"/>
      <c r="TNA142" s="3507"/>
      <c r="TNB142" s="3507"/>
      <c r="TNC142" s="3507"/>
      <c r="TND142" s="3507"/>
      <c r="TNE142" s="3507"/>
      <c r="TNF142" s="3507"/>
      <c r="TNG142" s="3507"/>
      <c r="TNH142" s="3507"/>
      <c r="TNI142" s="3507"/>
      <c r="TNJ142" s="3507"/>
      <c r="TNK142" s="3507"/>
      <c r="TNL142" s="3507"/>
      <c r="TNM142" s="3507"/>
      <c r="TNN142" s="3507"/>
      <c r="TNO142" s="3507"/>
      <c r="TNP142" s="3507"/>
      <c r="TNQ142" s="3507"/>
      <c r="TNR142" s="3507"/>
      <c r="TNS142" s="3507"/>
      <c r="TNT142" s="3507"/>
      <c r="TNU142" s="3507"/>
      <c r="TNV142" s="3507"/>
      <c r="TNW142" s="3507"/>
      <c r="TNX142" s="3507"/>
      <c r="TNY142" s="3507"/>
      <c r="TNZ142" s="3507"/>
      <c r="TOA142" s="3507"/>
      <c r="TOB142" s="3507"/>
      <c r="TOC142" s="3507"/>
      <c r="TOD142" s="3507"/>
      <c r="TOE142" s="3507"/>
      <c r="TOF142" s="3507"/>
      <c r="TOG142" s="3507"/>
      <c r="TOH142" s="3507"/>
      <c r="TOI142" s="3507"/>
      <c r="TOJ142" s="3507"/>
      <c r="TOK142" s="3507"/>
      <c r="TOL142" s="3507"/>
      <c r="TOM142" s="3507"/>
      <c r="TON142" s="3507"/>
      <c r="TOO142" s="3507"/>
      <c r="TOP142" s="3507"/>
      <c r="TOQ142" s="3507"/>
      <c r="TOR142" s="3507"/>
      <c r="TOS142" s="3507"/>
      <c r="TOT142" s="3507"/>
      <c r="TOU142" s="3507"/>
      <c r="TOV142" s="3507"/>
      <c r="TOW142" s="3507"/>
      <c r="TOX142" s="3507"/>
      <c r="TOY142" s="3507"/>
      <c r="TOZ142" s="3507"/>
      <c r="TPA142" s="3507"/>
      <c r="TPB142" s="3507"/>
      <c r="TPC142" s="3507"/>
      <c r="TPD142" s="3507"/>
      <c r="TPE142" s="3507"/>
      <c r="TPF142" s="3507"/>
      <c r="TPG142" s="3507"/>
      <c r="TPH142" s="3507"/>
      <c r="TPI142" s="3507"/>
      <c r="TPJ142" s="3507"/>
      <c r="TPK142" s="3507"/>
      <c r="TPL142" s="3507"/>
      <c r="TPM142" s="3507"/>
      <c r="TPN142" s="3507"/>
      <c r="TPO142" s="3507"/>
      <c r="TPP142" s="3507"/>
      <c r="TPQ142" s="3507"/>
      <c r="TPR142" s="3507"/>
      <c r="TPS142" s="3507"/>
      <c r="TPT142" s="3507"/>
      <c r="TPU142" s="3507"/>
      <c r="TPV142" s="3507"/>
      <c r="TPW142" s="3507"/>
      <c r="TPX142" s="3507"/>
      <c r="TPY142" s="3507"/>
      <c r="TPZ142" s="3507"/>
      <c r="TQA142" s="3507"/>
      <c r="TQB142" s="3507"/>
      <c r="TQC142" s="3507"/>
      <c r="TQD142" s="3507"/>
      <c r="TQE142" s="3507"/>
      <c r="TQF142" s="3507"/>
      <c r="TQG142" s="3507"/>
      <c r="TQH142" s="3507"/>
      <c r="TQI142" s="3507"/>
      <c r="TQJ142" s="3507"/>
      <c r="TQK142" s="3507"/>
      <c r="TQL142" s="3507"/>
      <c r="TQM142" s="3507"/>
      <c r="TQN142" s="3507"/>
      <c r="TQO142" s="3507"/>
      <c r="TQP142" s="3507"/>
      <c r="TQQ142" s="3507"/>
      <c r="TQR142" s="3507"/>
      <c r="TQS142" s="3507"/>
      <c r="TQT142" s="3507"/>
      <c r="TQU142" s="3507"/>
      <c r="TQV142" s="3507"/>
      <c r="TQW142" s="3507"/>
      <c r="TQX142" s="3507"/>
      <c r="TQY142" s="3507"/>
      <c r="TQZ142" s="3507"/>
      <c r="TRA142" s="3507"/>
      <c r="TRB142" s="3507"/>
      <c r="TRC142" s="3507"/>
      <c r="TRD142" s="3507"/>
      <c r="TRE142" s="3507"/>
      <c r="TRF142" s="3507"/>
      <c r="TRG142" s="3507"/>
      <c r="TRH142" s="3507"/>
      <c r="TRI142" s="3507"/>
      <c r="TRJ142" s="3507"/>
      <c r="TRK142" s="3507"/>
      <c r="TRL142" s="3507"/>
      <c r="TRM142" s="3507"/>
      <c r="TRN142" s="3507"/>
      <c r="TRO142" s="3507"/>
      <c r="TRP142" s="3507"/>
      <c r="TRQ142" s="3507"/>
      <c r="TRR142" s="3507"/>
      <c r="TRS142" s="3507"/>
      <c r="TRT142" s="3507"/>
      <c r="TRU142" s="3507"/>
      <c r="TRV142" s="3507"/>
      <c r="TRW142" s="3507"/>
      <c r="TRX142" s="3507"/>
      <c r="TRY142" s="3507"/>
      <c r="TRZ142" s="3507"/>
      <c r="TSA142" s="3507"/>
      <c r="TSB142" s="3507"/>
      <c r="TSC142" s="3507"/>
      <c r="TSD142" s="3507"/>
      <c r="TSE142" s="3507"/>
      <c r="TSF142" s="3507"/>
      <c r="TSG142" s="3507"/>
      <c r="TSH142" s="3507"/>
      <c r="TSI142" s="3507"/>
      <c r="TSJ142" s="3507"/>
      <c r="TSK142" s="3507"/>
      <c r="TSL142" s="3507"/>
      <c r="TSM142" s="3507"/>
      <c r="TSN142" s="3507"/>
      <c r="TSO142" s="3507"/>
      <c r="TSP142" s="3507"/>
      <c r="TSQ142" s="3507"/>
      <c r="TSR142" s="3507"/>
      <c r="TSS142" s="3507"/>
      <c r="TST142" s="3507"/>
      <c r="TSU142" s="3507"/>
      <c r="TSV142" s="3507"/>
      <c r="TSW142" s="3507"/>
      <c r="TSX142" s="3507"/>
      <c r="TSY142" s="3507"/>
      <c r="TSZ142" s="3507"/>
      <c r="TTA142" s="3507"/>
      <c r="TTB142" s="3507"/>
      <c r="TTC142" s="3507"/>
      <c r="TTD142" s="3507"/>
      <c r="TTE142" s="3507"/>
      <c r="TTF142" s="3507"/>
      <c r="TTG142" s="3507"/>
      <c r="TTH142" s="3507"/>
      <c r="TTI142" s="3507"/>
      <c r="TTJ142" s="3507"/>
      <c r="TTK142" s="3507"/>
      <c r="TTL142" s="3507"/>
      <c r="TTM142" s="3507"/>
      <c r="TTN142" s="3507"/>
      <c r="TTO142" s="3507"/>
      <c r="TTP142" s="3507"/>
      <c r="TTQ142" s="3507"/>
      <c r="TTR142" s="3507"/>
      <c r="TTS142" s="3507"/>
      <c r="TTT142" s="3507"/>
      <c r="TTU142" s="3507"/>
      <c r="TTV142" s="3507"/>
      <c r="TTW142" s="3507"/>
      <c r="TTX142" s="3507"/>
      <c r="TTY142" s="3507"/>
      <c r="TTZ142" s="3507"/>
      <c r="TUA142" s="3507"/>
      <c r="TUB142" s="3507"/>
      <c r="TUC142" s="3507"/>
      <c r="TUD142" s="3507"/>
      <c r="TUE142" s="3507"/>
      <c r="TUF142" s="3507"/>
      <c r="TUG142" s="3507"/>
      <c r="TUH142" s="3507"/>
      <c r="TUI142" s="3507"/>
      <c r="TUJ142" s="3507"/>
      <c r="TUK142" s="3507"/>
      <c r="TUL142" s="3507"/>
      <c r="TUM142" s="3507"/>
      <c r="TUN142" s="3507"/>
      <c r="TUO142" s="3507"/>
      <c r="TUP142" s="3507"/>
      <c r="TUQ142" s="3507"/>
      <c r="TUR142" s="3507"/>
      <c r="TUS142" s="3507"/>
      <c r="TUT142" s="3507"/>
      <c r="TUU142" s="3507"/>
      <c r="TUV142" s="3507"/>
      <c r="TUW142" s="3507"/>
      <c r="TUX142" s="3507"/>
      <c r="TUY142" s="3507"/>
      <c r="TUZ142" s="3507"/>
      <c r="TVA142" s="3507"/>
      <c r="TVB142" s="3507"/>
      <c r="TVC142" s="3507"/>
      <c r="TVD142" s="3507"/>
      <c r="TVE142" s="3507"/>
      <c r="TVF142" s="3507"/>
      <c r="TVG142" s="3507"/>
      <c r="TVH142" s="3507"/>
      <c r="TVI142" s="3507"/>
      <c r="TVJ142" s="3507"/>
      <c r="TVK142" s="3507"/>
      <c r="TVL142" s="3507"/>
      <c r="TVM142" s="3507"/>
      <c r="TVN142" s="3507"/>
      <c r="TVO142" s="3507"/>
      <c r="TVP142" s="3507"/>
      <c r="TVQ142" s="3507"/>
      <c r="TVR142" s="3507"/>
      <c r="TVS142" s="3507"/>
      <c r="TVT142" s="3507"/>
      <c r="TVU142" s="3507"/>
      <c r="TVV142" s="3507"/>
      <c r="TVW142" s="3507"/>
      <c r="TVX142" s="3507"/>
      <c r="TVY142" s="3507"/>
      <c r="TVZ142" s="3507"/>
      <c r="TWA142" s="3507"/>
      <c r="TWB142" s="3507"/>
      <c r="TWC142" s="3507"/>
      <c r="TWD142" s="3507"/>
      <c r="TWE142" s="3507"/>
      <c r="TWF142" s="3507"/>
      <c r="TWG142" s="3507"/>
      <c r="TWH142" s="3507"/>
      <c r="TWI142" s="3507"/>
      <c r="TWJ142" s="3507"/>
      <c r="TWK142" s="3507"/>
      <c r="TWL142" s="3507"/>
      <c r="TWM142" s="3507"/>
      <c r="TWN142" s="3507"/>
      <c r="TWO142" s="3507"/>
      <c r="TWP142" s="3507"/>
      <c r="TWQ142" s="3507"/>
      <c r="TWR142" s="3507"/>
      <c r="TWS142" s="3507"/>
      <c r="TWT142" s="3507"/>
      <c r="TWU142" s="3507"/>
      <c r="TWV142" s="3507"/>
      <c r="TWW142" s="3507"/>
      <c r="TWX142" s="3507"/>
      <c r="TWY142" s="3507"/>
      <c r="TWZ142" s="3507"/>
      <c r="TXA142" s="3507"/>
      <c r="TXB142" s="3507"/>
      <c r="TXC142" s="3507"/>
      <c r="TXD142" s="3507"/>
      <c r="TXE142" s="3507"/>
      <c r="TXF142" s="3507"/>
      <c r="TXG142" s="3507"/>
      <c r="TXH142" s="3507"/>
      <c r="TXI142" s="3507"/>
      <c r="TXJ142" s="3507"/>
      <c r="TXK142" s="3507"/>
      <c r="TXL142" s="3507"/>
      <c r="TXM142" s="3507"/>
      <c r="TXN142" s="3507"/>
      <c r="TXO142" s="3507"/>
      <c r="TXP142" s="3507"/>
      <c r="TXQ142" s="3507"/>
      <c r="TXR142" s="3507"/>
      <c r="TXS142" s="3507"/>
      <c r="TXT142" s="3507"/>
      <c r="TXU142" s="3507"/>
      <c r="TXV142" s="3507"/>
      <c r="TXW142" s="3507"/>
      <c r="TXX142" s="3507"/>
      <c r="TXY142" s="3507"/>
      <c r="TXZ142" s="3507"/>
      <c r="TYA142" s="3507"/>
      <c r="TYB142" s="3507"/>
      <c r="TYC142" s="3507"/>
      <c r="TYD142" s="3507"/>
      <c r="TYE142" s="3507"/>
      <c r="TYF142" s="3507"/>
      <c r="TYG142" s="3507"/>
      <c r="TYH142" s="3507"/>
      <c r="TYI142" s="3507"/>
      <c r="TYJ142" s="3507"/>
      <c r="TYK142" s="3507"/>
      <c r="TYL142" s="3507"/>
      <c r="TYM142" s="3507"/>
      <c r="TYN142" s="3507"/>
      <c r="TYO142" s="3507"/>
      <c r="TYP142" s="3507"/>
      <c r="TYQ142" s="3507"/>
      <c r="TYR142" s="3507"/>
      <c r="TYS142" s="3507"/>
      <c r="TYT142" s="3507"/>
      <c r="TYU142" s="3507"/>
      <c r="TYV142" s="3507"/>
      <c r="TYW142" s="3507"/>
      <c r="TYX142" s="3507"/>
      <c r="TYY142" s="3507"/>
      <c r="TYZ142" s="3507"/>
      <c r="TZA142" s="3507"/>
      <c r="TZB142" s="3507"/>
      <c r="TZC142" s="3507"/>
      <c r="TZD142" s="3507"/>
      <c r="TZE142" s="3507"/>
      <c r="TZF142" s="3507"/>
      <c r="TZG142" s="3507"/>
      <c r="TZH142" s="3507"/>
      <c r="TZI142" s="3507"/>
      <c r="TZJ142" s="3507"/>
      <c r="TZK142" s="3507"/>
      <c r="TZL142" s="3507"/>
      <c r="TZM142" s="3507"/>
      <c r="TZN142" s="3507"/>
      <c r="TZO142" s="3507"/>
      <c r="TZP142" s="3507"/>
      <c r="TZQ142" s="3507"/>
      <c r="TZR142" s="3507"/>
      <c r="TZS142" s="3507"/>
      <c r="TZT142" s="3507"/>
      <c r="TZU142" s="3507"/>
      <c r="TZV142" s="3507"/>
      <c r="TZW142" s="3507"/>
      <c r="TZX142" s="3507"/>
      <c r="TZY142" s="3507"/>
      <c r="TZZ142" s="3507"/>
      <c r="UAA142" s="3507"/>
      <c r="UAB142" s="3507"/>
      <c r="UAC142" s="3507"/>
      <c r="UAD142" s="3507"/>
      <c r="UAE142" s="3507"/>
      <c r="UAF142" s="3507"/>
      <c r="UAG142" s="3507"/>
      <c r="UAH142" s="3507"/>
      <c r="UAI142" s="3507"/>
      <c r="UAJ142" s="3507"/>
      <c r="UAK142" s="3507"/>
      <c r="UAL142" s="3507"/>
      <c r="UAM142" s="3507"/>
      <c r="UAN142" s="3507"/>
      <c r="UAO142" s="3507"/>
      <c r="UAP142" s="3507"/>
      <c r="UAQ142" s="3507"/>
      <c r="UAR142" s="3507"/>
      <c r="UAS142" s="3507"/>
      <c r="UAT142" s="3507"/>
      <c r="UAU142" s="3507"/>
      <c r="UAV142" s="3507"/>
      <c r="UAW142" s="3507"/>
      <c r="UAX142" s="3507"/>
      <c r="UAY142" s="3507"/>
      <c r="UAZ142" s="3507"/>
      <c r="UBA142" s="3507"/>
      <c r="UBB142" s="3507"/>
      <c r="UBC142" s="3507"/>
      <c r="UBD142" s="3507"/>
      <c r="UBE142" s="3507"/>
      <c r="UBF142" s="3507"/>
      <c r="UBG142" s="3507"/>
      <c r="UBH142" s="3507"/>
      <c r="UBI142" s="3507"/>
      <c r="UBJ142" s="3507"/>
      <c r="UBK142" s="3507"/>
      <c r="UBL142" s="3507"/>
      <c r="UBM142" s="3507"/>
      <c r="UBN142" s="3507"/>
      <c r="UBO142" s="3507"/>
      <c r="UBP142" s="3507"/>
      <c r="UBQ142" s="3507"/>
      <c r="UBR142" s="3507"/>
      <c r="UBS142" s="3507"/>
      <c r="UBT142" s="3507"/>
      <c r="UBU142" s="3507"/>
      <c r="UBV142" s="3507"/>
      <c r="UBW142" s="3507"/>
      <c r="UBX142" s="3507"/>
      <c r="UBY142" s="3507"/>
      <c r="UBZ142" s="3507"/>
      <c r="UCA142" s="3507"/>
      <c r="UCB142" s="3507"/>
      <c r="UCC142" s="3507"/>
      <c r="UCD142" s="3507"/>
      <c r="UCE142" s="3507"/>
      <c r="UCF142" s="3507"/>
      <c r="UCG142" s="3507"/>
      <c r="UCH142" s="3507"/>
      <c r="UCI142" s="3507"/>
      <c r="UCJ142" s="3507"/>
      <c r="UCK142" s="3507"/>
      <c r="UCL142" s="3507"/>
      <c r="UCM142" s="3507"/>
      <c r="UCN142" s="3507"/>
      <c r="UCO142" s="3507"/>
      <c r="UCP142" s="3507"/>
      <c r="UCQ142" s="3507"/>
      <c r="UCR142" s="3507"/>
      <c r="UCS142" s="3507"/>
      <c r="UCT142" s="3507"/>
      <c r="UCU142" s="3507"/>
      <c r="UCV142" s="3507"/>
      <c r="UCW142" s="3507"/>
      <c r="UCX142" s="3507"/>
      <c r="UCY142" s="3507"/>
      <c r="UCZ142" s="3507"/>
      <c r="UDA142" s="3507"/>
      <c r="UDB142" s="3507"/>
      <c r="UDC142" s="3507"/>
      <c r="UDD142" s="3507"/>
      <c r="UDE142" s="3507"/>
      <c r="UDF142" s="3507"/>
      <c r="UDG142" s="3507"/>
      <c r="UDH142" s="3507"/>
      <c r="UDI142" s="3507"/>
      <c r="UDJ142" s="3507"/>
      <c r="UDK142" s="3507"/>
      <c r="UDL142" s="3507"/>
      <c r="UDM142" s="3507"/>
      <c r="UDN142" s="3507"/>
      <c r="UDO142" s="3507"/>
      <c r="UDP142" s="3507"/>
      <c r="UDQ142" s="3507"/>
      <c r="UDR142" s="3507"/>
      <c r="UDS142" s="3507"/>
      <c r="UDT142" s="3507"/>
      <c r="UDU142" s="3507"/>
      <c r="UDV142" s="3507"/>
      <c r="UDW142" s="3507"/>
      <c r="UDX142" s="3507"/>
      <c r="UDY142" s="3507"/>
      <c r="UDZ142" s="3507"/>
      <c r="UEA142" s="3507"/>
      <c r="UEB142" s="3507"/>
      <c r="UEC142" s="3507"/>
      <c r="UED142" s="3507"/>
      <c r="UEE142" s="3507"/>
      <c r="UEF142" s="3507"/>
      <c r="UEG142" s="3507"/>
      <c r="UEH142" s="3507"/>
      <c r="UEI142" s="3507"/>
      <c r="UEJ142" s="3507"/>
      <c r="UEK142" s="3507"/>
      <c r="UEL142" s="3507"/>
      <c r="UEM142" s="3507"/>
      <c r="UEN142" s="3507"/>
      <c r="UEO142" s="3507"/>
      <c r="UEP142" s="3507"/>
      <c r="UEQ142" s="3507"/>
      <c r="UER142" s="3507"/>
      <c r="UES142" s="3507"/>
      <c r="UET142" s="3507"/>
      <c r="UEU142" s="3507"/>
      <c r="UEV142" s="3507"/>
      <c r="UEW142" s="3507"/>
      <c r="UEX142" s="3507"/>
      <c r="UEY142" s="3507"/>
      <c r="UEZ142" s="3507"/>
      <c r="UFA142" s="3507"/>
      <c r="UFB142" s="3507"/>
      <c r="UFC142" s="3507"/>
      <c r="UFD142" s="3507"/>
      <c r="UFE142" s="3507"/>
      <c r="UFF142" s="3507"/>
      <c r="UFG142" s="3507"/>
      <c r="UFH142" s="3507"/>
      <c r="UFI142" s="3507"/>
      <c r="UFJ142" s="3507"/>
      <c r="UFK142" s="3507"/>
      <c r="UFL142" s="3507"/>
      <c r="UFM142" s="3507"/>
      <c r="UFN142" s="3507"/>
      <c r="UFO142" s="3507"/>
      <c r="UFP142" s="3507"/>
      <c r="UFQ142" s="3507"/>
      <c r="UFR142" s="3507"/>
      <c r="UFS142" s="3507"/>
      <c r="UFT142" s="3507"/>
      <c r="UFU142" s="3507"/>
      <c r="UFV142" s="3507"/>
      <c r="UFW142" s="3507"/>
      <c r="UFX142" s="3507"/>
      <c r="UFY142" s="3507"/>
      <c r="UFZ142" s="3507"/>
      <c r="UGA142" s="3507"/>
      <c r="UGB142" s="3507"/>
      <c r="UGC142" s="3507"/>
      <c r="UGD142" s="3507"/>
      <c r="UGE142" s="3507"/>
      <c r="UGF142" s="3507"/>
      <c r="UGG142" s="3507"/>
      <c r="UGH142" s="3507"/>
      <c r="UGI142" s="3507"/>
      <c r="UGJ142" s="3507"/>
      <c r="UGK142" s="3507"/>
      <c r="UGL142" s="3507"/>
      <c r="UGM142" s="3507"/>
      <c r="UGN142" s="3507"/>
      <c r="UGO142" s="3507"/>
      <c r="UGP142" s="3507"/>
      <c r="UGQ142" s="3507"/>
      <c r="UGR142" s="3507"/>
      <c r="UGS142" s="3507"/>
      <c r="UGT142" s="3507"/>
      <c r="UGU142" s="3507"/>
      <c r="UGV142" s="3507"/>
      <c r="UGW142" s="3507"/>
      <c r="UGX142" s="3507"/>
      <c r="UGY142" s="3507"/>
      <c r="UGZ142" s="3507"/>
      <c r="UHA142" s="3507"/>
      <c r="UHB142" s="3507"/>
      <c r="UHC142" s="3507"/>
      <c r="UHD142" s="3507"/>
      <c r="UHE142" s="3507"/>
      <c r="UHF142" s="3507"/>
      <c r="UHG142" s="3507"/>
      <c r="UHH142" s="3507"/>
      <c r="UHI142" s="3507"/>
      <c r="UHJ142" s="3507"/>
      <c r="UHK142" s="3507"/>
      <c r="UHL142" s="3507"/>
      <c r="UHM142" s="3507"/>
      <c r="UHN142" s="3507"/>
      <c r="UHO142" s="3507"/>
      <c r="UHP142" s="3507"/>
      <c r="UHQ142" s="3507"/>
      <c r="UHR142" s="3507"/>
      <c r="UHS142" s="3507"/>
      <c r="UHT142" s="3507"/>
      <c r="UHU142" s="3507"/>
      <c r="UHV142" s="3507"/>
      <c r="UHW142" s="3507"/>
      <c r="UHX142" s="3507"/>
      <c r="UHY142" s="3507"/>
      <c r="UHZ142" s="3507"/>
      <c r="UIA142" s="3507"/>
      <c r="UIB142" s="3507"/>
      <c r="UIC142" s="3507"/>
      <c r="UID142" s="3507"/>
      <c r="UIE142" s="3507"/>
      <c r="UIF142" s="3507"/>
      <c r="UIG142" s="3507"/>
      <c r="UIH142" s="3507"/>
      <c r="UII142" s="3507"/>
      <c r="UIJ142" s="3507"/>
      <c r="UIK142" s="3507"/>
      <c r="UIL142" s="3507"/>
      <c r="UIM142" s="3507"/>
      <c r="UIN142" s="3507"/>
      <c r="UIO142" s="3507"/>
      <c r="UIP142" s="3507"/>
      <c r="UIQ142" s="3507"/>
      <c r="UIR142" s="3507"/>
      <c r="UIS142" s="3507"/>
      <c r="UIT142" s="3507"/>
      <c r="UIU142" s="3507"/>
      <c r="UIV142" s="3507"/>
      <c r="UIW142" s="3507"/>
      <c r="UIX142" s="3507"/>
      <c r="UIY142" s="3507"/>
      <c r="UIZ142" s="3507"/>
      <c r="UJA142" s="3507"/>
      <c r="UJB142" s="3507"/>
      <c r="UJC142" s="3507"/>
      <c r="UJD142" s="3507"/>
      <c r="UJE142" s="3507"/>
      <c r="UJF142" s="3507"/>
      <c r="UJG142" s="3507"/>
      <c r="UJH142" s="3507"/>
      <c r="UJI142" s="3507"/>
      <c r="UJJ142" s="3507"/>
      <c r="UJK142" s="3507"/>
      <c r="UJL142" s="3507"/>
      <c r="UJM142" s="3507"/>
      <c r="UJN142" s="3507"/>
      <c r="UJO142" s="3507"/>
      <c r="UJP142" s="3507"/>
      <c r="UJQ142" s="3507"/>
      <c r="UJR142" s="3507"/>
      <c r="UJS142" s="3507"/>
      <c r="UJT142" s="3507"/>
      <c r="UJU142" s="3507"/>
      <c r="UJV142" s="3507"/>
      <c r="UJW142" s="3507"/>
      <c r="UJX142" s="3507"/>
      <c r="UJY142" s="3507"/>
      <c r="UJZ142" s="3507"/>
      <c r="UKA142" s="3507"/>
      <c r="UKB142" s="3507"/>
      <c r="UKC142" s="3507"/>
      <c r="UKD142" s="3507"/>
      <c r="UKE142" s="3507"/>
      <c r="UKF142" s="3507"/>
      <c r="UKG142" s="3507"/>
      <c r="UKH142" s="3507"/>
      <c r="UKI142" s="3507"/>
      <c r="UKJ142" s="3507"/>
      <c r="UKK142" s="3507"/>
      <c r="UKL142" s="3507"/>
      <c r="UKM142" s="3507"/>
      <c r="UKN142" s="3507"/>
      <c r="UKO142" s="3507"/>
      <c r="UKP142" s="3507"/>
      <c r="UKQ142" s="3507"/>
      <c r="UKR142" s="3507"/>
      <c r="UKS142" s="3507"/>
      <c r="UKT142" s="3507"/>
      <c r="UKU142" s="3507"/>
      <c r="UKV142" s="3507"/>
      <c r="UKW142" s="3507"/>
      <c r="UKX142" s="3507"/>
      <c r="UKY142" s="3507"/>
      <c r="UKZ142" s="3507"/>
      <c r="ULA142" s="3507"/>
      <c r="ULB142" s="3507"/>
      <c r="ULC142" s="3507"/>
      <c r="ULD142" s="3507"/>
      <c r="ULE142" s="3507"/>
      <c r="ULF142" s="3507"/>
      <c r="ULG142" s="3507"/>
      <c r="ULH142" s="3507"/>
      <c r="ULI142" s="3507"/>
      <c r="ULJ142" s="3507"/>
      <c r="ULK142" s="3507"/>
      <c r="ULL142" s="3507"/>
      <c r="ULM142" s="3507"/>
      <c r="ULN142" s="3507"/>
      <c r="ULO142" s="3507"/>
      <c r="ULP142" s="3507"/>
      <c r="ULQ142" s="3507"/>
      <c r="ULR142" s="3507"/>
      <c r="ULS142" s="3507"/>
      <c r="ULT142" s="3507"/>
      <c r="ULU142" s="3507"/>
      <c r="ULV142" s="3507"/>
      <c r="ULW142" s="3507"/>
      <c r="ULX142" s="3507"/>
      <c r="ULY142" s="3507"/>
      <c r="ULZ142" s="3507"/>
      <c r="UMA142" s="3507"/>
      <c r="UMB142" s="3507"/>
      <c r="UMC142" s="3507"/>
      <c r="UMD142" s="3507"/>
      <c r="UME142" s="3507"/>
      <c r="UMF142" s="3507"/>
      <c r="UMG142" s="3507"/>
      <c r="UMH142" s="3507"/>
      <c r="UMI142" s="3507"/>
      <c r="UMJ142" s="3507"/>
      <c r="UMK142" s="3507"/>
      <c r="UML142" s="3507"/>
      <c r="UMM142" s="3507"/>
      <c r="UMN142" s="3507"/>
      <c r="UMO142" s="3507"/>
      <c r="UMP142" s="3507"/>
      <c r="UMQ142" s="3507"/>
      <c r="UMR142" s="3507"/>
      <c r="UMS142" s="3507"/>
      <c r="UMT142" s="3507"/>
      <c r="UMU142" s="3507"/>
      <c r="UMV142" s="3507"/>
      <c r="UMW142" s="3507"/>
      <c r="UMX142" s="3507"/>
      <c r="UMY142" s="3507"/>
      <c r="UMZ142" s="3507"/>
      <c r="UNA142" s="3507"/>
      <c r="UNB142" s="3507"/>
      <c r="UNC142" s="3507"/>
      <c r="UND142" s="3507"/>
      <c r="UNE142" s="3507"/>
      <c r="UNF142" s="3507"/>
      <c r="UNG142" s="3507"/>
      <c r="UNH142" s="3507"/>
      <c r="UNI142" s="3507"/>
      <c r="UNJ142" s="3507"/>
      <c r="UNK142" s="3507"/>
      <c r="UNL142" s="3507"/>
      <c r="UNM142" s="3507"/>
      <c r="UNN142" s="3507"/>
      <c r="UNO142" s="3507"/>
      <c r="UNP142" s="3507"/>
      <c r="UNQ142" s="3507"/>
      <c r="UNR142" s="3507"/>
      <c r="UNS142" s="3507"/>
      <c r="UNT142" s="3507"/>
      <c r="UNU142" s="3507"/>
      <c r="UNV142" s="3507"/>
      <c r="UNW142" s="3507"/>
      <c r="UNX142" s="3507"/>
      <c r="UNY142" s="3507"/>
      <c r="UNZ142" s="3507"/>
      <c r="UOA142" s="3507"/>
      <c r="UOB142" s="3507"/>
      <c r="UOC142" s="3507"/>
      <c r="UOD142" s="3507"/>
      <c r="UOE142" s="3507"/>
      <c r="UOF142" s="3507"/>
      <c r="UOG142" s="3507"/>
      <c r="UOH142" s="3507"/>
      <c r="UOI142" s="3507"/>
      <c r="UOJ142" s="3507"/>
      <c r="UOK142" s="3507"/>
      <c r="UOL142" s="3507"/>
      <c r="UOM142" s="3507"/>
      <c r="UON142" s="3507"/>
      <c r="UOO142" s="3507"/>
      <c r="UOP142" s="3507"/>
      <c r="UOQ142" s="3507"/>
      <c r="UOR142" s="3507"/>
      <c r="UOS142" s="3507"/>
      <c r="UOT142" s="3507"/>
      <c r="UOU142" s="3507"/>
      <c r="UOV142" s="3507"/>
      <c r="UOW142" s="3507"/>
      <c r="UOX142" s="3507"/>
      <c r="UOY142" s="3507"/>
      <c r="UOZ142" s="3507"/>
      <c r="UPA142" s="3507"/>
      <c r="UPB142" s="3507"/>
      <c r="UPC142" s="3507"/>
      <c r="UPD142" s="3507"/>
      <c r="UPE142" s="3507"/>
      <c r="UPF142" s="3507"/>
      <c r="UPG142" s="3507"/>
      <c r="UPH142" s="3507"/>
      <c r="UPI142" s="3507"/>
      <c r="UPJ142" s="3507"/>
      <c r="UPK142" s="3507"/>
      <c r="UPL142" s="3507"/>
      <c r="UPM142" s="3507"/>
      <c r="UPN142" s="3507"/>
      <c r="UPO142" s="3507"/>
      <c r="UPP142" s="3507"/>
      <c r="UPQ142" s="3507"/>
      <c r="UPR142" s="3507"/>
      <c r="UPS142" s="3507"/>
      <c r="UPT142" s="3507"/>
      <c r="UPU142" s="3507"/>
      <c r="UPV142" s="3507"/>
      <c r="UPW142" s="3507"/>
      <c r="UPX142" s="3507"/>
      <c r="UPY142" s="3507"/>
      <c r="UPZ142" s="3507"/>
      <c r="UQA142" s="3507"/>
      <c r="UQB142" s="3507"/>
      <c r="UQC142" s="3507"/>
      <c r="UQD142" s="3507"/>
      <c r="UQE142" s="3507"/>
      <c r="UQF142" s="3507"/>
      <c r="UQG142" s="3507"/>
      <c r="UQH142" s="3507"/>
      <c r="UQI142" s="3507"/>
      <c r="UQJ142" s="3507"/>
      <c r="UQK142" s="3507"/>
      <c r="UQL142" s="3507"/>
      <c r="UQM142" s="3507"/>
      <c r="UQN142" s="3507"/>
      <c r="UQO142" s="3507"/>
      <c r="UQP142" s="3507"/>
      <c r="UQQ142" s="3507"/>
      <c r="UQR142" s="3507"/>
      <c r="UQS142" s="3507"/>
      <c r="UQT142" s="3507"/>
      <c r="UQU142" s="3507"/>
      <c r="UQV142" s="3507"/>
      <c r="UQW142" s="3507"/>
      <c r="UQX142" s="3507"/>
      <c r="UQY142" s="3507"/>
      <c r="UQZ142" s="3507"/>
      <c r="URA142" s="3507"/>
      <c r="URB142" s="3507"/>
      <c r="URC142" s="3507"/>
      <c r="URD142" s="3507"/>
      <c r="URE142" s="3507"/>
      <c r="URF142" s="3507"/>
      <c r="URG142" s="3507"/>
      <c r="URH142" s="3507"/>
      <c r="URI142" s="3507"/>
      <c r="URJ142" s="3507"/>
      <c r="URK142" s="3507"/>
      <c r="URL142" s="3507"/>
      <c r="URM142" s="3507"/>
      <c r="URN142" s="3507"/>
      <c r="URO142" s="3507"/>
      <c r="URP142" s="3507"/>
      <c r="URQ142" s="3507"/>
      <c r="URR142" s="3507"/>
      <c r="URS142" s="3507"/>
      <c r="URT142" s="3507"/>
      <c r="URU142" s="3507"/>
      <c r="URV142" s="3507"/>
      <c r="URW142" s="3507"/>
      <c r="URX142" s="3507"/>
      <c r="URY142" s="3507"/>
      <c r="URZ142" s="3507"/>
      <c r="USA142" s="3507"/>
      <c r="USB142" s="3507"/>
      <c r="USC142" s="3507"/>
      <c r="USD142" s="3507"/>
      <c r="USE142" s="3507"/>
      <c r="USF142" s="3507"/>
      <c r="USG142" s="3507"/>
      <c r="USH142" s="3507"/>
      <c r="USI142" s="3507"/>
      <c r="USJ142" s="3507"/>
      <c r="USK142" s="3507"/>
      <c r="USL142" s="3507"/>
      <c r="USM142" s="3507"/>
      <c r="USN142" s="3507"/>
      <c r="USO142" s="3507"/>
      <c r="USP142" s="3507"/>
      <c r="USQ142" s="3507"/>
      <c r="USR142" s="3507"/>
      <c r="USS142" s="3507"/>
      <c r="UST142" s="3507"/>
      <c r="USU142" s="3507"/>
      <c r="USV142" s="3507"/>
      <c r="USW142" s="3507"/>
      <c r="USX142" s="3507"/>
      <c r="USY142" s="3507"/>
      <c r="USZ142" s="3507"/>
      <c r="UTA142" s="3507"/>
      <c r="UTB142" s="3507"/>
      <c r="UTC142" s="3507"/>
      <c r="UTD142" s="3507"/>
      <c r="UTE142" s="3507"/>
      <c r="UTF142" s="3507"/>
      <c r="UTG142" s="3507"/>
      <c r="UTH142" s="3507"/>
      <c r="UTI142" s="3507"/>
      <c r="UTJ142" s="3507"/>
      <c r="UTK142" s="3507"/>
      <c r="UTL142" s="3507"/>
      <c r="UTM142" s="3507"/>
      <c r="UTN142" s="3507"/>
      <c r="UTO142" s="3507"/>
      <c r="UTP142" s="3507"/>
      <c r="UTQ142" s="3507"/>
      <c r="UTR142" s="3507"/>
      <c r="UTS142" s="3507"/>
      <c r="UTT142" s="3507"/>
      <c r="UTU142" s="3507"/>
      <c r="UTV142" s="3507"/>
      <c r="UTW142" s="3507"/>
      <c r="UTX142" s="3507"/>
      <c r="UTY142" s="3507"/>
      <c r="UTZ142" s="3507"/>
      <c r="UUA142" s="3507"/>
      <c r="UUB142" s="3507"/>
      <c r="UUC142" s="3507"/>
      <c r="UUD142" s="3507"/>
      <c r="UUE142" s="3507"/>
      <c r="UUF142" s="3507"/>
      <c r="UUG142" s="3507"/>
      <c r="UUH142" s="3507"/>
      <c r="UUI142" s="3507"/>
      <c r="UUJ142" s="3507"/>
      <c r="UUK142" s="3507"/>
      <c r="UUL142" s="3507"/>
      <c r="UUM142" s="3507"/>
      <c r="UUN142" s="3507"/>
      <c r="UUO142" s="3507"/>
      <c r="UUP142" s="3507"/>
      <c r="UUQ142" s="3507"/>
      <c r="UUR142" s="3507"/>
      <c r="UUS142" s="3507"/>
      <c r="UUT142" s="3507"/>
      <c r="UUU142" s="3507"/>
      <c r="UUV142" s="3507"/>
      <c r="UUW142" s="3507"/>
      <c r="UUX142" s="3507"/>
      <c r="UUY142" s="3507"/>
      <c r="UUZ142" s="3507"/>
      <c r="UVA142" s="3507"/>
      <c r="UVB142" s="3507"/>
      <c r="UVC142" s="3507"/>
      <c r="UVD142" s="3507"/>
      <c r="UVE142" s="3507"/>
      <c r="UVF142" s="3507"/>
      <c r="UVG142" s="3507"/>
      <c r="UVH142" s="3507"/>
      <c r="UVI142" s="3507"/>
      <c r="UVJ142" s="3507"/>
      <c r="UVK142" s="3507"/>
      <c r="UVL142" s="3507"/>
      <c r="UVM142" s="3507"/>
      <c r="UVN142" s="3507"/>
      <c r="UVO142" s="3507"/>
      <c r="UVP142" s="3507"/>
      <c r="UVQ142" s="3507"/>
      <c r="UVR142" s="3507"/>
      <c r="UVS142" s="3507"/>
      <c r="UVT142" s="3507"/>
      <c r="UVU142" s="3507"/>
      <c r="UVV142" s="3507"/>
      <c r="UVW142" s="3507"/>
      <c r="UVX142" s="3507"/>
      <c r="UVY142" s="3507"/>
      <c r="UVZ142" s="3507"/>
      <c r="UWA142" s="3507"/>
      <c r="UWB142" s="3507"/>
      <c r="UWC142" s="3507"/>
      <c r="UWD142" s="3507"/>
      <c r="UWE142" s="3507"/>
      <c r="UWF142" s="3507"/>
      <c r="UWG142" s="3507"/>
      <c r="UWH142" s="3507"/>
      <c r="UWI142" s="3507"/>
      <c r="UWJ142" s="3507"/>
      <c r="UWK142" s="3507"/>
      <c r="UWL142" s="3507"/>
      <c r="UWM142" s="3507"/>
      <c r="UWN142" s="3507"/>
      <c r="UWO142" s="3507"/>
      <c r="UWP142" s="3507"/>
      <c r="UWQ142" s="3507"/>
      <c r="UWR142" s="3507"/>
      <c r="UWS142" s="3507"/>
      <c r="UWT142" s="3507"/>
      <c r="UWU142" s="3507"/>
      <c r="UWV142" s="3507"/>
      <c r="UWW142" s="3507"/>
      <c r="UWX142" s="3507"/>
      <c r="UWY142" s="3507"/>
      <c r="UWZ142" s="3507"/>
      <c r="UXA142" s="3507"/>
      <c r="UXB142" s="3507"/>
      <c r="UXC142" s="3507"/>
      <c r="UXD142" s="3507"/>
      <c r="UXE142" s="3507"/>
      <c r="UXF142" s="3507"/>
      <c r="UXG142" s="3507"/>
      <c r="UXH142" s="3507"/>
      <c r="UXI142" s="3507"/>
      <c r="UXJ142" s="3507"/>
      <c r="UXK142" s="3507"/>
      <c r="UXL142" s="3507"/>
      <c r="UXM142" s="3507"/>
      <c r="UXN142" s="3507"/>
      <c r="UXO142" s="3507"/>
      <c r="UXP142" s="3507"/>
      <c r="UXQ142" s="3507"/>
      <c r="UXR142" s="3507"/>
      <c r="UXS142" s="3507"/>
      <c r="UXT142" s="3507"/>
      <c r="UXU142" s="3507"/>
      <c r="UXV142" s="3507"/>
      <c r="UXW142" s="3507"/>
      <c r="UXX142" s="3507"/>
      <c r="UXY142" s="3507"/>
      <c r="UXZ142" s="3507"/>
      <c r="UYA142" s="3507"/>
      <c r="UYB142" s="3507"/>
      <c r="UYC142" s="3507"/>
      <c r="UYD142" s="3507"/>
      <c r="UYE142" s="3507"/>
      <c r="UYF142" s="3507"/>
      <c r="UYG142" s="3507"/>
      <c r="UYH142" s="3507"/>
      <c r="UYI142" s="3507"/>
      <c r="UYJ142" s="3507"/>
      <c r="UYK142" s="3507"/>
      <c r="UYL142" s="3507"/>
      <c r="UYM142" s="3507"/>
      <c r="UYN142" s="3507"/>
      <c r="UYO142" s="3507"/>
      <c r="UYP142" s="3507"/>
      <c r="UYQ142" s="3507"/>
      <c r="UYR142" s="3507"/>
      <c r="UYS142" s="3507"/>
      <c r="UYT142" s="3507"/>
      <c r="UYU142" s="3507"/>
      <c r="UYV142" s="3507"/>
      <c r="UYW142" s="3507"/>
      <c r="UYX142" s="3507"/>
      <c r="UYY142" s="3507"/>
      <c r="UYZ142" s="3507"/>
      <c r="UZA142" s="3507"/>
      <c r="UZB142" s="3507"/>
      <c r="UZC142" s="3507"/>
      <c r="UZD142" s="3507"/>
      <c r="UZE142" s="3507"/>
      <c r="UZF142" s="3507"/>
      <c r="UZG142" s="3507"/>
      <c r="UZH142" s="3507"/>
      <c r="UZI142" s="3507"/>
      <c r="UZJ142" s="3507"/>
      <c r="UZK142" s="3507"/>
      <c r="UZL142" s="3507"/>
      <c r="UZM142" s="3507"/>
      <c r="UZN142" s="3507"/>
      <c r="UZO142" s="3507"/>
      <c r="UZP142" s="3507"/>
      <c r="UZQ142" s="3507"/>
      <c r="UZR142" s="3507"/>
      <c r="UZS142" s="3507"/>
      <c r="UZT142" s="3507"/>
      <c r="UZU142" s="3507"/>
      <c r="UZV142" s="3507"/>
      <c r="UZW142" s="3507"/>
      <c r="UZX142" s="3507"/>
      <c r="UZY142" s="3507"/>
      <c r="UZZ142" s="3507"/>
      <c r="VAA142" s="3507"/>
      <c r="VAB142" s="3507"/>
      <c r="VAC142" s="3507"/>
      <c r="VAD142" s="3507"/>
      <c r="VAE142" s="3507"/>
      <c r="VAF142" s="3507"/>
      <c r="VAG142" s="3507"/>
      <c r="VAH142" s="3507"/>
      <c r="VAI142" s="3507"/>
      <c r="VAJ142" s="3507"/>
      <c r="VAK142" s="3507"/>
      <c r="VAL142" s="3507"/>
      <c r="VAM142" s="3507"/>
      <c r="VAN142" s="3507"/>
      <c r="VAO142" s="3507"/>
      <c r="VAP142" s="3507"/>
      <c r="VAQ142" s="3507"/>
      <c r="VAR142" s="3507"/>
      <c r="VAS142" s="3507"/>
      <c r="VAT142" s="3507"/>
      <c r="VAU142" s="3507"/>
      <c r="VAV142" s="3507"/>
      <c r="VAW142" s="3507"/>
      <c r="VAX142" s="3507"/>
      <c r="VAY142" s="3507"/>
      <c r="VAZ142" s="3507"/>
      <c r="VBA142" s="3507"/>
      <c r="VBB142" s="3507"/>
      <c r="VBC142" s="3507"/>
      <c r="VBD142" s="3507"/>
      <c r="VBE142" s="3507"/>
      <c r="VBF142" s="3507"/>
      <c r="VBG142" s="3507"/>
      <c r="VBH142" s="3507"/>
      <c r="VBI142" s="3507"/>
      <c r="VBJ142" s="3507"/>
      <c r="VBK142" s="3507"/>
      <c r="VBL142" s="3507"/>
      <c r="VBM142" s="3507"/>
      <c r="VBN142" s="3507"/>
      <c r="VBO142" s="3507"/>
      <c r="VBP142" s="3507"/>
      <c r="VBQ142" s="3507"/>
      <c r="VBR142" s="3507"/>
      <c r="VBS142" s="3507"/>
      <c r="VBT142" s="3507"/>
      <c r="VBU142" s="3507"/>
      <c r="VBV142" s="3507"/>
      <c r="VBW142" s="3507"/>
      <c r="VBX142" s="3507"/>
      <c r="VBY142" s="3507"/>
      <c r="VBZ142" s="3507"/>
      <c r="VCA142" s="3507"/>
      <c r="VCB142" s="3507"/>
      <c r="VCC142" s="3507"/>
      <c r="VCD142" s="3507"/>
      <c r="VCE142" s="3507"/>
      <c r="VCF142" s="3507"/>
      <c r="VCG142" s="3507"/>
      <c r="VCH142" s="3507"/>
      <c r="VCI142" s="3507"/>
      <c r="VCJ142" s="3507"/>
      <c r="VCK142" s="3507"/>
      <c r="VCL142" s="3507"/>
      <c r="VCM142" s="3507"/>
      <c r="VCN142" s="3507"/>
      <c r="VCO142" s="3507"/>
      <c r="VCP142" s="3507"/>
      <c r="VCQ142" s="3507"/>
      <c r="VCR142" s="3507"/>
      <c r="VCS142" s="3507"/>
      <c r="VCT142" s="3507"/>
      <c r="VCU142" s="3507"/>
      <c r="VCV142" s="3507"/>
      <c r="VCW142" s="3507"/>
      <c r="VCX142" s="3507"/>
      <c r="VCY142" s="3507"/>
      <c r="VCZ142" s="3507"/>
      <c r="VDA142" s="3507"/>
      <c r="VDB142" s="3507"/>
      <c r="VDC142" s="3507"/>
      <c r="VDD142" s="3507"/>
      <c r="VDE142" s="3507"/>
      <c r="VDF142" s="3507"/>
      <c r="VDG142" s="3507"/>
      <c r="VDH142" s="3507"/>
      <c r="VDI142" s="3507"/>
      <c r="VDJ142" s="3507"/>
      <c r="VDK142" s="3507"/>
      <c r="VDL142" s="3507"/>
      <c r="VDM142" s="3507"/>
      <c r="VDN142" s="3507"/>
      <c r="VDO142" s="3507"/>
      <c r="VDP142" s="3507"/>
      <c r="VDQ142" s="3507"/>
      <c r="VDR142" s="3507"/>
      <c r="VDS142" s="3507"/>
      <c r="VDT142" s="3507"/>
      <c r="VDU142" s="3507"/>
      <c r="VDV142" s="3507"/>
      <c r="VDW142" s="3507"/>
      <c r="VDX142" s="3507"/>
      <c r="VDY142" s="3507"/>
      <c r="VDZ142" s="3507"/>
      <c r="VEA142" s="3507"/>
      <c r="VEB142" s="3507"/>
      <c r="VEC142" s="3507"/>
      <c r="VED142" s="3507"/>
      <c r="VEE142" s="3507"/>
      <c r="VEF142" s="3507"/>
      <c r="VEG142" s="3507"/>
      <c r="VEH142" s="3507"/>
      <c r="VEI142" s="3507"/>
      <c r="VEJ142" s="3507"/>
      <c r="VEK142" s="3507"/>
      <c r="VEL142" s="3507"/>
      <c r="VEM142" s="3507"/>
      <c r="VEN142" s="3507"/>
      <c r="VEO142" s="3507"/>
      <c r="VEP142" s="3507"/>
      <c r="VEQ142" s="3507"/>
      <c r="VER142" s="3507"/>
      <c r="VES142" s="3507"/>
      <c r="VET142" s="3507"/>
      <c r="VEU142" s="3507"/>
      <c r="VEV142" s="3507"/>
      <c r="VEW142" s="3507"/>
      <c r="VEX142" s="3507"/>
      <c r="VEY142" s="3507"/>
      <c r="VEZ142" s="3507"/>
      <c r="VFA142" s="3507"/>
      <c r="VFB142" s="3507"/>
      <c r="VFC142" s="3507"/>
      <c r="VFD142" s="3507"/>
      <c r="VFE142" s="3507"/>
      <c r="VFF142" s="3507"/>
      <c r="VFG142" s="3507"/>
      <c r="VFH142" s="3507"/>
      <c r="VFI142" s="3507"/>
      <c r="VFJ142" s="3507"/>
      <c r="VFK142" s="3507"/>
      <c r="VFL142" s="3507"/>
      <c r="VFM142" s="3507"/>
      <c r="VFN142" s="3507"/>
      <c r="VFO142" s="3507"/>
      <c r="VFP142" s="3507"/>
      <c r="VFQ142" s="3507"/>
      <c r="VFR142" s="3507"/>
      <c r="VFS142" s="3507"/>
      <c r="VFT142" s="3507"/>
      <c r="VFU142" s="3507"/>
      <c r="VFV142" s="3507"/>
      <c r="VFW142" s="3507"/>
      <c r="VFX142" s="3507"/>
      <c r="VFY142" s="3507"/>
      <c r="VFZ142" s="3507"/>
      <c r="VGA142" s="3507"/>
      <c r="VGB142" s="3507"/>
      <c r="VGC142" s="3507"/>
      <c r="VGD142" s="3507"/>
      <c r="VGE142" s="3507"/>
      <c r="VGF142" s="3507"/>
      <c r="VGG142" s="3507"/>
      <c r="VGH142" s="3507"/>
      <c r="VGI142" s="3507"/>
      <c r="VGJ142" s="3507"/>
      <c r="VGK142" s="3507"/>
      <c r="VGL142" s="3507"/>
      <c r="VGM142" s="3507"/>
      <c r="VGN142" s="3507"/>
      <c r="VGO142" s="3507"/>
      <c r="VGP142" s="3507"/>
      <c r="VGQ142" s="3507"/>
      <c r="VGR142" s="3507"/>
      <c r="VGS142" s="3507"/>
      <c r="VGT142" s="3507"/>
      <c r="VGU142" s="3507"/>
      <c r="VGV142" s="3507"/>
      <c r="VGW142" s="3507"/>
      <c r="VGX142" s="3507"/>
      <c r="VGY142" s="3507"/>
      <c r="VGZ142" s="3507"/>
      <c r="VHA142" s="3507"/>
      <c r="VHB142" s="3507"/>
      <c r="VHC142" s="3507"/>
      <c r="VHD142" s="3507"/>
      <c r="VHE142" s="3507"/>
      <c r="VHF142" s="3507"/>
      <c r="VHG142" s="3507"/>
      <c r="VHH142" s="3507"/>
      <c r="VHI142" s="3507"/>
      <c r="VHJ142" s="3507"/>
      <c r="VHK142" s="3507"/>
      <c r="VHL142" s="3507"/>
      <c r="VHM142" s="3507"/>
      <c r="VHN142" s="3507"/>
      <c r="VHO142" s="3507"/>
      <c r="VHP142" s="3507"/>
      <c r="VHQ142" s="3507"/>
      <c r="VHR142" s="3507"/>
      <c r="VHS142" s="3507"/>
      <c r="VHT142" s="3507"/>
      <c r="VHU142" s="3507"/>
      <c r="VHV142" s="3507"/>
      <c r="VHW142" s="3507"/>
      <c r="VHX142" s="3507"/>
      <c r="VHY142" s="3507"/>
      <c r="VHZ142" s="3507"/>
      <c r="VIA142" s="3507"/>
      <c r="VIB142" s="3507"/>
      <c r="VIC142" s="3507"/>
      <c r="VID142" s="3507"/>
      <c r="VIE142" s="3507"/>
      <c r="VIF142" s="3507"/>
      <c r="VIG142" s="3507"/>
      <c r="VIH142" s="3507"/>
      <c r="VII142" s="3507"/>
      <c r="VIJ142" s="3507"/>
      <c r="VIK142" s="3507"/>
      <c r="VIL142" s="3507"/>
      <c r="VIM142" s="3507"/>
      <c r="VIN142" s="3507"/>
      <c r="VIO142" s="3507"/>
      <c r="VIP142" s="3507"/>
      <c r="VIQ142" s="3507"/>
      <c r="VIR142" s="3507"/>
      <c r="VIS142" s="3507"/>
      <c r="VIT142" s="3507"/>
      <c r="VIU142" s="3507"/>
      <c r="VIV142" s="3507"/>
      <c r="VIW142" s="3507"/>
      <c r="VIX142" s="3507"/>
      <c r="VIY142" s="3507"/>
      <c r="VIZ142" s="3507"/>
      <c r="VJA142" s="3507"/>
      <c r="VJB142" s="3507"/>
      <c r="VJC142" s="3507"/>
      <c r="VJD142" s="3507"/>
      <c r="VJE142" s="3507"/>
      <c r="VJF142" s="3507"/>
      <c r="VJG142" s="3507"/>
      <c r="VJH142" s="3507"/>
      <c r="VJI142" s="3507"/>
      <c r="VJJ142" s="3507"/>
      <c r="VJK142" s="3507"/>
      <c r="VJL142" s="3507"/>
      <c r="VJM142" s="3507"/>
      <c r="VJN142" s="3507"/>
      <c r="VJO142" s="3507"/>
      <c r="VJP142" s="3507"/>
      <c r="VJQ142" s="3507"/>
      <c r="VJR142" s="3507"/>
      <c r="VJS142" s="3507"/>
      <c r="VJT142" s="3507"/>
      <c r="VJU142" s="3507"/>
      <c r="VJV142" s="3507"/>
      <c r="VJW142" s="3507"/>
      <c r="VJX142" s="3507"/>
      <c r="VJY142" s="3507"/>
      <c r="VJZ142" s="3507"/>
      <c r="VKA142" s="3507"/>
      <c r="VKB142" s="3507"/>
      <c r="VKC142" s="3507"/>
      <c r="VKD142" s="3507"/>
      <c r="VKE142" s="3507"/>
      <c r="VKF142" s="3507"/>
      <c r="VKG142" s="3507"/>
      <c r="VKH142" s="3507"/>
      <c r="VKI142" s="3507"/>
      <c r="VKJ142" s="3507"/>
      <c r="VKK142" s="3507"/>
      <c r="VKL142" s="3507"/>
      <c r="VKM142" s="3507"/>
      <c r="VKN142" s="3507"/>
      <c r="VKO142" s="3507"/>
      <c r="VKP142" s="3507"/>
      <c r="VKQ142" s="3507"/>
      <c r="VKR142" s="3507"/>
      <c r="VKS142" s="3507"/>
      <c r="VKT142" s="3507"/>
      <c r="VKU142" s="3507"/>
      <c r="VKV142" s="3507"/>
      <c r="VKW142" s="3507"/>
      <c r="VKX142" s="3507"/>
      <c r="VKY142" s="3507"/>
      <c r="VKZ142" s="3507"/>
      <c r="VLA142" s="3507"/>
      <c r="VLB142" s="3507"/>
      <c r="VLC142" s="3507"/>
      <c r="VLD142" s="3507"/>
      <c r="VLE142" s="3507"/>
      <c r="VLF142" s="3507"/>
      <c r="VLG142" s="3507"/>
      <c r="VLH142" s="3507"/>
      <c r="VLI142" s="3507"/>
      <c r="VLJ142" s="3507"/>
      <c r="VLK142" s="3507"/>
      <c r="VLL142" s="3507"/>
      <c r="VLM142" s="3507"/>
      <c r="VLN142" s="3507"/>
      <c r="VLO142" s="3507"/>
      <c r="VLP142" s="3507"/>
      <c r="VLQ142" s="3507"/>
      <c r="VLR142" s="3507"/>
      <c r="VLS142" s="3507"/>
      <c r="VLT142" s="3507"/>
      <c r="VLU142" s="3507"/>
      <c r="VLV142" s="3507"/>
      <c r="VLW142" s="3507"/>
      <c r="VLX142" s="3507"/>
      <c r="VLY142" s="3507"/>
      <c r="VLZ142" s="3507"/>
      <c r="VMA142" s="3507"/>
      <c r="VMB142" s="3507"/>
      <c r="VMC142" s="3507"/>
      <c r="VMD142" s="3507"/>
      <c r="VME142" s="3507"/>
      <c r="VMF142" s="3507"/>
      <c r="VMG142" s="3507"/>
      <c r="VMH142" s="3507"/>
      <c r="VMI142" s="3507"/>
      <c r="VMJ142" s="3507"/>
      <c r="VMK142" s="3507"/>
      <c r="VML142" s="3507"/>
      <c r="VMM142" s="3507"/>
      <c r="VMN142" s="3507"/>
      <c r="VMO142" s="3507"/>
      <c r="VMP142" s="3507"/>
      <c r="VMQ142" s="3507"/>
      <c r="VMR142" s="3507"/>
      <c r="VMS142" s="3507"/>
      <c r="VMT142" s="3507"/>
      <c r="VMU142" s="3507"/>
      <c r="VMV142" s="3507"/>
      <c r="VMW142" s="3507"/>
      <c r="VMX142" s="3507"/>
      <c r="VMY142" s="3507"/>
      <c r="VMZ142" s="3507"/>
      <c r="VNA142" s="3507"/>
      <c r="VNB142" s="3507"/>
      <c r="VNC142" s="3507"/>
      <c r="VND142" s="3507"/>
      <c r="VNE142" s="3507"/>
      <c r="VNF142" s="3507"/>
      <c r="VNG142" s="3507"/>
      <c r="VNH142" s="3507"/>
      <c r="VNI142" s="3507"/>
      <c r="VNJ142" s="3507"/>
      <c r="VNK142" s="3507"/>
      <c r="VNL142" s="3507"/>
      <c r="VNM142" s="3507"/>
      <c r="VNN142" s="3507"/>
      <c r="VNO142" s="3507"/>
      <c r="VNP142" s="3507"/>
      <c r="VNQ142" s="3507"/>
      <c r="VNR142" s="3507"/>
      <c r="VNS142" s="3507"/>
      <c r="VNT142" s="3507"/>
      <c r="VNU142" s="3507"/>
      <c r="VNV142" s="3507"/>
      <c r="VNW142" s="3507"/>
      <c r="VNX142" s="3507"/>
      <c r="VNY142" s="3507"/>
      <c r="VNZ142" s="3507"/>
      <c r="VOA142" s="3507"/>
      <c r="VOB142" s="3507"/>
      <c r="VOC142" s="3507"/>
      <c r="VOD142" s="3507"/>
      <c r="VOE142" s="3507"/>
      <c r="VOF142" s="3507"/>
      <c r="VOG142" s="3507"/>
      <c r="VOH142" s="3507"/>
      <c r="VOI142" s="3507"/>
      <c r="VOJ142" s="3507"/>
      <c r="VOK142" s="3507"/>
      <c r="VOL142" s="3507"/>
      <c r="VOM142" s="3507"/>
      <c r="VON142" s="3507"/>
      <c r="VOO142" s="3507"/>
      <c r="VOP142" s="3507"/>
      <c r="VOQ142" s="3507"/>
      <c r="VOR142" s="3507"/>
      <c r="VOS142" s="3507"/>
      <c r="VOT142" s="3507"/>
      <c r="VOU142" s="3507"/>
      <c r="VOV142" s="3507"/>
      <c r="VOW142" s="3507"/>
      <c r="VOX142" s="3507"/>
      <c r="VOY142" s="3507"/>
      <c r="VOZ142" s="3507"/>
      <c r="VPA142" s="3507"/>
      <c r="VPB142" s="3507"/>
      <c r="VPC142" s="3507"/>
      <c r="VPD142" s="3507"/>
      <c r="VPE142" s="3507"/>
      <c r="VPF142" s="3507"/>
      <c r="VPG142" s="3507"/>
      <c r="VPH142" s="3507"/>
      <c r="VPI142" s="3507"/>
      <c r="VPJ142" s="3507"/>
      <c r="VPK142" s="3507"/>
      <c r="VPL142" s="3507"/>
      <c r="VPM142" s="3507"/>
      <c r="VPN142" s="3507"/>
      <c r="VPO142" s="3507"/>
      <c r="VPP142" s="3507"/>
      <c r="VPQ142" s="3507"/>
      <c r="VPR142" s="3507"/>
      <c r="VPS142" s="3507"/>
      <c r="VPT142" s="3507"/>
      <c r="VPU142" s="3507"/>
      <c r="VPV142" s="3507"/>
      <c r="VPW142" s="3507"/>
      <c r="VPX142" s="3507"/>
      <c r="VPY142" s="3507"/>
      <c r="VPZ142" s="3507"/>
      <c r="VQA142" s="3507"/>
      <c r="VQB142" s="3507"/>
      <c r="VQC142" s="3507"/>
      <c r="VQD142" s="3507"/>
      <c r="VQE142" s="3507"/>
      <c r="VQF142" s="3507"/>
      <c r="VQG142" s="3507"/>
      <c r="VQH142" s="3507"/>
      <c r="VQI142" s="3507"/>
      <c r="VQJ142" s="3507"/>
      <c r="VQK142" s="3507"/>
      <c r="VQL142" s="3507"/>
      <c r="VQM142" s="3507"/>
      <c r="VQN142" s="3507"/>
      <c r="VQO142" s="3507"/>
      <c r="VQP142" s="3507"/>
      <c r="VQQ142" s="3507"/>
      <c r="VQR142" s="3507"/>
      <c r="VQS142" s="3507"/>
      <c r="VQT142" s="3507"/>
      <c r="VQU142" s="3507"/>
      <c r="VQV142" s="3507"/>
      <c r="VQW142" s="3507"/>
      <c r="VQX142" s="3507"/>
      <c r="VQY142" s="3507"/>
      <c r="VQZ142" s="3507"/>
      <c r="VRA142" s="3507"/>
      <c r="VRB142" s="3507"/>
      <c r="VRC142" s="3507"/>
      <c r="VRD142" s="3507"/>
      <c r="VRE142" s="3507"/>
      <c r="VRF142" s="3507"/>
      <c r="VRG142" s="3507"/>
      <c r="VRH142" s="3507"/>
      <c r="VRI142" s="3507"/>
      <c r="VRJ142" s="3507"/>
      <c r="VRK142" s="3507"/>
      <c r="VRL142" s="3507"/>
      <c r="VRM142" s="3507"/>
      <c r="VRN142" s="3507"/>
      <c r="VRO142" s="3507"/>
      <c r="VRP142" s="3507"/>
      <c r="VRQ142" s="3507"/>
      <c r="VRR142" s="3507"/>
      <c r="VRS142" s="3507"/>
      <c r="VRT142" s="3507"/>
      <c r="VRU142" s="3507"/>
      <c r="VRV142" s="3507"/>
      <c r="VRW142" s="3507"/>
      <c r="VRX142" s="3507"/>
      <c r="VRY142" s="3507"/>
      <c r="VRZ142" s="3507"/>
      <c r="VSA142" s="3507"/>
      <c r="VSB142" s="3507"/>
      <c r="VSC142" s="3507"/>
      <c r="VSD142" s="3507"/>
      <c r="VSE142" s="3507"/>
      <c r="VSF142" s="3507"/>
      <c r="VSG142" s="3507"/>
      <c r="VSH142" s="3507"/>
      <c r="VSI142" s="3507"/>
      <c r="VSJ142" s="3507"/>
      <c r="VSK142" s="3507"/>
      <c r="VSL142" s="3507"/>
      <c r="VSM142" s="3507"/>
      <c r="VSN142" s="3507"/>
      <c r="VSO142" s="3507"/>
      <c r="VSP142" s="3507"/>
      <c r="VSQ142" s="3507"/>
      <c r="VSR142" s="3507"/>
      <c r="VSS142" s="3507"/>
      <c r="VST142" s="3507"/>
      <c r="VSU142" s="3507"/>
      <c r="VSV142" s="3507"/>
      <c r="VSW142" s="3507"/>
      <c r="VSX142" s="3507"/>
      <c r="VSY142" s="3507"/>
      <c r="VSZ142" s="3507"/>
      <c r="VTA142" s="3507"/>
      <c r="VTB142" s="3507"/>
      <c r="VTC142" s="3507"/>
      <c r="VTD142" s="3507"/>
      <c r="VTE142" s="3507"/>
      <c r="VTF142" s="3507"/>
      <c r="VTG142" s="3507"/>
      <c r="VTH142" s="3507"/>
      <c r="VTI142" s="3507"/>
      <c r="VTJ142" s="3507"/>
      <c r="VTK142" s="3507"/>
      <c r="VTL142" s="3507"/>
      <c r="VTM142" s="3507"/>
      <c r="VTN142" s="3507"/>
      <c r="VTO142" s="3507"/>
      <c r="VTP142" s="3507"/>
      <c r="VTQ142" s="3507"/>
      <c r="VTR142" s="3507"/>
      <c r="VTS142" s="3507"/>
      <c r="VTT142" s="3507"/>
      <c r="VTU142" s="3507"/>
      <c r="VTV142" s="3507"/>
      <c r="VTW142" s="3507"/>
      <c r="VTX142" s="3507"/>
      <c r="VTY142" s="3507"/>
      <c r="VTZ142" s="3507"/>
      <c r="VUA142" s="3507"/>
      <c r="VUB142" s="3507"/>
      <c r="VUC142" s="3507"/>
      <c r="VUD142" s="3507"/>
      <c r="VUE142" s="3507"/>
      <c r="VUF142" s="3507"/>
      <c r="VUG142" s="3507"/>
      <c r="VUH142" s="3507"/>
      <c r="VUI142" s="3507"/>
      <c r="VUJ142" s="3507"/>
      <c r="VUK142" s="3507"/>
      <c r="VUL142" s="3507"/>
      <c r="VUM142" s="3507"/>
      <c r="VUN142" s="3507"/>
      <c r="VUO142" s="3507"/>
      <c r="VUP142" s="3507"/>
      <c r="VUQ142" s="3507"/>
      <c r="VUR142" s="3507"/>
      <c r="VUS142" s="3507"/>
      <c r="VUT142" s="3507"/>
      <c r="VUU142" s="3507"/>
      <c r="VUV142" s="3507"/>
      <c r="VUW142" s="3507"/>
      <c r="VUX142" s="3507"/>
      <c r="VUY142" s="3507"/>
      <c r="VUZ142" s="3507"/>
      <c r="VVA142" s="3507"/>
      <c r="VVB142" s="3507"/>
      <c r="VVC142" s="3507"/>
      <c r="VVD142" s="3507"/>
      <c r="VVE142" s="3507"/>
      <c r="VVF142" s="3507"/>
      <c r="VVG142" s="3507"/>
      <c r="VVH142" s="3507"/>
      <c r="VVI142" s="3507"/>
      <c r="VVJ142" s="3507"/>
      <c r="VVK142" s="3507"/>
      <c r="VVL142" s="3507"/>
      <c r="VVM142" s="3507"/>
      <c r="VVN142" s="3507"/>
      <c r="VVO142" s="3507"/>
      <c r="VVP142" s="3507"/>
      <c r="VVQ142" s="3507"/>
      <c r="VVR142" s="3507"/>
      <c r="VVS142" s="3507"/>
      <c r="VVT142" s="3507"/>
      <c r="VVU142" s="3507"/>
      <c r="VVV142" s="3507"/>
      <c r="VVW142" s="3507"/>
      <c r="VVX142" s="3507"/>
      <c r="VVY142" s="3507"/>
      <c r="VVZ142" s="3507"/>
      <c r="VWA142" s="3507"/>
      <c r="VWB142" s="3507"/>
      <c r="VWC142" s="3507"/>
      <c r="VWD142" s="3507"/>
      <c r="VWE142" s="3507"/>
      <c r="VWF142" s="3507"/>
      <c r="VWG142" s="3507"/>
      <c r="VWH142" s="3507"/>
      <c r="VWI142" s="3507"/>
      <c r="VWJ142" s="3507"/>
      <c r="VWK142" s="3507"/>
      <c r="VWL142" s="3507"/>
      <c r="VWM142" s="3507"/>
      <c r="VWN142" s="3507"/>
      <c r="VWO142" s="3507"/>
      <c r="VWP142" s="3507"/>
      <c r="VWQ142" s="3507"/>
      <c r="VWR142" s="3507"/>
      <c r="VWS142" s="3507"/>
      <c r="VWT142" s="3507"/>
      <c r="VWU142" s="3507"/>
      <c r="VWV142" s="3507"/>
      <c r="VWW142" s="3507"/>
      <c r="VWX142" s="3507"/>
      <c r="VWY142" s="3507"/>
      <c r="VWZ142" s="3507"/>
      <c r="VXA142" s="3507"/>
      <c r="VXB142" s="3507"/>
      <c r="VXC142" s="3507"/>
      <c r="VXD142" s="3507"/>
      <c r="VXE142" s="3507"/>
      <c r="VXF142" s="3507"/>
      <c r="VXG142" s="3507"/>
      <c r="VXH142" s="3507"/>
      <c r="VXI142" s="3507"/>
      <c r="VXJ142" s="3507"/>
      <c r="VXK142" s="3507"/>
      <c r="VXL142" s="3507"/>
      <c r="VXM142" s="3507"/>
      <c r="VXN142" s="3507"/>
      <c r="VXO142" s="3507"/>
      <c r="VXP142" s="3507"/>
      <c r="VXQ142" s="3507"/>
      <c r="VXR142" s="3507"/>
      <c r="VXS142" s="3507"/>
      <c r="VXT142" s="3507"/>
      <c r="VXU142" s="3507"/>
      <c r="VXV142" s="3507"/>
      <c r="VXW142" s="3507"/>
      <c r="VXX142" s="3507"/>
      <c r="VXY142" s="3507"/>
      <c r="VXZ142" s="3507"/>
      <c r="VYA142" s="3507"/>
      <c r="VYB142" s="3507"/>
      <c r="VYC142" s="3507"/>
      <c r="VYD142" s="3507"/>
      <c r="VYE142" s="3507"/>
      <c r="VYF142" s="3507"/>
      <c r="VYG142" s="3507"/>
      <c r="VYH142" s="3507"/>
      <c r="VYI142" s="3507"/>
      <c r="VYJ142" s="3507"/>
      <c r="VYK142" s="3507"/>
      <c r="VYL142" s="3507"/>
      <c r="VYM142" s="3507"/>
      <c r="VYN142" s="3507"/>
      <c r="VYO142" s="3507"/>
      <c r="VYP142" s="3507"/>
      <c r="VYQ142" s="3507"/>
      <c r="VYR142" s="3507"/>
      <c r="VYS142" s="3507"/>
      <c r="VYT142" s="3507"/>
      <c r="VYU142" s="3507"/>
      <c r="VYV142" s="3507"/>
      <c r="VYW142" s="3507"/>
      <c r="VYX142" s="3507"/>
      <c r="VYY142" s="3507"/>
      <c r="VYZ142" s="3507"/>
      <c r="VZA142" s="3507"/>
      <c r="VZB142" s="3507"/>
      <c r="VZC142" s="3507"/>
      <c r="VZD142" s="3507"/>
      <c r="VZE142" s="3507"/>
      <c r="VZF142" s="3507"/>
      <c r="VZG142" s="3507"/>
      <c r="VZH142" s="3507"/>
      <c r="VZI142" s="3507"/>
      <c r="VZJ142" s="3507"/>
      <c r="VZK142" s="3507"/>
      <c r="VZL142" s="3507"/>
      <c r="VZM142" s="3507"/>
      <c r="VZN142" s="3507"/>
      <c r="VZO142" s="3507"/>
      <c r="VZP142" s="3507"/>
      <c r="VZQ142" s="3507"/>
      <c r="VZR142" s="3507"/>
      <c r="VZS142" s="3507"/>
      <c r="VZT142" s="3507"/>
      <c r="VZU142" s="3507"/>
      <c r="VZV142" s="3507"/>
      <c r="VZW142" s="3507"/>
      <c r="VZX142" s="3507"/>
      <c r="VZY142" s="3507"/>
      <c r="VZZ142" s="3507"/>
      <c r="WAA142" s="3507"/>
      <c r="WAB142" s="3507"/>
      <c r="WAC142" s="3507"/>
      <c r="WAD142" s="3507"/>
      <c r="WAE142" s="3507"/>
      <c r="WAF142" s="3507"/>
      <c r="WAG142" s="3507"/>
      <c r="WAH142" s="3507"/>
      <c r="WAI142" s="3507"/>
      <c r="WAJ142" s="3507"/>
      <c r="WAK142" s="3507"/>
      <c r="WAL142" s="3507"/>
      <c r="WAM142" s="3507"/>
      <c r="WAN142" s="3507"/>
      <c r="WAO142" s="3507"/>
      <c r="WAP142" s="3507"/>
      <c r="WAQ142" s="3507"/>
      <c r="WAR142" s="3507"/>
      <c r="WAS142" s="3507"/>
      <c r="WAT142" s="3507"/>
      <c r="WAU142" s="3507"/>
      <c r="WAV142" s="3507"/>
      <c r="WAW142" s="3507"/>
      <c r="WAX142" s="3507"/>
      <c r="WAY142" s="3507"/>
      <c r="WAZ142" s="3507"/>
      <c r="WBA142" s="3507"/>
      <c r="WBB142" s="3507"/>
      <c r="WBC142" s="3507"/>
      <c r="WBD142" s="3507"/>
      <c r="WBE142" s="3507"/>
      <c r="WBF142" s="3507"/>
      <c r="WBG142" s="3507"/>
      <c r="WBH142" s="3507"/>
      <c r="WBI142" s="3507"/>
      <c r="WBJ142" s="3507"/>
      <c r="WBK142" s="3507"/>
      <c r="WBL142" s="3507"/>
      <c r="WBM142" s="3507"/>
      <c r="WBN142" s="3507"/>
      <c r="WBO142" s="3507"/>
      <c r="WBP142" s="3507"/>
      <c r="WBQ142" s="3507"/>
      <c r="WBR142" s="3507"/>
      <c r="WBS142" s="3507"/>
      <c r="WBT142" s="3507"/>
      <c r="WBU142" s="3507"/>
      <c r="WBV142" s="3507"/>
      <c r="WBW142" s="3507"/>
      <c r="WBX142" s="3507"/>
      <c r="WBY142" s="3507"/>
      <c r="WBZ142" s="3507"/>
      <c r="WCA142" s="3507"/>
      <c r="WCB142" s="3507"/>
      <c r="WCC142" s="3507"/>
      <c r="WCD142" s="3507"/>
      <c r="WCE142" s="3507"/>
      <c r="WCF142" s="3507"/>
      <c r="WCG142" s="3507"/>
      <c r="WCH142" s="3507"/>
      <c r="WCI142" s="3507"/>
      <c r="WCJ142" s="3507"/>
      <c r="WCK142" s="3507"/>
      <c r="WCL142" s="3507"/>
      <c r="WCM142" s="3507"/>
      <c r="WCN142" s="3507"/>
      <c r="WCO142" s="3507"/>
      <c r="WCP142" s="3507"/>
      <c r="WCQ142" s="3507"/>
      <c r="WCR142" s="3507"/>
      <c r="WCS142" s="3507"/>
      <c r="WCT142" s="3507"/>
      <c r="WCU142" s="3507"/>
      <c r="WCV142" s="3507"/>
      <c r="WCW142" s="3507"/>
      <c r="WCX142" s="3507"/>
      <c r="WCY142" s="3507"/>
      <c r="WCZ142" s="3507"/>
      <c r="WDA142" s="3507"/>
      <c r="WDB142" s="3507"/>
      <c r="WDC142" s="3507"/>
      <c r="WDD142" s="3507"/>
      <c r="WDE142" s="3507"/>
      <c r="WDF142" s="3507"/>
      <c r="WDG142" s="3507"/>
      <c r="WDH142" s="3507"/>
      <c r="WDI142" s="3507"/>
      <c r="WDJ142" s="3507"/>
      <c r="WDK142" s="3507"/>
      <c r="WDL142" s="3507"/>
      <c r="WDM142" s="3507"/>
      <c r="WDN142" s="3507"/>
      <c r="WDO142" s="3507"/>
      <c r="WDP142" s="3507"/>
      <c r="WDQ142" s="3507"/>
      <c r="WDR142" s="3507"/>
      <c r="WDS142" s="3507"/>
      <c r="WDT142" s="3507"/>
      <c r="WDU142" s="3507"/>
      <c r="WDV142" s="3507"/>
      <c r="WDW142" s="3507"/>
      <c r="WDX142" s="3507"/>
      <c r="WDY142" s="3507"/>
      <c r="WDZ142" s="3507"/>
      <c r="WEA142" s="3507"/>
      <c r="WEB142" s="3507"/>
      <c r="WEC142" s="3507"/>
      <c r="WED142" s="3507"/>
      <c r="WEE142" s="3507"/>
      <c r="WEF142" s="3507"/>
      <c r="WEG142" s="3507"/>
      <c r="WEH142" s="3507"/>
      <c r="WEI142" s="3507"/>
      <c r="WEJ142" s="3507"/>
      <c r="WEK142" s="3507"/>
      <c r="WEL142" s="3507"/>
      <c r="WEM142" s="3507"/>
      <c r="WEN142" s="3507"/>
      <c r="WEO142" s="3507"/>
      <c r="WEP142" s="3507"/>
      <c r="WEQ142" s="3507"/>
      <c r="WER142" s="3507"/>
      <c r="WES142" s="3507"/>
      <c r="WET142" s="3507"/>
      <c r="WEU142" s="3507"/>
      <c r="WEV142" s="3507"/>
      <c r="WEW142" s="3507"/>
      <c r="WEX142" s="3507"/>
      <c r="WEY142" s="3507"/>
      <c r="WEZ142" s="3507"/>
      <c r="WFA142" s="3507"/>
      <c r="WFB142" s="3507"/>
      <c r="WFC142" s="3507"/>
      <c r="WFD142" s="3507"/>
      <c r="WFE142" s="3507"/>
      <c r="WFF142" s="3507"/>
      <c r="WFG142" s="3507"/>
      <c r="WFH142" s="3507"/>
      <c r="WFI142" s="3507"/>
      <c r="WFJ142" s="3507"/>
      <c r="WFK142" s="3507"/>
      <c r="WFL142" s="3507"/>
      <c r="WFM142" s="3507"/>
      <c r="WFN142" s="3507"/>
      <c r="WFO142" s="3507"/>
      <c r="WFP142" s="3507"/>
      <c r="WFQ142" s="3507"/>
      <c r="WFR142" s="3507"/>
      <c r="WFS142" s="3507"/>
      <c r="WFT142" s="3507"/>
      <c r="WFU142" s="3507"/>
      <c r="WFV142" s="3507"/>
      <c r="WFW142" s="3507"/>
      <c r="WFX142" s="3507"/>
      <c r="WFY142" s="3507"/>
      <c r="WFZ142" s="3507"/>
      <c r="WGA142" s="3507"/>
      <c r="WGB142" s="3507"/>
      <c r="WGC142" s="3507"/>
      <c r="WGD142" s="3507"/>
      <c r="WGE142" s="3507"/>
      <c r="WGF142" s="3507"/>
      <c r="WGG142" s="3507"/>
      <c r="WGH142" s="3507"/>
      <c r="WGI142" s="3507"/>
      <c r="WGJ142" s="3507"/>
      <c r="WGK142" s="3507"/>
      <c r="WGL142" s="3507"/>
      <c r="WGM142" s="3507"/>
      <c r="WGN142" s="3507"/>
      <c r="WGO142" s="3507"/>
      <c r="WGP142" s="3507"/>
      <c r="WGQ142" s="3507"/>
      <c r="WGR142" s="3507"/>
      <c r="WGS142" s="3507"/>
      <c r="WGT142" s="3507"/>
      <c r="WGU142" s="3507"/>
      <c r="WGV142" s="3507"/>
      <c r="WGW142" s="3507"/>
      <c r="WGX142" s="3507"/>
      <c r="WGY142" s="3507"/>
      <c r="WGZ142" s="3507"/>
      <c r="WHA142" s="3507"/>
      <c r="WHB142" s="3507"/>
      <c r="WHC142" s="3507"/>
      <c r="WHD142" s="3507"/>
      <c r="WHE142" s="3507"/>
      <c r="WHF142" s="3507"/>
      <c r="WHG142" s="3507"/>
      <c r="WHH142" s="3507"/>
      <c r="WHI142" s="3507"/>
      <c r="WHJ142" s="3507"/>
      <c r="WHK142" s="3507"/>
      <c r="WHL142" s="3507"/>
      <c r="WHM142" s="3507"/>
      <c r="WHN142" s="3507"/>
      <c r="WHO142" s="3507"/>
      <c r="WHP142" s="3507"/>
      <c r="WHQ142" s="3507"/>
      <c r="WHR142" s="3507"/>
      <c r="WHS142" s="3507"/>
      <c r="WHT142" s="3507"/>
      <c r="WHU142" s="3507"/>
      <c r="WHV142" s="3507"/>
      <c r="WHW142" s="3507"/>
      <c r="WHX142" s="3507"/>
      <c r="WHY142" s="3507"/>
      <c r="WHZ142" s="3507"/>
      <c r="WIA142" s="3507"/>
      <c r="WIB142" s="3507"/>
      <c r="WIC142" s="3507"/>
      <c r="WID142" s="3507"/>
      <c r="WIE142" s="3507"/>
      <c r="WIF142" s="3507"/>
      <c r="WIG142" s="3507"/>
      <c r="WIH142" s="3507"/>
      <c r="WII142" s="3507"/>
      <c r="WIJ142" s="3507"/>
      <c r="WIK142" s="3507"/>
      <c r="WIL142" s="3507"/>
      <c r="WIM142" s="3507"/>
      <c r="WIN142" s="3507"/>
      <c r="WIO142" s="3507"/>
      <c r="WIP142" s="3507"/>
      <c r="WIQ142" s="3507"/>
      <c r="WIR142" s="3507"/>
      <c r="WIS142" s="3507"/>
      <c r="WIT142" s="3507"/>
      <c r="WIU142" s="3507"/>
      <c r="WIV142" s="3507"/>
      <c r="WIW142" s="3507"/>
      <c r="WIX142" s="3507"/>
      <c r="WIY142" s="3507"/>
      <c r="WIZ142" s="3507"/>
      <c r="WJA142" s="3507"/>
      <c r="WJB142" s="3507"/>
      <c r="WJC142" s="3507"/>
      <c r="WJD142" s="3507"/>
      <c r="WJE142" s="3507"/>
      <c r="WJF142" s="3507"/>
      <c r="WJG142" s="3507"/>
      <c r="WJH142" s="3507"/>
      <c r="WJI142" s="3507"/>
      <c r="WJJ142" s="3507"/>
      <c r="WJK142" s="3507"/>
      <c r="WJL142" s="3507"/>
      <c r="WJM142" s="3507"/>
      <c r="WJN142" s="3507"/>
      <c r="WJO142" s="3507"/>
      <c r="WJP142" s="3507"/>
      <c r="WJQ142" s="3507"/>
      <c r="WJR142" s="3507"/>
      <c r="WJS142" s="3507"/>
      <c r="WJT142" s="3507"/>
      <c r="WJU142" s="3507"/>
      <c r="WJV142" s="3507"/>
      <c r="WJW142" s="3507"/>
      <c r="WJX142" s="3507"/>
      <c r="WJY142" s="3507"/>
      <c r="WJZ142" s="3507"/>
      <c r="WKA142" s="3507"/>
      <c r="WKB142" s="3507"/>
      <c r="WKC142" s="3507"/>
      <c r="WKD142" s="3507"/>
      <c r="WKE142" s="3507"/>
      <c r="WKF142" s="3507"/>
      <c r="WKG142" s="3507"/>
      <c r="WKH142" s="3507"/>
      <c r="WKI142" s="3507"/>
      <c r="WKJ142" s="3507"/>
      <c r="WKK142" s="3507"/>
      <c r="WKL142" s="3507"/>
      <c r="WKM142" s="3507"/>
      <c r="WKN142" s="3507"/>
      <c r="WKO142" s="3507"/>
      <c r="WKP142" s="3507"/>
      <c r="WKQ142" s="3507"/>
      <c r="WKR142" s="3507"/>
      <c r="WKS142" s="3507"/>
      <c r="WKT142" s="3507"/>
      <c r="WKU142" s="3507"/>
      <c r="WKV142" s="3507"/>
      <c r="WKW142" s="3507"/>
      <c r="WKX142" s="3507"/>
      <c r="WKY142" s="3507"/>
      <c r="WKZ142" s="3507"/>
      <c r="WLA142" s="3507"/>
      <c r="WLB142" s="3507"/>
      <c r="WLC142" s="3507"/>
      <c r="WLD142" s="3507"/>
      <c r="WLE142" s="3507"/>
      <c r="WLF142" s="3507"/>
      <c r="WLG142" s="3507"/>
      <c r="WLH142" s="3507"/>
      <c r="WLI142" s="3507"/>
      <c r="WLJ142" s="3507"/>
      <c r="WLK142" s="3507"/>
      <c r="WLL142" s="3507"/>
      <c r="WLM142" s="3507"/>
      <c r="WLN142" s="3507"/>
      <c r="WLO142" s="3507"/>
      <c r="WLP142" s="3507"/>
      <c r="WLQ142" s="3507"/>
      <c r="WLR142" s="3507"/>
      <c r="WLS142" s="3507"/>
      <c r="WLT142" s="3507"/>
      <c r="WLU142" s="3507"/>
      <c r="WLV142" s="3507"/>
      <c r="WLW142" s="3507"/>
      <c r="WLX142" s="3507"/>
      <c r="WLY142" s="3507"/>
      <c r="WLZ142" s="3507"/>
      <c r="WMA142" s="3507"/>
      <c r="WMB142" s="3507"/>
      <c r="WMC142" s="3507"/>
      <c r="WMD142" s="3507"/>
      <c r="WME142" s="3507"/>
      <c r="WMF142" s="3507"/>
      <c r="WMG142" s="3507"/>
      <c r="WMH142" s="3507"/>
      <c r="WMI142" s="3507"/>
      <c r="WMJ142" s="3507"/>
      <c r="WMK142" s="3507"/>
      <c r="WML142" s="3507"/>
      <c r="WMM142" s="3507"/>
      <c r="WMN142" s="3507"/>
      <c r="WMO142" s="3507"/>
      <c r="WMP142" s="3507"/>
      <c r="WMQ142" s="3507"/>
      <c r="WMR142" s="3507"/>
      <c r="WMS142" s="3507"/>
      <c r="WMT142" s="3507"/>
      <c r="WMU142" s="3507"/>
      <c r="WMV142" s="3507"/>
      <c r="WMW142" s="3507"/>
      <c r="WMX142" s="3507"/>
      <c r="WMY142" s="3507"/>
      <c r="WMZ142" s="3507"/>
      <c r="WNA142" s="3507"/>
      <c r="WNB142" s="3507"/>
      <c r="WNC142" s="3507"/>
      <c r="WND142" s="3507"/>
      <c r="WNE142" s="3507"/>
      <c r="WNF142" s="3507"/>
      <c r="WNG142" s="3507"/>
      <c r="WNH142" s="3507"/>
      <c r="WNI142" s="3507"/>
      <c r="WNJ142" s="3507"/>
      <c r="WNK142" s="3507"/>
      <c r="WNL142" s="3507"/>
      <c r="WNM142" s="3507"/>
      <c r="WNN142" s="3507"/>
      <c r="WNO142" s="3507"/>
      <c r="WNP142" s="3507"/>
      <c r="WNQ142" s="3507"/>
      <c r="WNR142" s="3507"/>
      <c r="WNS142" s="3507"/>
      <c r="WNT142" s="3507"/>
      <c r="WNU142" s="3507"/>
      <c r="WNV142" s="3507"/>
      <c r="WNW142" s="3507"/>
      <c r="WNX142" s="3507"/>
      <c r="WNY142" s="3507"/>
      <c r="WNZ142" s="3507"/>
      <c r="WOA142" s="3507"/>
      <c r="WOB142" s="3507"/>
      <c r="WOC142" s="3507"/>
      <c r="WOD142" s="3507"/>
      <c r="WOE142" s="3507"/>
      <c r="WOF142" s="3507"/>
      <c r="WOG142" s="3507"/>
      <c r="WOH142" s="3507"/>
      <c r="WOI142" s="3507"/>
      <c r="WOJ142" s="3507"/>
      <c r="WOK142" s="3507"/>
      <c r="WOL142" s="3507"/>
      <c r="WOM142" s="3507"/>
      <c r="WON142" s="3507"/>
      <c r="WOO142" s="3507"/>
      <c r="WOP142" s="3507"/>
      <c r="WOQ142" s="3507"/>
      <c r="WOR142" s="3507"/>
      <c r="WOS142" s="3507"/>
      <c r="WOT142" s="3507"/>
      <c r="WOU142" s="3507"/>
      <c r="WOV142" s="3507"/>
      <c r="WOW142" s="3507"/>
      <c r="WOX142" s="3507"/>
      <c r="WOY142" s="3507"/>
      <c r="WOZ142" s="3507"/>
      <c r="WPA142" s="3507"/>
      <c r="WPB142" s="3507"/>
      <c r="WPC142" s="3507"/>
      <c r="WPD142" s="3507"/>
      <c r="WPE142" s="3507"/>
      <c r="WPF142" s="3507"/>
      <c r="WPG142" s="3507"/>
      <c r="WPH142" s="3507"/>
      <c r="WPI142" s="3507"/>
      <c r="WPJ142" s="3507"/>
      <c r="WPK142" s="3507"/>
      <c r="WPL142" s="3507"/>
      <c r="WPM142" s="3507"/>
      <c r="WPN142" s="3507"/>
      <c r="WPO142" s="3507"/>
      <c r="WPP142" s="3507"/>
      <c r="WPQ142" s="3507"/>
      <c r="WPR142" s="3507"/>
      <c r="WPS142" s="3507"/>
      <c r="WPT142" s="3507"/>
      <c r="WPU142" s="3507"/>
      <c r="WPV142" s="3507"/>
      <c r="WPW142" s="3507"/>
      <c r="WPX142" s="3507"/>
      <c r="WPY142" s="3507"/>
      <c r="WPZ142" s="3507"/>
      <c r="WQA142" s="3507"/>
      <c r="WQB142" s="3507"/>
      <c r="WQC142" s="3507"/>
      <c r="WQD142" s="3507"/>
      <c r="WQE142" s="3507"/>
      <c r="WQF142" s="3507"/>
      <c r="WQG142" s="3507"/>
      <c r="WQH142" s="3507"/>
      <c r="WQI142" s="3507"/>
      <c r="WQJ142" s="3507"/>
      <c r="WQK142" s="3507"/>
      <c r="WQL142" s="3507"/>
      <c r="WQM142" s="3507"/>
      <c r="WQN142" s="3507"/>
      <c r="WQO142" s="3507"/>
      <c r="WQP142" s="3507"/>
      <c r="WQQ142" s="3507"/>
      <c r="WQR142" s="3507"/>
      <c r="WQS142" s="3507"/>
      <c r="WQT142" s="3507"/>
      <c r="WQU142" s="3507"/>
      <c r="WQV142" s="3507"/>
      <c r="WQW142" s="3507"/>
      <c r="WQX142" s="3507"/>
      <c r="WQY142" s="3507"/>
      <c r="WQZ142" s="3507"/>
      <c r="WRA142" s="3507"/>
      <c r="WRB142" s="3507"/>
      <c r="WRC142" s="3507"/>
      <c r="WRD142" s="3507"/>
      <c r="WRE142" s="3507"/>
      <c r="WRF142" s="3507"/>
      <c r="WRG142" s="3507"/>
      <c r="WRH142" s="3507"/>
      <c r="WRI142" s="3507"/>
      <c r="WRJ142" s="3507"/>
      <c r="WRK142" s="3507"/>
      <c r="WRL142" s="3507"/>
      <c r="WRM142" s="3507"/>
      <c r="WRN142" s="3507"/>
      <c r="WRO142" s="3507"/>
      <c r="WRP142" s="3507"/>
      <c r="WRQ142" s="3507"/>
      <c r="WRR142" s="3507"/>
      <c r="WRS142" s="3507"/>
      <c r="WRT142" s="3507"/>
      <c r="WRU142" s="3507"/>
      <c r="WRV142" s="3507"/>
      <c r="WRW142" s="3507"/>
      <c r="WRX142" s="3507"/>
      <c r="WRY142" s="3507"/>
      <c r="WRZ142" s="3507"/>
      <c r="WSA142" s="3507"/>
      <c r="WSB142" s="3507"/>
      <c r="WSC142" s="3507"/>
      <c r="WSD142" s="3507"/>
      <c r="WSE142" s="3507"/>
      <c r="WSF142" s="3507"/>
      <c r="WSG142" s="3507"/>
      <c r="WSH142" s="3507"/>
      <c r="WSI142" s="3507"/>
      <c r="WSJ142" s="3507"/>
      <c r="WSK142" s="3507"/>
      <c r="WSL142" s="3507"/>
      <c r="WSM142" s="3507"/>
      <c r="WSN142" s="3507"/>
      <c r="WSO142" s="3507"/>
      <c r="WSP142" s="3507"/>
      <c r="WSQ142" s="3507"/>
      <c r="WSR142" s="3507"/>
      <c r="WSS142" s="3507"/>
      <c r="WST142" s="3507"/>
      <c r="WSU142" s="3507"/>
      <c r="WSV142" s="3507"/>
      <c r="WSW142" s="3507"/>
      <c r="WSX142" s="3507"/>
      <c r="WSY142" s="3507"/>
      <c r="WSZ142" s="3507"/>
      <c r="WTA142" s="3507"/>
      <c r="WTB142" s="3507"/>
      <c r="WTC142" s="3507"/>
      <c r="WTD142" s="3507"/>
      <c r="WTE142" s="3507"/>
      <c r="WTF142" s="3507"/>
      <c r="WTG142" s="3507"/>
      <c r="WTH142" s="3507"/>
      <c r="WTI142" s="3507"/>
      <c r="WTJ142" s="3507"/>
      <c r="WTK142" s="3507"/>
      <c r="WTL142" s="3507"/>
      <c r="WTM142" s="3507"/>
      <c r="WTN142" s="3507"/>
      <c r="WTO142" s="3507"/>
      <c r="WTP142" s="3507"/>
      <c r="WTQ142" s="3507"/>
      <c r="WTR142" s="3507"/>
      <c r="WTS142" s="3507"/>
      <c r="WTT142" s="3507"/>
      <c r="WTU142" s="3507"/>
      <c r="WTV142" s="3507"/>
      <c r="WTW142" s="3507"/>
      <c r="WTX142" s="3507"/>
      <c r="WTY142" s="3507"/>
      <c r="WTZ142" s="3507"/>
      <c r="WUA142" s="3507"/>
      <c r="WUB142" s="3507"/>
      <c r="WUC142" s="3507"/>
      <c r="WUD142" s="3507"/>
      <c r="WUE142" s="3507"/>
      <c r="WUF142" s="3507"/>
      <c r="WUG142" s="3507"/>
      <c r="WUH142" s="3507"/>
      <c r="WUI142" s="3507"/>
      <c r="WUJ142" s="3507"/>
      <c r="WUK142" s="3507"/>
      <c r="WUL142" s="3507"/>
      <c r="WUM142" s="3507"/>
      <c r="WUN142" s="3507"/>
      <c r="WUO142" s="3507"/>
      <c r="WUP142" s="3507"/>
      <c r="WUQ142" s="3507"/>
      <c r="WUR142" s="3507"/>
      <c r="WUS142" s="3507"/>
      <c r="WUT142" s="3507"/>
      <c r="WUU142" s="3507"/>
      <c r="WUV142" s="3507"/>
      <c r="WUW142" s="3507"/>
      <c r="WUX142" s="3507"/>
      <c r="WUY142" s="3507"/>
      <c r="WUZ142" s="3507"/>
      <c r="WVA142" s="3507"/>
      <c r="WVB142" s="3507"/>
      <c r="WVC142" s="3507"/>
      <c r="WVD142" s="3507"/>
      <c r="WVE142" s="3507"/>
      <c r="WVF142" s="3507"/>
      <c r="WVG142" s="3507"/>
      <c r="WVH142" s="3507"/>
      <c r="WVI142" s="3507"/>
      <c r="WVJ142" s="3507"/>
      <c r="WVK142" s="3507"/>
      <c r="WVL142" s="3507"/>
      <c r="WVM142" s="3507"/>
      <c r="WVN142" s="3507"/>
      <c r="WVO142" s="3507"/>
      <c r="WVP142" s="3507"/>
      <c r="WVQ142" s="3507"/>
      <c r="WVR142" s="3507"/>
      <c r="WVS142" s="3507"/>
      <c r="WVT142" s="3507"/>
      <c r="WVU142" s="3507"/>
      <c r="WVV142" s="3507"/>
      <c r="WVW142" s="3507"/>
      <c r="WVX142" s="3507"/>
      <c r="WVY142" s="3507"/>
      <c r="WVZ142" s="3507"/>
      <c r="WWA142" s="3507"/>
      <c r="WWB142" s="3507"/>
      <c r="WWC142" s="3507"/>
      <c r="WWD142" s="3507"/>
      <c r="WWE142" s="3507"/>
      <c r="WWF142" s="3507"/>
      <c r="WWG142" s="3507"/>
      <c r="WWH142" s="3507"/>
      <c r="WWI142" s="3507"/>
      <c r="WWJ142" s="3507"/>
      <c r="WWK142" s="3507"/>
      <c r="WWL142" s="3507"/>
      <c r="WWM142" s="3507"/>
      <c r="WWN142" s="3507"/>
      <c r="WWO142" s="3507"/>
      <c r="WWP142" s="3507"/>
      <c r="WWQ142" s="3507"/>
      <c r="WWR142" s="3507"/>
      <c r="WWS142" s="3507"/>
      <c r="WWT142" s="3507"/>
      <c r="WWU142" s="3507"/>
      <c r="WWV142" s="3507"/>
      <c r="WWW142" s="3507"/>
      <c r="WWX142" s="3507"/>
      <c r="WWY142" s="3507"/>
      <c r="WWZ142" s="3507"/>
      <c r="WXA142" s="3507"/>
      <c r="WXB142" s="3507"/>
      <c r="WXC142" s="3507"/>
      <c r="WXD142" s="3507"/>
      <c r="WXE142" s="3507"/>
      <c r="WXF142" s="3507"/>
      <c r="WXG142" s="3507"/>
      <c r="WXH142" s="3507"/>
      <c r="WXI142" s="3507"/>
      <c r="WXJ142" s="3507"/>
      <c r="WXK142" s="3507"/>
      <c r="WXL142" s="3507"/>
      <c r="WXM142" s="3507"/>
      <c r="WXN142" s="3507"/>
      <c r="WXO142" s="3507"/>
      <c r="WXP142" s="3507"/>
      <c r="WXQ142" s="3507"/>
      <c r="WXR142" s="3507"/>
      <c r="WXS142" s="3507"/>
      <c r="WXT142" s="3507"/>
      <c r="WXU142" s="3507"/>
      <c r="WXV142" s="3507"/>
      <c r="WXW142" s="3507"/>
      <c r="WXX142" s="3507"/>
      <c r="WXY142" s="3507"/>
      <c r="WXZ142" s="3507"/>
      <c r="WYA142" s="3507"/>
      <c r="WYB142" s="3507"/>
      <c r="WYC142" s="3507"/>
      <c r="WYD142" s="3507"/>
      <c r="WYE142" s="3507"/>
      <c r="WYF142" s="3507"/>
      <c r="WYG142" s="3507"/>
      <c r="WYH142" s="3507"/>
      <c r="WYI142" s="3507"/>
      <c r="WYJ142" s="3507"/>
      <c r="WYK142" s="3507"/>
      <c r="WYL142" s="3507"/>
      <c r="WYM142" s="3507"/>
      <c r="WYN142" s="3507"/>
      <c r="WYO142" s="3507"/>
      <c r="WYP142" s="3507"/>
      <c r="WYQ142" s="3507"/>
      <c r="WYR142" s="3507"/>
      <c r="WYS142" s="3507"/>
      <c r="WYT142" s="3507"/>
      <c r="WYU142" s="3507"/>
      <c r="WYV142" s="3507"/>
      <c r="WYW142" s="3507"/>
      <c r="WYX142" s="3507"/>
      <c r="WYY142" s="3507"/>
      <c r="WYZ142" s="3507"/>
      <c r="WZA142" s="3507"/>
      <c r="WZB142" s="3507"/>
      <c r="WZC142" s="3507"/>
      <c r="WZD142" s="3507"/>
      <c r="WZE142" s="3507"/>
      <c r="WZF142" s="3507"/>
      <c r="WZG142" s="3507"/>
      <c r="WZH142" s="3507"/>
      <c r="WZI142" s="3507"/>
      <c r="WZJ142" s="3507"/>
      <c r="WZK142" s="3507"/>
      <c r="WZL142" s="3507"/>
      <c r="WZM142" s="3507"/>
      <c r="WZN142" s="3507"/>
      <c r="WZO142" s="3507"/>
      <c r="WZP142" s="3507"/>
      <c r="WZQ142" s="3507"/>
      <c r="WZR142" s="3507"/>
      <c r="WZS142" s="3507"/>
      <c r="WZT142" s="3507"/>
      <c r="WZU142" s="3507"/>
      <c r="WZV142" s="3507"/>
      <c r="WZW142" s="3507"/>
      <c r="WZX142" s="3507"/>
      <c r="WZY142" s="3507"/>
      <c r="WZZ142" s="3507"/>
      <c r="XAA142" s="3507"/>
      <c r="XAB142" s="3507"/>
      <c r="XAC142" s="3507"/>
      <c r="XAD142" s="3507"/>
      <c r="XAE142" s="3507"/>
      <c r="XAF142" s="3507"/>
      <c r="XAG142" s="3507"/>
      <c r="XAH142" s="3507"/>
      <c r="XAI142" s="3507"/>
      <c r="XAJ142" s="3507"/>
      <c r="XAK142" s="3507"/>
      <c r="XAL142" s="3507"/>
      <c r="XAM142" s="3507"/>
      <c r="XAN142" s="3507"/>
      <c r="XAO142" s="3507"/>
      <c r="XAP142" s="3507"/>
      <c r="XAQ142" s="3507"/>
      <c r="XAR142" s="3507"/>
      <c r="XAS142" s="3507"/>
      <c r="XAT142" s="3507"/>
      <c r="XAU142" s="3507"/>
      <c r="XAV142" s="3507"/>
      <c r="XAW142" s="3507"/>
      <c r="XAX142" s="3507"/>
      <c r="XAY142" s="3507"/>
      <c r="XAZ142" s="3507"/>
      <c r="XBA142" s="3507"/>
      <c r="XBB142" s="3507"/>
      <c r="XBC142" s="3507"/>
      <c r="XBD142" s="3507"/>
      <c r="XBE142" s="3507"/>
      <c r="XBF142" s="3507"/>
      <c r="XBG142" s="3507"/>
      <c r="XBH142" s="3507"/>
      <c r="XBI142" s="3507"/>
      <c r="XBJ142" s="3507"/>
      <c r="XBK142" s="3507"/>
      <c r="XBL142" s="3507"/>
      <c r="XBM142" s="3507"/>
      <c r="XBN142" s="3507"/>
      <c r="XBO142" s="3507"/>
      <c r="XBP142" s="3507"/>
      <c r="XBQ142" s="3507"/>
      <c r="XBR142" s="3507"/>
      <c r="XBS142" s="3507"/>
      <c r="XBT142" s="3507"/>
      <c r="XBU142" s="3507"/>
      <c r="XBV142" s="3507"/>
      <c r="XBW142" s="3507"/>
      <c r="XBX142" s="3507"/>
      <c r="XBY142" s="3507"/>
      <c r="XBZ142" s="3507"/>
      <c r="XCA142" s="3507"/>
      <c r="XCB142" s="3507"/>
      <c r="XCC142" s="3507"/>
      <c r="XCD142" s="3507"/>
      <c r="XCE142" s="3507"/>
      <c r="XCF142" s="3507"/>
      <c r="XCG142" s="3507"/>
      <c r="XCH142" s="3507"/>
      <c r="XCI142" s="3507"/>
      <c r="XCJ142" s="3507"/>
      <c r="XCK142" s="3507"/>
      <c r="XCL142" s="3507"/>
      <c r="XCM142" s="3507"/>
      <c r="XCN142" s="3507"/>
      <c r="XCO142" s="3507"/>
      <c r="XCP142" s="3507"/>
      <c r="XCQ142" s="3507"/>
      <c r="XCR142" s="3507"/>
      <c r="XCS142" s="3507"/>
      <c r="XCT142" s="3507"/>
      <c r="XCU142" s="3507"/>
      <c r="XCV142" s="3507"/>
      <c r="XCW142" s="3507"/>
      <c r="XCX142" s="3507"/>
      <c r="XCY142" s="3507"/>
      <c r="XCZ142" s="3507"/>
      <c r="XDA142" s="3507"/>
      <c r="XDB142" s="3507"/>
      <c r="XDC142" s="3507"/>
      <c r="XDD142" s="3507"/>
      <c r="XDE142" s="3507"/>
      <c r="XDF142" s="3507"/>
      <c r="XDG142" s="3507"/>
      <c r="XDH142" s="3507"/>
      <c r="XDI142" s="3507"/>
      <c r="XDJ142" s="3507"/>
      <c r="XDK142" s="3507"/>
      <c r="XDL142" s="3507"/>
      <c r="XDM142" s="3507"/>
      <c r="XDN142" s="3507"/>
      <c r="XDO142" s="3507"/>
      <c r="XDP142" s="3507"/>
      <c r="XDQ142" s="3507"/>
      <c r="XDR142" s="3507"/>
      <c r="XDS142" s="3507"/>
      <c r="XDT142" s="3507"/>
      <c r="XDU142" s="3507"/>
      <c r="XDV142" s="3507"/>
      <c r="XDW142" s="3507"/>
      <c r="XDX142" s="3507"/>
      <c r="XDY142" s="3507"/>
      <c r="XDZ142" s="3507"/>
      <c r="XEA142" s="3507"/>
      <c r="XEB142" s="3507"/>
      <c r="XEC142" s="3507"/>
      <c r="XED142" s="3507"/>
      <c r="XEE142" s="3507"/>
      <c r="XEF142" s="3507"/>
      <c r="XEG142" s="3507"/>
      <c r="XEH142" s="3507"/>
      <c r="XEI142" s="3507"/>
      <c r="XEJ142" s="3507"/>
      <c r="XEK142" s="3507"/>
      <c r="XEL142" s="3507"/>
      <c r="XEM142" s="3507"/>
      <c r="XEN142" s="3507"/>
      <c r="XEO142" s="3507"/>
      <c r="XEP142" s="3507"/>
    </row>
    <row r="143" spans="1:16370" ht="18" customHeight="1">
      <c r="AM143" s="3511"/>
      <c r="AN143" s="3511"/>
      <c r="AQ143" s="3511"/>
      <c r="AS143" s="3511"/>
      <c r="BE143" s="3510"/>
      <c r="BF143" s="3508"/>
      <c r="BH143" s="3510"/>
      <c r="BI143" s="3508"/>
      <c r="BN143" s="3508"/>
      <c r="BQ143" s="3508"/>
      <c r="BV143" s="3508"/>
      <c r="BY143" s="3508"/>
      <c r="DN143" s="3508"/>
      <c r="DV143" s="3508"/>
      <c r="ED143" s="3508"/>
      <c r="EH143" s="3516"/>
      <c r="EU143" s="3755"/>
      <c r="EV143" s="3759" t="s">
        <v>4958</v>
      </c>
      <c r="EW143" s="3759" t="s">
        <v>4959</v>
      </c>
      <c r="EX143" s="3511"/>
      <c r="EY143" s="3511"/>
      <c r="FG143" s="3511"/>
      <c r="FN143" s="3511"/>
      <c r="FO143" s="3511"/>
      <c r="FV143" s="3511"/>
      <c r="FW143" s="3511"/>
      <c r="FZ143" s="3546" t="s">
        <v>3849</v>
      </c>
      <c r="GA143" s="3549" t="s">
        <v>4960</v>
      </c>
      <c r="GB143" s="3606">
        <f>6566.03/1.05*12/365*17</f>
        <v>3495.0296673189819</v>
      </c>
      <c r="GC143" s="3606">
        <f>4454.88/3/1.06*12/365*17</f>
        <v>782.9719307314549</v>
      </c>
      <c r="GJ143" s="3511" t="s">
        <v>4961</v>
      </c>
      <c r="GK143" s="3511" t="s">
        <v>4961</v>
      </c>
      <c r="GL143" s="3511"/>
      <c r="GM143" s="3511"/>
      <c r="GT143" s="3511"/>
      <c r="GU143" s="3511"/>
      <c r="HB143" s="3511"/>
      <c r="HC143" s="3511"/>
      <c r="HJ143" s="3511"/>
      <c r="HK143" s="3511"/>
      <c r="HO143" s="3509"/>
      <c r="HQ143" s="3510"/>
      <c r="HR143" s="3511"/>
      <c r="HS143" s="3509"/>
      <c r="HX143" s="3755"/>
      <c r="HY143" s="3742"/>
      <c r="HZ143" s="3511"/>
      <c r="IA143" s="3511"/>
      <c r="IF143" s="3755"/>
      <c r="IG143" s="3742"/>
      <c r="IH143" s="3511"/>
      <c r="II143" s="3511"/>
      <c r="KA143" s="3577"/>
      <c r="KB143" s="3577"/>
      <c r="KC143" s="3577"/>
      <c r="KD143" s="3577"/>
      <c r="KE143" s="3577"/>
      <c r="KF143" s="3577"/>
      <c r="KG143" s="3577"/>
      <c r="KH143" s="3577"/>
      <c r="KI143" s="3577"/>
      <c r="KJ143" s="3577"/>
      <c r="KK143" s="3577"/>
      <c r="KL143" s="3577"/>
      <c r="KM143" s="3577"/>
      <c r="KN143" s="3577"/>
      <c r="KO143" s="3577"/>
      <c r="KP143" s="3577"/>
      <c r="KQ143" s="3577"/>
      <c r="KR143" s="3577"/>
    </row>
    <row r="144" spans="1:16370" ht="18" customHeight="1">
      <c r="AM144" s="3511"/>
      <c r="AN144" s="3511"/>
      <c r="AQ144" s="3511"/>
      <c r="AS144" s="3511"/>
      <c r="BE144" s="3510"/>
      <c r="BF144" s="3508"/>
      <c r="BH144" s="3510"/>
      <c r="BI144" s="3508"/>
      <c r="BN144" s="3508"/>
      <c r="BQ144" s="3508"/>
      <c r="BV144" s="3508"/>
      <c r="BY144" s="3508"/>
      <c r="DN144" s="3508"/>
      <c r="DV144" s="3508"/>
      <c r="ED144" s="3508"/>
      <c r="ET144" s="3760">
        <v>1222</v>
      </c>
      <c r="EU144" s="3748" t="s">
        <v>4962</v>
      </c>
      <c r="EV144" s="3719">
        <f>+(43393.65/3/1.05-43393.65/3*12/365*10/1.05)</f>
        <v>9246.744292237443</v>
      </c>
      <c r="EW144" s="3719">
        <f>+(8637.09/3/1.06-8637.09/3*12/365*10/1.06)</f>
        <v>1823.1128198500905</v>
      </c>
      <c r="FB144" s="3761">
        <v>1222</v>
      </c>
      <c r="FC144" s="3762" t="s">
        <v>4962</v>
      </c>
      <c r="FD144" s="3763">
        <f>43393.65/3/1.05</f>
        <v>13775.761904761905</v>
      </c>
      <c r="FE144" s="3763">
        <f>8637.09/3/1.06</f>
        <v>2716.066037735849</v>
      </c>
      <c r="FF144" s="3580" t="s">
        <v>3822</v>
      </c>
      <c r="FG144" s="3739"/>
      <c r="FN144" s="3511"/>
      <c r="FO144" s="3511"/>
      <c r="FT144" s="3764"/>
      <c r="FU144" s="3739"/>
      <c r="FV144" s="3764"/>
      <c r="FW144" s="3739"/>
      <c r="FZ144" s="3546" t="s">
        <v>3849</v>
      </c>
      <c r="GA144" s="3549" t="s">
        <v>3850</v>
      </c>
      <c r="GB144" s="3606">
        <f>19698.09/3/1.05-19698.09/3/1.05*12/365*17</f>
        <v>2758.3322374429222</v>
      </c>
      <c r="GC144" s="3606">
        <f>4454.88/3/1.06-4454.88/3/1.06*12/365*17</f>
        <v>617.93372964590344</v>
      </c>
      <c r="GD144" s="3764"/>
      <c r="GE144" s="3739"/>
      <c r="GH144" s="3765" t="s">
        <v>4053</v>
      </c>
      <c r="GI144" s="3766" t="s">
        <v>4963</v>
      </c>
      <c r="GJ144" s="3586">
        <f>17939.24/1.05*12/365*7</f>
        <v>3931.8882191780826</v>
      </c>
      <c r="GK144" s="3586">
        <f>7501.04/2/1.06*12/365*7</f>
        <v>814.27676402171096</v>
      </c>
      <c r="GL144" s="3767" t="s">
        <v>4964</v>
      </c>
      <c r="GM144" s="3739"/>
      <c r="GR144" s="3764"/>
      <c r="GS144" s="3739"/>
      <c r="GT144" s="3764"/>
      <c r="GU144" s="3739"/>
      <c r="GZ144" s="3764"/>
      <c r="HA144" s="3739"/>
      <c r="HB144" s="3764"/>
      <c r="HC144" s="3739"/>
      <c r="HH144" s="3764"/>
      <c r="HI144" s="3739"/>
      <c r="HJ144" s="3764"/>
      <c r="HK144" s="3739"/>
      <c r="HO144" s="3509"/>
      <c r="HQ144" s="3510"/>
      <c r="HR144" s="3511"/>
      <c r="HS144" s="3509"/>
      <c r="HX144" s="3768"/>
      <c r="HY144" s="3769"/>
      <c r="IF144" s="3768"/>
      <c r="IG144" s="3769"/>
      <c r="KA144" s="3577"/>
      <c r="KB144" s="3577"/>
      <c r="KC144" s="3577"/>
      <c r="KD144" s="3577"/>
      <c r="KE144" s="3577"/>
      <c r="KF144" s="3577"/>
      <c r="KG144" s="3577"/>
      <c r="KH144" s="3577"/>
      <c r="KI144" s="3577"/>
      <c r="KJ144" s="3577"/>
      <c r="KK144" s="3577"/>
      <c r="KL144" s="3577"/>
      <c r="KM144" s="3577"/>
      <c r="KN144" s="3577"/>
      <c r="KO144" s="3577"/>
      <c r="KP144" s="3577"/>
      <c r="KQ144" s="3577"/>
      <c r="KR144" s="3577"/>
    </row>
    <row r="145" spans="32:304" ht="18" customHeight="1">
      <c r="AF145" s="3510"/>
      <c r="AM145" s="3511"/>
      <c r="AN145" s="3511"/>
      <c r="AQ145" s="3511"/>
      <c r="AS145" s="3511"/>
      <c r="BE145" s="3510"/>
      <c r="BF145" s="3508"/>
      <c r="BH145" s="3510"/>
      <c r="BI145" s="3508"/>
      <c r="BN145" s="3508"/>
      <c r="BQ145" s="3508"/>
      <c r="BV145" s="3508"/>
      <c r="BY145" s="3508"/>
      <c r="DN145" s="3508"/>
      <c r="DV145" s="3508"/>
      <c r="ED145" s="3508"/>
      <c r="ET145" s="3760">
        <v>1222</v>
      </c>
      <c r="EU145" s="3748" t="s">
        <v>4965</v>
      </c>
      <c r="EV145" s="3719">
        <f>18505.28/1.05</f>
        <v>17624.076190476189</v>
      </c>
      <c r="EW145" s="3719">
        <f>2934.24/1.06</f>
        <v>2768.150943396226</v>
      </c>
      <c r="FB145" s="3761">
        <v>1222</v>
      </c>
      <c r="FC145" s="3762" t="s">
        <v>4965</v>
      </c>
      <c r="FD145" s="3763">
        <f>-12381.33/1.05</f>
        <v>-11791.742857142857</v>
      </c>
      <c r="FE145" s="3763">
        <f>-1987.71/1.06</f>
        <v>-1875.1981132075471</v>
      </c>
      <c r="FF145" s="3580" t="s">
        <v>4966</v>
      </c>
      <c r="FG145" s="3511"/>
      <c r="FN145" s="3511"/>
      <c r="FO145" s="3511"/>
      <c r="GH145" s="3765" t="s">
        <v>4053</v>
      </c>
      <c r="GI145" s="3766" t="s">
        <v>4054</v>
      </c>
      <c r="GJ145" s="3586">
        <f>35878.48/2/1.05-35878.48/2/1.05*12/365*7</f>
        <v>13153.102257012393</v>
      </c>
      <c r="GK145" s="3586">
        <f>7501.04/2/1.06-7501.04/2/1.06*12/365*7</f>
        <v>2723.9496510726285</v>
      </c>
      <c r="GL145" s="3767" t="s">
        <v>4967</v>
      </c>
      <c r="GP145" s="3770"/>
      <c r="GT145" s="3510"/>
      <c r="GU145" s="3511"/>
      <c r="HO145" s="3509"/>
      <c r="HQ145" s="3510"/>
      <c r="HR145" s="3511"/>
      <c r="HS145" s="3509"/>
      <c r="HX145" s="3768"/>
      <c r="HY145" s="3769"/>
      <c r="IF145" s="3768"/>
      <c r="IG145" s="3769"/>
      <c r="KA145" s="3577"/>
      <c r="KB145" s="3577"/>
      <c r="KC145" s="3577"/>
      <c r="KD145" s="3577"/>
      <c r="KE145" s="3577"/>
      <c r="KF145" s="3577"/>
      <c r="KG145" s="3577"/>
      <c r="KH145" s="3577"/>
      <c r="KI145" s="3577"/>
      <c r="KJ145" s="3577"/>
      <c r="KK145" s="3577"/>
      <c r="KL145" s="3577"/>
      <c r="KM145" s="3577"/>
      <c r="KN145" s="3577"/>
      <c r="KO145" s="3577"/>
      <c r="KP145" s="3577"/>
      <c r="KQ145" s="3577"/>
      <c r="KR145" s="3577"/>
    </row>
    <row r="146" spans="32:304" ht="18" customHeight="1">
      <c r="AF146" s="3510"/>
      <c r="AM146" s="3511"/>
      <c r="AN146" s="3511"/>
      <c r="AQ146" s="3511"/>
      <c r="AS146" s="3511"/>
      <c r="BE146" s="3510"/>
      <c r="BF146" s="3508"/>
      <c r="BH146" s="3510"/>
      <c r="BI146" s="3508"/>
      <c r="BN146" s="3508"/>
      <c r="BQ146" s="3508"/>
      <c r="BV146" s="3508"/>
      <c r="BY146" s="3508"/>
      <c r="CA146" s="3509"/>
      <c r="CB146" s="3510"/>
      <c r="CC146" s="3508"/>
      <c r="DN146" s="3508"/>
      <c r="DV146" s="3508"/>
      <c r="ED146" s="3508"/>
      <c r="ET146" s="3508"/>
      <c r="EU146" s="3508"/>
      <c r="EV146" s="3719"/>
      <c r="EW146" s="3719"/>
      <c r="FB146" s="3761" t="s">
        <v>4556</v>
      </c>
      <c r="FC146" s="3762" t="s">
        <v>4968</v>
      </c>
      <c r="FD146" s="3763">
        <f>4660.52/1.05-4660.52/1.05*12/365*14</f>
        <v>2395.6228049575998</v>
      </c>
      <c r="FE146" s="3763">
        <f>828.32/1.06</f>
        <v>781.43396226415098</v>
      </c>
      <c r="FF146" s="3580" t="s">
        <v>3822</v>
      </c>
      <c r="FG146" s="3511"/>
      <c r="FN146" s="3511"/>
      <c r="FO146" s="3511"/>
      <c r="GP146" s="3770"/>
      <c r="GT146" s="3510"/>
      <c r="GU146" s="3511"/>
      <c r="HO146" s="3509"/>
      <c r="HQ146" s="3510"/>
      <c r="HR146" s="3511"/>
      <c r="HS146" s="3509"/>
      <c r="HX146" s="3755"/>
      <c r="HY146" s="3742"/>
      <c r="IF146" s="3755"/>
      <c r="IG146" s="3742"/>
      <c r="KA146" s="3577"/>
      <c r="KB146" s="3577"/>
      <c r="KC146" s="3577"/>
      <c r="KD146" s="3577"/>
      <c r="KE146" s="3577"/>
      <c r="KF146" s="3577"/>
      <c r="KG146" s="3577"/>
      <c r="KH146" s="3577"/>
      <c r="KI146" s="3577"/>
      <c r="KJ146" s="3577"/>
      <c r="KK146" s="3577"/>
      <c r="KL146" s="3577"/>
      <c r="KM146" s="3577"/>
      <c r="KN146" s="3577"/>
      <c r="KO146" s="3577"/>
      <c r="KP146" s="3577"/>
      <c r="KQ146" s="3577"/>
      <c r="KR146" s="3577"/>
    </row>
    <row r="147" spans="32:304" ht="18" customHeight="1">
      <c r="AF147" s="3510"/>
      <c r="AM147" s="3511"/>
      <c r="AN147" s="3511"/>
      <c r="AQ147" s="3511"/>
      <c r="AS147" s="3511"/>
      <c r="BE147" s="3510"/>
      <c r="BF147" s="3508"/>
      <c r="BH147" s="3510"/>
      <c r="BI147" s="3508"/>
      <c r="BN147" s="3508"/>
      <c r="BQ147" s="3508"/>
      <c r="BV147" s="3508"/>
      <c r="BY147" s="3508"/>
      <c r="CA147" s="3509"/>
      <c r="CB147" s="3510"/>
      <c r="CC147" s="3508"/>
      <c r="DN147" s="3508"/>
      <c r="DV147" s="3508"/>
      <c r="ED147" s="3508"/>
      <c r="ET147" s="3508" t="s">
        <v>4472</v>
      </c>
      <c r="EU147" s="3748" t="s">
        <v>4969</v>
      </c>
      <c r="EV147" s="3719">
        <f>4848.66/1.05-2099.36/1.05*2</f>
        <v>618.99047619047587</v>
      </c>
      <c r="EW147" s="3719">
        <f>693.87/1.06-300.43/1.06*2</f>
        <v>87.745283018867894</v>
      </c>
      <c r="FB147" s="3761" t="s">
        <v>4556</v>
      </c>
      <c r="FC147" s="3762" t="s">
        <v>4970</v>
      </c>
      <c r="FD147" s="3763">
        <f>-3562.18/1.05</f>
        <v>-3392.5523809523806</v>
      </c>
      <c r="FE147" s="3763">
        <f>-571.88/1.06</f>
        <v>-539.5094339622641</v>
      </c>
      <c r="FF147" s="3762" t="s">
        <v>4966</v>
      </c>
      <c r="FN147" s="3511"/>
      <c r="FO147" s="3511"/>
      <c r="GP147" s="3770"/>
      <c r="HO147" s="3509"/>
      <c r="HQ147" s="3510"/>
      <c r="HR147" s="3511"/>
      <c r="HS147" s="3509"/>
      <c r="KA147" s="3577"/>
      <c r="KB147" s="3577"/>
      <c r="KC147" s="3577"/>
      <c r="KD147" s="3577"/>
      <c r="KE147" s="3577"/>
      <c r="KF147" s="3577"/>
      <c r="KG147" s="3577"/>
      <c r="KH147" s="3577"/>
      <c r="KI147" s="3577"/>
      <c r="KJ147" s="3577"/>
      <c r="KK147" s="3577"/>
      <c r="KL147" s="3577"/>
      <c r="KM147" s="3577"/>
      <c r="KN147" s="3577"/>
      <c r="KO147" s="3577"/>
      <c r="KP147" s="3577"/>
      <c r="KQ147" s="3577"/>
      <c r="KR147" s="3577"/>
    </row>
    <row r="148" spans="32:304" ht="18" customHeight="1">
      <c r="AM148" s="3511"/>
      <c r="AN148" s="3511"/>
      <c r="AQ148" s="3511"/>
      <c r="AS148" s="3511"/>
      <c r="BE148" s="3510"/>
      <c r="BF148" s="3508"/>
      <c r="BH148" s="3510"/>
      <c r="BI148" s="3508"/>
      <c r="BN148" s="3508"/>
      <c r="BQ148" s="3508"/>
      <c r="BV148" s="3508"/>
      <c r="BY148" s="3508"/>
      <c r="CA148" s="3509"/>
      <c r="CB148" s="3510"/>
      <c r="CC148" s="3508"/>
      <c r="DN148" s="3508"/>
      <c r="DV148" s="3508"/>
      <c r="ED148" s="3508"/>
      <c r="ET148" s="3508" t="s">
        <v>4472</v>
      </c>
      <c r="EU148" s="3748" t="s">
        <v>4971</v>
      </c>
      <c r="EV148" s="3719">
        <f>1449.42/1.05</f>
        <v>1380.4</v>
      </c>
      <c r="EW148" s="3719">
        <f>207.42/1.06</f>
        <v>195.67924528301884</v>
      </c>
      <c r="FB148" s="3761" t="s">
        <v>4972</v>
      </c>
      <c r="FC148" s="3762" t="s">
        <v>4973</v>
      </c>
      <c r="FD148" s="3763">
        <f>5174.97/1.05</f>
        <v>4928.5428571428574</v>
      </c>
      <c r="FE148" s="3763">
        <f>1030.03/1.06</f>
        <v>971.72641509433959</v>
      </c>
      <c r="FF148" s="3580" t="s">
        <v>3822</v>
      </c>
      <c r="FN148" s="3511"/>
      <c r="FO148" s="3511"/>
      <c r="GP148" s="3770"/>
      <c r="HO148" s="3509"/>
      <c r="HQ148" s="3510"/>
      <c r="HR148" s="3511"/>
      <c r="HS148" s="3509"/>
      <c r="HX148" s="3755"/>
      <c r="HY148" s="3742"/>
      <c r="IF148" s="3755"/>
      <c r="IG148" s="3742"/>
      <c r="KA148" s="3577"/>
      <c r="KB148" s="3577"/>
      <c r="KC148" s="3577"/>
      <c r="KD148" s="3577"/>
      <c r="KE148" s="3577"/>
      <c r="KF148" s="3577"/>
      <c r="KG148" s="3577"/>
      <c r="KH148" s="3577"/>
      <c r="KI148" s="3577"/>
      <c r="KJ148" s="3577"/>
      <c r="KK148" s="3577"/>
      <c r="KL148" s="3577"/>
      <c r="KM148" s="3577"/>
      <c r="KN148" s="3577"/>
      <c r="KO148" s="3577"/>
      <c r="KP148" s="3577"/>
      <c r="KQ148" s="3577"/>
      <c r="KR148" s="3577"/>
    </row>
    <row r="149" spans="32:304" ht="18" customHeight="1">
      <c r="AM149" s="3511"/>
      <c r="AN149" s="3511"/>
      <c r="AQ149" s="3511"/>
      <c r="AS149" s="3511"/>
      <c r="BN149" s="3508"/>
      <c r="BQ149" s="3508"/>
      <c r="BV149" s="3508"/>
      <c r="BY149" s="3508"/>
      <c r="CA149" s="3509"/>
      <c r="CB149" s="3510"/>
      <c r="CC149" s="3508"/>
      <c r="DN149" s="3508"/>
      <c r="DV149" s="3508"/>
      <c r="ED149" s="3508"/>
      <c r="FB149" s="3761" t="s">
        <v>4972</v>
      </c>
      <c r="FC149" s="3762" t="s">
        <v>4974</v>
      </c>
      <c r="FD149" s="3763">
        <f>-4858.06/1.05</f>
        <v>-4626.7238095238099</v>
      </c>
      <c r="FE149" s="3763">
        <f>-711.14/1.06</f>
        <v>-670.88679245283015</v>
      </c>
      <c r="FF149" s="3762" t="s">
        <v>4966</v>
      </c>
      <c r="FN149" s="3511"/>
      <c r="FO149" s="3511"/>
      <c r="GP149" s="3770"/>
      <c r="HO149" s="3509"/>
      <c r="HQ149" s="3510"/>
      <c r="HR149" s="3511"/>
      <c r="HS149" s="3509"/>
      <c r="HX149" s="3764"/>
      <c r="HY149" s="3739"/>
      <c r="HZ149" s="3764"/>
      <c r="IA149" s="3739"/>
      <c r="IF149" s="3768"/>
      <c r="IG149" s="3769"/>
      <c r="KA149" s="3577"/>
      <c r="KB149" s="3577"/>
      <c r="KC149" s="3577"/>
      <c r="KD149" s="3577"/>
      <c r="KE149" s="3577"/>
      <c r="KF149" s="3577"/>
      <c r="KG149" s="3577"/>
      <c r="KH149" s="3577"/>
      <c r="KI149" s="3577"/>
      <c r="KJ149" s="3577"/>
      <c r="KK149" s="3577"/>
      <c r="KL149" s="3577"/>
      <c r="KM149" s="3577"/>
      <c r="KN149" s="3577"/>
      <c r="KO149" s="3577"/>
      <c r="KP149" s="3577"/>
      <c r="KQ149" s="3577"/>
      <c r="KR149" s="3577"/>
    </row>
    <row r="150" spans="32:304" ht="18" customHeight="1">
      <c r="AM150" s="3511"/>
      <c r="AN150" s="3511"/>
      <c r="AQ150" s="3511"/>
      <c r="AS150" s="3511"/>
      <c r="BN150" s="3508"/>
      <c r="BQ150" s="3508"/>
      <c r="BV150" s="3508"/>
      <c r="BY150" s="3508"/>
      <c r="CA150" s="3509"/>
      <c r="CB150" s="3510"/>
      <c r="CC150" s="3508"/>
      <c r="DN150" s="3508"/>
      <c r="DV150" s="3508"/>
      <c r="ED150" s="3508"/>
      <c r="ET150" s="3508" t="s">
        <v>4556</v>
      </c>
      <c r="EU150" s="3748" t="s">
        <v>4968</v>
      </c>
      <c r="EV150" s="3719"/>
      <c r="EW150" s="3719">
        <f>828.32/1.06-828.32/1.06*12/365*14</f>
        <v>421.76024812613082</v>
      </c>
      <c r="FB150" s="3761" t="s">
        <v>4678</v>
      </c>
      <c r="FC150" s="3762" t="s">
        <v>4974</v>
      </c>
      <c r="FD150" s="3763">
        <f>-39722.5/1.05</f>
        <v>-37830.952380952382</v>
      </c>
      <c r="FE150" s="3763">
        <f>-6377.11/1.06</f>
        <v>-6016.1415094339618</v>
      </c>
      <c r="FF150" s="3762" t="s">
        <v>4966</v>
      </c>
      <c r="FN150" s="3511"/>
      <c r="FO150" s="3511"/>
      <c r="GP150" s="3770"/>
      <c r="GT150" s="3511"/>
      <c r="HO150" s="3509"/>
      <c r="HQ150" s="3510"/>
      <c r="HR150" s="3511"/>
      <c r="HS150" s="3509"/>
      <c r="HX150" s="3768"/>
      <c r="HY150" s="3769"/>
      <c r="IF150" s="3768"/>
      <c r="IG150" s="3769"/>
      <c r="IP150" s="3510"/>
      <c r="IQ150" s="3510"/>
      <c r="IR150" s="3511"/>
      <c r="IS150" s="3509"/>
      <c r="IT150" s="3510"/>
      <c r="IU150" s="3510"/>
      <c r="IV150" s="3511"/>
      <c r="JD150" s="3510"/>
      <c r="JE150" s="3517"/>
      <c r="KA150" s="3577"/>
      <c r="KB150" s="3577"/>
      <c r="KC150" s="3577"/>
      <c r="KD150" s="3577"/>
      <c r="KE150" s="3577"/>
      <c r="KF150" s="3577"/>
      <c r="KG150" s="3577"/>
      <c r="KH150" s="3577"/>
      <c r="KI150" s="3577"/>
      <c r="KJ150" s="3577"/>
      <c r="KK150" s="3577"/>
      <c r="KL150" s="3577"/>
      <c r="KM150" s="3577"/>
      <c r="KN150" s="3577"/>
      <c r="KO150" s="3577"/>
      <c r="KP150" s="3577"/>
      <c r="KQ150" s="3577"/>
      <c r="KR150" s="3577"/>
    </row>
    <row r="151" spans="32:304" ht="18" customHeight="1">
      <c r="AM151" s="3511"/>
      <c r="AN151" s="3511"/>
      <c r="AQ151" s="3511"/>
      <c r="AS151" s="3511"/>
      <c r="CA151" s="3509"/>
      <c r="CB151" s="3510"/>
      <c r="CC151" s="3508"/>
      <c r="DG151" s="3771"/>
      <c r="DO151" s="3771"/>
      <c r="ET151" s="3508" t="s">
        <v>4556</v>
      </c>
      <c r="EU151" s="3748" t="s">
        <v>4975</v>
      </c>
      <c r="EV151" s="3719">
        <f>5159.51/1.05</f>
        <v>4913.8190476190475</v>
      </c>
      <c r="EW151" s="3719">
        <f>828.32/1.06</f>
        <v>781.43396226415098</v>
      </c>
      <c r="FB151" s="3761">
        <v>1501</v>
      </c>
      <c r="FC151" s="3762" t="s">
        <v>4962</v>
      </c>
      <c r="FD151" s="3763">
        <f>-27375.93/1.05</f>
        <v>-26072.314285714285</v>
      </c>
      <c r="FE151" s="3763">
        <f>-4394.98/1.06</f>
        <v>-4146.2075471698108</v>
      </c>
      <c r="FF151" s="3762" t="s">
        <v>4966</v>
      </c>
      <c r="FJ151" s="3772"/>
      <c r="FN151" s="3511"/>
      <c r="FO151" s="3511"/>
      <c r="GP151" s="3770"/>
      <c r="GT151" s="3511"/>
      <c r="HO151" s="3509"/>
      <c r="HQ151" s="3510"/>
      <c r="HR151" s="3511"/>
      <c r="HS151" s="3509"/>
      <c r="HX151" s="3755"/>
      <c r="HY151" s="3742"/>
      <c r="IF151" s="3755"/>
      <c r="IG151" s="3742"/>
      <c r="IK151" s="3509"/>
      <c r="IP151" s="3510"/>
      <c r="IQ151" s="3510"/>
      <c r="IR151" s="3511"/>
      <c r="IS151" s="3509"/>
      <c r="IT151" s="3510"/>
      <c r="IU151" s="3510"/>
      <c r="IV151" s="3511"/>
      <c r="JE151" s="3517"/>
      <c r="KA151" s="3577"/>
      <c r="KB151" s="3577"/>
      <c r="KC151" s="3577"/>
      <c r="KD151" s="3577"/>
      <c r="KE151" s="3577"/>
      <c r="KF151" s="3577"/>
      <c r="KG151" s="3577"/>
      <c r="KH151" s="3577"/>
      <c r="KI151" s="3577"/>
      <c r="KJ151" s="3577"/>
      <c r="KK151" s="3577"/>
      <c r="KL151" s="3577"/>
      <c r="KM151" s="3577"/>
      <c r="KN151" s="3577"/>
      <c r="KO151" s="3577"/>
      <c r="KP151" s="3577"/>
      <c r="KQ151" s="3577"/>
      <c r="KR151" s="3577"/>
    </row>
    <row r="152" spans="32:304" ht="18" customHeight="1">
      <c r="AM152" s="3511"/>
      <c r="AN152" s="3511"/>
      <c r="AQ152" s="3511"/>
      <c r="AS152" s="3511"/>
      <c r="CA152" s="3509"/>
      <c r="CB152" s="3510"/>
      <c r="CC152" s="3508"/>
      <c r="DG152" s="3771"/>
      <c r="DO152" s="3771"/>
      <c r="FB152" s="3761">
        <v>1502</v>
      </c>
      <c r="FC152" s="3762" t="s">
        <v>4970</v>
      </c>
      <c r="FD152" s="3763">
        <f>-18770.67/1.05</f>
        <v>-17876.82857142857</v>
      </c>
      <c r="FE152" s="3763">
        <f>-3013.47/1.06</f>
        <v>-2842.8962264150941</v>
      </c>
      <c r="FF152" s="3762" t="s">
        <v>4966</v>
      </c>
      <c r="FN152" s="3511"/>
      <c r="FO152" s="3511"/>
      <c r="GP152" s="3770"/>
      <c r="GT152" s="3511"/>
      <c r="HO152" s="3509"/>
      <c r="HQ152" s="3510"/>
      <c r="HR152" s="3511"/>
      <c r="HS152" s="3509"/>
      <c r="IK152" s="3509"/>
      <c r="IP152" s="3510"/>
      <c r="IQ152" s="3510"/>
      <c r="IR152" s="3511"/>
      <c r="IS152" s="3509"/>
      <c r="IT152" s="3510"/>
      <c r="IU152" s="3510"/>
      <c r="IV152" s="3511"/>
      <c r="JE152" s="3517"/>
      <c r="KA152" s="3577"/>
      <c r="KB152" s="3577"/>
      <c r="KC152" s="3577"/>
      <c r="KD152" s="3577"/>
      <c r="KE152" s="3577"/>
      <c r="KF152" s="3577"/>
      <c r="KG152" s="3577"/>
      <c r="KH152" s="3577"/>
      <c r="KI152" s="3577"/>
      <c r="KJ152" s="3577"/>
      <c r="KK152" s="3577"/>
      <c r="KL152" s="3577"/>
      <c r="KM152" s="3577"/>
      <c r="KN152" s="3577"/>
      <c r="KO152" s="3577"/>
      <c r="KP152" s="3577"/>
      <c r="KQ152" s="3577"/>
      <c r="KR152" s="3577"/>
    </row>
    <row r="153" spans="32:304" ht="18" customHeight="1">
      <c r="AM153" s="3511"/>
      <c r="AN153" s="3511"/>
      <c r="AQ153" s="3511"/>
      <c r="AS153" s="3511"/>
      <c r="CA153" s="3509"/>
      <c r="CB153" s="3510"/>
      <c r="CC153" s="3508"/>
      <c r="DG153" s="3771"/>
      <c r="DO153" s="3771"/>
      <c r="ET153" s="3508" t="s">
        <v>4976</v>
      </c>
      <c r="EU153" s="3748" t="s">
        <v>4973</v>
      </c>
      <c r="EV153" s="3719">
        <f>15524.91/3/1.05-15524.91/3/1.05*12/365*10</f>
        <v>3308.2</v>
      </c>
      <c r="EW153" s="3719">
        <f>+(3090.09/3/1.06-3090.09/3/1.06*12/365*10)</f>
        <v>652.25471698113211</v>
      </c>
      <c r="FN153" s="3511"/>
      <c r="FO153" s="3511"/>
      <c r="GP153" s="3770"/>
      <c r="GS153" s="3510"/>
      <c r="GT153" s="3511"/>
      <c r="HO153" s="3509"/>
      <c r="HQ153" s="3510"/>
      <c r="HR153" s="3511"/>
      <c r="HS153" s="3509"/>
      <c r="HX153" s="3755"/>
      <c r="HY153" s="3742"/>
      <c r="IF153" s="3755"/>
      <c r="IG153" s="3742"/>
      <c r="IK153" s="3509"/>
      <c r="IP153" s="3510"/>
      <c r="IQ153" s="3510"/>
      <c r="IR153" s="3511"/>
      <c r="IS153" s="3509"/>
      <c r="IT153" s="3510"/>
      <c r="IU153" s="3510"/>
      <c r="IV153" s="3511"/>
      <c r="JE153" s="3517"/>
      <c r="JF153" s="3509"/>
      <c r="KA153" s="3577"/>
      <c r="KB153" s="3577"/>
      <c r="KC153" s="3577"/>
      <c r="KD153" s="3577"/>
      <c r="KE153" s="3577"/>
      <c r="KF153" s="3577"/>
      <c r="KG153" s="3577"/>
      <c r="KH153" s="3577"/>
      <c r="KI153" s="3577"/>
      <c r="KJ153" s="3577"/>
      <c r="KK153" s="3577"/>
      <c r="KL153" s="3577"/>
      <c r="KM153" s="3577"/>
      <c r="KN153" s="3577"/>
      <c r="KO153" s="3577"/>
      <c r="KP153" s="3577"/>
      <c r="KQ153" s="3577"/>
      <c r="KR153" s="3577"/>
    </row>
    <row r="154" spans="32:304" ht="18" customHeight="1">
      <c r="AM154" s="3511"/>
      <c r="AN154" s="3511"/>
      <c r="AQ154" s="3511"/>
      <c r="AS154" s="3511"/>
      <c r="CA154" s="3509"/>
      <c r="CB154" s="3510"/>
      <c r="CC154" s="3508"/>
      <c r="DG154" s="3771"/>
      <c r="DO154" s="3771"/>
      <c r="ET154" s="3508" t="s">
        <v>4976</v>
      </c>
      <c r="EU154" s="3748" t="s">
        <v>4974</v>
      </c>
      <c r="EV154" s="3719">
        <f>7036.47/1.05</f>
        <v>6701.4</v>
      </c>
      <c r="EW154" s="3719">
        <f>(1030.03/1.06)</f>
        <v>971.72641509433959</v>
      </c>
      <c r="GP154" s="3770"/>
      <c r="GS154" s="3510"/>
      <c r="GT154" s="3511"/>
      <c r="HO154" s="3509"/>
      <c r="HQ154" s="3510"/>
      <c r="HR154" s="3511"/>
      <c r="HS154" s="3509"/>
      <c r="HX154" s="3768"/>
      <c r="HY154" s="3769"/>
      <c r="IF154" s="3768"/>
      <c r="IG154" s="3769"/>
      <c r="IK154" s="3509"/>
      <c r="IP154" s="3510"/>
      <c r="IQ154" s="3510"/>
      <c r="IR154" s="3511"/>
      <c r="IS154" s="3509"/>
      <c r="IT154" s="3510"/>
      <c r="IU154" s="3510"/>
      <c r="IV154" s="3511"/>
      <c r="JE154" s="3517"/>
      <c r="KA154" s="3577"/>
      <c r="KC154" s="3577"/>
      <c r="KD154" s="3577"/>
      <c r="KE154" s="3577"/>
      <c r="KF154" s="3577"/>
      <c r="KG154" s="3577"/>
      <c r="KH154" s="3577"/>
      <c r="KI154" s="3577"/>
      <c r="KJ154" s="3577"/>
      <c r="KK154" s="3577"/>
      <c r="KL154" s="3577"/>
      <c r="KM154" s="3577"/>
      <c r="KN154" s="3577"/>
      <c r="KO154" s="3577"/>
      <c r="KP154" s="3577"/>
      <c r="KQ154" s="3577"/>
      <c r="KR154" s="3577"/>
    </row>
    <row r="155" spans="32:304" ht="18" customHeight="1">
      <c r="AM155" s="3511"/>
      <c r="AN155" s="3511"/>
      <c r="AQ155" s="3511"/>
      <c r="AS155" s="3511"/>
      <c r="CA155" s="3509"/>
      <c r="CB155" s="3510"/>
      <c r="CC155" s="3508"/>
      <c r="DG155" s="3771"/>
      <c r="DO155" s="3771"/>
      <c r="GP155" s="3770"/>
      <c r="GS155" s="3510"/>
      <c r="GT155" s="3511"/>
      <c r="HO155" s="3509"/>
      <c r="HQ155" s="3510"/>
      <c r="HR155" s="3511"/>
      <c r="HS155" s="3509"/>
      <c r="HX155" s="3768"/>
      <c r="HY155" s="3769"/>
      <c r="IF155" s="3768"/>
      <c r="IG155" s="3769"/>
      <c r="IK155" s="3509"/>
      <c r="IP155" s="3510"/>
      <c r="IQ155" s="3510"/>
      <c r="IR155" s="3511"/>
      <c r="IS155" s="3509"/>
      <c r="IT155" s="3510"/>
      <c r="IU155" s="3510"/>
      <c r="IV155" s="3511"/>
      <c r="JE155" s="3517"/>
      <c r="KA155" s="3577"/>
      <c r="KB155" s="3577"/>
      <c r="KC155" s="3577"/>
      <c r="KD155" s="3577"/>
      <c r="KE155" s="3577"/>
      <c r="KF155" s="3577"/>
      <c r="KG155" s="3577"/>
      <c r="KH155" s="3577"/>
      <c r="KI155" s="3577"/>
      <c r="KJ155" s="3577"/>
      <c r="KK155" s="3577"/>
      <c r="KL155" s="3577"/>
      <c r="KM155" s="3577"/>
      <c r="KN155" s="3577"/>
      <c r="KO155" s="3577"/>
      <c r="KP155" s="3577"/>
      <c r="KQ155" s="3577"/>
      <c r="KR155" s="3577"/>
    </row>
    <row r="156" spans="32:304" ht="18" customHeight="1">
      <c r="AM156" s="3511"/>
      <c r="AN156" s="3511"/>
      <c r="AQ156" s="3511"/>
      <c r="AS156" s="3511"/>
      <c r="GP156" s="3770"/>
      <c r="GS156" s="3510"/>
      <c r="GT156" s="3511"/>
      <c r="GZ156" s="3514"/>
      <c r="HA156" s="3514"/>
      <c r="HO156" s="3509"/>
      <c r="HQ156" s="3510"/>
      <c r="HR156" s="3511"/>
      <c r="HS156" s="3514"/>
      <c r="HT156" s="3514"/>
      <c r="HU156" s="3514"/>
      <c r="HV156" s="3514"/>
      <c r="HW156" s="3514"/>
      <c r="HX156" s="3514"/>
      <c r="HY156" s="3742"/>
      <c r="IF156" s="3755"/>
      <c r="IG156" s="3742"/>
      <c r="IK156" s="3509"/>
      <c r="IP156" s="3510"/>
      <c r="IQ156" s="3510"/>
      <c r="IR156" s="3511"/>
      <c r="IS156" s="3509"/>
      <c r="IT156" s="3510"/>
      <c r="IU156" s="3510"/>
      <c r="IV156" s="3511"/>
      <c r="JE156" s="3517"/>
      <c r="KA156" s="3577"/>
      <c r="KB156" s="3577"/>
      <c r="KC156" s="3577"/>
      <c r="KD156" s="3577"/>
      <c r="KE156" s="3577"/>
      <c r="KF156" s="3577"/>
      <c r="KG156" s="3577"/>
      <c r="KH156" s="3577"/>
      <c r="KI156" s="3577"/>
      <c r="KJ156" s="3577"/>
      <c r="KK156" s="3577"/>
      <c r="KL156" s="3577"/>
      <c r="KM156" s="3577"/>
      <c r="KN156" s="3577"/>
      <c r="KO156" s="3577"/>
      <c r="KP156" s="3577"/>
      <c r="KQ156" s="3577"/>
      <c r="KR156" s="3577"/>
    </row>
    <row r="157" spans="32:304" ht="18" customHeight="1">
      <c r="AM157" s="3511"/>
      <c r="AN157" s="3511"/>
      <c r="AQ157" s="3511"/>
      <c r="AS157" s="3511"/>
      <c r="GP157" s="3770"/>
      <c r="GZ157" s="3514"/>
      <c r="HA157" s="3514"/>
      <c r="HO157" s="3509"/>
      <c r="HQ157" s="3510"/>
      <c r="HR157" s="3511"/>
      <c r="HS157" s="3514"/>
      <c r="HT157" s="3514"/>
      <c r="HU157" s="3514"/>
      <c r="HV157" s="3514"/>
      <c r="HW157" s="3514"/>
      <c r="HX157" s="3514"/>
      <c r="HY157" s="3742"/>
      <c r="IF157" s="3755"/>
      <c r="IG157" s="3742"/>
      <c r="IK157" s="3509"/>
      <c r="IP157" s="3510"/>
      <c r="IQ157" s="3510"/>
      <c r="IR157" s="3511"/>
      <c r="IS157" s="3509"/>
      <c r="IT157" s="3510"/>
      <c r="IU157" s="3510"/>
      <c r="IV157" s="3511"/>
      <c r="JE157" s="3517"/>
      <c r="KA157" s="3577"/>
      <c r="KB157" s="3577"/>
      <c r="KC157" s="3577"/>
      <c r="KD157" s="3577"/>
      <c r="KE157" s="3577"/>
      <c r="KF157" s="3577"/>
      <c r="KG157" s="3577"/>
      <c r="KH157" s="3577"/>
      <c r="KI157" s="3577"/>
      <c r="KJ157" s="3577"/>
      <c r="KK157" s="3577"/>
      <c r="KL157" s="3577"/>
      <c r="KM157" s="3577"/>
      <c r="KN157" s="3577"/>
      <c r="KO157" s="3577"/>
      <c r="KP157" s="3577"/>
      <c r="KQ157" s="3577"/>
      <c r="KR157" s="3577"/>
    </row>
    <row r="158" spans="32:304" ht="18" customHeight="1">
      <c r="AM158" s="3511"/>
      <c r="AN158" s="3511"/>
      <c r="AQ158" s="3511"/>
      <c r="AS158" s="3511"/>
      <c r="GP158" s="3770"/>
      <c r="HI158" s="3510"/>
      <c r="HJ158" s="3510"/>
      <c r="HK158" s="3509"/>
      <c r="HM158" s="3510"/>
      <c r="HP158" s="3511"/>
      <c r="HR158" s="3511"/>
      <c r="HS158" s="3511"/>
      <c r="HT158" s="3511"/>
      <c r="HV158" s="3511"/>
      <c r="HW158" s="3511"/>
      <c r="HX158" s="3511"/>
      <c r="HY158" s="3769"/>
      <c r="IF158" s="3755"/>
      <c r="IG158" s="3769"/>
      <c r="IK158" s="3509"/>
      <c r="JE158" s="3517"/>
      <c r="KA158" s="3577"/>
      <c r="KB158" s="3577"/>
      <c r="KC158" s="3577"/>
      <c r="KD158" s="3577"/>
      <c r="KE158" s="3577"/>
      <c r="KF158" s="3577"/>
      <c r="KG158" s="3577"/>
      <c r="KH158" s="3577"/>
      <c r="KI158" s="3577"/>
      <c r="KJ158" s="3577"/>
      <c r="KK158" s="3577"/>
      <c r="KL158" s="3577"/>
      <c r="KM158" s="3577"/>
      <c r="KN158" s="3577"/>
      <c r="KO158" s="3577"/>
      <c r="KP158" s="3577"/>
      <c r="KQ158" s="3577"/>
      <c r="KR158" s="3577"/>
    </row>
    <row r="159" spans="32:304" ht="18" customHeight="1">
      <c r="AM159" s="3511"/>
      <c r="AN159" s="3511"/>
      <c r="AQ159" s="3511"/>
      <c r="AS159" s="3511"/>
      <c r="HI159" s="3510"/>
      <c r="HJ159" s="3510"/>
      <c r="HK159" s="3509"/>
      <c r="HM159" s="3510"/>
      <c r="HP159" s="3511"/>
      <c r="HR159" s="3511"/>
      <c r="HS159" s="3511"/>
      <c r="HT159" s="3511"/>
      <c r="HV159" s="3511"/>
      <c r="HW159" s="3511"/>
      <c r="HX159" s="3511"/>
      <c r="HY159" s="3769"/>
      <c r="IF159" s="3768"/>
      <c r="IG159" s="3769"/>
      <c r="IK159" s="3509"/>
      <c r="JE159" s="3517"/>
      <c r="KA159" s="3577"/>
      <c r="KB159" s="3577"/>
      <c r="KC159" s="3577"/>
      <c r="KD159" s="3577"/>
      <c r="KE159" s="3577"/>
      <c r="KF159" s="3577"/>
      <c r="KG159" s="3577"/>
      <c r="KH159" s="3577"/>
      <c r="KI159" s="3577"/>
      <c r="KJ159" s="3577"/>
      <c r="KK159" s="3577"/>
      <c r="KL159" s="3577"/>
      <c r="KM159" s="3577"/>
      <c r="KN159" s="3577"/>
      <c r="KO159" s="3577"/>
      <c r="KP159" s="3577"/>
      <c r="KQ159" s="3577"/>
      <c r="KR159" s="3577"/>
    </row>
    <row r="160" spans="32:304" ht="18" customHeight="1">
      <c r="HE160" s="3510"/>
      <c r="HF160" s="3514"/>
      <c r="HG160" s="3514"/>
      <c r="HH160" s="3514"/>
      <c r="HI160" s="3514"/>
      <c r="HJ160" s="3514"/>
      <c r="HP160" s="3511"/>
      <c r="HR160" s="3511"/>
      <c r="HS160" s="3511"/>
      <c r="HT160" s="3511"/>
      <c r="HV160" s="3511"/>
      <c r="HW160" s="3511"/>
      <c r="HX160" s="3511"/>
      <c r="HY160" s="3742"/>
      <c r="IF160" s="3755"/>
      <c r="IG160" s="3742"/>
      <c r="IK160" s="3509"/>
      <c r="JE160" s="3517"/>
      <c r="KA160" s="3577"/>
      <c r="KB160" s="3577"/>
      <c r="KC160" s="3577"/>
      <c r="KD160" s="3577"/>
      <c r="KE160" s="3577"/>
      <c r="KF160" s="3577"/>
      <c r="KG160" s="3577"/>
      <c r="KH160" s="3577"/>
      <c r="KI160" s="3577"/>
      <c r="KJ160" s="3577"/>
      <c r="KK160" s="3577"/>
      <c r="KL160" s="3577"/>
      <c r="KM160" s="3577"/>
      <c r="KN160" s="3577"/>
      <c r="KO160" s="3577"/>
      <c r="KP160" s="3577"/>
      <c r="KQ160" s="3577"/>
      <c r="KR160" s="3577"/>
    </row>
    <row r="161" spans="50:304" ht="18" customHeight="1">
      <c r="HE161" s="3510"/>
      <c r="HF161" s="3514"/>
      <c r="HG161" s="3514"/>
      <c r="HH161" s="3514"/>
      <c r="HI161" s="3514"/>
      <c r="HJ161" s="3514"/>
      <c r="HP161" s="3511"/>
      <c r="HR161" s="3511"/>
      <c r="HS161" s="3511"/>
      <c r="HT161" s="3511"/>
      <c r="HV161" s="3511"/>
      <c r="HW161" s="3511"/>
      <c r="HX161" s="3511"/>
      <c r="HY161" s="3742"/>
      <c r="IF161" s="3755"/>
      <c r="IG161" s="3742"/>
      <c r="IK161" s="3509"/>
      <c r="JE161" s="3517"/>
      <c r="KA161" s="3577"/>
      <c r="KB161" s="3577"/>
      <c r="KC161" s="3577"/>
      <c r="KD161" s="3577"/>
      <c r="KE161" s="3577"/>
      <c r="KF161" s="3577"/>
      <c r="KG161" s="3577"/>
      <c r="KH161" s="3577"/>
      <c r="KI161" s="3577"/>
      <c r="KJ161" s="3577"/>
      <c r="KK161" s="3577"/>
      <c r="KL161" s="3577"/>
      <c r="KM161" s="3577"/>
      <c r="KN161" s="3577"/>
      <c r="KO161" s="3577"/>
      <c r="KP161" s="3577"/>
      <c r="KQ161" s="3577"/>
      <c r="KR161" s="3577"/>
    </row>
    <row r="162" spans="50:304" ht="18" customHeight="1">
      <c r="GY162" s="3514"/>
      <c r="GZ162" s="3514"/>
      <c r="HA162" s="3514"/>
      <c r="HE162" s="3510"/>
      <c r="HF162" s="3514"/>
      <c r="HG162" s="3514"/>
      <c r="HH162" s="3514"/>
      <c r="HI162" s="3510"/>
      <c r="HJ162" s="3510"/>
      <c r="HP162" s="3511"/>
      <c r="HR162" s="3511"/>
      <c r="HS162" s="3511"/>
      <c r="HT162" s="3511"/>
      <c r="HV162" s="3511"/>
      <c r="HW162" s="3511"/>
      <c r="HX162" s="3511"/>
      <c r="IG162" s="3509"/>
      <c r="IH162" s="3510"/>
      <c r="IK162" s="3509"/>
      <c r="JE162" s="3517"/>
      <c r="KA162" s="3577"/>
      <c r="KB162" s="3577"/>
      <c r="KC162" s="3577"/>
      <c r="KD162" s="3577"/>
      <c r="KE162" s="3577"/>
      <c r="KF162" s="3577"/>
      <c r="KG162" s="3577"/>
      <c r="KH162" s="3577"/>
      <c r="KI162" s="3577"/>
      <c r="KJ162" s="3577"/>
      <c r="KK162" s="3577"/>
      <c r="KL162" s="3577"/>
      <c r="KM162" s="3577"/>
      <c r="KN162" s="3577"/>
      <c r="KO162" s="3577"/>
      <c r="KP162" s="3577"/>
      <c r="KQ162" s="3577"/>
      <c r="KR162" s="3577"/>
    </row>
    <row r="163" spans="50:304" ht="18" customHeight="1">
      <c r="GY163" s="3514"/>
      <c r="GZ163" s="3514"/>
      <c r="HA163" s="3514"/>
      <c r="HE163" s="3510"/>
      <c r="HF163" s="3514"/>
      <c r="HG163" s="3514"/>
      <c r="HH163" s="3514"/>
      <c r="HI163" s="3510"/>
      <c r="HJ163" s="3510"/>
      <c r="HP163" s="3511"/>
      <c r="HR163" s="3511"/>
      <c r="HS163" s="3511"/>
      <c r="HT163" s="3511"/>
      <c r="HV163" s="3511"/>
      <c r="HW163" s="3511"/>
      <c r="HX163" s="3511"/>
      <c r="IF163" s="3755"/>
      <c r="IG163" s="3742"/>
      <c r="IK163" s="3509"/>
      <c r="JE163" s="3517"/>
      <c r="KA163" s="3577"/>
      <c r="KB163" s="3577"/>
      <c r="KC163" s="3577"/>
      <c r="KD163" s="3577"/>
      <c r="KE163" s="3577"/>
      <c r="KF163" s="3577"/>
      <c r="KG163" s="3577"/>
      <c r="KH163" s="3577"/>
      <c r="KI163" s="3577"/>
      <c r="KJ163" s="3577"/>
      <c r="KK163" s="3577"/>
      <c r="KL163" s="3577"/>
      <c r="KM163" s="3577"/>
      <c r="KN163" s="3577"/>
      <c r="KO163" s="3577"/>
      <c r="KP163" s="3577"/>
      <c r="KQ163" s="3577"/>
      <c r="KR163" s="3577"/>
    </row>
    <row r="164" spans="50:304" ht="18" customHeight="1">
      <c r="GY164" s="3514"/>
      <c r="GZ164" s="3514"/>
      <c r="HA164" s="3514"/>
      <c r="HE164" s="3510"/>
      <c r="HF164" s="3514"/>
      <c r="HG164" s="3514"/>
      <c r="HH164" s="3514"/>
      <c r="HI164" s="3510"/>
      <c r="HJ164" s="3510"/>
      <c r="HP164" s="3511"/>
      <c r="HR164" s="3511"/>
      <c r="HS164" s="3511"/>
      <c r="HT164" s="3511"/>
      <c r="HV164" s="3511"/>
      <c r="HW164" s="3511"/>
      <c r="HX164" s="3511"/>
      <c r="IF164" s="3768"/>
      <c r="IG164" s="3769"/>
      <c r="IK164" s="3509"/>
      <c r="JE164" s="3517"/>
      <c r="KA164" s="3577"/>
      <c r="KB164" s="3577"/>
      <c r="KC164" s="3577"/>
      <c r="KD164" s="3577"/>
      <c r="KE164" s="3577"/>
      <c r="KF164" s="3577"/>
      <c r="KG164" s="3577"/>
      <c r="KH164" s="3577"/>
      <c r="KI164" s="3577"/>
      <c r="KJ164" s="3577"/>
      <c r="KK164" s="3577"/>
      <c r="KL164" s="3577"/>
      <c r="KM164" s="3577"/>
      <c r="KN164" s="3577"/>
      <c r="KO164" s="3577"/>
      <c r="KP164" s="3577"/>
      <c r="KQ164" s="3577"/>
      <c r="KR164" s="3577"/>
    </row>
    <row r="165" spans="50:304" ht="18" customHeight="1">
      <c r="FU165" s="3514"/>
      <c r="FV165" s="3514"/>
      <c r="FW165" s="3514"/>
      <c r="FX165" s="3514"/>
      <c r="FY165" s="3514"/>
      <c r="HE165" s="3510"/>
      <c r="HF165" s="3514"/>
      <c r="HG165" s="3514"/>
      <c r="HH165" s="3514"/>
      <c r="HI165" s="3510"/>
      <c r="HJ165" s="3510"/>
      <c r="HP165" s="3511"/>
      <c r="HR165" s="3511"/>
      <c r="HS165" s="3511"/>
      <c r="HT165" s="3511"/>
      <c r="HV165" s="3511"/>
      <c r="HW165" s="3511"/>
      <c r="HX165" s="3511"/>
      <c r="IF165" s="3768"/>
      <c r="IG165" s="3769"/>
      <c r="IK165" s="3509"/>
      <c r="IQ165" s="3711"/>
      <c r="IR165" s="3711"/>
      <c r="IS165" s="3711"/>
      <c r="IT165" s="3711"/>
      <c r="IU165" s="3711"/>
      <c r="JE165" s="3517"/>
      <c r="KA165" s="3577"/>
      <c r="KB165" s="3577"/>
      <c r="KC165" s="3577"/>
      <c r="KD165" s="3577"/>
      <c r="KE165" s="3577"/>
      <c r="KF165" s="3577"/>
      <c r="KG165" s="3577"/>
      <c r="KH165" s="3577"/>
      <c r="KI165" s="3577"/>
      <c r="KJ165" s="3577"/>
      <c r="KK165" s="3577"/>
      <c r="KL165" s="3577"/>
      <c r="KM165" s="3577"/>
      <c r="KN165" s="3577"/>
      <c r="KO165" s="3577"/>
      <c r="KP165" s="3577"/>
      <c r="KQ165" s="3577"/>
      <c r="KR165" s="3577"/>
    </row>
    <row r="166" spans="50:304" ht="18" customHeight="1">
      <c r="FU166" s="3514"/>
      <c r="FV166" s="3514"/>
      <c r="FW166" s="3514"/>
      <c r="FX166" s="3514"/>
      <c r="FY166" s="3514"/>
      <c r="GI166" s="3511"/>
      <c r="GM166" s="3514"/>
      <c r="GN166" s="3514"/>
      <c r="GO166" s="3514"/>
      <c r="GP166" s="3514"/>
      <c r="HE166" s="3510"/>
      <c r="HF166" s="3514"/>
      <c r="HG166" s="3514"/>
      <c r="HH166" s="3514"/>
      <c r="HI166" s="3510"/>
      <c r="HJ166" s="3510"/>
      <c r="HP166" s="3511"/>
      <c r="HR166" s="3511"/>
      <c r="HS166" s="3511"/>
      <c r="HT166" s="3511"/>
      <c r="HV166" s="3511"/>
      <c r="HW166" s="3511"/>
      <c r="HX166" s="3511"/>
      <c r="IF166" s="3755"/>
      <c r="IG166" s="3742"/>
      <c r="IK166" s="3509"/>
      <c r="IQ166" s="3711"/>
      <c r="IR166" s="3711"/>
      <c r="IS166" s="3711"/>
      <c r="IT166" s="3711"/>
      <c r="IU166" s="3711"/>
      <c r="KA166" s="3577"/>
      <c r="KB166" s="3577"/>
      <c r="KC166" s="3577"/>
      <c r="KD166" s="3577"/>
      <c r="KE166" s="3577"/>
      <c r="KF166" s="3577"/>
      <c r="KG166" s="3577"/>
      <c r="KH166" s="3577"/>
      <c r="KI166" s="3577"/>
      <c r="KJ166" s="3577"/>
      <c r="KK166" s="3577"/>
      <c r="KL166" s="3577"/>
      <c r="KM166" s="3577"/>
      <c r="KN166" s="3577"/>
      <c r="KO166" s="3577"/>
      <c r="KP166" s="3577"/>
      <c r="KQ166" s="3577"/>
      <c r="KR166" s="3577"/>
    </row>
    <row r="167" spans="50:304" ht="18" customHeight="1">
      <c r="EW167" s="3514"/>
      <c r="EX167" s="3514"/>
      <c r="EY167" s="3514"/>
      <c r="EZ167" s="3514"/>
      <c r="FA167" s="3514"/>
      <c r="FB167" s="3514"/>
      <c r="FC167" s="3514"/>
      <c r="FD167" s="3514"/>
      <c r="FE167" s="3514"/>
      <c r="FF167" s="3514"/>
      <c r="FG167" s="3514"/>
      <c r="FH167" s="3514"/>
      <c r="FI167" s="3514"/>
      <c r="FJ167" s="3514"/>
      <c r="FR167" s="3510"/>
      <c r="FU167" s="3514"/>
      <c r="FV167" s="3514"/>
      <c r="FW167" s="3514"/>
      <c r="FX167" s="3514"/>
      <c r="FY167" s="3514"/>
      <c r="GI167" s="3511"/>
      <c r="GM167" s="3514"/>
      <c r="GN167" s="3514"/>
      <c r="GO167" s="3514"/>
      <c r="GS167" s="3510"/>
      <c r="GT167" s="3510"/>
      <c r="HE167" s="3510"/>
      <c r="HF167" s="3514"/>
      <c r="HG167" s="3514"/>
      <c r="HH167" s="3514"/>
      <c r="HI167" s="3510"/>
      <c r="HJ167" s="3510"/>
      <c r="HP167" s="3511"/>
      <c r="HR167" s="3511"/>
      <c r="HS167" s="3511"/>
      <c r="HT167" s="3511"/>
      <c r="HV167" s="3511"/>
      <c r="HW167" s="3511"/>
      <c r="HX167" s="3511"/>
      <c r="IF167" s="3717"/>
      <c r="IG167" s="3507"/>
      <c r="IH167" s="3507"/>
      <c r="II167" s="3507"/>
      <c r="IJ167" s="3717"/>
      <c r="IK167" s="3507"/>
      <c r="IQ167" s="3711"/>
      <c r="IR167" s="3711"/>
      <c r="IS167" s="3711"/>
      <c r="IT167" s="3711"/>
      <c r="IU167" s="3711"/>
      <c r="KA167" s="3577"/>
      <c r="KB167" s="3577"/>
      <c r="KC167" s="3577"/>
      <c r="KD167" s="3577"/>
      <c r="KE167" s="3577"/>
      <c r="KF167" s="3577"/>
      <c r="KG167" s="3577"/>
      <c r="KH167" s="3577"/>
      <c r="KI167" s="3577"/>
      <c r="KJ167" s="3577"/>
      <c r="KK167" s="3577"/>
      <c r="KL167" s="3577"/>
      <c r="KM167" s="3577"/>
      <c r="KN167" s="3577"/>
      <c r="KO167" s="3577"/>
      <c r="KP167" s="3577"/>
      <c r="KQ167" s="3577"/>
      <c r="KR167" s="3577"/>
    </row>
    <row r="168" spans="50:304" ht="18" customHeight="1">
      <c r="AX168" s="3510"/>
      <c r="CU168" s="3720"/>
      <c r="EW168" s="3514"/>
      <c r="EX168" s="3514"/>
      <c r="EY168" s="3514"/>
      <c r="EZ168" s="3514"/>
      <c r="FA168" s="3514"/>
      <c r="FG168" s="3514"/>
      <c r="FH168" s="3514"/>
      <c r="FI168" s="3514"/>
      <c r="FJ168" s="3514"/>
      <c r="FM168" s="3510"/>
      <c r="FN168" s="3510"/>
      <c r="FR168" s="3510"/>
      <c r="FU168" s="3514"/>
      <c r="FV168" s="3514"/>
      <c r="FW168" s="3514"/>
      <c r="FX168" s="3514"/>
      <c r="FY168" s="3514"/>
      <c r="GI168" s="3511"/>
      <c r="GM168" s="3514"/>
      <c r="GN168" s="3514"/>
      <c r="GO168" s="3514"/>
      <c r="GP168" s="3514"/>
      <c r="GS168" s="3510"/>
      <c r="GT168" s="3510"/>
      <c r="HE168" s="3510"/>
      <c r="HI168" s="3510"/>
      <c r="HJ168" s="3510"/>
      <c r="HP168" s="3511"/>
      <c r="HR168" s="3511"/>
      <c r="HS168" s="3511"/>
      <c r="HT168" s="3511"/>
      <c r="HV168" s="3511"/>
      <c r="HW168" s="3511"/>
      <c r="HX168" s="3511"/>
      <c r="IF168" s="3717"/>
      <c r="IG168" s="3507"/>
      <c r="IH168" s="3507"/>
      <c r="II168" s="3507"/>
      <c r="IJ168" s="3717"/>
      <c r="IK168" s="3507"/>
      <c r="IL168" s="3507"/>
      <c r="IQ168" s="3711"/>
      <c r="IR168" s="3711"/>
      <c r="IS168" s="3711"/>
      <c r="IT168" s="3711"/>
      <c r="IU168" s="3711"/>
      <c r="KA168" s="3577"/>
      <c r="KB168" s="3577"/>
      <c r="KC168" s="3577"/>
      <c r="KD168" s="3577"/>
      <c r="KE168" s="3577"/>
      <c r="KF168" s="3577"/>
      <c r="KG168" s="3577"/>
      <c r="KH168" s="3577"/>
      <c r="KI168" s="3577"/>
      <c r="KJ168" s="3577"/>
      <c r="KK168" s="3577"/>
      <c r="KL168" s="3577"/>
      <c r="KM168" s="3577"/>
      <c r="KN168" s="3577"/>
      <c r="KO168" s="3577"/>
      <c r="KP168" s="3577"/>
      <c r="KQ168" s="3577"/>
      <c r="KR168" s="3577"/>
    </row>
    <row r="169" spans="50:304" ht="18" customHeight="1">
      <c r="AX169" s="3510"/>
      <c r="BA169" s="3510"/>
      <c r="CU169" s="3720"/>
      <c r="EX169" s="3514"/>
      <c r="EY169" s="3514"/>
      <c r="EZ169" s="3514"/>
      <c r="FA169" s="3514"/>
      <c r="FG169" s="3514"/>
      <c r="FH169" s="3514"/>
      <c r="FI169" s="3514"/>
      <c r="FJ169" s="3514"/>
      <c r="FM169" s="3510"/>
      <c r="FN169" s="3510"/>
      <c r="FR169" s="3510"/>
      <c r="FU169" s="3514"/>
      <c r="FV169" s="3514"/>
      <c r="FW169" s="3514"/>
      <c r="FX169" s="3514"/>
      <c r="FY169" s="3514"/>
      <c r="GI169" s="3511"/>
      <c r="GM169" s="3514"/>
      <c r="GN169" s="3514"/>
      <c r="GO169" s="3514"/>
      <c r="GP169" s="3514"/>
      <c r="GS169" s="3510"/>
      <c r="GT169" s="3510"/>
      <c r="HI169" s="3510"/>
      <c r="HJ169" s="3510"/>
      <c r="HP169" s="3511"/>
      <c r="HR169" s="3511"/>
      <c r="HS169" s="3511"/>
      <c r="HT169" s="3511"/>
      <c r="HV169" s="3511"/>
      <c r="HW169" s="3511"/>
      <c r="HX169" s="3511"/>
      <c r="IF169" s="3717"/>
      <c r="IG169" s="3507"/>
      <c r="IH169" s="3507"/>
      <c r="II169" s="3507"/>
      <c r="IJ169" s="3717"/>
      <c r="IK169" s="3507"/>
      <c r="IL169" s="3507"/>
      <c r="IQ169" s="3711"/>
      <c r="IR169" s="3711"/>
      <c r="IS169" s="3711"/>
      <c r="IT169" s="3711"/>
      <c r="IU169" s="3711"/>
      <c r="KA169" s="3577"/>
      <c r="KB169" s="3577"/>
      <c r="KC169" s="3577"/>
      <c r="KD169" s="3577"/>
      <c r="KE169" s="3577"/>
      <c r="KF169" s="3577"/>
      <c r="KG169" s="3577"/>
      <c r="KH169" s="3577"/>
      <c r="KI169" s="3577"/>
      <c r="KJ169" s="3577"/>
      <c r="KK169" s="3577"/>
      <c r="KL169" s="3577"/>
      <c r="KM169" s="3577"/>
      <c r="KN169" s="3577"/>
      <c r="KO169" s="3577"/>
      <c r="KP169" s="3577"/>
      <c r="KQ169" s="3577"/>
      <c r="KR169" s="3577"/>
    </row>
    <row r="170" spans="50:304" ht="18" customHeight="1">
      <c r="AX170" s="3510"/>
      <c r="BA170" s="3510"/>
      <c r="CU170" s="3720"/>
      <c r="DC170" s="3773"/>
      <c r="EX170" s="3514"/>
      <c r="EY170" s="3514"/>
      <c r="EZ170" s="3514"/>
      <c r="FA170" s="3514"/>
      <c r="FG170" s="3514"/>
      <c r="FH170" s="3514"/>
      <c r="FI170" s="3514"/>
      <c r="FJ170" s="3514"/>
      <c r="FR170" s="3510"/>
      <c r="FU170" s="3514"/>
      <c r="FV170" s="3514"/>
      <c r="FW170" s="3514"/>
      <c r="FX170" s="3514"/>
      <c r="FY170" s="3514"/>
      <c r="GI170" s="3511"/>
      <c r="GM170" s="3514"/>
      <c r="GN170" s="3514"/>
      <c r="GO170" s="3514"/>
      <c r="GP170" s="3514"/>
      <c r="GS170" s="3510"/>
      <c r="GT170" s="3510"/>
      <c r="HI170" s="3510"/>
      <c r="HJ170" s="3510"/>
      <c r="HR170" s="3511"/>
      <c r="HS170" s="3514"/>
      <c r="HT170" s="3514"/>
      <c r="HU170" s="3514"/>
      <c r="HV170" s="3514"/>
      <c r="HW170" s="3514"/>
      <c r="HX170" s="3514"/>
      <c r="IF170" s="3717"/>
      <c r="IG170" s="3507"/>
      <c r="IH170" s="3507"/>
      <c r="II170" s="3507"/>
      <c r="IJ170" s="3717"/>
      <c r="IK170" s="3507"/>
      <c r="KA170" s="3577"/>
      <c r="KB170" s="3577"/>
      <c r="KC170" s="3577"/>
      <c r="KD170" s="3577"/>
      <c r="KE170" s="3577"/>
      <c r="KF170" s="3577"/>
      <c r="KG170" s="3577"/>
      <c r="KH170" s="3577"/>
      <c r="KI170" s="3577"/>
      <c r="KJ170" s="3577"/>
      <c r="KK170" s="3577"/>
      <c r="KL170" s="3577"/>
      <c r="KM170" s="3577"/>
      <c r="KN170" s="3577"/>
      <c r="KO170" s="3577"/>
      <c r="KP170" s="3577"/>
      <c r="KQ170" s="3577"/>
      <c r="KR170" s="3577"/>
    </row>
    <row r="171" spans="50:304" ht="18" customHeight="1">
      <c r="AX171" s="3510"/>
      <c r="BA171" s="3510"/>
      <c r="CU171" s="3720"/>
      <c r="DK171" s="3508"/>
      <c r="DL171" s="3508"/>
      <c r="EX171" s="3514"/>
      <c r="EY171" s="3514"/>
      <c r="EZ171" s="3514"/>
      <c r="FA171" s="3514"/>
      <c r="FG171" s="3514"/>
      <c r="FH171" s="3514"/>
      <c r="FI171" s="3514"/>
      <c r="FJ171" s="3514"/>
      <c r="FU171" s="3514"/>
      <c r="FV171" s="3514"/>
      <c r="FW171" s="3511"/>
      <c r="FY171" s="3514"/>
      <c r="GM171" s="3514"/>
      <c r="GN171" s="3514"/>
      <c r="GO171" s="3514"/>
      <c r="GP171" s="3514"/>
      <c r="GS171" s="3510"/>
      <c r="GT171" s="3510"/>
      <c r="HI171" s="3510"/>
      <c r="HJ171" s="3510"/>
      <c r="HK171" s="3509"/>
      <c r="HM171" s="3510"/>
      <c r="HR171" s="3511"/>
      <c r="HS171" s="3514"/>
      <c r="HT171" s="3514"/>
      <c r="HU171" s="3514"/>
      <c r="HV171" s="3514"/>
      <c r="HW171" s="3514"/>
      <c r="HX171" s="3514"/>
      <c r="IF171" s="3717"/>
      <c r="IG171" s="3507"/>
      <c r="II171" s="3507"/>
      <c r="IJ171" s="3717"/>
      <c r="IK171" s="3507"/>
      <c r="KA171" s="3577"/>
      <c r="KB171" s="3577"/>
      <c r="KC171" s="3577"/>
      <c r="KD171" s="3577"/>
      <c r="KE171" s="3577"/>
      <c r="KF171" s="3577"/>
      <c r="KG171" s="3577"/>
      <c r="KH171" s="3577"/>
      <c r="KI171" s="3577"/>
      <c r="KJ171" s="3577"/>
      <c r="KK171" s="3577"/>
      <c r="KL171" s="3577"/>
      <c r="KM171" s="3577"/>
      <c r="KN171" s="3577"/>
      <c r="KO171" s="3577"/>
      <c r="KP171" s="3577"/>
      <c r="KQ171" s="3577"/>
      <c r="KR171" s="3577"/>
    </row>
    <row r="172" spans="50:304" ht="18" customHeight="1">
      <c r="AX172" s="3510"/>
      <c r="BA172" s="3510"/>
      <c r="CU172" s="3720"/>
      <c r="DK172" s="3508"/>
      <c r="DL172" s="3508"/>
      <c r="EX172" s="3514"/>
      <c r="EY172" s="3514"/>
      <c r="EZ172" s="3514"/>
      <c r="FA172" s="3514"/>
      <c r="FG172" s="3514"/>
      <c r="FH172" s="3514"/>
      <c r="FI172" s="3514"/>
      <c r="FJ172" s="3514"/>
      <c r="FU172" s="3514"/>
      <c r="FV172" s="3514"/>
      <c r="GK172" s="3514"/>
      <c r="GM172" s="3514"/>
      <c r="GN172" s="3514"/>
      <c r="GO172" s="3514"/>
      <c r="GP172" s="3514"/>
      <c r="GS172" s="3510"/>
      <c r="GT172" s="3510"/>
      <c r="HR172" s="3511"/>
      <c r="HS172" s="3514"/>
      <c r="HT172" s="3514"/>
      <c r="HU172" s="3514"/>
      <c r="HV172" s="3514"/>
      <c r="HW172" s="3514"/>
      <c r="HX172" s="3514"/>
      <c r="IF172" s="3717"/>
      <c r="IG172" s="3507"/>
      <c r="IH172" s="3507"/>
      <c r="II172" s="3507"/>
      <c r="IJ172" s="3717"/>
      <c r="IK172" s="3507"/>
      <c r="KA172" s="3577"/>
      <c r="KB172" s="3577"/>
      <c r="KC172" s="3577"/>
      <c r="KD172" s="3577"/>
      <c r="KE172" s="3577"/>
      <c r="KF172" s="3577"/>
      <c r="KG172" s="3577"/>
      <c r="KH172" s="3577"/>
      <c r="KI172" s="3577"/>
      <c r="KJ172" s="3577"/>
      <c r="KK172" s="3577"/>
      <c r="KL172" s="3577"/>
      <c r="KM172" s="3577"/>
      <c r="KN172" s="3577"/>
      <c r="KO172" s="3577"/>
      <c r="KP172" s="3577"/>
      <c r="KQ172" s="3577"/>
      <c r="KR172" s="3577"/>
    </row>
    <row r="173" spans="50:304" ht="18" customHeight="1">
      <c r="AX173" s="3510"/>
      <c r="BA173" s="3510"/>
      <c r="CU173" s="3720"/>
      <c r="DK173" s="3508"/>
      <c r="DL173" s="3508"/>
      <c r="EX173" s="3514"/>
      <c r="EY173" s="3514"/>
      <c r="EZ173" s="3514"/>
      <c r="FA173" s="3514"/>
      <c r="FG173" s="3514"/>
      <c r="FH173" s="3514"/>
      <c r="FI173" s="3514"/>
      <c r="FJ173" s="3514"/>
      <c r="FU173" s="3514"/>
      <c r="FV173" s="3514"/>
      <c r="GK173" s="3514"/>
      <c r="GM173" s="3514"/>
      <c r="GN173" s="3514"/>
      <c r="GO173" s="3514"/>
      <c r="GS173" s="3510"/>
      <c r="GT173" s="3510"/>
      <c r="IF173" s="3717"/>
      <c r="IG173" s="3516"/>
      <c r="IH173" s="3507"/>
      <c r="II173" s="3507"/>
      <c r="IJ173" s="3515"/>
      <c r="IK173" s="3711"/>
      <c r="IL173" s="3711"/>
      <c r="IM173" s="3711"/>
      <c r="IN173" s="3711"/>
      <c r="KA173" s="3577"/>
      <c r="KB173" s="3577"/>
      <c r="KC173" s="3577"/>
      <c r="KD173" s="3577"/>
      <c r="KE173" s="3577"/>
      <c r="KF173" s="3577"/>
      <c r="KG173" s="3577"/>
      <c r="KH173" s="3577"/>
      <c r="KI173" s="3577"/>
      <c r="KJ173" s="3577"/>
      <c r="KK173" s="3577"/>
      <c r="KL173" s="3577"/>
      <c r="KM173" s="3577"/>
      <c r="KN173" s="3577"/>
      <c r="KO173" s="3577"/>
      <c r="KP173" s="3577"/>
      <c r="KQ173" s="3577"/>
      <c r="KR173" s="3577"/>
    </row>
    <row r="174" spans="50:304" ht="18" customHeight="1">
      <c r="AX174" s="3510"/>
      <c r="BA174" s="3510"/>
      <c r="CU174" s="3720"/>
      <c r="DK174" s="3508"/>
      <c r="DL174" s="3508"/>
      <c r="EX174" s="3514"/>
      <c r="EY174" s="3514"/>
      <c r="EZ174" s="3514"/>
      <c r="FA174" s="3514"/>
      <c r="FG174" s="3514"/>
      <c r="FH174" s="3514"/>
      <c r="FI174" s="3514"/>
      <c r="FJ174" s="3514"/>
      <c r="FU174" s="3514"/>
      <c r="FV174" s="3514"/>
      <c r="GK174" s="3514"/>
      <c r="GM174" s="3514"/>
      <c r="GN174" s="3514"/>
      <c r="GO174" s="3514"/>
      <c r="GS174" s="3510"/>
      <c r="GT174" s="3510"/>
      <c r="IF174" s="3717"/>
      <c r="IG174" s="3516"/>
      <c r="IH174" s="3516"/>
      <c r="II174" s="3507"/>
      <c r="IJ174" s="3515"/>
      <c r="IK174" s="3711"/>
      <c r="IL174" s="3711"/>
      <c r="IM174" s="3711"/>
      <c r="IN174" s="3711"/>
      <c r="IQ174" s="3711"/>
      <c r="IR174" s="3711"/>
      <c r="IS174" s="3711"/>
      <c r="IT174" s="3711"/>
      <c r="IU174" s="3711"/>
      <c r="KA174" s="3577"/>
      <c r="KB174" s="3577"/>
      <c r="KC174" s="3577"/>
      <c r="KD174" s="3577"/>
      <c r="KE174" s="3577"/>
      <c r="KF174" s="3577"/>
      <c r="KG174" s="3577"/>
      <c r="KH174" s="3577"/>
      <c r="KI174" s="3577"/>
      <c r="KJ174" s="3577"/>
      <c r="KK174" s="3577"/>
      <c r="KL174" s="3577"/>
      <c r="KM174" s="3577"/>
      <c r="KN174" s="3577"/>
      <c r="KO174" s="3577"/>
      <c r="KP174" s="3577"/>
      <c r="KQ174" s="3577"/>
      <c r="KR174" s="3577"/>
    </row>
    <row r="175" spans="50:304" ht="18" customHeight="1">
      <c r="AX175" s="3510"/>
      <c r="BA175" s="3510"/>
      <c r="CU175" s="3720"/>
      <c r="DK175" s="3508"/>
      <c r="DL175" s="3508"/>
      <c r="EX175" s="3514"/>
      <c r="EY175" s="3514"/>
      <c r="EZ175" s="3514"/>
      <c r="FA175" s="3514"/>
      <c r="FB175" s="3514"/>
      <c r="FC175" s="3514"/>
      <c r="FD175" s="3514"/>
      <c r="FE175" s="3514"/>
      <c r="FF175" s="3514"/>
      <c r="FG175" s="3514"/>
      <c r="FH175" s="3514"/>
      <c r="FI175" s="3514"/>
      <c r="FJ175" s="3514"/>
      <c r="FR175" s="3510"/>
      <c r="FU175" s="3514"/>
      <c r="FV175" s="3514"/>
      <c r="GM175" s="3514"/>
      <c r="GN175" s="3514"/>
      <c r="GO175" s="3514"/>
      <c r="GS175" s="3510"/>
      <c r="GT175" s="3510"/>
      <c r="IF175" s="3717"/>
      <c r="IG175" s="3516"/>
      <c r="IH175" s="3516"/>
      <c r="II175" s="3507"/>
      <c r="IJ175" s="3515"/>
      <c r="IK175" s="3711"/>
      <c r="IL175" s="3711"/>
      <c r="IM175" s="3711"/>
      <c r="IN175" s="3711"/>
      <c r="IQ175" s="3711"/>
      <c r="IR175" s="3711"/>
      <c r="IS175" s="3711"/>
      <c r="IT175" s="3711"/>
      <c r="IU175" s="3711"/>
      <c r="KA175" s="3577"/>
      <c r="KB175" s="3577"/>
      <c r="KC175" s="3577"/>
      <c r="KD175" s="3577"/>
      <c r="KE175" s="3577"/>
      <c r="KF175" s="3577"/>
      <c r="KG175" s="3577"/>
      <c r="KH175" s="3577"/>
      <c r="KI175" s="3577"/>
      <c r="KJ175" s="3577"/>
      <c r="KK175" s="3577"/>
      <c r="KL175" s="3577"/>
      <c r="KM175" s="3577"/>
      <c r="KN175" s="3577"/>
      <c r="KO175" s="3577"/>
      <c r="KP175" s="3577"/>
      <c r="KQ175" s="3577"/>
      <c r="KR175" s="3577"/>
    </row>
    <row r="176" spans="50:304" ht="18" customHeight="1">
      <c r="AX176" s="3510"/>
      <c r="BA176" s="3510"/>
      <c r="DK176" s="3508"/>
      <c r="DL176" s="3508"/>
      <c r="EX176" s="3514"/>
      <c r="EY176" s="3514"/>
      <c r="EZ176" s="3514"/>
      <c r="FA176" s="3514"/>
      <c r="FB176" s="3514"/>
      <c r="FC176" s="3514"/>
      <c r="FD176" s="3514"/>
      <c r="FE176" s="3514"/>
      <c r="FF176" s="3514"/>
      <c r="FG176" s="3514"/>
      <c r="FH176" s="3514"/>
      <c r="FI176" s="3514"/>
      <c r="FJ176" s="3514"/>
      <c r="FR176" s="3510"/>
      <c r="FU176" s="3514"/>
      <c r="FV176" s="3514"/>
      <c r="GM176" s="3514"/>
      <c r="GN176" s="3514"/>
      <c r="GO176" s="3514"/>
      <c r="GS176" s="3510"/>
      <c r="GT176" s="3510"/>
      <c r="IF176" s="3717"/>
      <c r="IG176" s="3516"/>
      <c r="IH176" s="3516"/>
      <c r="II176" s="3507"/>
      <c r="IJ176" s="3515"/>
      <c r="IK176" s="3711"/>
      <c r="IL176" s="3711"/>
      <c r="IM176" s="3711"/>
      <c r="IN176" s="3711"/>
      <c r="IQ176" s="3711"/>
      <c r="IR176" s="3711"/>
      <c r="IS176" s="3711"/>
      <c r="IT176" s="3711"/>
      <c r="IU176" s="3711"/>
      <c r="KA176" s="3577"/>
      <c r="KB176" s="3577"/>
      <c r="KC176" s="3577"/>
      <c r="KD176" s="3577"/>
      <c r="KE176" s="3577"/>
      <c r="KF176" s="3577"/>
      <c r="KG176" s="3577"/>
      <c r="KH176" s="3577"/>
      <c r="KI176" s="3577"/>
      <c r="KJ176" s="3577"/>
      <c r="KK176" s="3577"/>
      <c r="KL176" s="3577"/>
      <c r="KM176" s="3577"/>
      <c r="KN176" s="3577"/>
      <c r="KO176" s="3577"/>
      <c r="KP176" s="3577"/>
      <c r="KQ176" s="3577"/>
      <c r="KR176" s="3577"/>
    </row>
    <row r="177" spans="50:304" ht="18" customHeight="1">
      <c r="AX177" s="3510"/>
      <c r="BA177" s="3510"/>
      <c r="DK177" s="3508"/>
      <c r="DL177" s="3508"/>
      <c r="EX177" s="3514"/>
      <c r="EY177" s="3514"/>
      <c r="EZ177" s="3514"/>
      <c r="FA177" s="3514"/>
      <c r="FB177" s="3514"/>
      <c r="FC177" s="3514"/>
      <c r="FD177" s="3514"/>
      <c r="FE177" s="3514"/>
      <c r="FF177" s="3514"/>
      <c r="FG177" s="3514"/>
      <c r="FH177" s="3514"/>
      <c r="FI177" s="3514"/>
      <c r="FJ177" s="3514"/>
      <c r="FR177" s="3510"/>
      <c r="FU177" s="3514"/>
      <c r="FV177" s="3514"/>
      <c r="GM177" s="3514"/>
      <c r="GN177" s="3514"/>
      <c r="GO177" s="3514"/>
      <c r="GS177" s="3510"/>
      <c r="GT177" s="3510"/>
      <c r="IF177" s="3717"/>
      <c r="IG177" s="3507"/>
      <c r="IH177" s="3507"/>
      <c r="II177" s="3507"/>
      <c r="IJ177" s="3717"/>
      <c r="IK177" s="3507"/>
      <c r="IL177" s="3507"/>
      <c r="IQ177" s="3711"/>
      <c r="IR177" s="3711"/>
      <c r="IS177" s="3711"/>
      <c r="IT177" s="3711"/>
      <c r="IU177" s="3711"/>
      <c r="KA177" s="3577"/>
      <c r="KB177" s="3577"/>
      <c r="KC177" s="3577"/>
      <c r="KD177" s="3577"/>
      <c r="KE177" s="3577"/>
      <c r="KF177" s="3577"/>
      <c r="KG177" s="3577"/>
      <c r="KH177" s="3577"/>
      <c r="KI177" s="3577"/>
      <c r="KJ177" s="3577"/>
      <c r="KK177" s="3577"/>
      <c r="KL177" s="3577"/>
      <c r="KM177" s="3577"/>
      <c r="KN177" s="3577"/>
      <c r="KO177" s="3577"/>
      <c r="KP177" s="3577"/>
      <c r="KQ177" s="3577"/>
      <c r="KR177" s="3577"/>
    </row>
    <row r="178" spans="50:304" ht="18" customHeight="1">
      <c r="AX178" s="3510"/>
      <c r="BA178" s="3510"/>
      <c r="DK178" s="3508"/>
      <c r="DL178" s="3508"/>
      <c r="EX178" s="3514"/>
      <c r="EY178" s="3514"/>
      <c r="EZ178" s="3514"/>
      <c r="FA178" s="3514"/>
      <c r="FB178" s="3514"/>
      <c r="FC178" s="3514"/>
      <c r="FD178" s="3514"/>
      <c r="FE178" s="3514"/>
      <c r="FF178" s="3514"/>
      <c r="FG178" s="3514"/>
      <c r="FH178" s="3514"/>
      <c r="FI178" s="3514"/>
      <c r="FJ178" s="3514"/>
      <c r="FR178" s="3510"/>
      <c r="FU178" s="3514"/>
      <c r="FV178" s="3514"/>
      <c r="GM178" s="3514"/>
      <c r="GN178" s="3514"/>
      <c r="GO178" s="3514"/>
      <c r="GS178" s="3510"/>
      <c r="GT178" s="3510"/>
      <c r="GW178" s="3510"/>
      <c r="GX178" s="3510"/>
      <c r="IF178" s="3717"/>
      <c r="IG178" s="3507"/>
      <c r="IH178" s="3507"/>
      <c r="II178" s="3507"/>
      <c r="IJ178" s="3717"/>
      <c r="IK178" s="3507"/>
      <c r="IL178" s="3507"/>
      <c r="IQ178" s="3711"/>
      <c r="IR178" s="3711"/>
      <c r="IS178" s="3711"/>
      <c r="IT178" s="3711"/>
      <c r="IU178" s="3711"/>
      <c r="KA178" s="3577"/>
      <c r="KB178" s="3577"/>
      <c r="KC178" s="3577"/>
      <c r="KD178" s="3577"/>
      <c r="KE178" s="3577"/>
      <c r="KF178" s="3577"/>
      <c r="KG178" s="3577"/>
      <c r="KH178" s="3577"/>
      <c r="KI178" s="3577"/>
      <c r="KJ178" s="3577"/>
      <c r="KK178" s="3577"/>
      <c r="KL178" s="3577"/>
      <c r="KM178" s="3577"/>
      <c r="KN178" s="3577"/>
      <c r="KO178" s="3577"/>
      <c r="KP178" s="3577"/>
      <c r="KQ178" s="3577"/>
      <c r="KR178" s="3577"/>
    </row>
    <row r="179" spans="50:304" ht="18" customHeight="1">
      <c r="AX179" s="3510"/>
      <c r="BA179" s="3510"/>
      <c r="DK179" s="3508"/>
      <c r="DL179" s="3508"/>
      <c r="EX179" s="3514"/>
      <c r="EY179" s="3514"/>
      <c r="EZ179" s="3514"/>
      <c r="FA179" s="3514"/>
      <c r="FB179" s="3514"/>
      <c r="FC179" s="3514"/>
      <c r="FD179" s="3514"/>
      <c r="FE179" s="3514"/>
      <c r="FF179" s="3514"/>
      <c r="FG179" s="3514"/>
      <c r="FH179" s="3514"/>
      <c r="FI179" s="3514"/>
      <c r="FJ179" s="3514"/>
      <c r="FR179" s="3510"/>
      <c r="FU179" s="3514"/>
      <c r="FV179" s="3514"/>
      <c r="GM179" s="3514"/>
      <c r="GN179" s="3514"/>
      <c r="GO179" s="3514"/>
      <c r="GS179" s="3510"/>
      <c r="GT179" s="3510"/>
      <c r="GW179" s="3510"/>
      <c r="GX179" s="3510"/>
      <c r="IF179" s="3717"/>
      <c r="IG179" s="3507"/>
      <c r="IH179" s="3507"/>
      <c r="II179" s="3507"/>
      <c r="IJ179" s="3717"/>
      <c r="IK179" s="3507"/>
      <c r="IL179" s="3507"/>
      <c r="IQ179" s="3711"/>
      <c r="IR179" s="3711"/>
      <c r="IS179" s="3711"/>
      <c r="IT179" s="3711"/>
      <c r="IU179" s="3711"/>
      <c r="KA179" s="3577"/>
      <c r="KB179" s="3577"/>
      <c r="KC179" s="3577"/>
      <c r="KD179" s="3577"/>
      <c r="KE179" s="3577"/>
      <c r="KF179" s="3577"/>
      <c r="KG179" s="3577"/>
      <c r="KH179" s="3577"/>
      <c r="KI179" s="3577"/>
      <c r="KJ179" s="3577"/>
      <c r="KK179" s="3577"/>
      <c r="KL179" s="3577"/>
      <c r="KM179" s="3577"/>
      <c r="KN179" s="3577"/>
      <c r="KO179" s="3577"/>
      <c r="KP179" s="3577"/>
      <c r="KQ179" s="3577"/>
      <c r="KR179" s="3577"/>
    </row>
    <row r="180" spans="50:304" ht="18" customHeight="1">
      <c r="BA180" s="3510"/>
      <c r="DK180" s="3508"/>
      <c r="DL180" s="3508"/>
      <c r="EX180" s="3514"/>
      <c r="EY180" s="3514"/>
      <c r="EZ180" s="3514"/>
      <c r="FA180" s="3514"/>
      <c r="FB180" s="3514"/>
      <c r="FC180" s="3514"/>
      <c r="FD180" s="3514"/>
      <c r="FE180" s="3514"/>
      <c r="FJ180" s="3514"/>
      <c r="FR180" s="3510"/>
      <c r="FU180" s="3514"/>
      <c r="FV180" s="3514"/>
      <c r="GM180" s="3514"/>
      <c r="GN180" s="3514"/>
      <c r="GO180" s="3514"/>
      <c r="GS180" s="3510"/>
      <c r="GT180" s="3510"/>
      <c r="GW180" s="3510"/>
      <c r="GX180" s="3510"/>
      <c r="IF180" s="3717"/>
      <c r="IG180" s="3507"/>
      <c r="IH180" s="3507"/>
      <c r="II180" s="3507"/>
      <c r="IJ180" s="3717"/>
      <c r="IK180" s="3507"/>
      <c r="IL180" s="3507"/>
      <c r="IQ180" s="3711"/>
      <c r="IR180" s="3711"/>
      <c r="IS180" s="3711"/>
      <c r="IT180" s="3711"/>
      <c r="IU180" s="3711"/>
      <c r="KA180" s="3577"/>
      <c r="KB180" s="3577"/>
      <c r="KC180" s="3577"/>
      <c r="KD180" s="3577"/>
      <c r="KE180" s="3577"/>
      <c r="KF180" s="3577"/>
      <c r="KG180" s="3577"/>
      <c r="KH180" s="3577"/>
      <c r="KI180" s="3577"/>
      <c r="KJ180" s="3577"/>
      <c r="KK180" s="3577"/>
      <c r="KL180" s="3577"/>
      <c r="KM180" s="3577"/>
      <c r="KN180" s="3577"/>
      <c r="KO180" s="3577"/>
      <c r="KP180" s="3577"/>
      <c r="KQ180" s="3577"/>
      <c r="KR180" s="3577"/>
    </row>
    <row r="181" spans="50:304" ht="18" customHeight="1">
      <c r="DK181" s="3508"/>
      <c r="DL181" s="3508"/>
      <c r="EX181" s="3514"/>
      <c r="EY181" s="3514"/>
      <c r="EZ181" s="3514"/>
      <c r="FA181" s="3514"/>
      <c r="FB181" s="3514"/>
      <c r="FC181" s="3514"/>
      <c r="FD181" s="3514"/>
      <c r="FE181" s="3514"/>
      <c r="FJ181" s="3514"/>
      <c r="FU181" s="3514"/>
      <c r="FV181" s="3514"/>
      <c r="GM181" s="3514"/>
      <c r="GN181" s="3514"/>
      <c r="GO181" s="3514"/>
      <c r="GS181" s="3510"/>
      <c r="GT181" s="3510"/>
      <c r="IF181" s="3717"/>
      <c r="IG181" s="3507"/>
      <c r="IH181" s="3507"/>
      <c r="II181" s="3507"/>
      <c r="IJ181" s="3717"/>
      <c r="IK181" s="3507"/>
      <c r="IL181" s="3507"/>
      <c r="IQ181" s="3711"/>
      <c r="IR181" s="3711"/>
      <c r="IS181" s="3711"/>
      <c r="IT181" s="3711"/>
      <c r="IU181" s="3711"/>
      <c r="KA181" s="3577"/>
      <c r="KB181" s="3577"/>
      <c r="KC181" s="3577"/>
      <c r="KD181" s="3577"/>
      <c r="KE181" s="3577"/>
      <c r="KF181" s="3577"/>
      <c r="KG181" s="3577"/>
      <c r="KH181" s="3577"/>
      <c r="KI181" s="3577"/>
      <c r="KJ181" s="3577"/>
      <c r="KK181" s="3577"/>
      <c r="KL181" s="3577"/>
      <c r="KM181" s="3577"/>
      <c r="KN181" s="3577"/>
      <c r="KO181" s="3577"/>
      <c r="KP181" s="3577"/>
      <c r="KQ181" s="3577"/>
      <c r="KR181" s="3577"/>
    </row>
    <row r="182" spans="50:304" ht="18" customHeight="1">
      <c r="DK182" s="3508"/>
      <c r="DL182" s="3508"/>
      <c r="EV182" s="3719"/>
      <c r="EW182" s="3774"/>
      <c r="EX182" s="3514"/>
      <c r="EY182" s="3514"/>
      <c r="EZ182" s="3514"/>
      <c r="FA182" s="3514"/>
      <c r="FB182" s="3514"/>
      <c r="FC182" s="3514"/>
      <c r="FD182" s="3514"/>
      <c r="FE182" s="3514"/>
      <c r="FU182" s="3514"/>
      <c r="FV182" s="3514"/>
      <c r="GS182" s="3510"/>
      <c r="GT182" s="3510"/>
      <c r="IF182" s="3717"/>
      <c r="IG182" s="3507"/>
      <c r="IH182" s="3507"/>
      <c r="II182" s="3507"/>
      <c r="IJ182" s="3717"/>
      <c r="IK182" s="3507"/>
      <c r="IL182" s="3507"/>
      <c r="IQ182" s="3711"/>
      <c r="IR182" s="3711"/>
      <c r="IS182" s="3711"/>
      <c r="IT182" s="3711"/>
      <c r="IU182" s="3711"/>
      <c r="KA182" s="3577"/>
      <c r="KB182" s="3577"/>
      <c r="KC182" s="3577"/>
      <c r="KD182" s="3577"/>
      <c r="KE182" s="3577"/>
      <c r="KF182" s="3577"/>
      <c r="KG182" s="3577"/>
      <c r="KH182" s="3577"/>
      <c r="KI182" s="3577"/>
      <c r="KJ182" s="3577"/>
      <c r="KK182" s="3577"/>
      <c r="KL182" s="3577"/>
      <c r="KM182" s="3577"/>
      <c r="KN182" s="3577"/>
      <c r="KO182" s="3577"/>
      <c r="KP182" s="3577"/>
      <c r="KQ182" s="3577"/>
      <c r="KR182" s="3577"/>
    </row>
    <row r="183" spans="50:304" ht="18" customHeight="1">
      <c r="DK183" s="3508"/>
      <c r="DL183" s="3508"/>
      <c r="FU183" s="3514"/>
      <c r="FV183" s="3514"/>
      <c r="GS183" s="3510"/>
      <c r="GT183" s="3510"/>
      <c r="IF183" s="3717"/>
      <c r="IG183" s="3507"/>
      <c r="IH183" s="3507"/>
      <c r="II183" s="3507"/>
      <c r="IJ183" s="3717"/>
      <c r="IK183" s="3507"/>
      <c r="IL183" s="3507"/>
      <c r="KA183" s="3577"/>
      <c r="KB183" s="3577"/>
      <c r="KC183" s="3577"/>
      <c r="KD183" s="3577"/>
      <c r="KE183" s="3577"/>
      <c r="KF183" s="3577"/>
      <c r="KG183" s="3577"/>
      <c r="KH183" s="3577"/>
      <c r="KI183" s="3577"/>
      <c r="KJ183" s="3577"/>
      <c r="KK183" s="3577"/>
      <c r="KL183" s="3577"/>
      <c r="KM183" s="3577"/>
      <c r="KN183" s="3577"/>
      <c r="KO183" s="3577"/>
      <c r="KP183" s="3577"/>
      <c r="KQ183" s="3577"/>
      <c r="KR183" s="3577"/>
    </row>
    <row r="184" spans="50:304" ht="18" customHeight="1">
      <c r="FU184" s="3514"/>
      <c r="FV184" s="3514"/>
      <c r="IF184" s="3717"/>
      <c r="IG184" s="3507"/>
      <c r="IH184" s="3507"/>
      <c r="II184" s="3507"/>
      <c r="IJ184" s="3717"/>
      <c r="IK184" s="3507"/>
      <c r="IL184" s="3507"/>
      <c r="KA184" s="3577"/>
      <c r="KB184" s="3577"/>
      <c r="KC184" s="3577"/>
      <c r="KD184" s="3577"/>
      <c r="KE184" s="3577"/>
      <c r="KF184" s="3577"/>
      <c r="KG184" s="3577"/>
      <c r="KH184" s="3577"/>
      <c r="KI184" s="3577"/>
      <c r="KJ184" s="3577"/>
      <c r="KK184" s="3577"/>
      <c r="KL184" s="3577"/>
      <c r="KM184" s="3577"/>
      <c r="KN184" s="3577"/>
      <c r="KO184" s="3577"/>
      <c r="KP184" s="3577"/>
      <c r="KQ184" s="3577"/>
      <c r="KR184" s="3577"/>
    </row>
    <row r="185" spans="50:304" ht="18" customHeight="1">
      <c r="FU185" s="3514"/>
      <c r="FV185" s="3514"/>
      <c r="KA185" s="3577"/>
      <c r="KB185" s="3577"/>
      <c r="KC185" s="3577"/>
      <c r="KD185" s="3577"/>
      <c r="KE185" s="3577"/>
      <c r="KF185" s="3577"/>
      <c r="KG185" s="3577"/>
      <c r="KH185" s="3577"/>
      <c r="KI185" s="3577"/>
      <c r="KJ185" s="3577"/>
      <c r="KK185" s="3577"/>
      <c r="KL185" s="3577"/>
      <c r="KM185" s="3577"/>
      <c r="KN185" s="3577"/>
      <c r="KO185" s="3577"/>
      <c r="KP185" s="3577"/>
      <c r="KQ185" s="3577"/>
      <c r="KR185" s="3577"/>
    </row>
    <row r="186" spans="50:304" ht="18" customHeight="1">
      <c r="FU186" s="3514"/>
      <c r="FV186" s="3514"/>
      <c r="KA186" s="3577"/>
      <c r="KB186" s="3577"/>
      <c r="KC186" s="3577"/>
      <c r="KD186" s="3577"/>
      <c r="KE186" s="3577"/>
      <c r="KF186" s="3577"/>
      <c r="KG186" s="3577"/>
      <c r="KH186" s="3577"/>
      <c r="KI186" s="3577"/>
      <c r="KJ186" s="3577"/>
      <c r="KK186" s="3577"/>
      <c r="KL186" s="3577"/>
      <c r="KM186" s="3577"/>
      <c r="KN186" s="3577"/>
      <c r="KO186" s="3577"/>
      <c r="KP186" s="3577"/>
      <c r="KQ186" s="3577"/>
      <c r="KR186" s="3577"/>
    </row>
    <row r="187" spans="50:304" ht="18" customHeight="1">
      <c r="FU187" s="3514"/>
      <c r="FV187" s="3514"/>
      <c r="KA187" s="3577"/>
      <c r="KB187" s="3577"/>
      <c r="KC187" s="3577"/>
      <c r="KD187" s="3577"/>
      <c r="KE187" s="3577"/>
      <c r="KF187" s="3577"/>
      <c r="KG187" s="3577"/>
      <c r="KH187" s="3577"/>
      <c r="KI187" s="3577"/>
      <c r="KJ187" s="3577"/>
      <c r="KK187" s="3577"/>
      <c r="KL187" s="3577"/>
      <c r="KM187" s="3577"/>
      <c r="KN187" s="3577"/>
      <c r="KO187" s="3577"/>
      <c r="KP187" s="3577"/>
      <c r="KQ187" s="3577"/>
      <c r="KR187" s="3577"/>
    </row>
    <row r="188" spans="50:304" ht="18" customHeight="1">
      <c r="FU188" s="3514"/>
      <c r="FV188" s="3514"/>
      <c r="KA188" s="3577"/>
      <c r="KB188" s="3577"/>
      <c r="KC188" s="3577"/>
      <c r="KD188" s="3577"/>
      <c r="KE188" s="3577"/>
      <c r="KF188" s="3577"/>
      <c r="KG188" s="3577"/>
      <c r="KH188" s="3577"/>
      <c r="KI188" s="3577"/>
      <c r="KJ188" s="3577"/>
      <c r="KK188" s="3577"/>
      <c r="KL188" s="3577"/>
      <c r="KM188" s="3577"/>
      <c r="KN188" s="3577"/>
      <c r="KO188" s="3577"/>
      <c r="KP188" s="3577"/>
      <c r="KQ188" s="3577"/>
      <c r="KR188" s="3577"/>
    </row>
    <row r="189" spans="50:304" ht="18" customHeight="1">
      <c r="FU189" s="3514"/>
      <c r="FV189" s="3514"/>
      <c r="KA189" s="3577"/>
      <c r="KB189" s="3577"/>
      <c r="KC189" s="3577"/>
      <c r="KD189" s="3577"/>
      <c r="KE189" s="3577"/>
      <c r="KF189" s="3577"/>
      <c r="KG189" s="3577"/>
      <c r="KH189" s="3577"/>
      <c r="KI189" s="3577"/>
      <c r="KJ189" s="3577"/>
      <c r="KK189" s="3577"/>
      <c r="KL189" s="3577"/>
      <c r="KM189" s="3577"/>
      <c r="KN189" s="3577"/>
      <c r="KO189" s="3577"/>
      <c r="KP189" s="3577"/>
      <c r="KQ189" s="3577"/>
      <c r="KR189" s="3577"/>
    </row>
    <row r="190" spans="50:304" ht="18" customHeight="1">
      <c r="FU190" s="3514"/>
      <c r="FV190" s="3514"/>
      <c r="KA190" s="3577"/>
      <c r="KB190" s="3577"/>
      <c r="KC190" s="3577"/>
      <c r="KD190" s="3577"/>
      <c r="KE190" s="3577"/>
      <c r="KF190" s="3577"/>
      <c r="KG190" s="3577"/>
      <c r="KH190" s="3577"/>
      <c r="KI190" s="3577"/>
      <c r="KJ190" s="3577"/>
      <c r="KK190" s="3577"/>
      <c r="KL190" s="3577"/>
      <c r="KM190" s="3577"/>
      <c r="KN190" s="3577"/>
      <c r="KO190" s="3577"/>
      <c r="KP190" s="3577"/>
      <c r="KQ190" s="3577"/>
      <c r="KR190" s="3577"/>
    </row>
    <row r="191" spans="50:304" ht="18" customHeight="1">
      <c r="FU191" s="3514"/>
      <c r="FV191" s="3514"/>
      <c r="KA191" s="3577"/>
      <c r="KB191" s="3577"/>
      <c r="KC191" s="3577"/>
      <c r="KD191" s="3577"/>
      <c r="KE191" s="3577"/>
      <c r="KF191" s="3577"/>
      <c r="KG191" s="3577"/>
      <c r="KH191" s="3577"/>
      <c r="KI191" s="3577"/>
      <c r="KJ191" s="3577"/>
      <c r="KK191" s="3577"/>
      <c r="KL191" s="3577"/>
      <c r="KM191" s="3577"/>
      <c r="KN191" s="3577"/>
      <c r="KO191" s="3577"/>
      <c r="KP191" s="3577"/>
      <c r="KQ191" s="3577"/>
      <c r="KR191" s="3577"/>
    </row>
    <row r="192" spans="50:304" ht="18" customHeight="1">
      <c r="FU192" s="3514"/>
      <c r="FV192" s="3514"/>
      <c r="KA192" s="3577"/>
      <c r="KB192" s="3577"/>
      <c r="KC192" s="3577"/>
      <c r="KD192" s="3577"/>
      <c r="KE192" s="3577"/>
      <c r="KF192" s="3577"/>
      <c r="KG192" s="3577"/>
      <c r="KH192" s="3577"/>
      <c r="KI192" s="3577"/>
      <c r="KJ192" s="3577"/>
      <c r="KK192" s="3577"/>
      <c r="KL192" s="3577"/>
      <c r="KM192" s="3577"/>
      <c r="KN192" s="3577"/>
      <c r="KO192" s="3577"/>
      <c r="KP192" s="3577"/>
      <c r="KQ192" s="3577"/>
      <c r="KR192" s="3577"/>
    </row>
    <row r="193" spans="177:304" ht="18" customHeight="1">
      <c r="FU193" s="3514"/>
      <c r="FV193" s="3514"/>
      <c r="KA193" s="3577"/>
      <c r="KB193" s="3577"/>
      <c r="KC193" s="3577"/>
      <c r="KD193" s="3577"/>
      <c r="KE193" s="3577"/>
      <c r="KF193" s="3577"/>
      <c r="KG193" s="3577"/>
      <c r="KH193" s="3577"/>
      <c r="KI193" s="3577"/>
      <c r="KJ193" s="3577"/>
      <c r="KK193" s="3577"/>
      <c r="KL193" s="3577"/>
      <c r="KM193" s="3577"/>
      <c r="KN193" s="3577"/>
      <c r="KO193" s="3577"/>
      <c r="KP193" s="3577"/>
      <c r="KQ193" s="3577"/>
      <c r="KR193" s="3577"/>
    </row>
    <row r="194" spans="177:304" ht="18" customHeight="1">
      <c r="FU194" s="3514"/>
      <c r="FV194" s="3514"/>
      <c r="KA194" s="3577"/>
      <c r="KB194" s="3577"/>
      <c r="KC194" s="3577"/>
      <c r="KD194" s="3577"/>
      <c r="KE194" s="3577"/>
      <c r="KF194" s="3577"/>
      <c r="KG194" s="3577"/>
      <c r="KH194" s="3577"/>
      <c r="KI194" s="3577"/>
      <c r="KJ194" s="3577"/>
      <c r="KK194" s="3577"/>
      <c r="KL194" s="3577"/>
      <c r="KM194" s="3577"/>
      <c r="KN194" s="3577"/>
      <c r="KO194" s="3577"/>
      <c r="KP194" s="3577"/>
      <c r="KQ194" s="3577"/>
      <c r="KR194" s="3577"/>
    </row>
    <row r="195" spans="177:304" ht="18" customHeight="1">
      <c r="FU195" s="3514"/>
      <c r="FV195" s="3514"/>
      <c r="KA195" s="3577"/>
      <c r="KB195" s="3577"/>
      <c r="KC195" s="3577"/>
      <c r="KD195" s="3577"/>
      <c r="KE195" s="3577"/>
      <c r="KF195" s="3577"/>
      <c r="KG195" s="3577"/>
      <c r="KH195" s="3577"/>
      <c r="KI195" s="3577"/>
      <c r="KJ195" s="3577"/>
      <c r="KK195" s="3577"/>
      <c r="KL195" s="3577"/>
      <c r="KM195" s="3577"/>
      <c r="KN195" s="3577"/>
      <c r="KO195" s="3577"/>
      <c r="KP195" s="3577"/>
      <c r="KQ195" s="3577"/>
      <c r="KR195" s="3577"/>
    </row>
    <row r="196" spans="177:304" ht="18" customHeight="1">
      <c r="FU196" s="3514"/>
      <c r="FV196" s="3514"/>
      <c r="KA196" s="3577"/>
      <c r="KB196" s="3577"/>
      <c r="KC196" s="3577"/>
      <c r="KD196" s="3577"/>
      <c r="KE196" s="3577"/>
      <c r="KF196" s="3577"/>
      <c r="KG196" s="3577"/>
      <c r="KH196" s="3577"/>
      <c r="KI196" s="3577"/>
      <c r="KJ196" s="3577"/>
      <c r="KK196" s="3577"/>
      <c r="KL196" s="3577"/>
      <c r="KM196" s="3577"/>
      <c r="KN196" s="3577"/>
      <c r="KO196" s="3577"/>
      <c r="KP196" s="3577"/>
      <c r="KQ196" s="3577"/>
      <c r="KR196" s="3577"/>
    </row>
    <row r="197" spans="177:304" ht="18" customHeight="1">
      <c r="FU197" s="3514"/>
      <c r="FV197" s="3514"/>
      <c r="KA197" s="3577"/>
      <c r="KB197" s="3577"/>
      <c r="KC197" s="3577"/>
      <c r="KD197" s="3577"/>
      <c r="KE197" s="3577"/>
      <c r="KF197" s="3577"/>
      <c r="KG197" s="3577"/>
      <c r="KH197" s="3577"/>
      <c r="KI197" s="3577"/>
      <c r="KJ197" s="3577"/>
      <c r="KK197" s="3577"/>
      <c r="KL197" s="3577"/>
      <c r="KM197" s="3577"/>
      <c r="KN197" s="3577"/>
      <c r="KO197" s="3577"/>
      <c r="KP197" s="3577"/>
      <c r="KQ197" s="3577"/>
      <c r="KR197" s="3577"/>
    </row>
    <row r="198" spans="177:304" ht="18" customHeight="1">
      <c r="KA198" s="3577"/>
      <c r="KB198" s="3577"/>
      <c r="KC198" s="3577"/>
      <c r="KD198" s="3577"/>
      <c r="KE198" s="3577"/>
      <c r="KF198" s="3577"/>
      <c r="KG198" s="3577"/>
      <c r="KH198" s="3577"/>
      <c r="KI198" s="3577"/>
      <c r="KJ198" s="3577"/>
      <c r="KK198" s="3577"/>
      <c r="KL198" s="3577"/>
      <c r="KM198" s="3577"/>
      <c r="KN198" s="3577"/>
      <c r="KO198" s="3577"/>
      <c r="KP198" s="3577"/>
      <c r="KQ198" s="3577"/>
      <c r="KR198" s="3577"/>
    </row>
    <row r="199" spans="177:304" ht="18" customHeight="1">
      <c r="KA199" s="3577"/>
      <c r="KB199" s="3577"/>
      <c r="KC199" s="3577"/>
      <c r="KD199" s="3577"/>
      <c r="KE199" s="3577"/>
      <c r="KF199" s="3577"/>
      <c r="KG199" s="3577"/>
      <c r="KH199" s="3577"/>
      <c r="KI199" s="3577"/>
      <c r="KJ199" s="3577"/>
      <c r="KK199" s="3577"/>
      <c r="KL199" s="3577"/>
      <c r="KM199" s="3577"/>
      <c r="KN199" s="3577"/>
      <c r="KO199" s="3577"/>
      <c r="KP199" s="3577"/>
      <c r="KQ199" s="3577"/>
      <c r="KR199" s="3577"/>
    </row>
    <row r="200" spans="177:304" ht="18" customHeight="1">
      <c r="KA200" s="3577"/>
      <c r="KB200" s="3577"/>
      <c r="KC200" s="3577"/>
      <c r="KD200" s="3577"/>
      <c r="KE200" s="3577"/>
      <c r="KF200" s="3577"/>
      <c r="KG200" s="3577"/>
      <c r="KH200" s="3577"/>
      <c r="KI200" s="3577"/>
      <c r="KJ200" s="3577"/>
      <c r="KK200" s="3577"/>
      <c r="KL200" s="3577"/>
      <c r="KM200" s="3577"/>
      <c r="KN200" s="3577"/>
      <c r="KO200" s="3577"/>
      <c r="KP200" s="3577"/>
      <c r="KQ200" s="3577"/>
      <c r="KR200" s="3577"/>
    </row>
    <row r="201" spans="177:304" ht="18" customHeight="1">
      <c r="KA201" s="3577"/>
      <c r="KB201" s="3577"/>
      <c r="KC201" s="3577"/>
      <c r="KD201" s="3577"/>
      <c r="KE201" s="3577"/>
      <c r="KF201" s="3577"/>
      <c r="KG201" s="3577"/>
      <c r="KH201" s="3577"/>
      <c r="KI201" s="3577"/>
      <c r="KJ201" s="3577"/>
      <c r="KK201" s="3577"/>
      <c r="KL201" s="3577"/>
      <c r="KM201" s="3577"/>
      <c r="KN201" s="3577"/>
      <c r="KO201" s="3577"/>
      <c r="KP201" s="3577"/>
      <c r="KQ201" s="3577"/>
      <c r="KR201" s="3577"/>
    </row>
    <row r="202" spans="177:304" ht="18" customHeight="1">
      <c r="KA202" s="3577"/>
      <c r="KB202" s="3577"/>
      <c r="KC202" s="3577"/>
      <c r="KD202" s="3577"/>
      <c r="KE202" s="3577"/>
      <c r="KF202" s="3577"/>
      <c r="KG202" s="3577"/>
      <c r="KH202" s="3577"/>
      <c r="KI202" s="3577"/>
      <c r="KJ202" s="3577"/>
      <c r="KK202" s="3577"/>
      <c r="KL202" s="3577"/>
      <c r="KM202" s="3577"/>
      <c r="KN202" s="3577"/>
      <c r="KO202" s="3577"/>
      <c r="KP202" s="3577"/>
      <c r="KQ202" s="3577"/>
      <c r="KR202" s="3577"/>
    </row>
    <row r="203" spans="177:304" ht="18" customHeight="1">
      <c r="KA203" s="3577"/>
      <c r="KB203" s="3577"/>
      <c r="KC203" s="3577"/>
      <c r="KD203" s="3577"/>
      <c r="KE203" s="3577"/>
      <c r="KF203" s="3577"/>
      <c r="KG203" s="3577"/>
      <c r="KH203" s="3577"/>
      <c r="KI203" s="3577"/>
      <c r="KJ203" s="3577"/>
      <c r="KK203" s="3577"/>
      <c r="KL203" s="3577"/>
      <c r="KM203" s="3577"/>
      <c r="KN203" s="3577"/>
      <c r="KO203" s="3577"/>
      <c r="KP203" s="3577"/>
      <c r="KQ203" s="3577"/>
      <c r="KR203" s="3577"/>
    </row>
    <row r="204" spans="177:304" ht="18" customHeight="1">
      <c r="KA204" s="3577"/>
      <c r="KB204" s="3577"/>
      <c r="KC204" s="3577"/>
      <c r="KD204" s="3577"/>
      <c r="KE204" s="3577"/>
      <c r="KF204" s="3577"/>
      <c r="KG204" s="3577"/>
      <c r="KH204" s="3577"/>
      <c r="KI204" s="3577"/>
      <c r="KJ204" s="3577"/>
      <c r="KK204" s="3577"/>
      <c r="KL204" s="3577"/>
      <c r="KM204" s="3577"/>
      <c r="KN204" s="3577"/>
      <c r="KO204" s="3577"/>
      <c r="KP204" s="3577"/>
      <c r="KQ204" s="3577"/>
      <c r="KR204" s="3577"/>
    </row>
    <row r="205" spans="177:304" ht="18" customHeight="1">
      <c r="KA205" s="3577"/>
      <c r="KB205" s="3577"/>
      <c r="KC205" s="3577"/>
      <c r="KD205" s="3577"/>
      <c r="KE205" s="3577"/>
      <c r="KF205" s="3577"/>
      <c r="KG205" s="3577"/>
      <c r="KH205" s="3577"/>
      <c r="KI205" s="3577"/>
      <c r="KJ205" s="3577"/>
      <c r="KK205" s="3577"/>
      <c r="KL205" s="3577"/>
      <c r="KM205" s="3577"/>
      <c r="KN205" s="3577"/>
      <c r="KO205" s="3577"/>
      <c r="KP205" s="3577"/>
      <c r="KQ205" s="3543"/>
      <c r="KR205" s="3577"/>
    </row>
    <row r="206" spans="177:304" ht="18" customHeight="1">
      <c r="KA206" s="3543"/>
      <c r="KB206" s="3543"/>
      <c r="KC206" s="3543"/>
      <c r="KD206" s="3543"/>
      <c r="KE206" s="3543"/>
      <c r="KF206" s="3543"/>
      <c r="KG206" s="3543"/>
      <c r="KH206" s="3543"/>
      <c r="KI206" s="3543"/>
      <c r="KJ206" s="3543"/>
      <c r="KK206" s="3543"/>
      <c r="KL206" s="3543"/>
      <c r="KM206" s="3543"/>
      <c r="KN206" s="3543"/>
      <c r="KO206" s="3543"/>
      <c r="KP206" s="3543"/>
      <c r="KQ206" s="3577"/>
      <c r="KR206" s="3543"/>
    </row>
    <row r="207" spans="177:304" ht="18" customHeight="1">
      <c r="KA207" s="3577"/>
      <c r="KB207" s="3577"/>
      <c r="KC207" s="3577"/>
      <c r="KD207" s="3577"/>
      <c r="KE207" s="3577"/>
      <c r="KF207" s="3577"/>
      <c r="KG207" s="3577"/>
      <c r="KH207" s="3577"/>
      <c r="KI207" s="3577"/>
      <c r="KJ207" s="3577"/>
      <c r="KK207" s="3577"/>
      <c r="KL207" s="3577"/>
      <c r="KM207" s="3577"/>
      <c r="KN207" s="3577"/>
      <c r="KO207" s="3577"/>
      <c r="KP207" s="3577"/>
      <c r="KQ207" s="3577"/>
      <c r="KR207" s="3577"/>
    </row>
    <row r="208" spans="177:304" ht="18" customHeight="1">
      <c r="KA208" s="3577"/>
      <c r="KB208" s="3577"/>
      <c r="KC208" s="3577"/>
      <c r="KD208" s="3577"/>
      <c r="KE208" s="3577"/>
      <c r="KF208" s="3577"/>
      <c r="KG208" s="3577"/>
      <c r="KH208" s="3577"/>
      <c r="KI208" s="3577"/>
      <c r="KJ208" s="3577"/>
      <c r="KK208" s="3577"/>
      <c r="KL208" s="3577"/>
      <c r="KM208" s="3577"/>
      <c r="KN208" s="3577"/>
      <c r="KO208" s="3577"/>
      <c r="KP208" s="3577"/>
      <c r="KQ208" s="3577"/>
      <c r="KR208" s="3577"/>
    </row>
    <row r="209" spans="287:304" ht="18" customHeight="1">
      <c r="KA209" s="3577"/>
      <c r="KB209" s="3577"/>
      <c r="KC209" s="3577"/>
      <c r="KD209" s="3577"/>
      <c r="KE209" s="3577"/>
      <c r="KF209" s="3577"/>
      <c r="KG209" s="3577"/>
      <c r="KH209" s="3577"/>
      <c r="KI209" s="3577"/>
      <c r="KJ209" s="3577"/>
      <c r="KK209" s="3577"/>
      <c r="KL209" s="3577"/>
      <c r="KM209" s="3577"/>
      <c r="KN209" s="3577"/>
      <c r="KO209" s="3577"/>
      <c r="KP209" s="3577"/>
      <c r="KQ209" s="3577"/>
      <c r="KR209" s="3577"/>
    </row>
    <row r="210" spans="287:304" ht="18" customHeight="1">
      <c r="KA210" s="3577"/>
      <c r="KB210" s="3577"/>
      <c r="KC210" s="3577"/>
      <c r="KD210" s="3577"/>
      <c r="KE210" s="3577"/>
      <c r="KF210" s="3577"/>
      <c r="KG210" s="3577"/>
      <c r="KH210" s="3577"/>
      <c r="KI210" s="3577"/>
      <c r="KJ210" s="3577"/>
      <c r="KK210" s="3577"/>
      <c r="KL210" s="3577"/>
      <c r="KM210" s="3577"/>
      <c r="KN210" s="3577"/>
      <c r="KO210" s="3577"/>
      <c r="KP210" s="3577"/>
      <c r="KQ210" s="3577"/>
      <c r="KR210" s="3577"/>
    </row>
    <row r="211" spans="287:304" ht="18" customHeight="1">
      <c r="KA211" s="3577"/>
      <c r="KB211" s="3577"/>
      <c r="KC211" s="3577"/>
      <c r="KD211" s="3577"/>
      <c r="KE211" s="3577"/>
      <c r="KF211" s="3577"/>
      <c r="KG211" s="3577"/>
      <c r="KH211" s="3577"/>
      <c r="KI211" s="3577"/>
      <c r="KJ211" s="3577"/>
      <c r="KK211" s="3577"/>
      <c r="KL211" s="3577"/>
      <c r="KM211" s="3577"/>
      <c r="KN211" s="3577"/>
      <c r="KO211" s="3577"/>
      <c r="KP211" s="3577"/>
      <c r="KQ211" s="3577"/>
      <c r="KR211" s="3577"/>
    </row>
    <row r="212" spans="287:304" ht="18" customHeight="1">
      <c r="KA212" s="3577"/>
      <c r="KB212" s="3577"/>
      <c r="KC212" s="3577"/>
      <c r="KD212" s="3577"/>
      <c r="KE212" s="3577"/>
      <c r="KF212" s="3577"/>
      <c r="KG212" s="3577"/>
      <c r="KH212" s="3577"/>
      <c r="KI212" s="3577"/>
      <c r="KJ212" s="3577"/>
      <c r="KK212" s="3577"/>
      <c r="KL212" s="3577"/>
      <c r="KM212" s="3577"/>
      <c r="KN212" s="3577"/>
      <c r="KO212" s="3577"/>
      <c r="KP212" s="3577"/>
      <c r="KQ212" s="3577"/>
      <c r="KR212" s="3577"/>
    </row>
    <row r="213" spans="287:304" ht="18" customHeight="1">
      <c r="KA213" s="3577"/>
      <c r="KB213" s="3577"/>
      <c r="KC213" s="3577"/>
      <c r="KD213" s="3577"/>
      <c r="KE213" s="3577"/>
      <c r="KF213" s="3577"/>
      <c r="KG213" s="3577"/>
      <c r="KH213" s="3577"/>
      <c r="KI213" s="3577"/>
      <c r="KJ213" s="3577"/>
      <c r="KK213" s="3577"/>
      <c r="KL213" s="3577"/>
      <c r="KM213" s="3577"/>
      <c r="KN213" s="3577"/>
      <c r="KO213" s="3577"/>
      <c r="KP213" s="3577"/>
      <c r="KQ213" s="3577"/>
      <c r="KR213" s="3577"/>
    </row>
    <row r="214" spans="287:304" ht="18" customHeight="1">
      <c r="KA214" s="3577"/>
      <c r="KB214" s="3577"/>
      <c r="KC214" s="3577"/>
      <c r="KD214" s="3577"/>
      <c r="KE214" s="3577"/>
      <c r="KF214" s="3577"/>
      <c r="KG214" s="3577"/>
      <c r="KH214" s="3577"/>
      <c r="KI214" s="3577"/>
      <c r="KJ214" s="3577"/>
      <c r="KK214" s="3577"/>
      <c r="KL214" s="3577"/>
      <c r="KM214" s="3577"/>
      <c r="KN214" s="3577"/>
      <c r="KO214" s="3577"/>
      <c r="KP214" s="3577"/>
      <c r="KQ214" s="3543"/>
      <c r="KR214" s="3577"/>
    </row>
    <row r="215" spans="287:304" ht="18" customHeight="1">
      <c r="KA215" s="3543"/>
      <c r="KB215" s="3543"/>
      <c r="KC215" s="3543"/>
      <c r="KD215" s="3543"/>
      <c r="KE215" s="3543"/>
      <c r="KF215" s="3543"/>
      <c r="KG215" s="3543"/>
      <c r="KH215" s="3543"/>
      <c r="KI215" s="3543"/>
      <c r="KJ215" s="3543"/>
      <c r="KK215" s="3543"/>
      <c r="KL215" s="3543"/>
      <c r="KM215" s="3543"/>
      <c r="KN215" s="3543"/>
      <c r="KO215" s="3543"/>
      <c r="KP215" s="3543"/>
      <c r="KQ215" s="3543"/>
      <c r="KR215" s="3543"/>
    </row>
    <row r="216" spans="287:304" ht="18" customHeight="1">
      <c r="KA216" s="3543"/>
      <c r="KB216" s="3543"/>
      <c r="KC216" s="3543"/>
      <c r="KD216" s="3543"/>
      <c r="KE216" s="3543"/>
      <c r="KF216" s="3543"/>
      <c r="KG216" s="3543"/>
      <c r="KH216" s="3543"/>
      <c r="KI216" s="3543"/>
      <c r="KJ216" s="3543"/>
      <c r="KK216" s="3543"/>
      <c r="KL216" s="3543"/>
      <c r="KM216" s="3543"/>
      <c r="KN216" s="3543"/>
      <c r="KO216" s="3543"/>
      <c r="KP216" s="3543"/>
      <c r="KR216" s="3543"/>
    </row>
  </sheetData>
  <autoFilter ref="A3:XFB154"/>
  <mergeCells count="59">
    <mergeCell ref="A133:B133"/>
    <mergeCell ref="HV2:IC2"/>
    <mergeCell ref="ID2:IK2"/>
    <mergeCell ref="KA2:KE2"/>
    <mergeCell ref="KF2:KR2"/>
    <mergeCell ref="DW2:ED2"/>
    <mergeCell ref="EF2:ES2"/>
    <mergeCell ref="ET2:FA2"/>
    <mergeCell ref="FB2:FI2"/>
    <mergeCell ref="FJ2:FQ2"/>
    <mergeCell ref="FR2:FY2"/>
    <mergeCell ref="CA2:CH2"/>
    <mergeCell ref="CI2:CP2"/>
    <mergeCell ref="CQ2:CX2"/>
    <mergeCell ref="CY2:DF2"/>
    <mergeCell ref="DG2:DN2"/>
    <mergeCell ref="LK2:LK3"/>
    <mergeCell ref="LL2:LL3"/>
    <mergeCell ref="FZ2:GG2"/>
    <mergeCell ref="GH2:GO2"/>
    <mergeCell ref="GP2:GW2"/>
    <mergeCell ref="GX2:HE2"/>
    <mergeCell ref="HF2:HM2"/>
    <mergeCell ref="HN2:HU2"/>
    <mergeCell ref="DO2:DV2"/>
    <mergeCell ref="AB2:AB3"/>
    <mergeCell ref="AM2:AT2"/>
    <mergeCell ref="AU2:BB2"/>
    <mergeCell ref="BC2:BJ2"/>
    <mergeCell ref="BK2:BR2"/>
    <mergeCell ref="BS2:BZ2"/>
    <mergeCell ref="AA2:AA3"/>
    <mergeCell ref="P2:P3"/>
    <mergeCell ref="Q2:Q3"/>
    <mergeCell ref="R2:R3"/>
    <mergeCell ref="S2:S3"/>
    <mergeCell ref="T2:T3"/>
    <mergeCell ref="U2:U3"/>
    <mergeCell ref="V2:V3"/>
    <mergeCell ref="W2:W3"/>
    <mergeCell ref="X2:X3"/>
    <mergeCell ref="Y2:Y3"/>
    <mergeCell ref="Z2:Z3"/>
    <mergeCell ref="O2:O3"/>
    <mergeCell ref="A1:J1"/>
    <mergeCell ref="A2:A3"/>
    <mergeCell ref="B2:B3"/>
    <mergeCell ref="C2:C3"/>
    <mergeCell ref="D2:D3"/>
    <mergeCell ref="E2:E3"/>
    <mergeCell ref="F2:F3"/>
    <mergeCell ref="G2:G3"/>
    <mergeCell ref="H2:H3"/>
    <mergeCell ref="I2:I3"/>
    <mergeCell ref="J2:J3"/>
    <mergeCell ref="K2:K3"/>
    <mergeCell ref="L2:L3"/>
    <mergeCell ref="M2:M3"/>
    <mergeCell ref="N2:N3"/>
  </mergeCells>
  <phoneticPr fontId="134" type="noConversion"/>
  <pageMargins left="0.75" right="0.75" top="1" bottom="1" header="0.5" footer="0.5"/>
  <pageSetup paperSize="9" scale="10" orientation="portrait"/>
  <legacy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EN104"/>
  <sheetViews>
    <sheetView zoomScale="80" zoomScaleNormal="80" workbookViewId="0">
      <pane xSplit="12" ySplit="3" topLeftCell="M4" activePane="bottomRight" state="frozen"/>
      <selection pane="topRight"/>
      <selection pane="bottomLeft"/>
      <selection pane="bottomRight" activeCell="JW6" sqref="JW6:JW16"/>
    </sheetView>
  </sheetViews>
  <sheetFormatPr defaultColWidth="9" defaultRowHeight="14.25"/>
  <cols>
    <col min="1" max="1" width="3" style="3507" customWidth="1"/>
    <col min="2" max="2" width="10.375" style="3507" hidden="1" customWidth="1"/>
    <col min="3" max="3" width="12.375" style="3517" customWidth="1"/>
    <col min="4" max="4" width="11.875" style="3508" customWidth="1"/>
    <col min="5" max="5" width="3.125" style="3507" customWidth="1"/>
    <col min="6" max="6" width="4.625" style="3507" hidden="1" customWidth="1"/>
    <col min="7" max="7" width="17.625" style="3517" customWidth="1"/>
    <col min="8" max="8" width="16.625" style="3517" customWidth="1"/>
    <col min="9" max="9" width="14.125" style="3580" customWidth="1"/>
    <col min="10" max="10" width="10" style="3580" customWidth="1"/>
    <col min="11" max="11" width="10.125" style="3507" hidden="1" customWidth="1"/>
    <col min="12" max="12" width="19.5" style="3507" hidden="1" customWidth="1"/>
    <col min="13" max="14" width="12.625" style="3508" hidden="1" customWidth="1"/>
    <col min="15" max="15" width="15.25" style="3508" hidden="1" customWidth="1"/>
    <col min="16" max="17" width="11.125" style="3508" hidden="1" customWidth="1"/>
    <col min="18" max="18" width="17.375" style="3508" hidden="1" customWidth="1"/>
    <col min="19" max="19" width="14.125" style="3508" hidden="1" customWidth="1"/>
    <col min="20" max="20" width="12.5" style="3508" customWidth="1"/>
    <col min="21" max="21" width="18.375" style="3508" customWidth="1"/>
    <col min="22" max="22" width="17.375" style="3508" customWidth="1"/>
    <col min="23" max="23" width="14.125" style="3508" hidden="1" customWidth="1"/>
    <col min="24" max="24" width="10.125" style="3508" customWidth="1"/>
    <col min="25" max="25" width="17.375" style="3508" customWidth="1"/>
    <col min="26" max="26" width="17.375" style="3508" hidden="1" customWidth="1"/>
    <col min="27" max="27" width="17.375" style="3507" hidden="1" customWidth="1"/>
    <col min="28" max="28" width="11.75" style="3507" customWidth="1"/>
    <col min="29" max="32" width="17.125" style="3508" hidden="1" customWidth="1"/>
    <col min="33" max="33" width="17.25" style="3508" hidden="1" customWidth="1"/>
    <col min="34" max="37" width="16.5" style="3508" hidden="1" customWidth="1"/>
    <col min="38" max="38" width="18.25" style="3508" hidden="1" customWidth="1"/>
    <col min="39" max="39" width="16.875" style="3508" hidden="1" customWidth="1"/>
    <col min="40" max="40" width="14" style="3509" hidden="1" customWidth="1"/>
    <col min="41" max="41" width="14" style="3510" hidden="1" customWidth="1"/>
    <col min="42" max="42" width="14" style="3511" hidden="1" customWidth="1"/>
    <col min="43" max="43" width="14" style="3509" hidden="1" customWidth="1"/>
    <col min="44" max="44" width="14" style="3510" hidden="1" customWidth="1"/>
    <col min="45" max="45" width="14" style="3508" hidden="1" customWidth="1"/>
    <col min="46" max="46" width="40.125" style="3508" hidden="1" customWidth="1"/>
    <col min="47" max="47" width="14.625" style="3508" hidden="1" customWidth="1"/>
    <col min="48" max="48" width="13.75" style="3509" hidden="1" customWidth="1"/>
    <col min="49" max="49" width="13.75" style="3510" hidden="1" customWidth="1"/>
    <col min="50" max="50" width="13.75" style="3508" hidden="1" customWidth="1"/>
    <col min="51" max="51" width="13.75" style="3509" hidden="1" customWidth="1"/>
    <col min="52" max="52" width="13.75" style="3510" hidden="1" customWidth="1"/>
    <col min="53" max="53" width="13.75" style="3508" hidden="1" customWidth="1"/>
    <col min="54" max="54" width="40" style="3508" hidden="1" customWidth="1"/>
    <col min="55" max="55" width="16.25" style="3508" hidden="1" customWidth="1"/>
    <col min="56" max="56" width="12.75" style="3509" hidden="1" customWidth="1"/>
    <col min="57" max="57" width="12.75" style="3512" hidden="1" customWidth="1"/>
    <col min="58" max="58" width="12.75" style="3511" hidden="1" customWidth="1"/>
    <col min="59" max="59" width="11.75" style="3509" hidden="1" customWidth="1"/>
    <col min="60" max="60" width="11.75" style="3512" hidden="1" customWidth="1"/>
    <col min="61" max="61" width="11.75" style="3511" hidden="1" customWidth="1"/>
    <col min="62" max="62" width="37.25" style="3508" hidden="1" customWidth="1"/>
    <col min="63" max="63" width="17" style="3508" hidden="1" customWidth="1"/>
    <col min="64" max="64" width="16" style="3509" hidden="1" customWidth="1"/>
    <col min="65" max="65" width="13.75" style="3510" hidden="1" customWidth="1"/>
    <col min="66" max="66" width="13.75" style="3511" hidden="1" customWidth="1"/>
    <col min="67" max="67" width="13.75" style="3509" hidden="1" customWidth="1"/>
    <col min="68" max="68" width="13.75" style="3510" hidden="1" customWidth="1"/>
    <col min="69" max="69" width="13.75" style="3511" hidden="1" customWidth="1"/>
    <col min="70" max="70" width="38.25" style="3508" hidden="1" customWidth="1"/>
    <col min="71" max="71" width="18.875" style="3508" hidden="1" customWidth="1"/>
    <col min="72" max="72" width="13.75" style="3509" hidden="1" customWidth="1"/>
    <col min="73" max="73" width="13.75" style="3510" hidden="1" customWidth="1"/>
    <col min="74" max="74" width="13.75" style="3511" hidden="1" customWidth="1"/>
    <col min="75" max="75" width="13.75" style="3509" hidden="1" customWidth="1"/>
    <col min="76" max="76" width="13.75" style="3510" hidden="1" customWidth="1"/>
    <col min="77" max="77" width="13.75" style="3511" hidden="1" customWidth="1"/>
    <col min="78" max="78" width="83.5" style="3508" hidden="1" customWidth="1"/>
    <col min="79" max="79" width="15.375" style="3508" hidden="1" customWidth="1"/>
    <col min="80" max="80" width="13.75" style="3509" hidden="1" customWidth="1"/>
    <col min="81" max="81" width="13.75" style="3510" hidden="1" customWidth="1"/>
    <col min="82" max="82" width="13.75" style="3508" hidden="1" customWidth="1"/>
    <col min="83" max="83" width="13.75" style="3509" hidden="1" customWidth="1"/>
    <col min="84" max="84" width="13.75" style="3510" hidden="1" customWidth="1"/>
    <col min="85" max="85" width="13.75" style="3508" hidden="1" customWidth="1"/>
    <col min="86" max="86" width="83.5" style="3508" hidden="1" customWidth="1"/>
    <col min="87" max="87" width="17.625" style="3508" hidden="1" customWidth="1"/>
    <col min="88" max="88" width="13.75" style="3509" hidden="1" customWidth="1"/>
    <col min="89" max="89" width="13.75" style="3510" hidden="1" customWidth="1"/>
    <col min="90" max="90" width="13.75" style="3508" hidden="1" customWidth="1"/>
    <col min="91" max="91" width="13.75" style="3509" hidden="1" customWidth="1"/>
    <col min="92" max="92" width="13.75" style="3510" hidden="1" customWidth="1"/>
    <col min="93" max="93" width="13.75" style="3508" hidden="1" customWidth="1"/>
    <col min="94" max="94" width="33.875" style="3508" hidden="1" customWidth="1"/>
    <col min="95" max="95" width="18.125" style="3508" hidden="1" customWidth="1"/>
    <col min="96" max="96" width="18.125" style="3509" hidden="1" customWidth="1"/>
    <col min="97" max="97" width="18.125" style="3510" hidden="1" customWidth="1"/>
    <col min="98" max="98" width="18.125" style="3508" hidden="1" customWidth="1"/>
    <col min="99" max="99" width="18.125" style="3509" hidden="1" customWidth="1"/>
    <col min="100" max="100" width="18.125" style="3510" hidden="1" customWidth="1"/>
    <col min="101" max="101" width="18.125" style="3508" hidden="1" customWidth="1"/>
    <col min="102" max="102" width="31.25" style="3508" hidden="1" customWidth="1"/>
    <col min="103" max="103" width="19.875" style="3508" hidden="1" customWidth="1"/>
    <col min="104" max="104" width="14.875" style="3509" hidden="1" customWidth="1"/>
    <col min="105" max="105" width="14.875" style="3510" hidden="1" customWidth="1"/>
    <col min="106" max="106" width="14.875" style="3508" hidden="1" customWidth="1"/>
    <col min="107" max="107" width="14.875" style="3509" hidden="1" customWidth="1"/>
    <col min="108" max="108" width="14.875" style="3510" hidden="1" customWidth="1"/>
    <col min="109" max="109" width="14.875" style="3508" hidden="1" customWidth="1"/>
    <col min="110" max="110" width="56.125" style="3508" hidden="1" customWidth="1"/>
    <col min="111" max="111" width="13.75" style="3508" hidden="1" customWidth="1"/>
    <col min="112" max="112" width="13.75" style="3509" hidden="1" customWidth="1"/>
    <col min="113" max="113" width="13.75" style="3510" hidden="1" customWidth="1"/>
    <col min="114" max="114" width="13.75" style="3508" hidden="1" customWidth="1"/>
    <col min="115" max="115" width="13.75" style="3509" hidden="1" customWidth="1"/>
    <col min="116" max="116" width="13.75" style="3510" hidden="1" customWidth="1"/>
    <col min="117" max="117" width="13.75" style="3508" hidden="1" customWidth="1"/>
    <col min="118" max="118" width="13.75" style="3513" hidden="1" customWidth="1"/>
    <col min="119" max="119" width="13.75" style="3508" hidden="1" customWidth="1"/>
    <col min="120" max="120" width="13.75" style="3509" hidden="1" customWidth="1"/>
    <col min="121" max="121" width="13.75" style="3510" hidden="1" customWidth="1"/>
    <col min="122" max="122" width="13.75" style="3508" hidden="1" customWidth="1"/>
    <col min="123" max="123" width="13.75" style="3509" hidden="1" customWidth="1"/>
    <col min="124" max="124" width="13.75" style="3510" hidden="1" customWidth="1"/>
    <col min="125" max="125" width="13.75" style="3508" hidden="1" customWidth="1"/>
    <col min="126" max="126" width="13.75" style="3513" hidden="1" customWidth="1"/>
    <col min="127" max="127" width="13.75" style="3508" hidden="1" customWidth="1"/>
    <col min="128" max="128" width="13.75" style="3509" hidden="1" customWidth="1"/>
    <col min="129" max="129" width="13.75" style="3510" hidden="1" customWidth="1"/>
    <col min="130" max="130" width="13.75" style="3508" hidden="1" customWidth="1"/>
    <col min="131" max="131" width="13.75" style="3509" hidden="1" customWidth="1"/>
    <col min="132" max="132" width="13.75" style="3510" hidden="1" customWidth="1"/>
    <col min="133" max="134" width="13.75" style="3508" hidden="1" customWidth="1"/>
    <col min="135" max="135" width="6.75" style="3507" hidden="1" customWidth="1"/>
    <col min="136" max="136" width="19.875" style="3508" hidden="1" customWidth="1"/>
    <col min="137" max="148" width="16.25" style="3508" hidden="1" customWidth="1"/>
    <col min="149" max="149" width="16.125" style="3508" hidden="1" customWidth="1"/>
    <col min="150" max="150" width="13.75" style="3509" hidden="1" customWidth="1"/>
    <col min="151" max="152" width="13.75" style="3510" hidden="1" customWidth="1"/>
    <col min="153" max="153" width="6" style="3511" hidden="1" customWidth="1"/>
    <col min="154" max="154" width="15.5" style="3509" hidden="1" customWidth="1"/>
    <col min="155" max="156" width="15.5" style="3510" hidden="1" customWidth="1"/>
    <col min="157" max="157" width="6" style="3511" hidden="1" customWidth="1"/>
    <col min="158" max="158" width="15.75" style="3509" hidden="1" customWidth="1"/>
    <col min="159" max="159" width="15.75" style="3510" hidden="1" customWidth="1"/>
    <col min="160" max="160" width="13.75" style="3510" hidden="1" customWidth="1"/>
    <col min="161" max="161" width="9.5" style="3511" hidden="1" customWidth="1"/>
    <col min="162" max="162" width="15.5" style="3509" hidden="1" customWidth="1"/>
    <col min="163" max="164" width="15.5" style="3510" hidden="1" customWidth="1"/>
    <col min="165" max="165" width="6" style="3511" hidden="1" customWidth="1"/>
    <col min="166" max="166" width="13" style="3509" hidden="1" customWidth="1"/>
    <col min="167" max="168" width="13" style="3510" hidden="1" customWidth="1"/>
    <col min="169" max="169" width="11.875" style="3511" hidden="1" customWidth="1"/>
    <col min="170" max="170" width="13.125" style="3509" hidden="1" customWidth="1"/>
    <col min="171" max="172" width="13.125" style="3510" hidden="1" customWidth="1"/>
    <col min="173" max="173" width="11.75" style="3511" hidden="1" customWidth="1"/>
    <col min="174" max="174" width="15.75" style="3509" hidden="1" customWidth="1"/>
    <col min="175" max="175" width="13.875" style="3510" hidden="1" customWidth="1"/>
    <col min="176" max="176" width="15.75" style="3510" hidden="1" customWidth="1"/>
    <col min="177" max="177" width="15.75" style="3511" hidden="1" customWidth="1"/>
    <col min="178" max="178" width="15.75" style="3509" hidden="1" customWidth="1"/>
    <col min="179" max="180" width="15.75" style="3510" hidden="1" customWidth="1"/>
    <col min="181" max="181" width="15.75" style="3511" hidden="1" customWidth="1"/>
    <col min="182" max="182" width="16.375" style="3509" hidden="1" customWidth="1"/>
    <col min="183" max="184" width="16.375" style="3510" hidden="1" customWidth="1"/>
    <col min="185" max="185" width="16.375" style="3511" hidden="1" customWidth="1"/>
    <col min="186" max="186" width="15.5" style="3509" hidden="1" customWidth="1"/>
    <col min="187" max="187" width="13.875" style="3510" hidden="1" customWidth="1"/>
    <col min="188" max="188" width="15.625" style="3510" hidden="1" customWidth="1"/>
    <col min="189" max="189" width="14.875" style="3511" hidden="1" customWidth="1"/>
    <col min="190" max="190" width="15.75" style="3509" hidden="1" customWidth="1"/>
    <col min="191" max="191" width="16" style="3510" hidden="1" customWidth="1"/>
    <col min="192" max="192" width="15.75" style="3510" hidden="1" customWidth="1"/>
    <col min="193" max="193" width="15.75" style="3511" hidden="1" customWidth="1"/>
    <col min="194" max="194" width="15.75" style="3509" hidden="1" customWidth="1"/>
    <col min="195" max="195" width="15.75" style="3510" hidden="1" customWidth="1"/>
    <col min="196" max="196" width="15.625" style="3510" hidden="1" customWidth="1"/>
    <col min="197" max="197" width="14.875" style="3511" hidden="1" customWidth="1"/>
    <col min="198" max="198" width="15.75" style="3509" hidden="1" customWidth="1"/>
    <col min="199" max="200" width="15.25" style="3510" hidden="1" customWidth="1"/>
    <col min="201" max="201" width="15.25" style="3511" hidden="1" customWidth="1"/>
    <col min="202" max="202" width="15.25" style="3509" hidden="1" customWidth="1"/>
    <col min="203" max="204" width="15.25" style="3510" hidden="1" customWidth="1"/>
    <col min="205" max="205" width="15.25" style="3511" hidden="1" customWidth="1"/>
    <col min="206" max="206" width="15.75" style="3509" hidden="1" customWidth="1"/>
    <col min="207" max="207" width="15.75" style="3510" hidden="1" customWidth="1"/>
    <col min="208" max="208" width="16" style="3510" hidden="1" customWidth="1"/>
    <col min="209" max="209" width="11" style="3511" hidden="1" customWidth="1"/>
    <col min="210" max="210" width="15.5" style="3509" hidden="1" customWidth="1"/>
    <col min="211" max="212" width="15.5" style="3510" hidden="1" customWidth="1"/>
    <col min="213" max="213" width="11" style="3511" hidden="1" customWidth="1"/>
    <col min="214" max="214" width="15.75" style="3509" hidden="1" customWidth="1"/>
    <col min="215" max="216" width="15.75" style="3510" hidden="1" customWidth="1"/>
    <col min="217" max="217" width="15.75" style="3511" hidden="1" customWidth="1"/>
    <col min="218" max="218" width="15.75" style="3509" hidden="1" customWidth="1"/>
    <col min="219" max="220" width="15.75" style="3510" hidden="1" customWidth="1"/>
    <col min="221" max="221" width="15.75" style="3511" hidden="1" customWidth="1"/>
    <col min="222" max="222" width="14.625" style="3509" hidden="1" customWidth="1"/>
    <col min="223" max="224" width="14.625" style="3510" hidden="1" customWidth="1"/>
    <col min="225" max="225" width="11" style="3511" hidden="1" customWidth="1"/>
    <col min="226" max="226" width="14.625" style="3509" hidden="1" customWidth="1"/>
    <col min="227" max="227" width="14.625" style="3510" hidden="1" customWidth="1"/>
    <col min="228" max="228" width="16.375" style="3510" hidden="1" customWidth="1"/>
    <col min="229" max="229" width="11" style="3511" hidden="1" customWidth="1"/>
    <col min="230" max="230" width="14.625" style="3509" hidden="1" customWidth="1"/>
    <col min="231" max="232" width="14.625" style="3510" hidden="1" customWidth="1"/>
    <col min="233" max="233" width="12.5" style="3511" hidden="1" customWidth="1"/>
    <col min="234" max="234" width="14.625" style="3509" hidden="1" customWidth="1"/>
    <col min="235" max="235" width="14.625" style="3510" hidden="1" customWidth="1"/>
    <col min="236" max="236" width="16.375" style="3510" hidden="1" customWidth="1"/>
    <col min="237" max="237" width="11" style="3511" hidden="1" customWidth="1"/>
    <col min="238" max="238" width="14.625" style="3509" hidden="1" customWidth="1"/>
    <col min="239" max="240" width="14.625" style="3510" hidden="1" customWidth="1"/>
    <col min="241" max="241" width="12.5" style="3511" hidden="1" customWidth="1"/>
    <col min="242" max="242" width="14.625" style="3509" hidden="1" customWidth="1"/>
    <col min="243" max="243" width="14.625" style="3510" hidden="1" customWidth="1"/>
    <col min="244" max="244" width="16.375" style="3510" hidden="1" customWidth="1"/>
    <col min="245" max="245" width="11" style="3511" hidden="1" customWidth="1"/>
    <col min="246" max="246" width="17.5" style="3517" hidden="1" customWidth="1"/>
    <col min="247" max="247" width="15.75" style="3516" hidden="1" customWidth="1"/>
    <col min="248" max="248" width="14" style="3516" hidden="1" customWidth="1"/>
    <col min="249" max="249" width="14.375" style="3507" hidden="1" customWidth="1"/>
    <col min="250" max="250" width="14" style="3515" hidden="1" customWidth="1"/>
    <col min="251" max="259" width="11.375" style="3515" hidden="1" customWidth="1"/>
    <col min="260" max="262" width="12.25" style="3515" hidden="1" customWidth="1"/>
    <col min="263" max="263" width="14" style="3515" hidden="1" customWidth="1"/>
    <col min="264" max="272" width="13.125" style="3515" hidden="1" customWidth="1"/>
    <col min="273" max="275" width="14" style="3515" hidden="1" customWidth="1"/>
    <col min="276" max="276" width="14.375" style="3507" hidden="1" customWidth="1"/>
    <col min="277" max="277" width="15.25" style="3516" hidden="1" customWidth="1"/>
    <col min="278" max="278" width="17" style="3516" hidden="1" customWidth="1"/>
    <col min="279" max="279" width="13.75" style="3507" hidden="1" customWidth="1"/>
    <col min="280" max="280" width="15.75" style="3507" hidden="1" customWidth="1"/>
    <col min="281" max="281" width="12.625" style="3507" hidden="1" customWidth="1"/>
    <col min="282" max="282" width="14.625" style="3507" hidden="1" customWidth="1"/>
    <col min="283" max="283" width="9" style="3507" customWidth="1"/>
    <col min="284" max="284" width="15.625" style="3507" hidden="1" customWidth="1"/>
    <col min="285" max="285" width="17.625" style="3507" hidden="1" customWidth="1"/>
    <col min="286" max="286" width="14.5" style="3516" hidden="1" customWidth="1"/>
    <col min="287" max="287" width="19.375" style="3516" hidden="1" customWidth="1"/>
    <col min="288" max="288" width="16.25" style="3516" hidden="1" customWidth="1"/>
    <col min="289" max="289" width="15.25" style="3516" hidden="1" customWidth="1"/>
    <col min="290" max="290" width="20" style="3516" hidden="1" customWidth="1"/>
    <col min="291" max="291" width="14.75" style="3516" hidden="1" customWidth="1"/>
    <col min="292" max="292" width="13.75" style="3516" hidden="1" customWidth="1"/>
    <col min="293" max="293" width="12.375" style="3516" hidden="1" customWidth="1"/>
    <col min="294" max="297" width="11.625" style="3516" hidden="1" customWidth="1"/>
    <col min="298" max="301" width="14.125" style="3516" hidden="1" customWidth="1"/>
    <col min="302" max="302" width="11.625" style="3516" hidden="1" customWidth="1"/>
    <col min="303" max="303" width="15.5" style="3516" hidden="1" customWidth="1"/>
    <col min="304" max="304" width="9" style="3516" customWidth="1"/>
    <col min="305" max="314" width="9" style="3507" customWidth="1"/>
    <col min="315" max="16384" width="9" style="3507"/>
  </cols>
  <sheetData>
    <row r="1" spans="1:304" ht="42" customHeight="1">
      <c r="A1" s="3942" t="s">
        <v>3524</v>
      </c>
      <c r="B1" s="3942"/>
      <c r="C1" s="3942"/>
      <c r="D1" s="3942"/>
      <c r="E1" s="3942"/>
      <c r="F1" s="3942"/>
      <c r="G1" s="3942"/>
      <c r="H1" s="3942"/>
      <c r="I1" s="3942"/>
      <c r="J1" s="3942"/>
      <c r="KF1" s="3507" t="s">
        <v>3525</v>
      </c>
      <c r="KG1" s="3507" t="s">
        <v>3527</v>
      </c>
      <c r="KH1" s="3507" t="s">
        <v>3526</v>
      </c>
      <c r="KI1" s="3507"/>
      <c r="KJ1" s="3507"/>
      <c r="KK1" s="3507"/>
      <c r="KL1" s="3507"/>
      <c r="KM1" s="3507"/>
      <c r="KN1" s="3507"/>
    </row>
    <row r="2" spans="1:304" ht="32.1" customHeight="1">
      <c r="A2" s="3943" t="s">
        <v>3528</v>
      </c>
      <c r="B2" s="3943" t="s">
        <v>3529</v>
      </c>
      <c r="C2" s="3943" t="s">
        <v>3530</v>
      </c>
      <c r="D2" s="3945" t="s">
        <v>3531</v>
      </c>
      <c r="E2" s="3943" t="s">
        <v>3532</v>
      </c>
      <c r="F2" s="3943" t="s">
        <v>3533</v>
      </c>
      <c r="G2" s="3943" t="s">
        <v>4977</v>
      </c>
      <c r="H2" s="3943" t="s">
        <v>3535</v>
      </c>
      <c r="I2" s="3943" t="s">
        <v>3536</v>
      </c>
      <c r="J2" s="3943" t="s">
        <v>3537</v>
      </c>
      <c r="K2" s="3943" t="s">
        <v>3538</v>
      </c>
      <c r="L2" s="3943" t="s">
        <v>3539</v>
      </c>
      <c r="M2" s="3940" t="s">
        <v>3540</v>
      </c>
      <c r="N2" s="3940" t="s">
        <v>3541</v>
      </c>
      <c r="O2" s="3940" t="s">
        <v>3542</v>
      </c>
      <c r="P2" s="3948" t="s">
        <v>3543</v>
      </c>
      <c r="Q2" s="3950" t="s">
        <v>3544</v>
      </c>
      <c r="R2" s="3950" t="s">
        <v>3545</v>
      </c>
      <c r="S2" s="3952" t="s">
        <v>3546</v>
      </c>
      <c r="T2" s="3952" t="s">
        <v>3547</v>
      </c>
      <c r="U2" s="3952" t="s">
        <v>3548</v>
      </c>
      <c r="V2" s="3952" t="s">
        <v>3549</v>
      </c>
      <c r="W2" s="3950" t="s">
        <v>3550</v>
      </c>
      <c r="X2" s="3950" t="s">
        <v>3551</v>
      </c>
      <c r="Y2" s="3950" t="s">
        <v>3552</v>
      </c>
      <c r="Z2" s="3950" t="s">
        <v>3553</v>
      </c>
      <c r="AA2" s="3943" t="s">
        <v>3554</v>
      </c>
      <c r="AB2" s="3943" t="s">
        <v>3555</v>
      </c>
      <c r="AC2" s="3519" t="s">
        <v>3556</v>
      </c>
      <c r="AD2" s="3520"/>
      <c r="AE2" s="3520"/>
      <c r="AF2" s="3520"/>
      <c r="AG2" s="3520"/>
      <c r="AH2" s="3520"/>
      <c r="AI2" s="3520"/>
      <c r="AJ2" s="3520"/>
      <c r="AK2" s="3520"/>
      <c r="AL2" s="3520"/>
      <c r="AM2" s="3954">
        <v>45292</v>
      </c>
      <c r="AN2" s="3955"/>
      <c r="AO2" s="3956"/>
      <c r="AP2" s="3955"/>
      <c r="AQ2" s="3955"/>
      <c r="AR2" s="3956"/>
      <c r="AS2" s="3955"/>
      <c r="AT2" s="3957"/>
      <c r="AU2" s="3958">
        <v>45323</v>
      </c>
      <c r="AV2" s="3959"/>
      <c r="AW2" s="3960"/>
      <c r="AX2" s="3959"/>
      <c r="AY2" s="3959"/>
      <c r="AZ2" s="3960"/>
      <c r="BA2" s="3959"/>
      <c r="BB2" s="3961"/>
      <c r="BC2" s="3954">
        <v>45352</v>
      </c>
      <c r="BD2" s="3955"/>
      <c r="BE2" s="3955"/>
      <c r="BF2" s="3955"/>
      <c r="BG2" s="3955"/>
      <c r="BH2" s="3956"/>
      <c r="BI2" s="3955"/>
      <c r="BJ2" s="3957"/>
      <c r="BK2" s="3958">
        <v>45383</v>
      </c>
      <c r="BL2" s="3959"/>
      <c r="BM2" s="3959"/>
      <c r="BN2" s="3959"/>
      <c r="BO2" s="3959"/>
      <c r="BP2" s="3959"/>
      <c r="BQ2" s="3959"/>
      <c r="BR2" s="3961"/>
      <c r="BS2" s="3954">
        <v>45413</v>
      </c>
      <c r="BT2" s="3955"/>
      <c r="BU2" s="3955"/>
      <c r="BV2" s="3955"/>
      <c r="BW2" s="3955"/>
      <c r="BX2" s="3956"/>
      <c r="BY2" s="3955"/>
      <c r="BZ2" s="3957"/>
      <c r="CA2" s="3958">
        <v>45444</v>
      </c>
      <c r="CB2" s="3959"/>
      <c r="CC2" s="3959"/>
      <c r="CD2" s="3959"/>
      <c r="CE2" s="3959"/>
      <c r="CF2" s="3959"/>
      <c r="CG2" s="3959"/>
      <c r="CH2" s="3957"/>
      <c r="CI2" s="3954">
        <v>45474</v>
      </c>
      <c r="CJ2" s="3955"/>
      <c r="CK2" s="3955"/>
      <c r="CL2" s="3955"/>
      <c r="CM2" s="3955"/>
      <c r="CN2" s="3956"/>
      <c r="CO2" s="3955"/>
      <c r="CP2" s="3957"/>
      <c r="CQ2" s="3958">
        <v>45505</v>
      </c>
      <c r="CR2" s="3959"/>
      <c r="CS2" s="3959"/>
      <c r="CT2" s="3959"/>
      <c r="CU2" s="3959"/>
      <c r="CV2" s="3959"/>
      <c r="CW2" s="3959"/>
      <c r="CX2" s="3961"/>
      <c r="CY2" s="3954">
        <v>45536</v>
      </c>
      <c r="CZ2" s="3955"/>
      <c r="DA2" s="3955"/>
      <c r="DB2" s="3955"/>
      <c r="DC2" s="3955"/>
      <c r="DD2" s="3956"/>
      <c r="DE2" s="3955"/>
      <c r="DF2" s="3961"/>
      <c r="DG2" s="3958">
        <v>45566</v>
      </c>
      <c r="DH2" s="3959"/>
      <c r="DI2" s="3959"/>
      <c r="DJ2" s="3959"/>
      <c r="DK2" s="3959"/>
      <c r="DL2" s="3959"/>
      <c r="DM2" s="3959"/>
      <c r="DN2" s="3961"/>
      <c r="DO2" s="3954">
        <v>45597</v>
      </c>
      <c r="DP2" s="3955"/>
      <c r="DQ2" s="3955"/>
      <c r="DR2" s="3955"/>
      <c r="DS2" s="3955"/>
      <c r="DT2" s="3956"/>
      <c r="DU2" s="3955"/>
      <c r="DV2" s="3957"/>
      <c r="DW2" s="3958">
        <v>45627</v>
      </c>
      <c r="DX2" s="3959"/>
      <c r="DY2" s="3959"/>
      <c r="DZ2" s="3959"/>
      <c r="EA2" s="3959"/>
      <c r="EB2" s="3959"/>
      <c r="EC2" s="3959"/>
      <c r="ED2" s="3957"/>
      <c r="EF2" s="3979" t="s">
        <v>3557</v>
      </c>
      <c r="EG2" s="3980"/>
      <c r="EH2" s="3980"/>
      <c r="EI2" s="3980"/>
      <c r="EJ2" s="3980"/>
      <c r="EK2" s="3980"/>
      <c r="EL2" s="3980"/>
      <c r="EM2" s="3980"/>
      <c r="EN2" s="3980"/>
      <c r="EO2" s="3980"/>
      <c r="EP2" s="3980"/>
      <c r="EQ2" s="3980"/>
      <c r="ER2" s="3980"/>
      <c r="ES2" s="3980"/>
      <c r="ET2" s="3969">
        <v>45292</v>
      </c>
      <c r="EU2" s="3970"/>
      <c r="EV2" s="3971"/>
      <c r="EW2" s="3970"/>
      <c r="EX2" s="3970"/>
      <c r="EY2" s="3970"/>
      <c r="EZ2" s="3971"/>
      <c r="FA2" s="3970"/>
      <c r="FB2" s="3972">
        <v>45323</v>
      </c>
      <c r="FC2" s="3973"/>
      <c r="FD2" s="3974"/>
      <c r="FE2" s="3973"/>
      <c r="FF2" s="3973"/>
      <c r="FG2" s="3973"/>
      <c r="FH2" s="3974"/>
      <c r="FI2" s="3973"/>
      <c r="FJ2" s="3969">
        <v>45352</v>
      </c>
      <c r="FK2" s="3970"/>
      <c r="FL2" s="3971"/>
      <c r="FM2" s="3970"/>
      <c r="FN2" s="3970"/>
      <c r="FO2" s="3970"/>
      <c r="FP2" s="3971"/>
      <c r="FQ2" s="3970"/>
      <c r="FR2" s="3972">
        <v>45383</v>
      </c>
      <c r="FS2" s="3973"/>
      <c r="FT2" s="3974"/>
      <c r="FU2" s="3973"/>
      <c r="FV2" s="3973"/>
      <c r="FW2" s="3973"/>
      <c r="FX2" s="3974"/>
      <c r="FY2" s="3973"/>
      <c r="FZ2" s="3954">
        <v>45413</v>
      </c>
      <c r="GA2" s="3963"/>
      <c r="GB2" s="3964"/>
      <c r="GC2" s="3963"/>
      <c r="GD2" s="3963"/>
      <c r="GE2" s="3963"/>
      <c r="GF2" s="3964"/>
      <c r="GG2" s="3965"/>
      <c r="GH2" s="3958">
        <v>45444</v>
      </c>
      <c r="GI2" s="3966"/>
      <c r="GJ2" s="3967"/>
      <c r="GK2" s="3966"/>
      <c r="GL2" s="3966"/>
      <c r="GM2" s="3966"/>
      <c r="GN2" s="3967"/>
      <c r="GO2" s="3968"/>
      <c r="GP2" s="3969">
        <v>45474</v>
      </c>
      <c r="GQ2" s="3970"/>
      <c r="GR2" s="3971"/>
      <c r="GS2" s="3970"/>
      <c r="GT2" s="3970"/>
      <c r="GU2" s="3970"/>
      <c r="GV2" s="3971"/>
      <c r="GW2" s="3970"/>
      <c r="GX2" s="3972">
        <v>45505</v>
      </c>
      <c r="GY2" s="3973"/>
      <c r="GZ2" s="3974"/>
      <c r="HA2" s="3973"/>
      <c r="HB2" s="3973"/>
      <c r="HC2" s="3973"/>
      <c r="HD2" s="3974"/>
      <c r="HE2" s="3973"/>
      <c r="HF2" s="3969">
        <v>45536</v>
      </c>
      <c r="HG2" s="3970"/>
      <c r="HH2" s="3971"/>
      <c r="HI2" s="3970"/>
      <c r="HJ2" s="3970"/>
      <c r="HK2" s="3970"/>
      <c r="HL2" s="3971"/>
      <c r="HM2" s="3970"/>
      <c r="HN2" s="3972">
        <v>45566</v>
      </c>
      <c r="HO2" s="3973"/>
      <c r="HP2" s="3974"/>
      <c r="HQ2" s="3973"/>
      <c r="HR2" s="3973"/>
      <c r="HS2" s="3973"/>
      <c r="HT2" s="3974"/>
      <c r="HU2" s="3973"/>
      <c r="HV2" s="3969">
        <v>45597</v>
      </c>
      <c r="HW2" s="3970"/>
      <c r="HX2" s="3971"/>
      <c r="HY2" s="3970"/>
      <c r="HZ2" s="3970"/>
      <c r="IA2" s="3970"/>
      <c r="IB2" s="3971"/>
      <c r="IC2" s="3970"/>
      <c r="ID2" s="3972">
        <v>45627</v>
      </c>
      <c r="IE2" s="3973"/>
      <c r="IF2" s="3974"/>
      <c r="IG2" s="3973"/>
      <c r="IH2" s="3973"/>
      <c r="II2" s="3973"/>
      <c r="IJ2" s="3974"/>
      <c r="IK2" s="3973"/>
      <c r="KA2" s="3977" t="s">
        <v>3558</v>
      </c>
      <c r="KB2" s="3977"/>
      <c r="KC2" s="3977"/>
      <c r="KD2" s="3977"/>
      <c r="KE2" s="3977"/>
      <c r="KF2" s="3981" t="s">
        <v>3559</v>
      </c>
      <c r="KG2" s="3981"/>
      <c r="KH2" s="3981"/>
      <c r="KI2" s="3981"/>
      <c r="KJ2" s="3981"/>
      <c r="KK2" s="3981"/>
      <c r="KL2" s="3981"/>
      <c r="KM2" s="3981"/>
      <c r="KN2" s="3981"/>
      <c r="KO2" s="3978"/>
      <c r="KP2" s="3978"/>
    </row>
    <row r="3" spans="1:304" s="3530" customFormat="1" ht="32.1" customHeight="1">
      <c r="A3" s="3944"/>
      <c r="B3" s="3944"/>
      <c r="C3" s="3944"/>
      <c r="D3" s="3946"/>
      <c r="E3" s="3944"/>
      <c r="F3" s="3944"/>
      <c r="G3" s="3944"/>
      <c r="H3" s="3944"/>
      <c r="I3" s="3944"/>
      <c r="J3" s="3944"/>
      <c r="K3" s="3944"/>
      <c r="L3" s="3944"/>
      <c r="M3" s="3941"/>
      <c r="N3" s="3941"/>
      <c r="O3" s="3941"/>
      <c r="P3" s="3949"/>
      <c r="Q3" s="3951"/>
      <c r="R3" s="3951"/>
      <c r="S3" s="3953"/>
      <c r="T3" s="3953"/>
      <c r="U3" s="3953"/>
      <c r="V3" s="3953"/>
      <c r="W3" s="3951"/>
      <c r="X3" s="3951"/>
      <c r="Y3" s="3951"/>
      <c r="Z3" s="3951"/>
      <c r="AA3" s="3944"/>
      <c r="AB3" s="3944"/>
      <c r="AC3" s="3521" t="s">
        <v>3562</v>
      </c>
      <c r="AD3" s="3521" t="s">
        <v>3563</v>
      </c>
      <c r="AE3" s="3521" t="s">
        <v>3564</v>
      </c>
      <c r="AF3" s="3521" t="s">
        <v>3565</v>
      </c>
      <c r="AG3" s="3521" t="s">
        <v>3566</v>
      </c>
      <c r="AH3" s="3522" t="s">
        <v>3567</v>
      </c>
      <c r="AI3" s="3522" t="s">
        <v>3568</v>
      </c>
      <c r="AJ3" s="3522" t="s">
        <v>3569</v>
      </c>
      <c r="AK3" s="3522" t="s">
        <v>3565</v>
      </c>
      <c r="AL3" s="3522" t="s">
        <v>3566</v>
      </c>
      <c r="AM3" s="3523" t="s">
        <v>3570</v>
      </c>
      <c r="AN3" s="3524" t="s">
        <v>3571</v>
      </c>
      <c r="AO3" s="3525" t="s">
        <v>3572</v>
      </c>
      <c r="AP3" s="3526" t="s">
        <v>3573</v>
      </c>
      <c r="AQ3" s="3524" t="s">
        <v>3574</v>
      </c>
      <c r="AR3" s="3525" t="s">
        <v>3575</v>
      </c>
      <c r="AS3" s="3526" t="s">
        <v>3573</v>
      </c>
      <c r="AT3" s="3526" t="s">
        <v>3576</v>
      </c>
      <c r="AU3" s="3523" t="s">
        <v>3577</v>
      </c>
      <c r="AV3" s="3524" t="s">
        <v>3578</v>
      </c>
      <c r="AW3" s="3525" t="s">
        <v>3579</v>
      </c>
      <c r="AX3" s="3527" t="s">
        <v>3580</v>
      </c>
      <c r="AY3" s="3524" t="s">
        <v>3581</v>
      </c>
      <c r="AZ3" s="3525" t="s">
        <v>3582</v>
      </c>
      <c r="BA3" s="3527" t="s">
        <v>3580</v>
      </c>
      <c r="BB3" s="3526" t="s">
        <v>3576</v>
      </c>
      <c r="BC3" s="3523" t="s">
        <v>3583</v>
      </c>
      <c r="BD3" s="3524" t="s">
        <v>3584</v>
      </c>
      <c r="BE3" s="3528" t="s">
        <v>3585</v>
      </c>
      <c r="BF3" s="3526" t="s">
        <v>3573</v>
      </c>
      <c r="BG3" s="3524" t="s">
        <v>3586</v>
      </c>
      <c r="BH3" s="3529" t="s">
        <v>3587</v>
      </c>
      <c r="BI3" s="3526" t="s">
        <v>3573</v>
      </c>
      <c r="BJ3" s="3526" t="s">
        <v>3576</v>
      </c>
      <c r="BK3" s="3523" t="s">
        <v>3588</v>
      </c>
      <c r="BL3" s="3524" t="s">
        <v>3589</v>
      </c>
      <c r="BM3" s="3525" t="s">
        <v>3590</v>
      </c>
      <c r="BN3" s="3526" t="s">
        <v>3573</v>
      </c>
      <c r="BO3" s="3524" t="s">
        <v>3591</v>
      </c>
      <c r="BP3" s="3525" t="s">
        <v>3592</v>
      </c>
      <c r="BQ3" s="3526" t="s">
        <v>3573</v>
      </c>
      <c r="BR3" s="3526" t="s">
        <v>3576</v>
      </c>
      <c r="BS3" s="3523" t="s">
        <v>3593</v>
      </c>
      <c r="BT3" s="3524" t="s">
        <v>3594</v>
      </c>
      <c r="BU3" s="3525" t="s">
        <v>3595</v>
      </c>
      <c r="BV3" s="3526" t="s">
        <v>3573</v>
      </c>
      <c r="BW3" s="3524" t="s">
        <v>3596</v>
      </c>
      <c r="BX3" s="3525" t="s">
        <v>3597</v>
      </c>
      <c r="BY3" s="3526" t="s">
        <v>3573</v>
      </c>
      <c r="BZ3" s="3526" t="s">
        <v>3576</v>
      </c>
      <c r="CA3" s="3523" t="s">
        <v>3598</v>
      </c>
      <c r="CB3" s="3524" t="s">
        <v>3599</v>
      </c>
      <c r="CC3" s="3525" t="s">
        <v>3600</v>
      </c>
      <c r="CD3" s="3526" t="s">
        <v>3573</v>
      </c>
      <c r="CE3" s="3524" t="s">
        <v>3601</v>
      </c>
      <c r="CF3" s="3525" t="s">
        <v>3602</v>
      </c>
      <c r="CG3" s="3526" t="s">
        <v>3573</v>
      </c>
      <c r="CH3" s="3526" t="s">
        <v>3576</v>
      </c>
      <c r="CI3" s="3523" t="s">
        <v>3603</v>
      </c>
      <c r="CJ3" s="3524" t="s">
        <v>3604</v>
      </c>
      <c r="CK3" s="3525" t="s">
        <v>3605</v>
      </c>
      <c r="CL3" s="3526" t="s">
        <v>3573</v>
      </c>
      <c r="CM3" s="3524" t="s">
        <v>3606</v>
      </c>
      <c r="CN3" s="3525" t="s">
        <v>3607</v>
      </c>
      <c r="CO3" s="3526" t="s">
        <v>3573</v>
      </c>
      <c r="CP3" s="3526" t="s">
        <v>3576</v>
      </c>
      <c r="CQ3" s="3523" t="s">
        <v>3608</v>
      </c>
      <c r="CR3" s="3524" t="s">
        <v>3609</v>
      </c>
      <c r="CS3" s="3525" t="s">
        <v>3610</v>
      </c>
      <c r="CT3" s="3526" t="s">
        <v>3573</v>
      </c>
      <c r="CU3" s="3524" t="s">
        <v>3611</v>
      </c>
      <c r="CV3" s="3525" t="s">
        <v>3612</v>
      </c>
      <c r="CW3" s="3526" t="s">
        <v>3573</v>
      </c>
      <c r="CX3" s="3526" t="s">
        <v>3576</v>
      </c>
      <c r="CY3" s="3523" t="s">
        <v>3613</v>
      </c>
      <c r="CZ3" s="3524" t="s">
        <v>3614</v>
      </c>
      <c r="DA3" s="3525" t="s">
        <v>3615</v>
      </c>
      <c r="DB3" s="3526" t="s">
        <v>3573</v>
      </c>
      <c r="DC3" s="3524" t="s">
        <v>3616</v>
      </c>
      <c r="DD3" s="3525" t="s">
        <v>3617</v>
      </c>
      <c r="DE3" s="3526" t="s">
        <v>3573</v>
      </c>
      <c r="DF3" s="3526" t="s">
        <v>3576</v>
      </c>
      <c r="DG3" s="3523" t="s">
        <v>3618</v>
      </c>
      <c r="DH3" s="3524" t="s">
        <v>3619</v>
      </c>
      <c r="DI3" s="3525" t="s">
        <v>3620</v>
      </c>
      <c r="DJ3" s="3526" t="s">
        <v>3573</v>
      </c>
      <c r="DK3" s="3524" t="s">
        <v>3621</v>
      </c>
      <c r="DL3" s="3525" t="s">
        <v>3622</v>
      </c>
      <c r="DM3" s="3526" t="s">
        <v>3573</v>
      </c>
      <c r="DN3" s="3526" t="s">
        <v>3576</v>
      </c>
      <c r="DO3" s="3523" t="s">
        <v>3623</v>
      </c>
      <c r="DP3" s="3524" t="s">
        <v>3624</v>
      </c>
      <c r="DQ3" s="3525" t="s">
        <v>3625</v>
      </c>
      <c r="DR3" s="3526" t="s">
        <v>3573</v>
      </c>
      <c r="DS3" s="3524" t="s">
        <v>3626</v>
      </c>
      <c r="DT3" s="3525" t="s">
        <v>3627</v>
      </c>
      <c r="DU3" s="3526" t="s">
        <v>3573</v>
      </c>
      <c r="DV3" s="3526" t="s">
        <v>3576</v>
      </c>
      <c r="DW3" s="3523" t="s">
        <v>3628</v>
      </c>
      <c r="DX3" s="3524" t="s">
        <v>3629</v>
      </c>
      <c r="DY3" s="3525" t="s">
        <v>3630</v>
      </c>
      <c r="DZ3" s="3526" t="s">
        <v>3573</v>
      </c>
      <c r="EA3" s="3524" t="s">
        <v>3631</v>
      </c>
      <c r="EB3" s="3525" t="s">
        <v>3632</v>
      </c>
      <c r="EC3" s="3526" t="s">
        <v>3573</v>
      </c>
      <c r="ED3" s="3526" t="s">
        <v>3576</v>
      </c>
      <c r="EF3" s="3521" t="s">
        <v>3633</v>
      </c>
      <c r="EG3" s="3521" t="s">
        <v>3634</v>
      </c>
      <c r="EH3" s="3521" t="s">
        <v>3635</v>
      </c>
      <c r="EI3" s="3521" t="s">
        <v>3636</v>
      </c>
      <c r="EJ3" s="3521" t="s">
        <v>3637</v>
      </c>
      <c r="EK3" s="3521" t="s">
        <v>3638</v>
      </c>
      <c r="EL3" s="3521" t="s">
        <v>3566</v>
      </c>
      <c r="EM3" s="3522" t="s">
        <v>3639</v>
      </c>
      <c r="EN3" s="3522" t="s">
        <v>3640</v>
      </c>
      <c r="EO3" s="3522" t="s">
        <v>3641</v>
      </c>
      <c r="EP3" s="3522" t="s">
        <v>3642</v>
      </c>
      <c r="EQ3" s="3522" t="s">
        <v>3637</v>
      </c>
      <c r="ER3" s="3522" t="s">
        <v>3638</v>
      </c>
      <c r="ES3" s="3522" t="s">
        <v>3566</v>
      </c>
      <c r="ET3" s="3524" t="s">
        <v>3643</v>
      </c>
      <c r="EU3" s="3531" t="s">
        <v>3644</v>
      </c>
      <c r="EV3" s="3525" t="s">
        <v>3645</v>
      </c>
      <c r="EW3" s="3526" t="s">
        <v>3573</v>
      </c>
      <c r="EX3" s="3524" t="s">
        <v>3646</v>
      </c>
      <c r="EY3" s="3531" t="s">
        <v>3647</v>
      </c>
      <c r="EZ3" s="3525" t="s">
        <v>3648</v>
      </c>
      <c r="FA3" s="3526" t="s">
        <v>3573</v>
      </c>
      <c r="FB3" s="3524" t="s">
        <v>3649</v>
      </c>
      <c r="FC3" s="3531" t="s">
        <v>3650</v>
      </c>
      <c r="FD3" s="3525" t="s">
        <v>3651</v>
      </c>
      <c r="FE3" s="3526" t="s">
        <v>3573</v>
      </c>
      <c r="FF3" s="3524" t="s">
        <v>3652</v>
      </c>
      <c r="FG3" s="3531" t="s">
        <v>3653</v>
      </c>
      <c r="FH3" s="3525" t="s">
        <v>3654</v>
      </c>
      <c r="FI3" s="3526" t="s">
        <v>3573</v>
      </c>
      <c r="FJ3" s="3524" t="s">
        <v>3655</v>
      </c>
      <c r="FK3" s="3531" t="s">
        <v>3656</v>
      </c>
      <c r="FL3" s="3525" t="s">
        <v>3657</v>
      </c>
      <c r="FM3" s="3526" t="s">
        <v>3573</v>
      </c>
      <c r="FN3" s="3524" t="s">
        <v>3658</v>
      </c>
      <c r="FO3" s="3531" t="s">
        <v>3659</v>
      </c>
      <c r="FP3" s="3525" t="s">
        <v>3660</v>
      </c>
      <c r="FQ3" s="3526" t="s">
        <v>3573</v>
      </c>
      <c r="FR3" s="3524" t="s">
        <v>3661</v>
      </c>
      <c r="FS3" s="3531" t="s">
        <v>3662</v>
      </c>
      <c r="FT3" s="3525" t="s">
        <v>3663</v>
      </c>
      <c r="FU3" s="3526" t="s">
        <v>3573</v>
      </c>
      <c r="FV3" s="3524" t="s">
        <v>3664</v>
      </c>
      <c r="FW3" s="3531" t="s">
        <v>3665</v>
      </c>
      <c r="FX3" s="3525" t="s">
        <v>3666</v>
      </c>
      <c r="FY3" s="3526" t="s">
        <v>3573</v>
      </c>
      <c r="FZ3" s="3524" t="s">
        <v>3667</v>
      </c>
      <c r="GA3" s="3531" t="s">
        <v>3668</v>
      </c>
      <c r="GB3" s="3525" t="s">
        <v>3669</v>
      </c>
      <c r="GC3" s="3526" t="s">
        <v>3573</v>
      </c>
      <c r="GD3" s="3524" t="s">
        <v>3670</v>
      </c>
      <c r="GE3" s="3531" t="s">
        <v>3671</v>
      </c>
      <c r="GF3" s="3525" t="s">
        <v>3672</v>
      </c>
      <c r="GG3" s="3526" t="s">
        <v>3573</v>
      </c>
      <c r="GH3" s="3524" t="s">
        <v>3673</v>
      </c>
      <c r="GI3" s="3531" t="s">
        <v>3674</v>
      </c>
      <c r="GJ3" s="3525" t="s">
        <v>3675</v>
      </c>
      <c r="GK3" s="3526" t="s">
        <v>3573</v>
      </c>
      <c r="GL3" s="3524" t="s">
        <v>3676</v>
      </c>
      <c r="GM3" s="3531" t="s">
        <v>3677</v>
      </c>
      <c r="GN3" s="3525" t="s">
        <v>3678</v>
      </c>
      <c r="GO3" s="3526" t="s">
        <v>3573</v>
      </c>
      <c r="GP3" s="3524" t="s">
        <v>3679</v>
      </c>
      <c r="GQ3" s="3531" t="s">
        <v>3680</v>
      </c>
      <c r="GR3" s="3525" t="s">
        <v>3681</v>
      </c>
      <c r="GS3" s="3526" t="s">
        <v>3573</v>
      </c>
      <c r="GT3" s="3524" t="s">
        <v>3682</v>
      </c>
      <c r="GU3" s="3531" t="s">
        <v>3683</v>
      </c>
      <c r="GV3" s="3525" t="s">
        <v>3684</v>
      </c>
      <c r="GW3" s="3526" t="s">
        <v>3573</v>
      </c>
      <c r="GX3" s="3524" t="s">
        <v>3685</v>
      </c>
      <c r="GY3" s="3531" t="s">
        <v>3686</v>
      </c>
      <c r="GZ3" s="3525" t="s">
        <v>3687</v>
      </c>
      <c r="HA3" s="3526" t="s">
        <v>3573</v>
      </c>
      <c r="HB3" s="3524" t="s">
        <v>3688</v>
      </c>
      <c r="HC3" s="3531" t="s">
        <v>3689</v>
      </c>
      <c r="HD3" s="3525" t="s">
        <v>3690</v>
      </c>
      <c r="HE3" s="3526" t="s">
        <v>3573</v>
      </c>
      <c r="HF3" s="3524" t="s">
        <v>3691</v>
      </c>
      <c r="HG3" s="3531" t="s">
        <v>3692</v>
      </c>
      <c r="HH3" s="3525" t="s">
        <v>3693</v>
      </c>
      <c r="HI3" s="3526" t="s">
        <v>3573</v>
      </c>
      <c r="HJ3" s="3524" t="s">
        <v>3694</v>
      </c>
      <c r="HK3" s="3531" t="s">
        <v>3695</v>
      </c>
      <c r="HL3" s="3525" t="s">
        <v>3696</v>
      </c>
      <c r="HM3" s="3526" t="s">
        <v>3573</v>
      </c>
      <c r="HN3" s="3524" t="s">
        <v>3697</v>
      </c>
      <c r="HO3" s="3531" t="s">
        <v>3698</v>
      </c>
      <c r="HP3" s="3525" t="s">
        <v>3699</v>
      </c>
      <c r="HQ3" s="3526" t="s">
        <v>3573</v>
      </c>
      <c r="HR3" s="3524" t="s">
        <v>3700</v>
      </c>
      <c r="HS3" s="3531" t="s">
        <v>3701</v>
      </c>
      <c r="HT3" s="3525" t="s">
        <v>3702</v>
      </c>
      <c r="HU3" s="3526" t="s">
        <v>3573</v>
      </c>
      <c r="HV3" s="3524" t="s">
        <v>3703</v>
      </c>
      <c r="HW3" s="3531" t="s">
        <v>3704</v>
      </c>
      <c r="HX3" s="3525" t="s">
        <v>3705</v>
      </c>
      <c r="HY3" s="3526" t="s">
        <v>3573</v>
      </c>
      <c r="HZ3" s="3524" t="s">
        <v>3706</v>
      </c>
      <c r="IA3" s="3531" t="s">
        <v>3707</v>
      </c>
      <c r="IB3" s="3525" t="s">
        <v>3708</v>
      </c>
      <c r="IC3" s="3526" t="s">
        <v>3573</v>
      </c>
      <c r="ID3" s="3524" t="s">
        <v>3709</v>
      </c>
      <c r="IE3" s="3531" t="s">
        <v>3710</v>
      </c>
      <c r="IF3" s="3525" t="s">
        <v>3711</v>
      </c>
      <c r="IG3" s="3526" t="s">
        <v>3573</v>
      </c>
      <c r="IH3" s="3524" t="s">
        <v>3712</v>
      </c>
      <c r="II3" s="3531" t="s">
        <v>3713</v>
      </c>
      <c r="IJ3" s="3525" t="s">
        <v>3714</v>
      </c>
      <c r="IK3" s="3526" t="s">
        <v>3573</v>
      </c>
      <c r="IL3" s="3532" t="s">
        <v>3715</v>
      </c>
      <c r="IM3" s="3532" t="s">
        <v>3716</v>
      </c>
      <c r="IN3" s="3532" t="s">
        <v>3717</v>
      </c>
      <c r="IO3" s="3533" t="s">
        <v>4978</v>
      </c>
      <c r="IP3" s="3775" t="s">
        <v>4979</v>
      </c>
      <c r="IQ3" s="3533" t="s">
        <v>3720</v>
      </c>
      <c r="IR3" s="3533" t="s">
        <v>3721</v>
      </c>
      <c r="IS3" s="3533" t="s">
        <v>3722</v>
      </c>
      <c r="IT3" s="3533" t="s">
        <v>3723</v>
      </c>
      <c r="IU3" s="3533" t="s">
        <v>3724</v>
      </c>
      <c r="IV3" s="3533" t="s">
        <v>3725</v>
      </c>
      <c r="IW3" s="3533" t="s">
        <v>3726</v>
      </c>
      <c r="IX3" s="3533" t="s">
        <v>3727</v>
      </c>
      <c r="IY3" s="3533" t="s">
        <v>3728</v>
      </c>
      <c r="IZ3" s="3533" t="s">
        <v>3729</v>
      </c>
      <c r="JA3" s="3533" t="s">
        <v>3730</v>
      </c>
      <c r="JB3" s="3533" t="s">
        <v>3731</v>
      </c>
      <c r="JC3" s="3535" t="s">
        <v>4980</v>
      </c>
      <c r="JD3" s="3533" t="s">
        <v>3733</v>
      </c>
      <c r="JE3" s="3533" t="s">
        <v>3734</v>
      </c>
      <c r="JF3" s="3533" t="s">
        <v>3735</v>
      </c>
      <c r="JG3" s="3533" t="s">
        <v>3736</v>
      </c>
      <c r="JH3" s="3533" t="s">
        <v>3737</v>
      </c>
      <c r="JI3" s="3533" t="s">
        <v>3738</v>
      </c>
      <c r="JJ3" s="3533" t="s">
        <v>3739</v>
      </c>
      <c r="JK3" s="3533" t="s">
        <v>3740</v>
      </c>
      <c r="JL3" s="3533" t="s">
        <v>3741</v>
      </c>
      <c r="JM3" s="3533" t="s">
        <v>3742</v>
      </c>
      <c r="JN3" s="3533" t="s">
        <v>3743</v>
      </c>
      <c r="JO3" s="3533" t="s">
        <v>3744</v>
      </c>
      <c r="JP3" s="3536" t="s">
        <v>3745</v>
      </c>
      <c r="JQ3" s="3533" t="s">
        <v>3746</v>
      </c>
      <c r="JR3" s="3533" t="s">
        <v>3747</v>
      </c>
      <c r="JS3" s="3537" t="s">
        <v>3748</v>
      </c>
      <c r="JT3" s="3537" t="s">
        <v>3749</v>
      </c>
      <c r="JU3" s="3538" t="s">
        <v>3750</v>
      </c>
      <c r="JV3" s="3538" t="s">
        <v>3751</v>
      </c>
      <c r="JX3" s="3537" t="s">
        <v>3752</v>
      </c>
      <c r="JY3" s="3537" t="s">
        <v>3753</v>
      </c>
      <c r="JZ3" s="3539"/>
      <c r="KA3" s="3538" t="s">
        <v>3754</v>
      </c>
      <c r="KB3" s="3538" t="s">
        <v>3755</v>
      </c>
      <c r="KC3" s="3538" t="s">
        <v>3756</v>
      </c>
      <c r="KD3" s="3538" t="s">
        <v>3757</v>
      </c>
      <c r="KE3" s="3538" t="s">
        <v>3758</v>
      </c>
      <c r="KF3" s="3776" t="s">
        <v>4981</v>
      </c>
      <c r="KG3" s="3777" t="s">
        <v>4069</v>
      </c>
      <c r="KH3" s="3776" t="s">
        <v>4982</v>
      </c>
      <c r="KI3" s="3776" t="s">
        <v>4983</v>
      </c>
      <c r="KJ3" s="3776" t="s">
        <v>3763</v>
      </c>
      <c r="KK3" s="3776" t="s">
        <v>3764</v>
      </c>
      <c r="KL3" s="3776" t="s">
        <v>4984</v>
      </c>
      <c r="KM3" s="3776" t="s">
        <v>3766</v>
      </c>
      <c r="KN3" s="3776" t="s">
        <v>3769</v>
      </c>
      <c r="KO3" s="3541" t="s">
        <v>3757</v>
      </c>
      <c r="KP3" s="3541" t="s">
        <v>3770</v>
      </c>
      <c r="KQ3" s="3539"/>
      <c r="KR3" s="3539"/>
    </row>
    <row r="4" spans="1:304" s="3580" customFormat="1" ht="32.1" customHeight="1">
      <c r="A4" s="3545">
        <v>1</v>
      </c>
      <c r="B4" s="3546" t="s">
        <v>4985</v>
      </c>
      <c r="C4" s="3546" t="s">
        <v>4986</v>
      </c>
      <c r="D4" s="3547">
        <v>453.26</v>
      </c>
      <c r="E4" s="3548" t="s">
        <v>3799</v>
      </c>
      <c r="F4" s="3546" t="s">
        <v>4987</v>
      </c>
      <c r="G4" s="3546" t="s">
        <v>4988</v>
      </c>
      <c r="H4" s="3546" t="s">
        <v>4989</v>
      </c>
      <c r="I4" s="3594" t="s">
        <v>4990</v>
      </c>
      <c r="J4" s="3629" t="s">
        <v>4991</v>
      </c>
      <c r="K4" s="3607" t="s">
        <v>4992</v>
      </c>
      <c r="L4" s="3655" t="s">
        <v>4993</v>
      </c>
      <c r="M4" s="3561">
        <v>246919.05</v>
      </c>
      <c r="N4" s="3561">
        <v>246919.05</v>
      </c>
      <c r="O4" s="3551">
        <f>N4-M4</f>
        <v>0</v>
      </c>
      <c r="P4" s="3561">
        <v>34328.79</v>
      </c>
      <c r="Q4" s="3561">
        <v>34328.79</v>
      </c>
      <c r="R4" s="3547">
        <f>Q4-P4</f>
        <v>0</v>
      </c>
      <c r="S4" s="3547">
        <f>U4/365/D4</f>
        <v>6.3099997038199369</v>
      </c>
      <c r="T4" s="3778">
        <v>86993.81</v>
      </c>
      <c r="U4" s="3561">
        <f>T4*12</f>
        <v>1043925.72</v>
      </c>
      <c r="V4" s="3547">
        <v>5211666.6900000004</v>
      </c>
      <c r="W4" s="3547">
        <f>Y4/365/D4</f>
        <v>0.83000025991311643</v>
      </c>
      <c r="X4" s="3779">
        <v>11442.93</v>
      </c>
      <c r="Y4" s="3547">
        <f>X4*12</f>
        <v>137315.16</v>
      </c>
      <c r="Z4" s="3554"/>
      <c r="AA4" s="3555"/>
      <c r="AB4" s="3680" t="s">
        <v>3804</v>
      </c>
      <c r="AC4" s="3556">
        <f>SUM(AN4,AV4,BD4,BL4,BT4,CB4,CJ4,CR4,CZ4,DH4,DP4,DX4)</f>
        <v>948124.69676712318</v>
      </c>
      <c r="AD4" s="3780">
        <f>SUM(AN4,AV4,BD4,BL4,BT4,CB4,CJ4,CR4,CZ4)</f>
        <v>687143.26676712325</v>
      </c>
      <c r="AE4" s="3780">
        <f>SUM(AO4,AW4,BE4,BM4,BU4,CC4,CK4,CS4,DA4)</f>
        <v>687143.27</v>
      </c>
      <c r="AF4" s="3556">
        <f>AE4-AD4</f>
        <v>3.2328767701983452E-3</v>
      </c>
      <c r="AG4" s="3556"/>
      <c r="AH4" s="3557">
        <f>SUM(AQ4,AY4,BG4,BO4,BW4,CE4,CM4,CU4,DC4,DK4,DS4,EA4)</f>
        <v>137315.16</v>
      </c>
      <c r="AI4" s="3558">
        <f>SUM(AQ4,AY4,BG4,BO4,BW4,CE4,CM4,CU4,DC4)</f>
        <v>102986.37</v>
      </c>
      <c r="AJ4" s="3558">
        <f>SUM(AR4,AZ4,BH4,BP4,BX4,CF4,CN4,CV4,DD4)</f>
        <v>102986.37</v>
      </c>
      <c r="AK4" s="3557">
        <f>AJ4-AI4</f>
        <v>0</v>
      </c>
      <c r="AL4" s="3557"/>
      <c r="AM4" s="3644" t="s">
        <v>4111</v>
      </c>
      <c r="AN4" s="3781">
        <f>82306.35+82306.35*12/365*19+86993.81*12/365*11</f>
        <v>165180.40676712329</v>
      </c>
      <c r="AO4" s="3681">
        <v>165180.41</v>
      </c>
      <c r="AP4" s="3561">
        <f>AO4-AN4</f>
        <v>3.2328767119906843E-3</v>
      </c>
      <c r="AQ4" s="3782">
        <f>11442.93*3</f>
        <v>34328.79</v>
      </c>
      <c r="AR4" s="3681">
        <f>34328.79</f>
        <v>34328.79</v>
      </c>
      <c r="AS4" s="3561">
        <f>AR4-AQ4</f>
        <v>0</v>
      </c>
      <c r="AT4" s="3783" t="s">
        <v>4994</v>
      </c>
      <c r="AU4" s="3547"/>
      <c r="AV4" s="3782"/>
      <c r="AW4" s="3681"/>
      <c r="AX4" s="3561">
        <f>AW4-AV4</f>
        <v>0</v>
      </c>
      <c r="AY4" s="3782"/>
      <c r="AZ4" s="3681"/>
      <c r="BA4" s="3561">
        <f>AZ4-AY4</f>
        <v>0</v>
      </c>
      <c r="BB4" s="3783" t="s">
        <v>4994</v>
      </c>
      <c r="BC4" s="3547"/>
      <c r="BD4" s="3782"/>
      <c r="BE4" s="3681"/>
      <c r="BF4" s="3561">
        <f>BE4-BD4</f>
        <v>0</v>
      </c>
      <c r="BG4" s="3782"/>
      <c r="BH4" s="3681"/>
      <c r="BI4" s="3561">
        <f>BH4-BG4</f>
        <v>0</v>
      </c>
      <c r="BJ4" s="3783" t="s">
        <v>4994</v>
      </c>
      <c r="BK4" s="3547" t="s">
        <v>4102</v>
      </c>
      <c r="BL4" s="3782">
        <f>86993.81*3</f>
        <v>260981.43</v>
      </c>
      <c r="BM4" s="3681">
        <v>260981.43</v>
      </c>
      <c r="BN4" s="3561">
        <f>BM4-BL4</f>
        <v>0</v>
      </c>
      <c r="BO4" s="3782">
        <f>11442.93*3</f>
        <v>34328.79</v>
      </c>
      <c r="BP4" s="3681">
        <f>34328.79</f>
        <v>34328.79</v>
      </c>
      <c r="BQ4" s="3561">
        <f>BP4-BO4</f>
        <v>0</v>
      </c>
      <c r="BR4" s="3783" t="s">
        <v>4995</v>
      </c>
      <c r="BS4" s="3547"/>
      <c r="BT4" s="3782"/>
      <c r="BU4" s="3681"/>
      <c r="BV4" s="3561">
        <f>BU4-BT4</f>
        <v>0</v>
      </c>
      <c r="BW4" s="3782"/>
      <c r="BX4" s="3681"/>
      <c r="BY4" s="3561">
        <f>BX4-BW4</f>
        <v>0</v>
      </c>
      <c r="BZ4" s="3783" t="s">
        <v>4995</v>
      </c>
      <c r="CA4" s="3547"/>
      <c r="CB4" s="3782"/>
      <c r="CC4" s="3681"/>
      <c r="CD4" s="3561">
        <f>CC4-CB4</f>
        <v>0</v>
      </c>
      <c r="CE4" s="3782"/>
      <c r="CF4" s="3681"/>
      <c r="CG4" s="3561">
        <f>CF4-CE4</f>
        <v>0</v>
      </c>
      <c r="CH4" s="3783" t="s">
        <v>4995</v>
      </c>
      <c r="CI4" s="3547" t="s">
        <v>4104</v>
      </c>
      <c r="CJ4" s="3782">
        <f>86993.81*3</f>
        <v>260981.43</v>
      </c>
      <c r="CK4" s="3681">
        <v>260981.43</v>
      </c>
      <c r="CL4" s="3561">
        <f>CK4-CJ4</f>
        <v>0</v>
      </c>
      <c r="CM4" s="3782">
        <f>11442.93*3</f>
        <v>34328.79</v>
      </c>
      <c r="CN4" s="3681">
        <v>34328.79</v>
      </c>
      <c r="CO4" s="3561">
        <f>CN4-CM4</f>
        <v>0</v>
      </c>
      <c r="CP4" s="3783" t="s">
        <v>4996</v>
      </c>
      <c r="CQ4" s="3547"/>
      <c r="CR4" s="3782"/>
      <c r="CS4" s="3681"/>
      <c r="CT4" s="3561">
        <f t="shared" ref="CT4:CT17" si="0">CS4-CR4</f>
        <v>0</v>
      </c>
      <c r="CU4" s="3782"/>
      <c r="CV4" s="3681"/>
      <c r="CW4" s="3561">
        <f t="shared" ref="CW4:CW17" si="1">CV4-CU4</f>
        <v>0</v>
      </c>
      <c r="CX4" s="3783" t="s">
        <v>4996</v>
      </c>
      <c r="CY4" s="3547"/>
      <c r="CZ4" s="3782"/>
      <c r="DA4" s="3681"/>
      <c r="DB4" s="3561">
        <f t="shared" ref="DB4:DB17" si="2">DA4-CZ4</f>
        <v>0</v>
      </c>
      <c r="DC4" s="3782"/>
      <c r="DD4" s="3681"/>
      <c r="DE4" s="3561">
        <f t="shared" ref="DE4:DE17" si="3">DD4-DC4</f>
        <v>0</v>
      </c>
      <c r="DF4" s="3783" t="s">
        <v>4996</v>
      </c>
      <c r="DG4" s="3547" t="s">
        <v>4106</v>
      </c>
      <c r="DH4" s="3782">
        <f>86993.81*3</f>
        <v>260981.43</v>
      </c>
      <c r="DI4" s="3681"/>
      <c r="DJ4" s="3561">
        <f t="shared" ref="DJ4:DJ17" si="4">DI4-DH4</f>
        <v>-260981.43</v>
      </c>
      <c r="DK4" s="3782">
        <f>11442.93*3</f>
        <v>34328.79</v>
      </c>
      <c r="DL4" s="3681"/>
      <c r="DM4" s="3561">
        <f t="shared" ref="DM4:DM17" si="5">DL4-DK4</f>
        <v>-34328.79</v>
      </c>
      <c r="DN4" s="3784"/>
      <c r="DO4" s="3547"/>
      <c r="DP4" s="3782"/>
      <c r="DQ4" s="3681"/>
      <c r="DR4" s="3561">
        <f t="shared" ref="DR4:DR17" si="6">DQ4-DP4</f>
        <v>0</v>
      </c>
      <c r="DS4" s="3782"/>
      <c r="DT4" s="3681"/>
      <c r="DU4" s="3561">
        <f t="shared" ref="DU4:DU17" si="7">DT4-DS4</f>
        <v>0</v>
      </c>
      <c r="DV4" s="3784"/>
      <c r="DW4" s="3547"/>
      <c r="DX4" s="3782"/>
      <c r="DY4" s="3681"/>
      <c r="DZ4" s="3561">
        <f t="shared" ref="DZ4:DZ17" si="8">DY4-DX4</f>
        <v>0</v>
      </c>
      <c r="EA4" s="3782"/>
      <c r="EB4" s="3681"/>
      <c r="EC4" s="3561">
        <f t="shared" ref="EC4:EC17" si="9">EB4-EA4</f>
        <v>0</v>
      </c>
      <c r="ED4" s="3784"/>
      <c r="EF4" s="3565">
        <f>SUM(ET4,FB4,FJ4,FR4,FZ4,GH4,GP4,GX4,HF4,HN4,HV4,ID4)</f>
        <v>898511.68720634922</v>
      </c>
      <c r="EG4" s="3565">
        <f>SUM(ET4,FB4,FJ4,FR4,FZ4,GH4,GP4,GX4,HF4)</f>
        <v>649957.93268253969</v>
      </c>
      <c r="EH4" s="3565">
        <f>SUM(EU4,FC4,FK4,FS4,GA4,GI4,GQ4,GY4,HG4)</f>
        <v>649957.91120678419</v>
      </c>
      <c r="EI4" s="3565">
        <f>SUM(EV4,FD4,FL4,FT4,GB4,GJ4,GR4,GZ4,HH4)</f>
        <v>649957.91428571439</v>
      </c>
      <c r="EJ4" s="3565">
        <f>EI4-EG4</f>
        <v>-1.8396825296804309E-2</v>
      </c>
      <c r="EK4" s="3565">
        <f>EI4-EH4</f>
        <v>3.078930196352303E-3</v>
      </c>
      <c r="EL4" s="3556"/>
      <c r="EM4" s="3557">
        <f>SUM(EX4,FF4,FN4,FV4,GD4,GL4,GT4,HB4,HJ4,HR4,HZ4,IH4)</f>
        <v>129542.56320754677</v>
      </c>
      <c r="EN4" s="3557">
        <f>SUM(EX4,FF4,FN4,FV4,GD4,GL4,GT4,HB4,HJ4)</f>
        <v>97156.922405660094</v>
      </c>
      <c r="EO4" s="3557">
        <f>SUM(EY4,FG4,FO4,FW4,GE4,GM4,GU4,HC4,HK4)</f>
        <v>97156.952830188689</v>
      </c>
      <c r="EP4" s="3557">
        <f>SUM(EZ4,FH4,FP4,FX4,GF4,GN4,GV4,HD4,HL4)</f>
        <v>97156.952830188689</v>
      </c>
      <c r="EQ4" s="3557">
        <f>EP4-EN4</f>
        <v>3.0424528595176525E-2</v>
      </c>
      <c r="ER4" s="3557">
        <f>EP4-EO4</f>
        <v>0</v>
      </c>
      <c r="ES4" s="3557"/>
      <c r="ET4" s="3568">
        <v>78387.000238095206</v>
      </c>
      <c r="EU4" s="3569">
        <f>82306.35/1.05</f>
        <v>78387</v>
      </c>
      <c r="EV4" s="3625">
        <f>246919.05/3/1.05</f>
        <v>78386.999999999985</v>
      </c>
      <c r="EW4" s="3547">
        <f>EV4-ET4</f>
        <v>-2.3809522099327296E-4</v>
      </c>
      <c r="EX4" s="3568">
        <v>10795.2136006289</v>
      </c>
      <c r="EY4" s="3569">
        <f>11442.93/1.06</f>
        <v>10795.216981132075</v>
      </c>
      <c r="EZ4" s="3562">
        <f>34328.79/3/1.06</f>
        <v>10795.216981132075</v>
      </c>
      <c r="FA4" s="3547">
        <f>EZ4-EX4</f>
        <v>3.3805031744122971E-3</v>
      </c>
      <c r="FB4" s="3568">
        <v>78387.000238095206</v>
      </c>
      <c r="FC4" s="3569">
        <f>82306.35/1.05</f>
        <v>78387</v>
      </c>
      <c r="FD4" s="3625">
        <f>82306.35/1.05</f>
        <v>78387</v>
      </c>
      <c r="FE4" s="3547">
        <f>FD4-FB4</f>
        <v>-2.3809520644135773E-4</v>
      </c>
      <c r="FF4" s="3568">
        <v>10795.2136006289</v>
      </c>
      <c r="FG4" s="3569">
        <f>11442.93/1.06</f>
        <v>10795.216981132075</v>
      </c>
      <c r="FH4" s="3625">
        <f>34328.79/3/1.06</f>
        <v>10795.216981132075</v>
      </c>
      <c r="FI4" s="3547">
        <f>FH4-FF4</f>
        <v>3.3805031744122971E-3</v>
      </c>
      <c r="FJ4" s="3568">
        <v>48965.030285714303</v>
      </c>
      <c r="FK4" s="3646">
        <f>82306.35/1.05*12/365*19</f>
        <v>48965.030136986301</v>
      </c>
      <c r="FL4" s="3785">
        <f>165180.41/1.05-82306.35/1.05-86993.81*12/365*11/1.05</f>
        <v>48965.033215916512</v>
      </c>
      <c r="FM4" s="3547">
        <f>FL4-FJ4</f>
        <v>2.9302022085175849E-3</v>
      </c>
      <c r="FN4" s="3568">
        <v>10795.2136006289</v>
      </c>
      <c r="FO4" s="3569">
        <f>11442.93/1.06</f>
        <v>10795.216981132075</v>
      </c>
      <c r="FP4" s="3625">
        <f>34328.79/3/1.06</f>
        <v>10795.216981132075</v>
      </c>
      <c r="FQ4" s="3547">
        <f>FP4-FN4</f>
        <v>3.3805031744122971E-3</v>
      </c>
      <c r="FR4" s="3568">
        <v>29962.644380952399</v>
      </c>
      <c r="FS4" s="3646">
        <f>86993.81/1.05*12/365*11</f>
        <v>29962.642974559687</v>
      </c>
      <c r="FT4" s="3661">
        <f>86993.81*12/365*11/1.05</f>
        <v>29962.642974559687</v>
      </c>
      <c r="FU4" s="3547">
        <f>FT4-FR4</f>
        <v>-1.406392711942317E-3</v>
      </c>
      <c r="FV4" s="3568">
        <v>10795.2136006289</v>
      </c>
      <c r="FW4" s="3569">
        <f>11442.93/1.06</f>
        <v>10795.216981132075</v>
      </c>
      <c r="FX4" s="3625">
        <f>34328.79/3/1.06</f>
        <v>10795.216981132075</v>
      </c>
      <c r="FY4" s="3547">
        <f>FX4-FV4</f>
        <v>3.3805031744122971E-3</v>
      </c>
      <c r="FZ4" s="3568">
        <v>82851.251507936497</v>
      </c>
      <c r="GA4" s="3569">
        <f>86993.81/1.05</f>
        <v>82851.247619047615</v>
      </c>
      <c r="GB4" s="3562">
        <f>260981.43/3/1.05</f>
        <v>82851.247619047615</v>
      </c>
      <c r="GC4" s="3547">
        <f>GB4-FZ4</f>
        <v>-3.8888888811925426E-3</v>
      </c>
      <c r="GD4" s="3568">
        <v>10795.2136006289</v>
      </c>
      <c r="GE4" s="3569">
        <f>11442.93/1.06</f>
        <v>10795.216981132075</v>
      </c>
      <c r="GF4" s="3562">
        <f>34328.79/3/1.06</f>
        <v>10795.216981132075</v>
      </c>
      <c r="GG4" s="3547">
        <f>GF4-GD4</f>
        <v>3.3805031744122971E-3</v>
      </c>
      <c r="GH4" s="3568">
        <v>82851.251507936497</v>
      </c>
      <c r="GI4" s="3569">
        <f>86993.81/1.05</f>
        <v>82851.247619047615</v>
      </c>
      <c r="GJ4" s="3562">
        <f>260981.43/3/1.05</f>
        <v>82851.247619047615</v>
      </c>
      <c r="GK4" s="3547">
        <f>GJ4-GH4</f>
        <v>-3.8888888811925426E-3</v>
      </c>
      <c r="GL4" s="3568">
        <v>10795.2136006289</v>
      </c>
      <c r="GM4" s="3569">
        <f>11442.93/1.06</f>
        <v>10795.216981132075</v>
      </c>
      <c r="GN4" s="3562">
        <f>34328.79/3/1.06</f>
        <v>10795.216981132075</v>
      </c>
      <c r="GO4" s="3547">
        <f>GN4-GL4</f>
        <v>3.3805031744122971E-3</v>
      </c>
      <c r="GP4" s="3568">
        <v>82851.251507936497</v>
      </c>
      <c r="GQ4" s="3569">
        <f>86993.81/1.05</f>
        <v>82851.247619047615</v>
      </c>
      <c r="GR4" s="3562">
        <f>260981.43/3/1.05</f>
        <v>82851.247619047615</v>
      </c>
      <c r="GS4" s="3547">
        <f>GR4-GP4</f>
        <v>-3.8888888811925426E-3</v>
      </c>
      <c r="GT4" s="3568">
        <v>10795.2136006289</v>
      </c>
      <c r="GU4" s="3569">
        <f>11442.93/1.06</f>
        <v>10795.216981132075</v>
      </c>
      <c r="GV4" s="3562">
        <f>34328.79/3/1.06</f>
        <v>10795.216981132075</v>
      </c>
      <c r="GW4" s="3547">
        <f>GV4-GT4</f>
        <v>3.3805031744122971E-3</v>
      </c>
      <c r="GX4" s="3568">
        <v>82851.251507936497</v>
      </c>
      <c r="GY4" s="3569">
        <f>86993.81/1.05</f>
        <v>82851.247619047615</v>
      </c>
      <c r="GZ4" s="3562">
        <f>260981.43/3/1.05</f>
        <v>82851.247619047615</v>
      </c>
      <c r="HA4" s="3547">
        <f t="shared" ref="HA4:HA17" si="10">GZ4-GX4</f>
        <v>-3.8888888811925426E-3</v>
      </c>
      <c r="HB4" s="3568">
        <v>10795.2136006289</v>
      </c>
      <c r="HC4" s="3569">
        <f>11442.93/1.06</f>
        <v>10795.216981132075</v>
      </c>
      <c r="HD4" s="3562">
        <f>34328.79/3/1.06</f>
        <v>10795.216981132075</v>
      </c>
      <c r="HE4" s="3547">
        <f t="shared" ref="HE4:HE17" si="11">HD4-HB4</f>
        <v>3.3805031744122971E-3</v>
      </c>
      <c r="HF4" s="3568">
        <v>82851.251507936497</v>
      </c>
      <c r="HG4" s="3569">
        <f>86993.81/1.05</f>
        <v>82851.247619047615</v>
      </c>
      <c r="HH4" s="3562">
        <f>260981.43/3/1.05</f>
        <v>82851.247619047615</v>
      </c>
      <c r="HI4" s="3547">
        <f t="shared" ref="HI4:HI17" si="12">HH4-HF4</f>
        <v>-3.8888888811925426E-3</v>
      </c>
      <c r="HJ4" s="3568">
        <v>10795.2136006289</v>
      </c>
      <c r="HK4" s="3569">
        <f>11442.93/1.06</f>
        <v>10795.216981132075</v>
      </c>
      <c r="HL4" s="3562">
        <f>34328.79/3/1.06</f>
        <v>10795.216981132075</v>
      </c>
      <c r="HM4" s="3547">
        <f t="shared" ref="HM4:HM17" si="13">HL4-HJ4</f>
        <v>3.3805031744122971E-3</v>
      </c>
      <c r="HN4" s="3568">
        <v>82851.251507936497</v>
      </c>
      <c r="HO4" s="3569">
        <f>86993.81/1.05</f>
        <v>82851.247619047615</v>
      </c>
      <c r="HP4" s="3562">
        <f>260981.43/3/1.05</f>
        <v>82851.247619047615</v>
      </c>
      <c r="HQ4" s="3547">
        <f t="shared" ref="HQ4:HQ17" si="14">HP4-HN4</f>
        <v>-3.8888888811925426E-3</v>
      </c>
      <c r="HR4" s="3568">
        <v>10795.2136006289</v>
      </c>
      <c r="HS4" s="3569">
        <f>11442.93/1.06</f>
        <v>10795.216981132075</v>
      </c>
      <c r="HT4" s="3562">
        <f>34328.79/3/1.06</f>
        <v>10795.216981132075</v>
      </c>
      <c r="HU4" s="3547">
        <f t="shared" ref="HU4:HU17" si="15">HT4-HR4</f>
        <v>3.3805031744122971E-3</v>
      </c>
      <c r="HV4" s="3568">
        <v>82851.251507936497</v>
      </c>
      <c r="HW4" s="3569">
        <f>86993.81/1.05</f>
        <v>82851.247619047615</v>
      </c>
      <c r="HX4" s="3562"/>
      <c r="HY4" s="3547">
        <f t="shared" ref="HY4:HY17" si="16">HX4-HV4</f>
        <v>-82851.251507936497</v>
      </c>
      <c r="HZ4" s="3568">
        <v>10795.2136006289</v>
      </c>
      <c r="IA4" s="3569">
        <f>11442.93/1.06</f>
        <v>10795.216981132075</v>
      </c>
      <c r="IB4" s="3562"/>
      <c r="IC4" s="3547">
        <f t="shared" ref="IC4:IC17" si="17">IB4-HZ4</f>
        <v>-10795.2136006289</v>
      </c>
      <c r="ID4" s="3568">
        <v>82851.251507936497</v>
      </c>
      <c r="IE4" s="3569">
        <f>86993.81/1.05</f>
        <v>82851.247619047615</v>
      </c>
      <c r="IF4" s="3562"/>
      <c r="IG4" s="3547">
        <f t="shared" ref="IG4:IG17" si="18">IF4-ID4</f>
        <v>-82851.251507936497</v>
      </c>
      <c r="IH4" s="3568">
        <v>10795.2136006289</v>
      </c>
      <c r="II4" s="3569">
        <f>11442.93/1.06</f>
        <v>10795.216981132075</v>
      </c>
      <c r="IJ4" s="3562"/>
      <c r="IK4" s="3547">
        <f t="shared" ref="IK4:IK17" si="19">IJ4-IH4</f>
        <v>-10795.2136006289</v>
      </c>
      <c r="IL4" s="3607" t="s">
        <v>3970</v>
      </c>
      <c r="IM4" s="3569">
        <f>86993.81/1.05</f>
        <v>82851.247619047615</v>
      </c>
      <c r="IN4" s="3569">
        <f>11442.93/1.06</f>
        <v>10795.216981132075</v>
      </c>
      <c r="IO4" s="3593"/>
      <c r="IP4" s="3786">
        <f>SUM(IQ4:JB4)</f>
        <v>0</v>
      </c>
      <c r="IQ4" s="3787"/>
      <c r="IR4" s="3787"/>
      <c r="IS4" s="3787"/>
      <c r="IT4" s="3625"/>
      <c r="IU4" s="3625"/>
      <c r="IV4" s="3625"/>
      <c r="IW4" s="3625"/>
      <c r="IX4" s="3625"/>
      <c r="IY4" s="3625"/>
      <c r="IZ4" s="3625"/>
      <c r="JA4" s="3625"/>
      <c r="JB4" s="3625"/>
      <c r="JC4" s="3788">
        <f>SUM(JD4:JO4)</f>
        <v>0</v>
      </c>
      <c r="JD4" s="3787"/>
      <c r="JE4" s="3787"/>
      <c r="JF4" s="3787"/>
      <c r="JG4" s="3625"/>
      <c r="JH4" s="3625"/>
      <c r="JI4" s="3625"/>
      <c r="JJ4" s="3625"/>
      <c r="JK4" s="3625"/>
      <c r="JL4" s="3625"/>
      <c r="JM4" s="3625"/>
      <c r="JN4" s="3625"/>
      <c r="JO4" s="3625"/>
      <c r="JP4" s="3607" t="s">
        <v>3837</v>
      </c>
      <c r="JQ4" s="3569">
        <f>82306.35/1.05</f>
        <v>78387</v>
      </c>
      <c r="JR4" s="3569">
        <f>11442.93/1.06</f>
        <v>10795.216981132075</v>
      </c>
      <c r="JS4" s="3547">
        <f>JQ4+(AN4+AV4+BD4+BL4+BT4+CB4+CJ4+CR4+CZ4+DH4+DP4+DX4)/1.05-(EU4+FC4+FK4+FS4+GA4+GI4+GQ4+GY4+HG4+HO4+HW4+IE4)-IM4</f>
        <v>-3.2014213502407074E-10</v>
      </c>
      <c r="JT4" s="3573">
        <f>JR4+(AQ4+AY4+BG4+BO4+BW4+CE4+CM4+CU4+DC4+DK4+DS4+EA4)/1.06-(EY4+FG4+FO4+FW4+GE4+GM4+GU4+HC4+HK4+HS4+IA4+II4)-IN4</f>
        <v>0</v>
      </c>
      <c r="JU4" s="3573">
        <f>JQ4+AE4/1.05-EI4-JX4</f>
        <v>0</v>
      </c>
      <c r="JV4" s="3573">
        <f>JR4+AJ4/1.06-EP4-JY4</f>
        <v>0</v>
      </c>
      <c r="JW4" s="3580">
        <f>T4*12/365/D4</f>
        <v>6.3099997038199369</v>
      </c>
      <c r="JX4" s="3576">
        <f>HP4+HX4+IF4+IP4</f>
        <v>82851.247619047615</v>
      </c>
      <c r="JY4" s="3576">
        <f>HT4+IB4+IJ4+JC4</f>
        <v>10795.216981132075</v>
      </c>
      <c r="JZ4" s="3577"/>
      <c r="KA4" s="3576">
        <f>HI4+HM4</f>
        <v>-5.0838570678024553E-4</v>
      </c>
      <c r="KB4" s="3576"/>
      <c r="KC4" s="3576"/>
      <c r="KD4" s="3576">
        <f>SUM(KA4:KC4)</f>
        <v>-5.0838570678024553E-4</v>
      </c>
      <c r="KE4" s="3789"/>
      <c r="KF4" s="3579"/>
      <c r="KG4" s="3579"/>
      <c r="KH4" s="3579"/>
      <c r="KI4" s="3579"/>
      <c r="KJ4" s="3579"/>
      <c r="KK4" s="3579"/>
      <c r="KL4" s="3579"/>
      <c r="KM4" s="3579"/>
      <c r="KN4" s="3579"/>
      <c r="KO4" s="3579">
        <f>SUM(KF4:KN4)</f>
        <v>0</v>
      </c>
      <c r="KP4" s="3579">
        <f>(EJ4+EQ4)/10000-KO4</f>
        <v>1.2027703298372218E-6</v>
      </c>
      <c r="KQ4" s="3577"/>
      <c r="KR4" s="3577"/>
    </row>
    <row r="5" spans="1:304" s="3580" customFormat="1" ht="32.1" customHeight="1">
      <c r="A5" s="3545">
        <v>2</v>
      </c>
      <c r="B5" s="3546" t="s">
        <v>4985</v>
      </c>
      <c r="C5" s="3546" t="s">
        <v>4997</v>
      </c>
      <c r="D5" s="3547">
        <f>3528.28+97.17+46.71</f>
        <v>3672.1600000000003</v>
      </c>
      <c r="E5" s="3548" t="s">
        <v>3799</v>
      </c>
      <c r="F5" s="3546" t="s">
        <v>4987</v>
      </c>
      <c r="G5" s="3546" t="s">
        <v>4988</v>
      </c>
      <c r="H5" s="3655" t="s">
        <v>4998</v>
      </c>
      <c r="I5" s="3594" t="s">
        <v>4990</v>
      </c>
      <c r="J5" s="3629" t="s">
        <v>4991</v>
      </c>
      <c r="K5" s="3607" t="s">
        <v>4992</v>
      </c>
      <c r="L5" s="3655" t="s">
        <v>4993</v>
      </c>
      <c r="M5" s="3561">
        <f>1986465.75+54707.91+26298.3</f>
        <v>2067471.96</v>
      </c>
      <c r="N5" s="3561">
        <v>2067471.96</v>
      </c>
      <c r="O5" s="3551">
        <f t="shared" ref="O5:O17" si="20">N5-M5</f>
        <v>0</v>
      </c>
      <c r="P5" s="3561">
        <f>267223.11+7359.42+3537.69</f>
        <v>278120.21999999997</v>
      </c>
      <c r="Q5" s="3561">
        <v>278120.21999999997</v>
      </c>
      <c r="R5" s="3547">
        <f t="shared" ref="R5:R17" si="21">Q5-P5</f>
        <v>0</v>
      </c>
      <c r="S5" s="3547">
        <f t="shared" ref="S5:S17" si="22">U5/365/D5</f>
        <v>6.5199999940313571</v>
      </c>
      <c r="T5" s="3778">
        <v>728250.53</v>
      </c>
      <c r="U5" s="3561">
        <f t="shared" ref="U5:U17" si="23">T5*12</f>
        <v>8739006.3599999994</v>
      </c>
      <c r="V5" s="3551">
        <f>41804916.87+1149835.96+552769.07</f>
        <v>43507521.899999999</v>
      </c>
      <c r="W5" s="3547">
        <f t="shared" ref="W5:W17" si="24">Y5/365/D5</f>
        <v>0.83000000596864176</v>
      </c>
      <c r="X5" s="3779">
        <f>89074.37+2453.14+1179.23</f>
        <v>92706.739999999991</v>
      </c>
      <c r="Y5" s="3547">
        <f t="shared" ref="Y5:Y17" si="25">X5*12</f>
        <v>1112480.8799999999</v>
      </c>
      <c r="Z5" s="3554"/>
      <c r="AA5" s="3555"/>
      <c r="AB5" s="3607" t="s">
        <v>4999</v>
      </c>
      <c r="AC5" s="3556">
        <f>SUM(AN5,AV5,BD5,BL5,BT5,CB5,CJ5,CR5,CZ5,DH5,DP5,DX5)</f>
        <v>7937266.7171780821</v>
      </c>
      <c r="AD5" s="3780">
        <f t="shared" ref="AD5:AE17" si="26">SUM(AN5,AV5,BD5,BL5,BT5,CB5,CJ5,CR5,CZ5)</f>
        <v>5752515.1271780822</v>
      </c>
      <c r="AE5" s="3780">
        <f t="shared" si="26"/>
        <v>5752515.1299999999</v>
      </c>
      <c r="AF5" s="3556">
        <f>AE5-AD5</f>
        <v>2.8219176456332207E-3</v>
      </c>
      <c r="AG5" s="3556"/>
      <c r="AH5" s="3557">
        <f>SUM(AQ5,AY5,BG5,BO5,BW5,CE5,CM5,CU5,DC5,DK5,DS5,EA5)</f>
        <v>1112480.8800000001</v>
      </c>
      <c r="AI5" s="3558">
        <f t="shared" ref="AI5:AJ17" si="27">SUM(AQ5,AY5,BG5,BO5,BW5,CE5,CM5,CU5,DC5)</f>
        <v>834360.66000000015</v>
      </c>
      <c r="AJ5" s="3558">
        <f t="shared" si="27"/>
        <v>834360.65999999992</v>
      </c>
      <c r="AK5" s="3557">
        <f>AJ5-AI5</f>
        <v>0</v>
      </c>
      <c r="AL5" s="3557"/>
      <c r="AM5" s="3644" t="s">
        <v>4111</v>
      </c>
      <c r="AN5" s="3781">
        <f>689157.32+689157.32*12/365*19+728250.53*12/365*11</f>
        <v>1383011.9471780823</v>
      </c>
      <c r="AO5" s="3681">
        <f>850000+478823.76+17591.95+36596.24</f>
        <v>1383011.95</v>
      </c>
      <c r="AP5" s="3561">
        <f>AO5-AN5</f>
        <v>2.8219176456332207E-3</v>
      </c>
      <c r="AQ5" s="3782">
        <f>92706.74*3</f>
        <v>278120.22000000003</v>
      </c>
      <c r="AR5" s="3681">
        <f>3537.69+7359.42+90000+90000+87223.11</f>
        <v>278120.21999999997</v>
      </c>
      <c r="AS5" s="3561">
        <f>AR5-AQ5</f>
        <v>0</v>
      </c>
      <c r="AT5" s="3783" t="s">
        <v>5000</v>
      </c>
      <c r="AU5" s="3547"/>
      <c r="AV5" s="3782"/>
      <c r="AW5" s="3681"/>
      <c r="AX5" s="3561">
        <f>AW5-AV5</f>
        <v>0</v>
      </c>
      <c r="AY5" s="3782"/>
      <c r="AZ5" s="3681"/>
      <c r="BA5" s="3561">
        <f>AZ5-AY5</f>
        <v>0</v>
      </c>
      <c r="BB5" s="3783" t="s">
        <v>5000</v>
      </c>
      <c r="BC5" s="3547"/>
      <c r="BD5" s="3782"/>
      <c r="BE5" s="3681"/>
      <c r="BF5" s="3561">
        <f>BE5-BD5</f>
        <v>0</v>
      </c>
      <c r="BG5" s="3782"/>
      <c r="BH5" s="3681"/>
      <c r="BI5" s="3561">
        <f>BH5-BG5</f>
        <v>0</v>
      </c>
      <c r="BJ5" s="3783" t="s">
        <v>5000</v>
      </c>
      <c r="BK5" s="3547" t="s">
        <v>4102</v>
      </c>
      <c r="BL5" s="3782">
        <f>728250.53*3</f>
        <v>2184751.59</v>
      </c>
      <c r="BM5" s="3681">
        <f>850000+850000+399150.19+27790.11+57811.29</f>
        <v>2184751.59</v>
      </c>
      <c r="BN5" s="3561">
        <f>BM5-BL5</f>
        <v>0</v>
      </c>
      <c r="BO5" s="3782">
        <f>92706.74*3</f>
        <v>278120.22000000003</v>
      </c>
      <c r="BP5" s="3681">
        <f>90000+90000+87223.11+3537.69+7359.42</f>
        <v>278120.21999999997</v>
      </c>
      <c r="BQ5" s="3561">
        <f>BP5-BO5</f>
        <v>0</v>
      </c>
      <c r="BR5" s="3783" t="s">
        <v>4995</v>
      </c>
      <c r="BS5" s="3547"/>
      <c r="BT5" s="3782"/>
      <c r="BU5" s="3681"/>
      <c r="BV5" s="3561">
        <f>BU5-BT5</f>
        <v>0</v>
      </c>
      <c r="BW5" s="3782"/>
      <c r="BX5" s="3681"/>
      <c r="BY5" s="3561">
        <f>BX5-BW5</f>
        <v>0</v>
      </c>
      <c r="BZ5" s="3783" t="s">
        <v>4995</v>
      </c>
      <c r="CA5" s="3547"/>
      <c r="CB5" s="3782"/>
      <c r="CC5" s="3681"/>
      <c r="CD5" s="3561">
        <f>CC5-CB5</f>
        <v>0</v>
      </c>
      <c r="CE5" s="3782"/>
      <c r="CF5" s="3681"/>
      <c r="CG5" s="3561">
        <f>CF5-CE5</f>
        <v>0</v>
      </c>
      <c r="CH5" s="3783" t="s">
        <v>4995</v>
      </c>
      <c r="CI5" s="3547" t="s">
        <v>4104</v>
      </c>
      <c r="CJ5" s="3782">
        <f>728250.53*3</f>
        <v>2184751.59</v>
      </c>
      <c r="CK5" s="3681">
        <v>2184751.59</v>
      </c>
      <c r="CL5" s="3561">
        <f>CK5-CJ5</f>
        <v>0</v>
      </c>
      <c r="CM5" s="3782">
        <f>92706.74*3</f>
        <v>278120.22000000003</v>
      </c>
      <c r="CN5" s="3681">
        <v>278120.21999999997</v>
      </c>
      <c r="CO5" s="3561">
        <f>CN5-CM5</f>
        <v>0</v>
      </c>
      <c r="CP5" s="3783" t="s">
        <v>4996</v>
      </c>
      <c r="CQ5" s="3547"/>
      <c r="CR5" s="3782"/>
      <c r="CS5" s="3681"/>
      <c r="CT5" s="3561">
        <f t="shared" si="0"/>
        <v>0</v>
      </c>
      <c r="CU5" s="3782"/>
      <c r="CV5" s="3681"/>
      <c r="CW5" s="3561">
        <f t="shared" si="1"/>
        <v>0</v>
      </c>
      <c r="CX5" s="3783" t="s">
        <v>4996</v>
      </c>
      <c r="CY5" s="3547"/>
      <c r="CZ5" s="3782"/>
      <c r="DA5" s="3681"/>
      <c r="DB5" s="3561">
        <f t="shared" si="2"/>
        <v>0</v>
      </c>
      <c r="DC5" s="3782"/>
      <c r="DD5" s="3681"/>
      <c r="DE5" s="3561">
        <f t="shared" si="3"/>
        <v>0</v>
      </c>
      <c r="DF5" s="3783" t="s">
        <v>4996</v>
      </c>
      <c r="DG5" s="3547" t="s">
        <v>4106</v>
      </c>
      <c r="DH5" s="3782">
        <f>728250.53*3</f>
        <v>2184751.59</v>
      </c>
      <c r="DI5" s="3681"/>
      <c r="DJ5" s="3561">
        <f t="shared" si="4"/>
        <v>-2184751.59</v>
      </c>
      <c r="DK5" s="3782">
        <f>92706.74*3</f>
        <v>278120.22000000003</v>
      </c>
      <c r="DL5" s="3681"/>
      <c r="DM5" s="3561">
        <f t="shared" si="5"/>
        <v>-278120.22000000003</v>
      </c>
      <c r="DN5" s="3784"/>
      <c r="DO5" s="3547"/>
      <c r="DP5" s="3782"/>
      <c r="DQ5" s="3681"/>
      <c r="DR5" s="3561">
        <f t="shared" si="6"/>
        <v>0</v>
      </c>
      <c r="DS5" s="3782"/>
      <c r="DT5" s="3681"/>
      <c r="DU5" s="3561">
        <f t="shared" si="7"/>
        <v>0</v>
      </c>
      <c r="DV5" s="3784"/>
      <c r="DW5" s="3547"/>
      <c r="DX5" s="3782"/>
      <c r="DY5" s="3681"/>
      <c r="DZ5" s="3561">
        <f t="shared" si="8"/>
        <v>0</v>
      </c>
      <c r="EA5" s="3782"/>
      <c r="EB5" s="3681"/>
      <c r="EC5" s="3561">
        <f t="shared" si="9"/>
        <v>0</v>
      </c>
      <c r="ED5" s="3784"/>
      <c r="EF5" s="3565">
        <f>SUM(ET5,FB5,FJ5,FR5,FZ5,GH5,GP5,GX5,HF5,HN5,HV5,ID5)</f>
        <v>7522070.0304761929</v>
      </c>
      <c r="EG5" s="3565">
        <f t="shared" ref="EG5:EI17" si="28">SUM(ET5,FB5,FJ5,FR5,FZ5,GH5,GP5,GX5,HF5)</f>
        <v>5441354.2285714298</v>
      </c>
      <c r="EH5" s="3565">
        <f t="shared" si="28"/>
        <v>5441354.2068362692</v>
      </c>
      <c r="EI5" s="3565">
        <f t="shared" si="28"/>
        <v>5441354.2095238091</v>
      </c>
      <c r="EJ5" s="3565">
        <f>EI5-EG5</f>
        <v>-1.9047620706260204E-2</v>
      </c>
      <c r="EK5" s="3565">
        <f>EI5-EH5</f>
        <v>2.6875399053096771E-3</v>
      </c>
      <c r="EL5" s="3556"/>
      <c r="EM5" s="3557">
        <f>SUM(EX5,FF5,FN5,FV5,GD5,GL5,GT5,HB5,HJ5,HR5,HZ5,IH5)</f>
        <v>1049510.2566037741</v>
      </c>
      <c r="EN5" s="3557">
        <f t="shared" ref="EN5:EP17" si="29">SUM(EX5,FF5,FN5,FV5,GD5,GL5,GT5,HB5,HJ5)</f>
        <v>787132.6924528305</v>
      </c>
      <c r="EO5" s="3557">
        <f t="shared" si="29"/>
        <v>787132.69811320759</v>
      </c>
      <c r="EP5" s="3557">
        <f t="shared" si="29"/>
        <v>787132.69811320759</v>
      </c>
      <c r="EQ5" s="3557">
        <f>EP5-EN5</f>
        <v>5.660377093590796E-3</v>
      </c>
      <c r="ER5" s="3557">
        <f>EP5-EO5</f>
        <v>0</v>
      </c>
      <c r="ES5" s="3557"/>
      <c r="ET5" s="3568">
        <v>656340.31174603198</v>
      </c>
      <c r="EU5" s="3569">
        <f>689157.32/1.05</f>
        <v>656340.30476190464</v>
      </c>
      <c r="EV5" s="3625">
        <f>2067471.96/3/1.05</f>
        <v>656340.30476190464</v>
      </c>
      <c r="EW5" s="3547">
        <f>EV5-ET5</f>
        <v>-6.9841273361817002E-3</v>
      </c>
      <c r="EX5" s="3568">
        <v>87459.188050314493</v>
      </c>
      <c r="EY5" s="3569">
        <f>92706.74/1.06</f>
        <v>87459.188679245286</v>
      </c>
      <c r="EZ5" s="3562">
        <f>278120.22/3/1.06</f>
        <v>87459.188679245271</v>
      </c>
      <c r="FA5" s="3547">
        <f>EZ5-EX5</f>
        <v>6.2893077847547829E-4</v>
      </c>
      <c r="FB5" s="3568">
        <v>656340.31174603198</v>
      </c>
      <c r="FC5" s="3569">
        <f>689157.32/1.05</f>
        <v>656340.30476190464</v>
      </c>
      <c r="FD5" s="3625">
        <f>689157.32/1.05</f>
        <v>656340.30476190464</v>
      </c>
      <c r="FE5" s="3547">
        <f>FD5-FB5</f>
        <v>-6.9841273361817002E-3</v>
      </c>
      <c r="FF5" s="3568">
        <v>87459.188050314493</v>
      </c>
      <c r="FG5" s="3569">
        <f>92706.74/1.06</f>
        <v>87459.188679245286</v>
      </c>
      <c r="FH5" s="3625">
        <f>278120.22/3/1.06</f>
        <v>87459.188679245271</v>
      </c>
      <c r="FI5" s="3547">
        <f>FH5-FF5</f>
        <v>6.2893077847547829E-4</v>
      </c>
      <c r="FJ5" s="3568">
        <v>409987.92076190503</v>
      </c>
      <c r="FK5" s="3646">
        <f>689157.32/1.05*12/365*19</f>
        <v>409987.91639921715</v>
      </c>
      <c r="FL5" s="3785">
        <f>1383011.95/1.05-689157.32/1.05-728250.53*12/365*11/1.05</f>
        <v>409987.91908675816</v>
      </c>
      <c r="FM5" s="3547">
        <f>FL5-FJ5</f>
        <v>-1.6751468647271395E-3</v>
      </c>
      <c r="FN5" s="3568">
        <v>87459.188050314493</v>
      </c>
      <c r="FO5" s="3569">
        <f>92706.74/1.06</f>
        <v>87459.188679245286</v>
      </c>
      <c r="FP5" s="3625">
        <f>278120.22/3/1.06</f>
        <v>87459.188679245271</v>
      </c>
      <c r="FQ5" s="3547">
        <f>FP5-FN5</f>
        <v>6.2893077847547829E-4</v>
      </c>
      <c r="FR5" s="3568">
        <v>250826.01447619</v>
      </c>
      <c r="FS5" s="3646">
        <f>728250.53/1.05*12/365*11</f>
        <v>250826.01424657536</v>
      </c>
      <c r="FT5" s="3661">
        <f>728250.53*12/365*11/1.05</f>
        <v>250826.01424657533</v>
      </c>
      <c r="FU5" s="3547">
        <f>FT5-FR5</f>
        <v>-2.2961467038840055E-4</v>
      </c>
      <c r="FV5" s="3568">
        <v>87459.188050314493</v>
      </c>
      <c r="FW5" s="3569">
        <f>92706.74/1.06</f>
        <v>87459.188679245286</v>
      </c>
      <c r="FX5" s="3625">
        <f>278120.22/3/1.06</f>
        <v>87459.188679245271</v>
      </c>
      <c r="FY5" s="3547">
        <f>FX5-FV5</f>
        <v>6.2893077847547829E-4</v>
      </c>
      <c r="FZ5" s="3568">
        <v>693571.93396825402</v>
      </c>
      <c r="GA5" s="3569">
        <f>728250.53/1.05</f>
        <v>693571.93333333335</v>
      </c>
      <c r="GB5" s="3562">
        <f>2184751.59/3/1.05</f>
        <v>693571.93333333323</v>
      </c>
      <c r="GC5" s="3547">
        <f>GB5-FZ5</f>
        <v>-6.3492078334093094E-4</v>
      </c>
      <c r="GD5" s="3568">
        <v>87459.188050314493</v>
      </c>
      <c r="GE5" s="3569">
        <f>92706.74/1.06</f>
        <v>87459.188679245286</v>
      </c>
      <c r="GF5" s="3562">
        <f>278120.22/3/1.06</f>
        <v>87459.188679245271</v>
      </c>
      <c r="GG5" s="3547">
        <f>GF5-GD5</f>
        <v>6.2893077847547829E-4</v>
      </c>
      <c r="GH5" s="3568">
        <v>693571.93396825402</v>
      </c>
      <c r="GI5" s="3569">
        <f>728250.53/1.05</f>
        <v>693571.93333333335</v>
      </c>
      <c r="GJ5" s="3562">
        <f>2184751.59/3/1.05</f>
        <v>693571.93333333323</v>
      </c>
      <c r="GK5" s="3547">
        <f>GJ5-GH5</f>
        <v>-6.3492078334093094E-4</v>
      </c>
      <c r="GL5" s="3568">
        <v>87459.188050314493</v>
      </c>
      <c r="GM5" s="3569">
        <f>92706.74/1.06</f>
        <v>87459.188679245286</v>
      </c>
      <c r="GN5" s="3562">
        <f>278120.22/3/1.06</f>
        <v>87459.188679245271</v>
      </c>
      <c r="GO5" s="3547">
        <f>GN5-GL5</f>
        <v>6.2893077847547829E-4</v>
      </c>
      <c r="GP5" s="3568">
        <v>693571.93396825402</v>
      </c>
      <c r="GQ5" s="3569">
        <f>728250.53/1.05</f>
        <v>693571.93333333335</v>
      </c>
      <c r="GR5" s="3562">
        <f>2184751.59/3/1.05</f>
        <v>693571.93333333323</v>
      </c>
      <c r="GS5" s="3547">
        <f>GR5-GP5</f>
        <v>-6.3492078334093094E-4</v>
      </c>
      <c r="GT5" s="3568">
        <v>87459.188050314493</v>
      </c>
      <c r="GU5" s="3569">
        <f>92706.74/1.06</f>
        <v>87459.188679245286</v>
      </c>
      <c r="GV5" s="3562">
        <f>278120.22/3/1.06</f>
        <v>87459.188679245271</v>
      </c>
      <c r="GW5" s="3547">
        <f>GV5-GT5</f>
        <v>6.2893077847547829E-4</v>
      </c>
      <c r="GX5" s="3568">
        <v>693571.93396825402</v>
      </c>
      <c r="GY5" s="3569">
        <f>728250.53/1.05</f>
        <v>693571.93333333335</v>
      </c>
      <c r="GZ5" s="3562">
        <f>2184751.59/3/1.05</f>
        <v>693571.93333333323</v>
      </c>
      <c r="HA5" s="3547">
        <f t="shared" si="10"/>
        <v>-6.3492078334093094E-4</v>
      </c>
      <c r="HB5" s="3568">
        <v>87459.188050314493</v>
      </c>
      <c r="HC5" s="3569">
        <f>92706.74/1.06</f>
        <v>87459.188679245286</v>
      </c>
      <c r="HD5" s="3562">
        <f>278120.22/3/1.06</f>
        <v>87459.188679245271</v>
      </c>
      <c r="HE5" s="3547">
        <f t="shared" si="11"/>
        <v>6.2893077847547829E-4</v>
      </c>
      <c r="HF5" s="3568">
        <v>693571.93396825402</v>
      </c>
      <c r="HG5" s="3569">
        <f>728250.53/1.05</f>
        <v>693571.93333333335</v>
      </c>
      <c r="HH5" s="3562">
        <f>2184751.59/3/1.05</f>
        <v>693571.93333333323</v>
      </c>
      <c r="HI5" s="3547">
        <f t="shared" si="12"/>
        <v>-6.3492078334093094E-4</v>
      </c>
      <c r="HJ5" s="3568">
        <v>87459.188050314493</v>
      </c>
      <c r="HK5" s="3569">
        <f>92706.74/1.06</f>
        <v>87459.188679245286</v>
      </c>
      <c r="HL5" s="3562">
        <f>278120.22/3/1.06</f>
        <v>87459.188679245271</v>
      </c>
      <c r="HM5" s="3547">
        <f t="shared" si="13"/>
        <v>6.2893077847547829E-4</v>
      </c>
      <c r="HN5" s="3568">
        <v>693571.93396825402</v>
      </c>
      <c r="HO5" s="3569">
        <f>728250.53/1.05</f>
        <v>693571.93333333335</v>
      </c>
      <c r="HP5" s="3562">
        <f>2184751.59/3/1.05</f>
        <v>693571.93333333323</v>
      </c>
      <c r="HQ5" s="3547">
        <f t="shared" si="14"/>
        <v>-6.3492078334093094E-4</v>
      </c>
      <c r="HR5" s="3568">
        <v>87459.188050314493</v>
      </c>
      <c r="HS5" s="3569">
        <f>92706.74/1.06</f>
        <v>87459.188679245286</v>
      </c>
      <c r="HT5" s="3562">
        <f>278120.22/3/1.06</f>
        <v>87459.188679245271</v>
      </c>
      <c r="HU5" s="3547">
        <f t="shared" si="15"/>
        <v>6.2893077847547829E-4</v>
      </c>
      <c r="HV5" s="3568">
        <v>693571.93396825402</v>
      </c>
      <c r="HW5" s="3569">
        <f>728250.53/1.05</f>
        <v>693571.93333333335</v>
      </c>
      <c r="HX5" s="3562"/>
      <c r="HY5" s="3547">
        <f t="shared" si="16"/>
        <v>-693571.93396825402</v>
      </c>
      <c r="HZ5" s="3568">
        <v>87459.188050314493</v>
      </c>
      <c r="IA5" s="3569">
        <f>92706.74/1.06</f>
        <v>87459.188679245286</v>
      </c>
      <c r="IB5" s="3562"/>
      <c r="IC5" s="3547">
        <f t="shared" si="17"/>
        <v>-87459.188050314493</v>
      </c>
      <c r="ID5" s="3568">
        <v>693571.93396825402</v>
      </c>
      <c r="IE5" s="3569">
        <f>728250.53/1.05</f>
        <v>693571.93333333335</v>
      </c>
      <c r="IF5" s="3562"/>
      <c r="IG5" s="3547">
        <f t="shared" si="18"/>
        <v>-693571.93396825402</v>
      </c>
      <c r="IH5" s="3568">
        <v>87459.188050314493</v>
      </c>
      <c r="II5" s="3569">
        <f>92706.74/1.06</f>
        <v>87459.188679245286</v>
      </c>
      <c r="IJ5" s="3562"/>
      <c r="IK5" s="3547">
        <f t="shared" si="19"/>
        <v>-87459.188050314493</v>
      </c>
      <c r="IL5" s="3607" t="s">
        <v>3970</v>
      </c>
      <c r="IM5" s="3569">
        <f>728250.53/1.05</f>
        <v>693571.93333333335</v>
      </c>
      <c r="IN5" s="3569">
        <f>92706.74/1.06</f>
        <v>87459.188679245286</v>
      </c>
      <c r="IO5" s="3593"/>
      <c r="IP5" s="3786">
        <f t="shared" ref="IP5:IP17" si="30">SUM(IQ5:JB5)</f>
        <v>0</v>
      </c>
      <c r="IQ5" s="3787"/>
      <c r="IR5" s="3787"/>
      <c r="IS5" s="3787"/>
      <c r="IT5" s="3625"/>
      <c r="IU5" s="3625"/>
      <c r="IV5" s="3625"/>
      <c r="IW5" s="3625"/>
      <c r="IX5" s="3625"/>
      <c r="IY5" s="3625"/>
      <c r="IZ5" s="3625"/>
      <c r="JA5" s="3625"/>
      <c r="JB5" s="3625"/>
      <c r="JC5" s="3788">
        <f t="shared" ref="JC5:JC17" si="31">SUM(JD5:JO5)</f>
        <v>0</v>
      </c>
      <c r="JD5" s="3787"/>
      <c r="JE5" s="3787"/>
      <c r="JF5" s="3787"/>
      <c r="JG5" s="3625"/>
      <c r="JH5" s="3625"/>
      <c r="JI5" s="3625"/>
      <c r="JJ5" s="3625"/>
      <c r="JK5" s="3625"/>
      <c r="JL5" s="3625"/>
      <c r="JM5" s="3625"/>
      <c r="JN5" s="3625"/>
      <c r="JO5" s="3625"/>
      <c r="JP5" s="3607" t="s">
        <v>3837</v>
      </c>
      <c r="JQ5" s="3569">
        <f>689157.32/1.05</f>
        <v>656340.30476190464</v>
      </c>
      <c r="JR5" s="3569">
        <f>92706.74/1.06</f>
        <v>87459.188679245286</v>
      </c>
      <c r="JS5" s="3547">
        <f t="shared" ref="JS5:JS17" si="32">JQ5+(AN5+AV5+BD5+BL5+BT5+CB5+CJ5+CR5+CZ5+DH5+DP5+DX5)/1.05-(EU5+FC5+FK5+FS5+GA5+GI5+GQ5+GY5+HG5+HO5+HW5+IE5)-IM5</f>
        <v>-2.5611370801925659E-9</v>
      </c>
      <c r="JT5" s="3573">
        <f t="shared" ref="JT5:JT17" si="33">JR5+(AQ5+AY5+BG5+BO5+BW5+CE5+CM5+CU5+DC5+DK5+DS5+EA5)/1.06-(EY5+FG5+FO5+FW5+GE5+GM5+GU5+HC5+HK5+HS5+IA5+II5)-IN5</f>
        <v>0</v>
      </c>
      <c r="JU5" s="3573">
        <f t="shared" ref="JU5:JU17" si="34">JQ5+AE5/1.05-EI5-JX5</f>
        <v>0</v>
      </c>
      <c r="JV5" s="3573">
        <f t="shared" ref="JV5:JV17" si="35">JR5+AJ5/1.06-EP5-JY5</f>
        <v>0</v>
      </c>
      <c r="JW5" s="3580">
        <f t="shared" ref="JW5:JW17" si="36">T5*12/365/D5</f>
        <v>6.5199999940313571</v>
      </c>
      <c r="JX5" s="3576">
        <f t="shared" ref="JX5:JX17" si="37">HP5+HX5+IF5+IP5</f>
        <v>693571.93333333323</v>
      </c>
      <c r="JY5" s="3576">
        <f t="shared" ref="JY5:JY17" si="38">HT5+IB5+IJ5+JC5</f>
        <v>87459.188679245271</v>
      </c>
      <c r="JZ5" s="3577"/>
      <c r="KA5" s="3576">
        <f t="shared" ref="KA5:KA17" si="39">HI5+HM5</f>
        <v>-5.9900048654526472E-6</v>
      </c>
      <c r="KB5" s="3576"/>
      <c r="KC5" s="3576"/>
      <c r="KD5" s="3576">
        <f t="shared" ref="KD5:KD17" si="40">SUM(KA5:KC5)</f>
        <v>-5.9900048654526472E-6</v>
      </c>
      <c r="KE5" s="3789"/>
      <c r="KF5" s="3579"/>
      <c r="KG5" s="3579"/>
      <c r="KH5" s="3579"/>
      <c r="KI5" s="3579"/>
      <c r="KJ5" s="3579"/>
      <c r="KK5" s="3579"/>
      <c r="KL5" s="3579"/>
      <c r="KM5" s="3579"/>
      <c r="KN5" s="3579"/>
      <c r="KO5" s="3579">
        <f t="shared" ref="KO5:KO17" si="41">SUM(KF5:KN5)</f>
        <v>0</v>
      </c>
      <c r="KP5" s="3579">
        <f t="shared" ref="KP5:KP17" si="42">(EJ5+EQ5)/10000-KO5</f>
        <v>-1.3387243612669409E-6</v>
      </c>
      <c r="KQ5" s="3577"/>
      <c r="KR5" s="3577"/>
    </row>
    <row r="6" spans="1:304" s="3580" customFormat="1" ht="32.1" customHeight="1">
      <c r="A6" s="3545">
        <v>3</v>
      </c>
      <c r="B6" s="3546"/>
      <c r="C6" s="3790" t="s">
        <v>5001</v>
      </c>
      <c r="D6" s="3791">
        <v>579.65</v>
      </c>
      <c r="E6" s="3548" t="s">
        <v>3799</v>
      </c>
      <c r="F6" s="3546"/>
      <c r="G6" s="3549" t="s">
        <v>5002</v>
      </c>
      <c r="H6" s="3655" t="s">
        <v>5003</v>
      </c>
      <c r="I6" s="3594" t="s">
        <v>3883</v>
      </c>
      <c r="J6" s="3629" t="s">
        <v>5004</v>
      </c>
      <c r="K6" s="3545" t="s">
        <v>3885</v>
      </c>
      <c r="L6" s="3655" t="s">
        <v>5005</v>
      </c>
      <c r="M6" s="3561">
        <v>238018.77</v>
      </c>
      <c r="N6" s="3561">
        <v>238018.77</v>
      </c>
      <c r="O6" s="3551">
        <f t="shared" si="20"/>
        <v>0</v>
      </c>
      <c r="P6" s="3561">
        <v>43901.25</v>
      </c>
      <c r="Q6" s="3561">
        <v>43901.25</v>
      </c>
      <c r="R6" s="3547">
        <f t="shared" si="21"/>
        <v>0</v>
      </c>
      <c r="S6" s="3547">
        <f t="shared" si="22"/>
        <v>4.4999997873066997</v>
      </c>
      <c r="T6" s="3778">
        <v>79339.59</v>
      </c>
      <c r="U6" s="3561">
        <f t="shared" si="23"/>
        <v>952075.08</v>
      </c>
      <c r="V6" s="3551">
        <f>79339.59*11+79339.59*11+84099.97*11</f>
        <v>2670570.65</v>
      </c>
      <c r="W6" s="3547">
        <f t="shared" si="24"/>
        <v>0.83000015361182766</v>
      </c>
      <c r="X6" s="3779">
        <v>14633.75</v>
      </c>
      <c r="Y6" s="3547">
        <f t="shared" si="25"/>
        <v>175605</v>
      </c>
      <c r="Z6" s="3554"/>
      <c r="AA6" s="3555"/>
      <c r="AB6" s="3607" t="s">
        <v>4999</v>
      </c>
      <c r="AC6" s="3556">
        <f t="shared" ref="AC6:AC17" si="43">SUM(AN6,AV6,BD6,BL6,BT6,CB6,CJ6,CR6,CZ6,DH6,DP6,DX6)</f>
        <v>634716.72</v>
      </c>
      <c r="AD6" s="3780">
        <f t="shared" si="26"/>
        <v>396697.94999999995</v>
      </c>
      <c r="AE6" s="3780">
        <f t="shared" si="26"/>
        <v>396697.94999999995</v>
      </c>
      <c r="AF6" s="3556">
        <f t="shared" ref="AF6:AF17" si="44">AE6-AD6</f>
        <v>0</v>
      </c>
      <c r="AG6" s="3556"/>
      <c r="AH6" s="3557">
        <f t="shared" ref="AH6:AH17" si="45">SUM(AQ6,AY6,BG6,BO6,BW6,CE6,CM6,CU6,DC6,DK6,DS6,EA6)</f>
        <v>131703.75</v>
      </c>
      <c r="AI6" s="3558">
        <f t="shared" si="27"/>
        <v>87802.5</v>
      </c>
      <c r="AJ6" s="3558">
        <f t="shared" si="27"/>
        <v>87802.5</v>
      </c>
      <c r="AK6" s="3557">
        <f t="shared" ref="AK6:AK17" si="46">AJ6-AI6</f>
        <v>0</v>
      </c>
      <c r="AL6" s="3557"/>
      <c r="AM6" s="3644"/>
      <c r="AN6" s="3781"/>
      <c r="AO6" s="3681"/>
      <c r="AP6" s="3561"/>
      <c r="AQ6" s="3782"/>
      <c r="AR6" s="3681"/>
      <c r="AS6" s="3561"/>
      <c r="AT6" s="3783"/>
      <c r="AU6" s="3547"/>
      <c r="AV6" s="3782"/>
      <c r="AW6" s="3681"/>
      <c r="AX6" s="3561"/>
      <c r="AY6" s="3782"/>
      <c r="AZ6" s="3681"/>
      <c r="BA6" s="3561"/>
      <c r="BB6" s="3783"/>
      <c r="BC6" s="3547"/>
      <c r="BD6" s="3782"/>
      <c r="BE6" s="3681"/>
      <c r="BF6" s="3561"/>
      <c r="BG6" s="3782"/>
      <c r="BH6" s="3681"/>
      <c r="BI6" s="3561"/>
      <c r="BJ6" s="3783"/>
      <c r="BK6" s="3547"/>
      <c r="BL6" s="3782"/>
      <c r="BM6" s="3681"/>
      <c r="BN6" s="3561"/>
      <c r="BO6" s="3782"/>
      <c r="BP6" s="3681"/>
      <c r="BQ6" s="3561"/>
      <c r="BR6" s="3783"/>
      <c r="BS6" s="3547"/>
      <c r="BT6" s="3782"/>
      <c r="BU6" s="3681"/>
      <c r="BV6" s="3561"/>
      <c r="BW6" s="3782"/>
      <c r="BX6" s="3681"/>
      <c r="BY6" s="3561"/>
      <c r="BZ6" s="3783"/>
      <c r="CA6" s="3547"/>
      <c r="CB6" s="3782"/>
      <c r="CC6" s="3681"/>
      <c r="CD6" s="3561"/>
      <c r="CE6" s="3782"/>
      <c r="CF6" s="3681"/>
      <c r="CG6" s="3561"/>
      <c r="CH6" s="3783"/>
      <c r="CI6" s="3547" t="s">
        <v>4566</v>
      </c>
      <c r="CJ6" s="3781">
        <f>79339.59*2</f>
        <v>158679.18</v>
      </c>
      <c r="CK6" s="3792">
        <v>158679.18</v>
      </c>
      <c r="CL6" s="3561">
        <f t="shared" ref="CL6:CL17" si="47">CK6-CJ6</f>
        <v>0</v>
      </c>
      <c r="CM6" s="3782">
        <f>14633.75*3</f>
        <v>43901.25</v>
      </c>
      <c r="CN6" s="3681">
        <v>43901.25</v>
      </c>
      <c r="CO6" s="3561">
        <f t="shared" ref="CO6:CO17" si="48">CN6-CM6</f>
        <v>0</v>
      </c>
      <c r="CP6" s="3783" t="s">
        <v>5006</v>
      </c>
      <c r="CQ6" s="3547"/>
      <c r="CR6" s="3782"/>
      <c r="CS6" s="3681"/>
      <c r="CT6" s="3561">
        <f t="shared" si="0"/>
        <v>0</v>
      </c>
      <c r="CU6" s="3782"/>
      <c r="CV6" s="3681"/>
      <c r="CW6" s="3561">
        <f t="shared" si="1"/>
        <v>0</v>
      </c>
      <c r="CX6" s="3783" t="s">
        <v>5006</v>
      </c>
      <c r="CY6" s="3547" t="s">
        <v>4568</v>
      </c>
      <c r="CZ6" s="3782">
        <f>79339.59*3</f>
        <v>238018.77</v>
      </c>
      <c r="DA6" s="3681">
        <v>238018.77</v>
      </c>
      <c r="DB6" s="3561">
        <f t="shared" si="2"/>
        <v>0</v>
      </c>
      <c r="DC6" s="3782">
        <f>14633.75*3</f>
        <v>43901.25</v>
      </c>
      <c r="DD6" s="3681">
        <v>43901.25</v>
      </c>
      <c r="DE6" s="3561">
        <f t="shared" si="3"/>
        <v>0</v>
      </c>
      <c r="DF6" s="3783" t="s">
        <v>5007</v>
      </c>
      <c r="DG6" s="3547"/>
      <c r="DH6" s="3782"/>
      <c r="DI6" s="3681"/>
      <c r="DJ6" s="3561">
        <f t="shared" si="4"/>
        <v>0</v>
      </c>
      <c r="DK6" s="3782"/>
      <c r="DL6" s="3681"/>
      <c r="DM6" s="3561">
        <f t="shared" si="5"/>
        <v>0</v>
      </c>
      <c r="DN6" s="3783"/>
      <c r="DO6" s="3547"/>
      <c r="DP6" s="3782"/>
      <c r="DQ6" s="3681"/>
      <c r="DR6" s="3561">
        <f t="shared" si="6"/>
        <v>0</v>
      </c>
      <c r="DS6" s="3782"/>
      <c r="DT6" s="3681"/>
      <c r="DU6" s="3561">
        <f t="shared" si="7"/>
        <v>0</v>
      </c>
      <c r="DV6" s="3783"/>
      <c r="DW6" s="3547" t="s">
        <v>5008</v>
      </c>
      <c r="DX6" s="3782">
        <f>79339.59*3</f>
        <v>238018.77</v>
      </c>
      <c r="DY6" s="3681"/>
      <c r="DZ6" s="3561">
        <f t="shared" si="8"/>
        <v>-238018.77</v>
      </c>
      <c r="EA6" s="3782">
        <f>14633.75*3</f>
        <v>43901.25</v>
      </c>
      <c r="EB6" s="3681"/>
      <c r="EC6" s="3561">
        <f t="shared" si="9"/>
        <v>-43901.25</v>
      </c>
      <c r="ED6" s="3783"/>
      <c r="EF6" s="3565">
        <f t="shared" ref="EF6:EF17" si="49">SUM(ET6,FB6,FJ6,FR6,FZ6,GH6,GP6,GX6,HF6,HN6,HV6,ID6)</f>
        <v>369747.69404761889</v>
      </c>
      <c r="EG6" s="3565">
        <f t="shared" si="28"/>
        <v>184873.84702380945</v>
      </c>
      <c r="EH6" s="3565">
        <f t="shared" si="28"/>
        <v>116344.03021526418</v>
      </c>
      <c r="EI6" s="3565">
        <f t="shared" si="28"/>
        <v>116344.03021526418</v>
      </c>
      <c r="EJ6" s="3565">
        <f t="shared" ref="EJ6:EJ17" si="50">EI6-EG6</f>
        <v>-68529.816808545263</v>
      </c>
      <c r="EK6" s="3565">
        <f t="shared" ref="EK6:EK17" si="51">EI6-EH6</f>
        <v>0</v>
      </c>
      <c r="EL6" s="3556"/>
      <c r="EM6" s="3557">
        <f t="shared" ref="EM6:EM17" si="52">SUM(EX6,FF6,FN6,FV6,GD6,GL6,GT6,HB6,HJ6,HR6,HZ6,IH6)</f>
        <v>82832.531839622636</v>
      </c>
      <c r="EN6" s="3557">
        <f t="shared" si="29"/>
        <v>41416.265919811325</v>
      </c>
      <c r="EO6" s="3557">
        <f t="shared" si="29"/>
        <v>35061.995993796845</v>
      </c>
      <c r="EP6" s="3557">
        <f t="shared" si="29"/>
        <v>35061.995993796845</v>
      </c>
      <c r="EQ6" s="3557">
        <f t="shared" ref="EQ6:EQ17" si="53">EP6-EN6</f>
        <v>-6354.26992601448</v>
      </c>
      <c r="ER6" s="3557">
        <f t="shared" ref="ER6:ER17" si="54">EP6-EO6</f>
        <v>0</v>
      </c>
      <c r="ES6" s="3557"/>
      <c r="ET6" s="3568"/>
      <c r="EU6" s="3569"/>
      <c r="EV6" s="3625"/>
      <c r="EW6" s="3547"/>
      <c r="EX6" s="3568"/>
      <c r="EY6" s="3569"/>
      <c r="EZ6" s="3562"/>
      <c r="FA6" s="3547"/>
      <c r="FB6" s="3568"/>
      <c r="FC6" s="3569"/>
      <c r="FD6" s="3625"/>
      <c r="FE6" s="3547"/>
      <c r="FF6" s="3568"/>
      <c r="FG6" s="3569"/>
      <c r="FH6" s="3625"/>
      <c r="FI6" s="3547"/>
      <c r="FJ6" s="3568"/>
      <c r="FK6" s="3646"/>
      <c r="FL6" s="3785"/>
      <c r="FM6" s="3547"/>
      <c r="FN6" s="3568"/>
      <c r="FO6" s="3569"/>
      <c r="FP6" s="3625"/>
      <c r="FQ6" s="3547"/>
      <c r="FR6" s="3568"/>
      <c r="FS6" s="3646"/>
      <c r="FT6" s="3661"/>
      <c r="FU6" s="3547"/>
      <c r="FV6" s="3568"/>
      <c r="FW6" s="3569"/>
      <c r="FX6" s="3625"/>
      <c r="FY6" s="3547"/>
      <c r="FZ6" s="3568"/>
      <c r="GA6" s="3569"/>
      <c r="GB6" s="3562"/>
      <c r="GC6" s="3547"/>
      <c r="GD6" s="3568"/>
      <c r="GE6" s="3569"/>
      <c r="GF6" s="3562"/>
      <c r="GG6" s="3547"/>
      <c r="GH6" s="3568"/>
      <c r="GI6" s="3569"/>
      <c r="GJ6" s="3562"/>
      <c r="GK6" s="3547"/>
      <c r="GL6" s="3568"/>
      <c r="GM6" s="3569"/>
      <c r="GN6" s="3562"/>
      <c r="GO6" s="3547"/>
      <c r="GP6" s="3568">
        <f>399963.051626984/3762.11*579.65</f>
        <v>61624.615674603148</v>
      </c>
      <c r="GQ6" s="3781"/>
      <c r="GR6" s="3781"/>
      <c r="GS6" s="3547">
        <f t="shared" ref="GS6:GS17" si="55">GR6-GP6</f>
        <v>-61624.615674603148</v>
      </c>
      <c r="GT6" s="3568">
        <f>89601.5113600629/3762.11*579.65</f>
        <v>13805.421973270441</v>
      </c>
      <c r="GU6" s="3569">
        <f>14633.75/1.06-14633.75/1.06*12/365*14</f>
        <v>7451.1469371930725</v>
      </c>
      <c r="GV6" s="3562">
        <f>43901.25/3/1.06-43901.25/3/1.06*12/365*14</f>
        <v>7451.1469371930725</v>
      </c>
      <c r="GW6" s="3547">
        <f t="shared" ref="GW6:GW17" si="56">GV6-GT6</f>
        <v>-6354.275036077368</v>
      </c>
      <c r="GX6" s="3568">
        <f>399963.051626984/3762.11*579.65</f>
        <v>61624.615674603148</v>
      </c>
      <c r="GY6" s="3569">
        <f>79339.59/1.05-79339.59/1.05*12/365*14</f>
        <v>40782.515929549896</v>
      </c>
      <c r="GZ6" s="3781">
        <f>158679.18/2/1.05-158679.18/2/1.05*12/365*14</f>
        <v>40782.515929549896</v>
      </c>
      <c r="HA6" s="3547">
        <f t="shared" si="10"/>
        <v>-20842.099745053252</v>
      </c>
      <c r="HB6" s="3568">
        <f>89601.5113600629/3762.11*579.65</f>
        <v>13805.421973270441</v>
      </c>
      <c r="HC6" s="3569">
        <f>14633.75/1.06</f>
        <v>13805.424528301886</v>
      </c>
      <c r="HD6" s="3562">
        <f>43901.25/3/1.06</f>
        <v>13805.424528301886</v>
      </c>
      <c r="HE6" s="3547">
        <f t="shared" si="11"/>
        <v>2.5550314458087087E-3</v>
      </c>
      <c r="HF6" s="3568">
        <f>399963.051626984/3762.11*579.65</f>
        <v>61624.615674603148</v>
      </c>
      <c r="HG6" s="3569">
        <f>79339.59/1.05</f>
        <v>75561.514285714278</v>
      </c>
      <c r="HH6" s="3562">
        <f>158679.18/2/1.05</f>
        <v>75561.514285714278</v>
      </c>
      <c r="HI6" s="3547">
        <f t="shared" si="12"/>
        <v>13936.89861111113</v>
      </c>
      <c r="HJ6" s="3568">
        <f>89601.5113600629/3762.11*579.65</f>
        <v>13805.421973270441</v>
      </c>
      <c r="HK6" s="3569">
        <f>14633.75/1.06</f>
        <v>13805.424528301886</v>
      </c>
      <c r="HL6" s="3562">
        <f>43901.25/3/1.06</f>
        <v>13805.424528301886</v>
      </c>
      <c r="HM6" s="3547">
        <f t="shared" si="13"/>
        <v>2.5550314458087087E-3</v>
      </c>
      <c r="HN6" s="3568">
        <f>399963.051626984/3762.11*579.65</f>
        <v>61624.615674603148</v>
      </c>
      <c r="HO6" s="3569">
        <f>79339.59/1.05</f>
        <v>75561.514285714278</v>
      </c>
      <c r="HP6" s="3562">
        <f>158679.18/2/1.05*12/365*14+238018.77/3/1.05-238018.77/3/1.05*12/365*14</f>
        <v>75561.514285714278</v>
      </c>
      <c r="HQ6" s="3547">
        <f t="shared" si="14"/>
        <v>13936.89861111113</v>
      </c>
      <c r="HR6" s="3568">
        <f>89601.5113600629/3762.11*579.65</f>
        <v>13805.421973270441</v>
      </c>
      <c r="HS6" s="3569">
        <f>14633.75/1.06</f>
        <v>13805.424528301886</v>
      </c>
      <c r="HT6" s="3562">
        <f>43901.25/3/1.06*12/365*14+43901.25/3/1.06-43901.25/3/1.06*12/365*14</f>
        <v>13805.424528301886</v>
      </c>
      <c r="HU6" s="3547">
        <f t="shared" si="15"/>
        <v>2.5550314458087087E-3</v>
      </c>
      <c r="HV6" s="3568">
        <f>399963.051626984/3762.11*579.65</f>
        <v>61624.615674603148</v>
      </c>
      <c r="HW6" s="3569">
        <f>79339.59/1.05</f>
        <v>75561.514285714278</v>
      </c>
      <c r="HX6" s="3562">
        <f>238018.77/3/1.05</f>
        <v>75561.514285714278</v>
      </c>
      <c r="HY6" s="3547">
        <f t="shared" si="16"/>
        <v>13936.89861111113</v>
      </c>
      <c r="HZ6" s="3568">
        <f>89601.5113600629/3762.11*579.65</f>
        <v>13805.421973270441</v>
      </c>
      <c r="IA6" s="3569">
        <f>14633.75/1.06</f>
        <v>13805.424528301886</v>
      </c>
      <c r="IB6" s="3562">
        <f>43901.25/3/1.06</f>
        <v>13805.424528301886</v>
      </c>
      <c r="IC6" s="3547">
        <f t="shared" si="17"/>
        <v>2.5550314458087087E-3</v>
      </c>
      <c r="ID6" s="3568">
        <f>399963.051626984/3762.11*579.65</f>
        <v>61624.615674603148</v>
      </c>
      <c r="IE6" s="3569">
        <f>79339.59/1.05</f>
        <v>75561.514285714278</v>
      </c>
      <c r="IF6" s="3562">
        <f>238018.77/3/1.05</f>
        <v>75561.514285714278</v>
      </c>
      <c r="IG6" s="3547">
        <f t="shared" si="18"/>
        <v>13936.89861111113</v>
      </c>
      <c r="IH6" s="3568">
        <f>89601.5113600629/3762.11*579.65</f>
        <v>13805.421973270441</v>
      </c>
      <c r="II6" s="3569">
        <f>14633.75/1.06</f>
        <v>13805.424528301886</v>
      </c>
      <c r="IJ6" s="3562">
        <f>43901.25/3/1.06</f>
        <v>13805.424528301886</v>
      </c>
      <c r="IK6" s="3547">
        <f t="shared" si="19"/>
        <v>2.5550314458087087E-3</v>
      </c>
      <c r="IL6" s="3607" t="s">
        <v>4571</v>
      </c>
      <c r="IM6" s="3569">
        <f>79339.59*3/1.05+79339.59/1.05*12/365*14</f>
        <v>261463.54121330721</v>
      </c>
      <c r="IN6" s="3569">
        <f>14633.75*3/1.06+14633.75/1.06*12/365*14</f>
        <v>47770.551176014473</v>
      </c>
      <c r="IO6" s="3607" t="s">
        <v>4180</v>
      </c>
      <c r="IP6" s="3786">
        <f t="shared" si="30"/>
        <v>34778.998356164382</v>
      </c>
      <c r="IQ6" s="3562">
        <f>238018.77/3/1.05*12/365*14</f>
        <v>34778.998356164382</v>
      </c>
      <c r="IR6" s="3787"/>
      <c r="IS6" s="3787"/>
      <c r="IT6" s="3625"/>
      <c r="IU6" s="3625"/>
      <c r="IV6" s="3625"/>
      <c r="IW6" s="3625"/>
      <c r="IX6" s="3625"/>
      <c r="IY6" s="3625"/>
      <c r="IZ6" s="3625"/>
      <c r="JA6" s="3625"/>
      <c r="JB6" s="3625"/>
      <c r="JC6" s="3788">
        <f t="shared" si="31"/>
        <v>6354.2775911088138</v>
      </c>
      <c r="JD6" s="3787">
        <f>43901.25/3/1.06*12/365*14</f>
        <v>6354.2775911088138</v>
      </c>
      <c r="JE6" s="3787"/>
      <c r="JF6" s="3787"/>
      <c r="JG6" s="3625"/>
      <c r="JH6" s="3625"/>
      <c r="JI6" s="3625"/>
      <c r="JJ6" s="3625"/>
      <c r="JK6" s="3625"/>
      <c r="JL6" s="3625"/>
      <c r="JM6" s="3625"/>
      <c r="JN6" s="3625"/>
      <c r="JO6" s="3625"/>
      <c r="JP6" s="3607"/>
      <c r="JQ6" s="3569"/>
      <c r="JR6" s="3569"/>
      <c r="JS6" s="3547">
        <f t="shared" si="32"/>
        <v>0</v>
      </c>
      <c r="JT6" s="3573">
        <f t="shared" si="33"/>
        <v>0</v>
      </c>
      <c r="JU6" s="3573">
        <f t="shared" si="34"/>
        <v>0</v>
      </c>
      <c r="JV6" s="3573">
        <f t="shared" si="35"/>
        <v>0</v>
      </c>
      <c r="JW6" s="3580">
        <f t="shared" si="36"/>
        <v>4.4999997873066997</v>
      </c>
      <c r="JX6" s="3576">
        <f t="shared" si="37"/>
        <v>261463.54121330721</v>
      </c>
      <c r="JY6" s="3576">
        <f t="shared" si="38"/>
        <v>47770.551176014473</v>
      </c>
      <c r="JZ6" s="3577"/>
      <c r="KA6" s="3576">
        <f t="shared" si="39"/>
        <v>13936.901166142576</v>
      </c>
      <c r="KB6" s="3576"/>
      <c r="KC6" s="3576"/>
      <c r="KD6" s="3576">
        <f t="shared" si="40"/>
        <v>13936.901166142576</v>
      </c>
      <c r="KE6" s="3793" t="s">
        <v>4069</v>
      </c>
      <c r="KF6" s="3579"/>
      <c r="KG6" s="3579">
        <f>1.39*2+0.01</f>
        <v>2.7899999999999996</v>
      </c>
      <c r="KH6" s="3579"/>
      <c r="KI6" s="3579"/>
      <c r="KJ6" s="3579"/>
      <c r="KK6" s="3579"/>
      <c r="KL6" s="3579">
        <f>-67978.89/10000</f>
        <v>-6.7978889999999996</v>
      </c>
      <c r="KM6" s="3579"/>
      <c r="KN6" s="3579">
        <f>-158679.18/2/1.05*12/365*14/10000</f>
        <v>-3.4778998356164381</v>
      </c>
      <c r="KO6" s="3579">
        <f t="shared" si="41"/>
        <v>-7.4857888356164386</v>
      </c>
      <c r="KP6" s="3579">
        <f t="shared" si="42"/>
        <v>-2.6198378395347888E-3</v>
      </c>
      <c r="KQ6" s="3577"/>
      <c r="KR6" s="3577"/>
    </row>
    <row r="7" spans="1:304" s="3580" customFormat="1" ht="32.1" customHeight="1">
      <c r="A7" s="3545">
        <v>4</v>
      </c>
      <c r="B7" s="3546"/>
      <c r="C7" s="3790" t="s">
        <v>5009</v>
      </c>
      <c r="D7" s="3791">
        <v>291.43</v>
      </c>
      <c r="E7" s="3548" t="s">
        <v>3799</v>
      </c>
      <c r="F7" s="3546"/>
      <c r="G7" s="3546" t="s">
        <v>5002</v>
      </c>
      <c r="H7" s="3655" t="s">
        <v>5010</v>
      </c>
      <c r="I7" s="3594" t="s">
        <v>5011</v>
      </c>
      <c r="J7" s="3594" t="s">
        <v>5012</v>
      </c>
      <c r="K7" s="3607"/>
      <c r="L7" s="3655"/>
      <c r="M7" s="3561">
        <v>41396.42</v>
      </c>
      <c r="N7" s="3561">
        <v>41396.42</v>
      </c>
      <c r="O7" s="3551">
        <f t="shared" si="20"/>
        <v>0</v>
      </c>
      <c r="P7" s="3561">
        <v>7357.39</v>
      </c>
      <c r="Q7" s="3561">
        <v>7357.39</v>
      </c>
      <c r="R7" s="3547">
        <f t="shared" si="21"/>
        <v>0</v>
      </c>
      <c r="S7" s="3547">
        <f t="shared" si="22"/>
        <v>4.6700003149326488</v>
      </c>
      <c r="T7" s="3602">
        <v>41396.42</v>
      </c>
      <c r="U7" s="3561">
        <f t="shared" si="23"/>
        <v>496757.04</v>
      </c>
      <c r="V7" s="3551">
        <v>41396.42</v>
      </c>
      <c r="W7" s="3547">
        <f t="shared" si="24"/>
        <v>0.82999963806247801</v>
      </c>
      <c r="X7" s="3779">
        <v>7357.39</v>
      </c>
      <c r="Y7" s="3547">
        <f t="shared" si="25"/>
        <v>88288.680000000008</v>
      </c>
      <c r="Z7" s="3554"/>
      <c r="AA7" s="3555"/>
      <c r="AB7" s="3593" t="s">
        <v>5013</v>
      </c>
      <c r="AC7" s="3556">
        <f t="shared" si="43"/>
        <v>82792.84</v>
      </c>
      <c r="AD7" s="3780">
        <f t="shared" si="26"/>
        <v>82792.84</v>
      </c>
      <c r="AE7" s="3780">
        <f t="shared" si="26"/>
        <v>82792.84</v>
      </c>
      <c r="AF7" s="3556">
        <f t="shared" si="44"/>
        <v>0</v>
      </c>
      <c r="AG7" s="3556"/>
      <c r="AH7" s="3557">
        <f t="shared" si="45"/>
        <v>14714.78</v>
      </c>
      <c r="AI7" s="3558">
        <f t="shared" si="27"/>
        <v>14714.78</v>
      </c>
      <c r="AJ7" s="3558">
        <f t="shared" si="27"/>
        <v>14714.78</v>
      </c>
      <c r="AK7" s="3557">
        <f t="shared" si="46"/>
        <v>0</v>
      </c>
      <c r="AL7" s="3557"/>
      <c r="AM7" s="3644"/>
      <c r="AN7" s="3781"/>
      <c r="AO7" s="3681"/>
      <c r="AP7" s="3561"/>
      <c r="AQ7" s="3782"/>
      <c r="AR7" s="3681"/>
      <c r="AS7" s="3561"/>
      <c r="AT7" s="3783"/>
      <c r="AU7" s="3547"/>
      <c r="AV7" s="3782"/>
      <c r="AW7" s="3681"/>
      <c r="AX7" s="3561"/>
      <c r="AY7" s="3782"/>
      <c r="AZ7" s="3681"/>
      <c r="BA7" s="3561"/>
      <c r="BB7" s="3783"/>
      <c r="BC7" s="3547"/>
      <c r="BD7" s="3782"/>
      <c r="BE7" s="3681"/>
      <c r="BF7" s="3561"/>
      <c r="BG7" s="3782"/>
      <c r="BH7" s="3681"/>
      <c r="BI7" s="3561"/>
      <c r="BJ7" s="3783"/>
      <c r="BK7" s="3547"/>
      <c r="BL7" s="3782"/>
      <c r="BM7" s="3681"/>
      <c r="BN7" s="3561"/>
      <c r="BO7" s="3782"/>
      <c r="BP7" s="3681"/>
      <c r="BQ7" s="3561"/>
      <c r="BR7" s="3783"/>
      <c r="BS7" s="3547"/>
      <c r="BT7" s="3782"/>
      <c r="BU7" s="3681"/>
      <c r="BV7" s="3561"/>
      <c r="BW7" s="3782"/>
      <c r="BX7" s="3681"/>
      <c r="BY7" s="3561"/>
      <c r="BZ7" s="3783"/>
      <c r="CA7" s="3547"/>
      <c r="CB7" s="3782"/>
      <c r="CC7" s="3681"/>
      <c r="CD7" s="3561"/>
      <c r="CE7" s="3782"/>
      <c r="CF7" s="3681"/>
      <c r="CG7" s="3561"/>
      <c r="CH7" s="3783"/>
      <c r="CI7" s="3547"/>
      <c r="CJ7" s="3782"/>
      <c r="CK7" s="3681"/>
      <c r="CL7" s="3561">
        <f t="shared" si="47"/>
        <v>0</v>
      </c>
      <c r="CM7" s="3782"/>
      <c r="CN7" s="3681"/>
      <c r="CO7" s="3561">
        <f t="shared" si="48"/>
        <v>0</v>
      </c>
      <c r="CP7" s="3783"/>
      <c r="CQ7" s="3547" t="s">
        <v>3948</v>
      </c>
      <c r="CR7" s="3782">
        <v>41396.42</v>
      </c>
      <c r="CS7" s="3681">
        <v>41396.42</v>
      </c>
      <c r="CT7" s="3561">
        <f t="shared" si="0"/>
        <v>0</v>
      </c>
      <c r="CU7" s="3782">
        <v>7357.39</v>
      </c>
      <c r="CV7" s="3681">
        <v>7357.39</v>
      </c>
      <c r="CW7" s="3561">
        <f t="shared" si="1"/>
        <v>0</v>
      </c>
      <c r="CX7" s="3784" t="s">
        <v>5014</v>
      </c>
      <c r="CY7" s="3547" t="s">
        <v>3950</v>
      </c>
      <c r="CZ7" s="3782">
        <v>41396.42</v>
      </c>
      <c r="DA7" s="3681">
        <v>41396.42</v>
      </c>
      <c r="DB7" s="3561">
        <f t="shared" si="2"/>
        <v>0</v>
      </c>
      <c r="DC7" s="3782">
        <v>7357.39</v>
      </c>
      <c r="DD7" s="3681">
        <v>7357.39</v>
      </c>
      <c r="DE7" s="3561">
        <f t="shared" si="3"/>
        <v>0</v>
      </c>
      <c r="DF7" s="3784" t="s">
        <v>5015</v>
      </c>
      <c r="DG7" s="3547"/>
      <c r="DH7" s="3782"/>
      <c r="DI7" s="3681"/>
      <c r="DJ7" s="3561">
        <f t="shared" si="4"/>
        <v>0</v>
      </c>
      <c r="DK7" s="3782"/>
      <c r="DL7" s="3681"/>
      <c r="DM7" s="3561">
        <f t="shared" si="5"/>
        <v>0</v>
      </c>
      <c r="DN7" s="3783"/>
      <c r="DO7" s="3547"/>
      <c r="DP7" s="3782"/>
      <c r="DQ7" s="3681"/>
      <c r="DR7" s="3561">
        <f t="shared" si="6"/>
        <v>0</v>
      </c>
      <c r="DS7" s="3782"/>
      <c r="DT7" s="3681"/>
      <c r="DU7" s="3561">
        <f t="shared" si="7"/>
        <v>0</v>
      </c>
      <c r="DV7" s="3783"/>
      <c r="DW7" s="3547"/>
      <c r="DX7" s="3782"/>
      <c r="DY7" s="3681"/>
      <c r="DZ7" s="3561">
        <f t="shared" si="8"/>
        <v>0</v>
      </c>
      <c r="EA7" s="3782"/>
      <c r="EB7" s="3681"/>
      <c r="EC7" s="3561">
        <f t="shared" si="9"/>
        <v>0</v>
      </c>
      <c r="ED7" s="3783"/>
      <c r="EF7" s="3565">
        <f t="shared" si="49"/>
        <v>30982.940992063479</v>
      </c>
      <c r="EG7" s="3565">
        <f t="shared" si="28"/>
        <v>30982.940992063479</v>
      </c>
      <c r="EH7" s="3565">
        <f t="shared" si="28"/>
        <v>78850.323809523805</v>
      </c>
      <c r="EI7" s="3565">
        <f t="shared" si="28"/>
        <v>78850.323809523805</v>
      </c>
      <c r="EJ7" s="3565">
        <f t="shared" si="50"/>
        <v>47867.382817460326</v>
      </c>
      <c r="EK7" s="3565">
        <f t="shared" si="51"/>
        <v>0</v>
      </c>
      <c r="EL7" s="3556"/>
      <c r="EM7" s="3557">
        <f t="shared" si="52"/>
        <v>6940.9369889937116</v>
      </c>
      <c r="EN7" s="3557">
        <f t="shared" si="29"/>
        <v>6940.9369889937116</v>
      </c>
      <c r="EO7" s="3557">
        <f t="shared" si="29"/>
        <v>13881.867924528302</v>
      </c>
      <c r="EP7" s="3557">
        <f t="shared" si="29"/>
        <v>13881.867924528302</v>
      </c>
      <c r="EQ7" s="3557">
        <f t="shared" si="53"/>
        <v>6940.9309355345904</v>
      </c>
      <c r="ER7" s="3557">
        <f t="shared" si="54"/>
        <v>0</v>
      </c>
      <c r="ES7" s="3557"/>
      <c r="ET7" s="3568"/>
      <c r="EU7" s="3569"/>
      <c r="EV7" s="3625"/>
      <c r="EW7" s="3547"/>
      <c r="EX7" s="3568"/>
      <c r="EY7" s="3569"/>
      <c r="EZ7" s="3562"/>
      <c r="FA7" s="3547"/>
      <c r="FB7" s="3568"/>
      <c r="FC7" s="3569"/>
      <c r="FD7" s="3625"/>
      <c r="FE7" s="3547"/>
      <c r="FF7" s="3568"/>
      <c r="FG7" s="3569"/>
      <c r="FH7" s="3625"/>
      <c r="FI7" s="3547"/>
      <c r="FJ7" s="3568"/>
      <c r="FK7" s="3646"/>
      <c r="FL7" s="3785"/>
      <c r="FM7" s="3547"/>
      <c r="FN7" s="3568"/>
      <c r="FO7" s="3569"/>
      <c r="FP7" s="3625"/>
      <c r="FQ7" s="3547"/>
      <c r="FR7" s="3568"/>
      <c r="FS7" s="3646"/>
      <c r="FT7" s="3661"/>
      <c r="FU7" s="3547"/>
      <c r="FV7" s="3568"/>
      <c r="FW7" s="3569"/>
      <c r="FX7" s="3625"/>
      <c r="FY7" s="3547"/>
      <c r="FZ7" s="3568"/>
      <c r="GA7" s="3569"/>
      <c r="GB7" s="3562"/>
      <c r="GC7" s="3547"/>
      <c r="GD7" s="3568"/>
      <c r="GE7" s="3569"/>
      <c r="GF7" s="3562"/>
      <c r="GG7" s="3547"/>
      <c r="GH7" s="3568"/>
      <c r="GI7" s="3569"/>
      <c r="GJ7" s="3562"/>
      <c r="GK7" s="3547"/>
      <c r="GL7" s="3568"/>
      <c r="GM7" s="3569"/>
      <c r="GN7" s="3562"/>
      <c r="GO7" s="3547"/>
      <c r="GP7" s="3568"/>
      <c r="GQ7" s="3569"/>
      <c r="GR7" s="3562"/>
      <c r="GS7" s="3547">
        <f t="shared" si="55"/>
        <v>0</v>
      </c>
      <c r="GT7" s="3568"/>
      <c r="GU7" s="3569"/>
      <c r="GV7" s="3562"/>
      <c r="GW7" s="3547">
        <f t="shared" si="56"/>
        <v>0</v>
      </c>
      <c r="GX7" s="3568">
        <f>399963.051626984/3762.11*3182.46/3182.46*291.43</f>
        <v>30982.940992063479</v>
      </c>
      <c r="GY7" s="3569">
        <f>41396.42/1.05</f>
        <v>39425.161904761902</v>
      </c>
      <c r="GZ7" s="3562">
        <f>41396.42/1.05</f>
        <v>39425.161904761902</v>
      </c>
      <c r="HA7" s="3547">
        <f t="shared" si="10"/>
        <v>8442.2209126984235</v>
      </c>
      <c r="HB7" s="3568">
        <f>89601.5113600629/3762.11*3182.46/3182.46*291.43</f>
        <v>6940.9369889937116</v>
      </c>
      <c r="HC7" s="3569">
        <f>7357.39/1.06</f>
        <v>6940.933962264151</v>
      </c>
      <c r="HD7" s="3562">
        <f>7357.39/1.06</f>
        <v>6940.933962264151</v>
      </c>
      <c r="HE7" s="3547">
        <f t="shared" si="11"/>
        <v>-3.0267295605881372E-3</v>
      </c>
      <c r="HF7" s="3568"/>
      <c r="HG7" s="3569">
        <f>41396.42/1.05</f>
        <v>39425.161904761902</v>
      </c>
      <c r="HH7" s="3681">
        <f>41396.42/1.05</f>
        <v>39425.161904761902</v>
      </c>
      <c r="HI7" s="3547">
        <f t="shared" si="12"/>
        <v>39425.161904761902</v>
      </c>
      <c r="HJ7" s="3568"/>
      <c r="HK7" s="3569">
        <f>7357.39/1.06</f>
        <v>6940.933962264151</v>
      </c>
      <c r="HL7" s="3562">
        <f>7357.39/1.06</f>
        <v>6940.933962264151</v>
      </c>
      <c r="HM7" s="3547">
        <f t="shared" si="13"/>
        <v>6940.933962264151</v>
      </c>
      <c r="HN7" s="3568"/>
      <c r="HO7" s="3569"/>
      <c r="HP7" s="3562"/>
      <c r="HQ7" s="3547">
        <f t="shared" si="14"/>
        <v>0</v>
      </c>
      <c r="HR7" s="3568"/>
      <c r="HS7" s="3569"/>
      <c r="HT7" s="3562"/>
      <c r="HU7" s="3547">
        <f t="shared" si="15"/>
        <v>0</v>
      </c>
      <c r="HV7" s="3568"/>
      <c r="HW7" s="3569"/>
      <c r="HX7" s="3562"/>
      <c r="HY7" s="3547">
        <f t="shared" si="16"/>
        <v>0</v>
      </c>
      <c r="HZ7" s="3568"/>
      <c r="IA7" s="3569"/>
      <c r="IB7" s="3562"/>
      <c r="IC7" s="3547">
        <f t="shared" si="17"/>
        <v>0</v>
      </c>
      <c r="ID7" s="3568"/>
      <c r="IE7" s="3569"/>
      <c r="IF7" s="3562"/>
      <c r="IG7" s="3547">
        <f t="shared" si="18"/>
        <v>0</v>
      </c>
      <c r="IH7" s="3568"/>
      <c r="II7" s="3569"/>
      <c r="IJ7" s="3562"/>
      <c r="IK7" s="3547">
        <f t="shared" si="19"/>
        <v>0</v>
      </c>
      <c r="IL7" s="3607"/>
      <c r="IM7" s="3569"/>
      <c r="IN7" s="3569"/>
      <c r="IO7" s="3593"/>
      <c r="IP7" s="3786">
        <f t="shared" si="30"/>
        <v>0</v>
      </c>
      <c r="IQ7" s="3787"/>
      <c r="IR7" s="3787"/>
      <c r="IS7" s="3787"/>
      <c r="IT7" s="3625"/>
      <c r="IU7" s="3625"/>
      <c r="IV7" s="3625"/>
      <c r="IW7" s="3625"/>
      <c r="IX7" s="3625"/>
      <c r="IY7" s="3625"/>
      <c r="IZ7" s="3625"/>
      <c r="JA7" s="3625"/>
      <c r="JB7" s="3625"/>
      <c r="JC7" s="3788">
        <f t="shared" si="31"/>
        <v>0</v>
      </c>
      <c r="JD7" s="3787"/>
      <c r="JE7" s="3787"/>
      <c r="JF7" s="3787"/>
      <c r="JG7" s="3625"/>
      <c r="JH7" s="3625"/>
      <c r="JI7" s="3625"/>
      <c r="JJ7" s="3625"/>
      <c r="JK7" s="3625"/>
      <c r="JL7" s="3625"/>
      <c r="JM7" s="3625"/>
      <c r="JN7" s="3625"/>
      <c r="JO7" s="3625"/>
      <c r="JP7" s="3607"/>
      <c r="JQ7" s="3569"/>
      <c r="JR7" s="3569"/>
      <c r="JS7" s="3547">
        <f t="shared" si="32"/>
        <v>0</v>
      </c>
      <c r="JT7" s="3573">
        <f t="shared" si="33"/>
        <v>0</v>
      </c>
      <c r="JU7" s="3573">
        <f t="shared" si="34"/>
        <v>0</v>
      </c>
      <c r="JV7" s="3573">
        <f t="shared" si="35"/>
        <v>0</v>
      </c>
      <c r="JW7" s="3580">
        <f t="shared" si="36"/>
        <v>4.6700003149326488</v>
      </c>
      <c r="JX7" s="3576">
        <f t="shared" si="37"/>
        <v>0</v>
      </c>
      <c r="JY7" s="3576">
        <f t="shared" si="38"/>
        <v>0</v>
      </c>
      <c r="JZ7" s="3577"/>
      <c r="KA7" s="3576">
        <f t="shared" si="39"/>
        <v>46366.095867026052</v>
      </c>
      <c r="KB7" s="3576"/>
      <c r="KC7" s="3576"/>
      <c r="KD7" s="3576">
        <f t="shared" si="40"/>
        <v>46366.095867026052</v>
      </c>
      <c r="KE7" s="3794" t="s">
        <v>3863</v>
      </c>
      <c r="KF7" s="3579">
        <f>46366.1/10000</f>
        <v>4.6366100000000001</v>
      </c>
      <c r="KG7" s="3579">
        <f>8442.22/10000</f>
        <v>0.84422199999999992</v>
      </c>
      <c r="KH7" s="3579"/>
      <c r="KI7" s="3579"/>
      <c r="KJ7" s="3579"/>
      <c r="KK7" s="3579"/>
      <c r="KL7" s="3579"/>
      <c r="KM7" s="3579"/>
      <c r="KN7" s="3579"/>
      <c r="KO7" s="3579">
        <f t="shared" si="41"/>
        <v>5.4808320000000004</v>
      </c>
      <c r="KP7" s="3579">
        <f t="shared" si="42"/>
        <v>-6.2470050909979591E-7</v>
      </c>
      <c r="KQ7" s="3577"/>
      <c r="KR7" s="3577"/>
    </row>
    <row r="8" spans="1:304" s="3580" customFormat="1" ht="32.1" hidden="1" customHeight="1">
      <c r="A8" s="3545"/>
      <c r="B8" s="3546"/>
      <c r="C8" s="3790"/>
      <c r="D8" s="3791"/>
      <c r="E8" s="3548"/>
      <c r="F8" s="3546"/>
      <c r="G8" s="3546"/>
      <c r="H8" s="3655"/>
      <c r="I8" s="3594"/>
      <c r="J8" s="3594"/>
      <c r="K8" s="3607"/>
      <c r="L8" s="3655"/>
      <c r="M8" s="3561"/>
      <c r="N8" s="3561"/>
      <c r="O8" s="3551">
        <f t="shared" si="20"/>
        <v>0</v>
      </c>
      <c r="P8" s="3561"/>
      <c r="Q8" s="3561"/>
      <c r="R8" s="3547">
        <f t="shared" si="21"/>
        <v>0</v>
      </c>
      <c r="S8" s="3547" t="e">
        <f t="shared" si="22"/>
        <v>#DIV/0!</v>
      </c>
      <c r="T8" s="3602"/>
      <c r="U8" s="3561">
        <f t="shared" si="23"/>
        <v>0</v>
      </c>
      <c r="V8" s="3551"/>
      <c r="W8" s="3547" t="e">
        <f t="shared" si="24"/>
        <v>#DIV/0!</v>
      </c>
      <c r="X8" s="3779"/>
      <c r="Y8" s="3547">
        <f t="shared" si="25"/>
        <v>0</v>
      </c>
      <c r="Z8" s="3554"/>
      <c r="AA8" s="3555"/>
      <c r="AB8" s="3607"/>
      <c r="AC8" s="3556">
        <f t="shared" si="43"/>
        <v>0</v>
      </c>
      <c r="AD8" s="3780">
        <f t="shared" si="26"/>
        <v>0</v>
      </c>
      <c r="AE8" s="3780">
        <f t="shared" si="26"/>
        <v>0</v>
      </c>
      <c r="AF8" s="3556">
        <f t="shared" si="44"/>
        <v>0</v>
      </c>
      <c r="AG8" s="3556"/>
      <c r="AH8" s="3557">
        <f t="shared" si="45"/>
        <v>0</v>
      </c>
      <c r="AI8" s="3558">
        <f t="shared" si="27"/>
        <v>0</v>
      </c>
      <c r="AJ8" s="3558">
        <f t="shared" si="27"/>
        <v>0</v>
      </c>
      <c r="AK8" s="3557">
        <f t="shared" si="46"/>
        <v>0</v>
      </c>
      <c r="AL8" s="3557"/>
      <c r="AM8" s="3644"/>
      <c r="AN8" s="3781"/>
      <c r="AO8" s="3681"/>
      <c r="AP8" s="3561"/>
      <c r="AQ8" s="3782"/>
      <c r="AR8" s="3681"/>
      <c r="AS8" s="3561"/>
      <c r="AT8" s="3783"/>
      <c r="AU8" s="3547"/>
      <c r="AV8" s="3782"/>
      <c r="AW8" s="3681"/>
      <c r="AX8" s="3561"/>
      <c r="AY8" s="3782"/>
      <c r="AZ8" s="3681"/>
      <c r="BA8" s="3561"/>
      <c r="BB8" s="3783"/>
      <c r="BC8" s="3547"/>
      <c r="BD8" s="3782"/>
      <c r="BE8" s="3681"/>
      <c r="BF8" s="3561"/>
      <c r="BG8" s="3782"/>
      <c r="BH8" s="3681"/>
      <c r="BI8" s="3561"/>
      <c r="BJ8" s="3783"/>
      <c r="BK8" s="3547"/>
      <c r="BL8" s="3782"/>
      <c r="BM8" s="3681"/>
      <c r="BN8" s="3561"/>
      <c r="BO8" s="3782"/>
      <c r="BP8" s="3681"/>
      <c r="BQ8" s="3561"/>
      <c r="BR8" s="3783"/>
      <c r="BS8" s="3547"/>
      <c r="BT8" s="3782"/>
      <c r="BU8" s="3681"/>
      <c r="BV8" s="3561"/>
      <c r="BW8" s="3782"/>
      <c r="BX8" s="3681"/>
      <c r="BY8" s="3561"/>
      <c r="BZ8" s="3783"/>
      <c r="CA8" s="3547"/>
      <c r="CB8" s="3782"/>
      <c r="CC8" s="3681"/>
      <c r="CD8" s="3561"/>
      <c r="CE8" s="3782"/>
      <c r="CF8" s="3681"/>
      <c r="CG8" s="3561"/>
      <c r="CH8" s="3783"/>
      <c r="CI8" s="3547"/>
      <c r="CJ8" s="3782"/>
      <c r="CK8" s="3681"/>
      <c r="CL8" s="3561">
        <f t="shared" si="47"/>
        <v>0</v>
      </c>
      <c r="CM8" s="3782"/>
      <c r="CN8" s="3681"/>
      <c r="CO8" s="3561">
        <f t="shared" si="48"/>
        <v>0</v>
      </c>
      <c r="CP8" s="3783"/>
      <c r="CQ8" s="3547"/>
      <c r="CR8" s="3782"/>
      <c r="CS8" s="3681"/>
      <c r="CT8" s="3561">
        <f t="shared" si="0"/>
        <v>0</v>
      </c>
      <c r="CU8" s="3782"/>
      <c r="CV8" s="3681"/>
      <c r="CW8" s="3561">
        <f t="shared" si="1"/>
        <v>0</v>
      </c>
      <c r="CX8" s="3783"/>
      <c r="CY8" s="3547"/>
      <c r="CZ8" s="3782"/>
      <c r="DA8" s="3681"/>
      <c r="DB8" s="3561">
        <f t="shared" si="2"/>
        <v>0</v>
      </c>
      <c r="DC8" s="3782"/>
      <c r="DD8" s="3681"/>
      <c r="DE8" s="3561">
        <f t="shared" si="3"/>
        <v>0</v>
      </c>
      <c r="DF8" s="3783"/>
      <c r="DG8" s="3547"/>
      <c r="DH8" s="3782"/>
      <c r="DI8" s="3681"/>
      <c r="DJ8" s="3561">
        <f t="shared" si="4"/>
        <v>0</v>
      </c>
      <c r="DK8" s="3782"/>
      <c r="DL8" s="3681"/>
      <c r="DM8" s="3561">
        <f t="shared" si="5"/>
        <v>0</v>
      </c>
      <c r="DN8" s="3783"/>
      <c r="DO8" s="3547"/>
      <c r="DP8" s="3782"/>
      <c r="DQ8" s="3681"/>
      <c r="DR8" s="3561">
        <f t="shared" si="6"/>
        <v>0</v>
      </c>
      <c r="DS8" s="3782"/>
      <c r="DT8" s="3681"/>
      <c r="DU8" s="3561">
        <f t="shared" si="7"/>
        <v>0</v>
      </c>
      <c r="DV8" s="3783"/>
      <c r="DW8" s="3547"/>
      <c r="DX8" s="3782"/>
      <c r="DY8" s="3681"/>
      <c r="DZ8" s="3561">
        <f t="shared" si="8"/>
        <v>0</v>
      </c>
      <c r="EA8" s="3782"/>
      <c r="EB8" s="3681"/>
      <c r="EC8" s="3561">
        <f t="shared" si="9"/>
        <v>0</v>
      </c>
      <c r="ED8" s="3783"/>
      <c r="EF8" s="3565">
        <f t="shared" si="49"/>
        <v>0</v>
      </c>
      <c r="EG8" s="3565">
        <f t="shared" si="28"/>
        <v>0</v>
      </c>
      <c r="EH8" s="3565">
        <f t="shared" si="28"/>
        <v>0</v>
      </c>
      <c r="EI8" s="3565">
        <f t="shared" si="28"/>
        <v>0</v>
      </c>
      <c r="EJ8" s="3565">
        <f t="shared" si="50"/>
        <v>0</v>
      </c>
      <c r="EK8" s="3565">
        <f t="shared" si="51"/>
        <v>0</v>
      </c>
      <c r="EL8" s="3556"/>
      <c r="EM8" s="3557">
        <f t="shared" si="52"/>
        <v>0</v>
      </c>
      <c r="EN8" s="3557">
        <f t="shared" si="29"/>
        <v>0</v>
      </c>
      <c r="EO8" s="3557">
        <f t="shared" si="29"/>
        <v>0</v>
      </c>
      <c r="EP8" s="3557">
        <f t="shared" si="29"/>
        <v>0</v>
      </c>
      <c r="EQ8" s="3557">
        <f t="shared" si="53"/>
        <v>0</v>
      </c>
      <c r="ER8" s="3557">
        <f t="shared" si="54"/>
        <v>0</v>
      </c>
      <c r="ES8" s="3557"/>
      <c r="ET8" s="3568"/>
      <c r="EU8" s="3569"/>
      <c r="EV8" s="3625"/>
      <c r="EW8" s="3547"/>
      <c r="EX8" s="3568"/>
      <c r="EY8" s="3569"/>
      <c r="EZ8" s="3562"/>
      <c r="FA8" s="3547"/>
      <c r="FB8" s="3568"/>
      <c r="FC8" s="3569"/>
      <c r="FD8" s="3625"/>
      <c r="FE8" s="3547"/>
      <c r="FF8" s="3568"/>
      <c r="FG8" s="3569"/>
      <c r="FH8" s="3625"/>
      <c r="FI8" s="3547"/>
      <c r="FJ8" s="3568"/>
      <c r="FK8" s="3646"/>
      <c r="FL8" s="3785"/>
      <c r="FM8" s="3547"/>
      <c r="FN8" s="3568"/>
      <c r="FO8" s="3569"/>
      <c r="FP8" s="3625"/>
      <c r="FQ8" s="3547"/>
      <c r="FR8" s="3568"/>
      <c r="FS8" s="3646"/>
      <c r="FT8" s="3661"/>
      <c r="FU8" s="3547"/>
      <c r="FV8" s="3568"/>
      <c r="FW8" s="3569"/>
      <c r="FX8" s="3625"/>
      <c r="FY8" s="3547"/>
      <c r="FZ8" s="3568"/>
      <c r="GA8" s="3569"/>
      <c r="GB8" s="3562"/>
      <c r="GC8" s="3547"/>
      <c r="GD8" s="3568"/>
      <c r="GE8" s="3569"/>
      <c r="GF8" s="3562"/>
      <c r="GG8" s="3547"/>
      <c r="GH8" s="3568"/>
      <c r="GI8" s="3569"/>
      <c r="GJ8" s="3562"/>
      <c r="GK8" s="3547"/>
      <c r="GL8" s="3568"/>
      <c r="GM8" s="3569"/>
      <c r="GN8" s="3562"/>
      <c r="GO8" s="3547"/>
      <c r="GP8" s="3568"/>
      <c r="GQ8" s="3569"/>
      <c r="GR8" s="3562"/>
      <c r="GS8" s="3547">
        <f t="shared" si="55"/>
        <v>0</v>
      </c>
      <c r="GT8" s="3568"/>
      <c r="GU8" s="3569"/>
      <c r="GV8" s="3562"/>
      <c r="GW8" s="3547">
        <f t="shared" si="56"/>
        <v>0</v>
      </c>
      <c r="GX8" s="3568"/>
      <c r="GY8" s="3569"/>
      <c r="GZ8" s="3562"/>
      <c r="HA8" s="3547">
        <f t="shared" si="10"/>
        <v>0</v>
      </c>
      <c r="HB8" s="3568"/>
      <c r="HC8" s="3569"/>
      <c r="HD8" s="3562"/>
      <c r="HE8" s="3547">
        <f t="shared" si="11"/>
        <v>0</v>
      </c>
      <c r="HF8" s="3568"/>
      <c r="HG8" s="3569"/>
      <c r="HH8" s="3562"/>
      <c r="HI8" s="3547">
        <f t="shared" si="12"/>
        <v>0</v>
      </c>
      <c r="HJ8" s="3568"/>
      <c r="HK8" s="3569"/>
      <c r="HL8" s="3562"/>
      <c r="HM8" s="3547">
        <f t="shared" si="13"/>
        <v>0</v>
      </c>
      <c r="HN8" s="3568"/>
      <c r="HO8" s="3569"/>
      <c r="HP8" s="3562"/>
      <c r="HQ8" s="3547">
        <f t="shared" si="14"/>
        <v>0</v>
      </c>
      <c r="HR8" s="3568"/>
      <c r="HS8" s="3569"/>
      <c r="HT8" s="3562"/>
      <c r="HU8" s="3547">
        <f t="shared" si="15"/>
        <v>0</v>
      </c>
      <c r="HV8" s="3568"/>
      <c r="HW8" s="3569"/>
      <c r="HX8" s="3562"/>
      <c r="HY8" s="3547">
        <f t="shared" si="16"/>
        <v>0</v>
      </c>
      <c r="HZ8" s="3568"/>
      <c r="IA8" s="3569"/>
      <c r="IB8" s="3562"/>
      <c r="IC8" s="3547">
        <f t="shared" si="17"/>
        <v>0</v>
      </c>
      <c r="ID8" s="3568"/>
      <c r="IE8" s="3569"/>
      <c r="IF8" s="3562"/>
      <c r="IG8" s="3547">
        <f t="shared" si="18"/>
        <v>0</v>
      </c>
      <c r="IH8" s="3568"/>
      <c r="II8" s="3569"/>
      <c r="IJ8" s="3562"/>
      <c r="IK8" s="3547">
        <f t="shared" si="19"/>
        <v>0</v>
      </c>
      <c r="IL8" s="3607"/>
      <c r="IM8" s="3569"/>
      <c r="IN8" s="3569"/>
      <c r="IO8" s="3593"/>
      <c r="IP8" s="3786">
        <f t="shared" si="30"/>
        <v>0</v>
      </c>
      <c r="IQ8" s="3787"/>
      <c r="IR8" s="3787"/>
      <c r="IS8" s="3787"/>
      <c r="IT8" s="3625"/>
      <c r="IU8" s="3625"/>
      <c r="IV8" s="3625"/>
      <c r="IW8" s="3625"/>
      <c r="IX8" s="3625"/>
      <c r="IY8" s="3625"/>
      <c r="IZ8" s="3625"/>
      <c r="JA8" s="3625"/>
      <c r="JB8" s="3625"/>
      <c r="JC8" s="3788">
        <f t="shared" si="31"/>
        <v>0</v>
      </c>
      <c r="JD8" s="3787"/>
      <c r="JE8" s="3787"/>
      <c r="JF8" s="3787"/>
      <c r="JG8" s="3625"/>
      <c r="JH8" s="3625"/>
      <c r="JI8" s="3625"/>
      <c r="JJ8" s="3625"/>
      <c r="JK8" s="3625"/>
      <c r="JL8" s="3625"/>
      <c r="JM8" s="3625"/>
      <c r="JN8" s="3625"/>
      <c r="JO8" s="3625"/>
      <c r="JP8" s="3607"/>
      <c r="JQ8" s="3569"/>
      <c r="JR8" s="3569"/>
      <c r="JS8" s="3547">
        <f t="shared" si="32"/>
        <v>0</v>
      </c>
      <c r="JT8" s="3573">
        <f t="shared" si="33"/>
        <v>0</v>
      </c>
      <c r="JU8" s="3573">
        <f t="shared" si="34"/>
        <v>0</v>
      </c>
      <c r="JV8" s="3573">
        <f t="shared" si="35"/>
        <v>0</v>
      </c>
      <c r="JW8" s="3580" t="e">
        <f t="shared" si="36"/>
        <v>#DIV/0!</v>
      </c>
      <c r="JX8" s="3576">
        <f t="shared" si="37"/>
        <v>0</v>
      </c>
      <c r="JY8" s="3576">
        <f t="shared" si="38"/>
        <v>0</v>
      </c>
      <c r="JZ8" s="3577"/>
      <c r="KA8" s="3576">
        <f t="shared" si="39"/>
        <v>0</v>
      </c>
      <c r="KB8" s="3576"/>
      <c r="KC8" s="3576"/>
      <c r="KD8" s="3576">
        <f t="shared" si="40"/>
        <v>0</v>
      </c>
      <c r="KE8" s="3795"/>
      <c r="KF8" s="3579"/>
      <c r="KG8" s="3579"/>
      <c r="KH8" s="3579"/>
      <c r="KI8" s="3579"/>
      <c r="KJ8" s="3579"/>
      <c r="KK8" s="3579"/>
      <c r="KL8" s="3579"/>
      <c r="KM8" s="3579"/>
      <c r="KN8" s="3579"/>
      <c r="KO8" s="3579">
        <f t="shared" si="41"/>
        <v>0</v>
      </c>
      <c r="KP8" s="3579">
        <f t="shared" si="42"/>
        <v>0</v>
      </c>
      <c r="KQ8" s="3577"/>
      <c r="KR8" s="3577"/>
    </row>
    <row r="9" spans="1:304" s="3580" customFormat="1" ht="32.1" hidden="1" customHeight="1">
      <c r="A9" s="3545"/>
      <c r="B9" s="3546"/>
      <c r="C9" s="3790"/>
      <c r="D9" s="3791"/>
      <c r="E9" s="3548"/>
      <c r="F9" s="3546"/>
      <c r="G9" s="3546"/>
      <c r="H9" s="3655"/>
      <c r="I9" s="3594"/>
      <c r="J9" s="3594"/>
      <c r="K9" s="3607"/>
      <c r="L9" s="3655"/>
      <c r="M9" s="3561"/>
      <c r="N9" s="3561"/>
      <c r="O9" s="3551">
        <f t="shared" si="20"/>
        <v>0</v>
      </c>
      <c r="P9" s="3561"/>
      <c r="Q9" s="3561"/>
      <c r="R9" s="3547">
        <f t="shared" si="21"/>
        <v>0</v>
      </c>
      <c r="S9" s="3547" t="e">
        <f t="shared" si="22"/>
        <v>#DIV/0!</v>
      </c>
      <c r="T9" s="3602"/>
      <c r="U9" s="3561">
        <f t="shared" si="23"/>
        <v>0</v>
      </c>
      <c r="V9" s="3551"/>
      <c r="W9" s="3547" t="e">
        <f t="shared" si="24"/>
        <v>#DIV/0!</v>
      </c>
      <c r="X9" s="3779"/>
      <c r="Y9" s="3547">
        <f t="shared" si="25"/>
        <v>0</v>
      </c>
      <c r="Z9" s="3554"/>
      <c r="AA9" s="3555"/>
      <c r="AB9" s="3607"/>
      <c r="AC9" s="3556">
        <f t="shared" si="43"/>
        <v>0</v>
      </c>
      <c r="AD9" s="3780">
        <f t="shared" si="26"/>
        <v>0</v>
      </c>
      <c r="AE9" s="3780">
        <f t="shared" si="26"/>
        <v>0</v>
      </c>
      <c r="AF9" s="3556">
        <f t="shared" si="44"/>
        <v>0</v>
      </c>
      <c r="AG9" s="3556"/>
      <c r="AH9" s="3557">
        <f t="shared" si="45"/>
        <v>0</v>
      </c>
      <c r="AI9" s="3558">
        <f t="shared" si="27"/>
        <v>0</v>
      </c>
      <c r="AJ9" s="3558">
        <f t="shared" si="27"/>
        <v>0</v>
      </c>
      <c r="AK9" s="3557">
        <f t="shared" si="46"/>
        <v>0</v>
      </c>
      <c r="AL9" s="3557"/>
      <c r="AM9" s="3644"/>
      <c r="AN9" s="3781"/>
      <c r="AO9" s="3681"/>
      <c r="AP9" s="3561"/>
      <c r="AQ9" s="3782"/>
      <c r="AR9" s="3681"/>
      <c r="AS9" s="3561"/>
      <c r="AT9" s="3783"/>
      <c r="AU9" s="3547"/>
      <c r="AV9" s="3782"/>
      <c r="AW9" s="3681"/>
      <c r="AX9" s="3561"/>
      <c r="AY9" s="3782"/>
      <c r="AZ9" s="3681"/>
      <c r="BA9" s="3561"/>
      <c r="BB9" s="3783"/>
      <c r="BC9" s="3547"/>
      <c r="BD9" s="3782"/>
      <c r="BE9" s="3681"/>
      <c r="BF9" s="3561"/>
      <c r="BG9" s="3782"/>
      <c r="BH9" s="3681"/>
      <c r="BI9" s="3561"/>
      <c r="BJ9" s="3783"/>
      <c r="BK9" s="3547"/>
      <c r="BL9" s="3782"/>
      <c r="BM9" s="3681"/>
      <c r="BN9" s="3561"/>
      <c r="BO9" s="3782"/>
      <c r="BP9" s="3681"/>
      <c r="BQ9" s="3561"/>
      <c r="BR9" s="3783"/>
      <c r="BS9" s="3547"/>
      <c r="BT9" s="3782"/>
      <c r="BU9" s="3681"/>
      <c r="BV9" s="3561"/>
      <c r="BW9" s="3782"/>
      <c r="BX9" s="3681"/>
      <c r="BY9" s="3561"/>
      <c r="BZ9" s="3783"/>
      <c r="CA9" s="3547"/>
      <c r="CB9" s="3782"/>
      <c r="CC9" s="3681"/>
      <c r="CD9" s="3561"/>
      <c r="CE9" s="3782"/>
      <c r="CF9" s="3681"/>
      <c r="CG9" s="3561"/>
      <c r="CH9" s="3783"/>
      <c r="CI9" s="3547"/>
      <c r="CJ9" s="3782"/>
      <c r="CK9" s="3681"/>
      <c r="CL9" s="3561">
        <f t="shared" si="47"/>
        <v>0</v>
      </c>
      <c r="CM9" s="3782"/>
      <c r="CN9" s="3681"/>
      <c r="CO9" s="3561">
        <f t="shared" si="48"/>
        <v>0</v>
      </c>
      <c r="CP9" s="3783"/>
      <c r="CQ9" s="3547"/>
      <c r="CR9" s="3782"/>
      <c r="CS9" s="3681"/>
      <c r="CT9" s="3561">
        <f t="shared" si="0"/>
        <v>0</v>
      </c>
      <c r="CU9" s="3782"/>
      <c r="CV9" s="3681"/>
      <c r="CW9" s="3561">
        <f t="shared" si="1"/>
        <v>0</v>
      </c>
      <c r="CX9" s="3783"/>
      <c r="CY9" s="3547"/>
      <c r="CZ9" s="3782"/>
      <c r="DA9" s="3681"/>
      <c r="DB9" s="3561">
        <f t="shared" si="2"/>
        <v>0</v>
      </c>
      <c r="DC9" s="3782"/>
      <c r="DD9" s="3681"/>
      <c r="DE9" s="3561">
        <f t="shared" si="3"/>
        <v>0</v>
      </c>
      <c r="DF9" s="3783"/>
      <c r="DG9" s="3547"/>
      <c r="DH9" s="3782"/>
      <c r="DI9" s="3681"/>
      <c r="DJ9" s="3561">
        <f t="shared" si="4"/>
        <v>0</v>
      </c>
      <c r="DK9" s="3782"/>
      <c r="DL9" s="3681"/>
      <c r="DM9" s="3561">
        <f t="shared" si="5"/>
        <v>0</v>
      </c>
      <c r="DN9" s="3783"/>
      <c r="DO9" s="3547"/>
      <c r="DP9" s="3782"/>
      <c r="DQ9" s="3681"/>
      <c r="DR9" s="3561">
        <f t="shared" si="6"/>
        <v>0</v>
      </c>
      <c r="DS9" s="3782"/>
      <c r="DT9" s="3681"/>
      <c r="DU9" s="3561">
        <f t="shared" si="7"/>
        <v>0</v>
      </c>
      <c r="DV9" s="3783"/>
      <c r="DW9" s="3547"/>
      <c r="DX9" s="3782"/>
      <c r="DY9" s="3681"/>
      <c r="DZ9" s="3561">
        <f t="shared" si="8"/>
        <v>0</v>
      </c>
      <c r="EA9" s="3782"/>
      <c r="EB9" s="3681"/>
      <c r="EC9" s="3561">
        <f t="shared" si="9"/>
        <v>0</v>
      </c>
      <c r="ED9" s="3783"/>
      <c r="EF9" s="3565">
        <f t="shared" si="49"/>
        <v>0</v>
      </c>
      <c r="EG9" s="3565">
        <f t="shared" si="28"/>
        <v>0</v>
      </c>
      <c r="EH9" s="3565">
        <f t="shared" si="28"/>
        <v>0</v>
      </c>
      <c r="EI9" s="3565">
        <f t="shared" si="28"/>
        <v>0</v>
      </c>
      <c r="EJ9" s="3565">
        <f t="shared" si="50"/>
        <v>0</v>
      </c>
      <c r="EK9" s="3565">
        <f t="shared" si="51"/>
        <v>0</v>
      </c>
      <c r="EL9" s="3556"/>
      <c r="EM9" s="3557">
        <f t="shared" si="52"/>
        <v>0</v>
      </c>
      <c r="EN9" s="3557">
        <f t="shared" si="29"/>
        <v>0</v>
      </c>
      <c r="EO9" s="3557">
        <f t="shared" si="29"/>
        <v>0</v>
      </c>
      <c r="EP9" s="3557">
        <f t="shared" si="29"/>
        <v>0</v>
      </c>
      <c r="EQ9" s="3557">
        <f t="shared" si="53"/>
        <v>0</v>
      </c>
      <c r="ER9" s="3557">
        <f t="shared" si="54"/>
        <v>0</v>
      </c>
      <c r="ES9" s="3557"/>
      <c r="ET9" s="3568"/>
      <c r="EU9" s="3569"/>
      <c r="EV9" s="3625"/>
      <c r="EW9" s="3547"/>
      <c r="EX9" s="3568"/>
      <c r="EY9" s="3569"/>
      <c r="EZ9" s="3562"/>
      <c r="FA9" s="3547"/>
      <c r="FB9" s="3568"/>
      <c r="FC9" s="3569"/>
      <c r="FD9" s="3625"/>
      <c r="FE9" s="3547"/>
      <c r="FF9" s="3568"/>
      <c r="FG9" s="3569"/>
      <c r="FH9" s="3625"/>
      <c r="FI9" s="3547"/>
      <c r="FJ9" s="3568"/>
      <c r="FK9" s="3646"/>
      <c r="FL9" s="3785"/>
      <c r="FM9" s="3547"/>
      <c r="FN9" s="3568"/>
      <c r="FO9" s="3569"/>
      <c r="FP9" s="3625"/>
      <c r="FQ9" s="3547"/>
      <c r="FR9" s="3568"/>
      <c r="FS9" s="3646"/>
      <c r="FT9" s="3661"/>
      <c r="FU9" s="3547"/>
      <c r="FV9" s="3568"/>
      <c r="FW9" s="3569"/>
      <c r="FX9" s="3625"/>
      <c r="FY9" s="3547"/>
      <c r="FZ9" s="3568"/>
      <c r="GA9" s="3569"/>
      <c r="GB9" s="3562"/>
      <c r="GC9" s="3547"/>
      <c r="GD9" s="3568"/>
      <c r="GE9" s="3569"/>
      <c r="GF9" s="3562"/>
      <c r="GG9" s="3547"/>
      <c r="GH9" s="3568"/>
      <c r="GI9" s="3569"/>
      <c r="GJ9" s="3562"/>
      <c r="GK9" s="3547"/>
      <c r="GL9" s="3568"/>
      <c r="GM9" s="3569"/>
      <c r="GN9" s="3562"/>
      <c r="GO9" s="3547"/>
      <c r="GP9" s="3568"/>
      <c r="GQ9" s="3569"/>
      <c r="GR9" s="3562"/>
      <c r="GS9" s="3547">
        <f t="shared" si="55"/>
        <v>0</v>
      </c>
      <c r="GT9" s="3568"/>
      <c r="GU9" s="3569"/>
      <c r="GV9" s="3562"/>
      <c r="GW9" s="3547">
        <f t="shared" si="56"/>
        <v>0</v>
      </c>
      <c r="GX9" s="3568"/>
      <c r="GY9" s="3569"/>
      <c r="GZ9" s="3562"/>
      <c r="HA9" s="3547">
        <f t="shared" si="10"/>
        <v>0</v>
      </c>
      <c r="HB9" s="3568"/>
      <c r="HC9" s="3569"/>
      <c r="HD9" s="3562"/>
      <c r="HE9" s="3547">
        <f t="shared" si="11"/>
        <v>0</v>
      </c>
      <c r="HF9" s="3568"/>
      <c r="HG9" s="3569"/>
      <c r="HH9" s="3562"/>
      <c r="HI9" s="3547">
        <f t="shared" si="12"/>
        <v>0</v>
      </c>
      <c r="HJ9" s="3568"/>
      <c r="HK9" s="3569"/>
      <c r="HL9" s="3562"/>
      <c r="HM9" s="3547">
        <f t="shared" si="13"/>
        <v>0</v>
      </c>
      <c r="HN9" s="3568"/>
      <c r="HO9" s="3569"/>
      <c r="HP9" s="3562"/>
      <c r="HQ9" s="3547">
        <f t="shared" si="14"/>
        <v>0</v>
      </c>
      <c r="HR9" s="3568"/>
      <c r="HS9" s="3569"/>
      <c r="HT9" s="3562"/>
      <c r="HU9" s="3547">
        <f t="shared" si="15"/>
        <v>0</v>
      </c>
      <c r="HV9" s="3568"/>
      <c r="HW9" s="3569"/>
      <c r="HX9" s="3562"/>
      <c r="HY9" s="3547">
        <f t="shared" si="16"/>
        <v>0</v>
      </c>
      <c r="HZ9" s="3568"/>
      <c r="IA9" s="3569"/>
      <c r="IB9" s="3562"/>
      <c r="IC9" s="3547">
        <f t="shared" si="17"/>
        <v>0</v>
      </c>
      <c r="ID9" s="3568"/>
      <c r="IE9" s="3569"/>
      <c r="IF9" s="3562"/>
      <c r="IG9" s="3547">
        <f t="shared" si="18"/>
        <v>0</v>
      </c>
      <c r="IH9" s="3568"/>
      <c r="II9" s="3569"/>
      <c r="IJ9" s="3562"/>
      <c r="IK9" s="3547">
        <f t="shared" si="19"/>
        <v>0</v>
      </c>
      <c r="IL9" s="3607"/>
      <c r="IM9" s="3569"/>
      <c r="IN9" s="3569"/>
      <c r="IO9" s="3593"/>
      <c r="IP9" s="3786">
        <f t="shared" si="30"/>
        <v>0</v>
      </c>
      <c r="IQ9" s="3787"/>
      <c r="IR9" s="3787"/>
      <c r="IS9" s="3787"/>
      <c r="IT9" s="3625"/>
      <c r="IU9" s="3625"/>
      <c r="IV9" s="3625"/>
      <c r="IW9" s="3625"/>
      <c r="IX9" s="3625"/>
      <c r="IY9" s="3625"/>
      <c r="IZ9" s="3625"/>
      <c r="JA9" s="3625"/>
      <c r="JB9" s="3625"/>
      <c r="JC9" s="3788">
        <f t="shared" si="31"/>
        <v>0</v>
      </c>
      <c r="JD9" s="3787"/>
      <c r="JE9" s="3787"/>
      <c r="JF9" s="3787"/>
      <c r="JG9" s="3625"/>
      <c r="JH9" s="3625"/>
      <c r="JI9" s="3625"/>
      <c r="JJ9" s="3625"/>
      <c r="JK9" s="3625"/>
      <c r="JL9" s="3625"/>
      <c r="JM9" s="3625"/>
      <c r="JN9" s="3625"/>
      <c r="JO9" s="3625"/>
      <c r="JP9" s="3607"/>
      <c r="JQ9" s="3569"/>
      <c r="JR9" s="3569"/>
      <c r="JS9" s="3547">
        <f t="shared" si="32"/>
        <v>0</v>
      </c>
      <c r="JT9" s="3573">
        <f t="shared" si="33"/>
        <v>0</v>
      </c>
      <c r="JU9" s="3573">
        <f t="shared" si="34"/>
        <v>0</v>
      </c>
      <c r="JV9" s="3573">
        <f t="shared" si="35"/>
        <v>0</v>
      </c>
      <c r="JW9" s="3580" t="e">
        <f t="shared" si="36"/>
        <v>#DIV/0!</v>
      </c>
      <c r="JX9" s="3576">
        <f t="shared" si="37"/>
        <v>0</v>
      </c>
      <c r="JY9" s="3576">
        <f t="shared" si="38"/>
        <v>0</v>
      </c>
      <c r="JZ9" s="3577"/>
      <c r="KA9" s="3576">
        <f t="shared" si="39"/>
        <v>0</v>
      </c>
      <c r="KB9" s="3576"/>
      <c r="KC9" s="3576"/>
      <c r="KD9" s="3576">
        <f t="shared" si="40"/>
        <v>0</v>
      </c>
      <c r="KE9" s="3795"/>
      <c r="KF9" s="3579"/>
      <c r="KG9" s="3579"/>
      <c r="KH9" s="3579"/>
      <c r="KI9" s="3579"/>
      <c r="KJ9" s="3579"/>
      <c r="KK9" s="3579"/>
      <c r="KL9" s="3579"/>
      <c r="KM9" s="3579"/>
      <c r="KN9" s="3579"/>
      <c r="KO9" s="3579">
        <f t="shared" si="41"/>
        <v>0</v>
      </c>
      <c r="KP9" s="3579">
        <f t="shared" si="42"/>
        <v>0</v>
      </c>
      <c r="KQ9" s="3577"/>
      <c r="KR9" s="3577"/>
    </row>
    <row r="10" spans="1:304" s="3580" customFormat="1" ht="32.1" hidden="1" customHeight="1">
      <c r="A10" s="3545"/>
      <c r="B10" s="3546"/>
      <c r="C10" s="3790"/>
      <c r="D10" s="3791"/>
      <c r="E10" s="3548"/>
      <c r="F10" s="3546"/>
      <c r="G10" s="3546"/>
      <c r="H10" s="3655"/>
      <c r="I10" s="3594"/>
      <c r="J10" s="3594"/>
      <c r="K10" s="3607"/>
      <c r="L10" s="3655"/>
      <c r="M10" s="3561"/>
      <c r="N10" s="3561"/>
      <c r="O10" s="3551">
        <f t="shared" si="20"/>
        <v>0</v>
      </c>
      <c r="P10" s="3561"/>
      <c r="Q10" s="3561"/>
      <c r="R10" s="3547">
        <f t="shared" si="21"/>
        <v>0</v>
      </c>
      <c r="S10" s="3547" t="e">
        <f t="shared" si="22"/>
        <v>#DIV/0!</v>
      </c>
      <c r="T10" s="3602"/>
      <c r="U10" s="3561">
        <f t="shared" si="23"/>
        <v>0</v>
      </c>
      <c r="V10" s="3551"/>
      <c r="W10" s="3547" t="e">
        <f t="shared" si="24"/>
        <v>#DIV/0!</v>
      </c>
      <c r="X10" s="3779"/>
      <c r="Y10" s="3547">
        <f t="shared" si="25"/>
        <v>0</v>
      </c>
      <c r="Z10" s="3554"/>
      <c r="AA10" s="3555"/>
      <c r="AB10" s="3607"/>
      <c r="AC10" s="3556">
        <f t="shared" si="43"/>
        <v>0</v>
      </c>
      <c r="AD10" s="3780">
        <f t="shared" si="26"/>
        <v>0</v>
      </c>
      <c r="AE10" s="3780">
        <f t="shared" si="26"/>
        <v>0</v>
      </c>
      <c r="AF10" s="3556">
        <f t="shared" si="44"/>
        <v>0</v>
      </c>
      <c r="AG10" s="3556"/>
      <c r="AH10" s="3557">
        <f t="shared" si="45"/>
        <v>0</v>
      </c>
      <c r="AI10" s="3558">
        <f t="shared" si="27"/>
        <v>0</v>
      </c>
      <c r="AJ10" s="3558">
        <f t="shared" si="27"/>
        <v>0</v>
      </c>
      <c r="AK10" s="3557">
        <f t="shared" si="46"/>
        <v>0</v>
      </c>
      <c r="AL10" s="3557"/>
      <c r="AM10" s="3644"/>
      <c r="AN10" s="3781"/>
      <c r="AO10" s="3681"/>
      <c r="AP10" s="3561"/>
      <c r="AQ10" s="3782"/>
      <c r="AR10" s="3681"/>
      <c r="AS10" s="3561"/>
      <c r="AT10" s="3783"/>
      <c r="AU10" s="3547"/>
      <c r="AV10" s="3782"/>
      <c r="AW10" s="3681"/>
      <c r="AX10" s="3561"/>
      <c r="AY10" s="3782"/>
      <c r="AZ10" s="3681"/>
      <c r="BA10" s="3561"/>
      <c r="BB10" s="3783"/>
      <c r="BC10" s="3547"/>
      <c r="BD10" s="3782"/>
      <c r="BE10" s="3681"/>
      <c r="BF10" s="3561"/>
      <c r="BG10" s="3782"/>
      <c r="BH10" s="3681"/>
      <c r="BI10" s="3561"/>
      <c r="BJ10" s="3783"/>
      <c r="BK10" s="3547"/>
      <c r="BL10" s="3782"/>
      <c r="BM10" s="3681"/>
      <c r="BN10" s="3561"/>
      <c r="BO10" s="3782"/>
      <c r="BP10" s="3681"/>
      <c r="BQ10" s="3561"/>
      <c r="BR10" s="3783"/>
      <c r="BS10" s="3547"/>
      <c r="BT10" s="3782"/>
      <c r="BU10" s="3681"/>
      <c r="BV10" s="3561"/>
      <c r="BW10" s="3782"/>
      <c r="BX10" s="3681"/>
      <c r="BY10" s="3561"/>
      <c r="BZ10" s="3783"/>
      <c r="CA10" s="3547"/>
      <c r="CB10" s="3782"/>
      <c r="CC10" s="3681"/>
      <c r="CD10" s="3561"/>
      <c r="CE10" s="3782"/>
      <c r="CF10" s="3681"/>
      <c r="CG10" s="3561"/>
      <c r="CH10" s="3783"/>
      <c r="CI10" s="3547"/>
      <c r="CJ10" s="3782"/>
      <c r="CK10" s="3681"/>
      <c r="CL10" s="3561">
        <f t="shared" si="47"/>
        <v>0</v>
      </c>
      <c r="CM10" s="3782"/>
      <c r="CN10" s="3681"/>
      <c r="CO10" s="3561">
        <f t="shared" si="48"/>
        <v>0</v>
      </c>
      <c r="CP10" s="3783"/>
      <c r="CQ10" s="3547"/>
      <c r="CR10" s="3782"/>
      <c r="CS10" s="3681"/>
      <c r="CT10" s="3561">
        <f t="shared" si="0"/>
        <v>0</v>
      </c>
      <c r="CU10" s="3782"/>
      <c r="CV10" s="3681"/>
      <c r="CW10" s="3561">
        <f t="shared" si="1"/>
        <v>0</v>
      </c>
      <c r="CX10" s="3783"/>
      <c r="CY10" s="3547"/>
      <c r="CZ10" s="3782"/>
      <c r="DA10" s="3681"/>
      <c r="DB10" s="3561">
        <f t="shared" si="2"/>
        <v>0</v>
      </c>
      <c r="DC10" s="3782"/>
      <c r="DD10" s="3681"/>
      <c r="DE10" s="3561">
        <f t="shared" si="3"/>
        <v>0</v>
      </c>
      <c r="DF10" s="3783"/>
      <c r="DG10" s="3547"/>
      <c r="DH10" s="3782"/>
      <c r="DI10" s="3681"/>
      <c r="DJ10" s="3561">
        <f t="shared" si="4"/>
        <v>0</v>
      </c>
      <c r="DK10" s="3782"/>
      <c r="DL10" s="3681"/>
      <c r="DM10" s="3561">
        <f t="shared" si="5"/>
        <v>0</v>
      </c>
      <c r="DN10" s="3783"/>
      <c r="DO10" s="3547"/>
      <c r="DP10" s="3782"/>
      <c r="DQ10" s="3681"/>
      <c r="DR10" s="3561">
        <f t="shared" si="6"/>
        <v>0</v>
      </c>
      <c r="DS10" s="3782"/>
      <c r="DT10" s="3681"/>
      <c r="DU10" s="3561">
        <f t="shared" si="7"/>
        <v>0</v>
      </c>
      <c r="DV10" s="3783"/>
      <c r="DW10" s="3547"/>
      <c r="DX10" s="3782"/>
      <c r="DY10" s="3681"/>
      <c r="DZ10" s="3561">
        <f t="shared" si="8"/>
        <v>0</v>
      </c>
      <c r="EA10" s="3782"/>
      <c r="EB10" s="3681"/>
      <c r="EC10" s="3561">
        <f t="shared" si="9"/>
        <v>0</v>
      </c>
      <c r="ED10" s="3783"/>
      <c r="EF10" s="3565">
        <f t="shared" si="49"/>
        <v>0</v>
      </c>
      <c r="EG10" s="3565">
        <f t="shared" si="28"/>
        <v>0</v>
      </c>
      <c r="EH10" s="3565">
        <f t="shared" si="28"/>
        <v>0</v>
      </c>
      <c r="EI10" s="3565">
        <f t="shared" si="28"/>
        <v>0</v>
      </c>
      <c r="EJ10" s="3565">
        <f t="shared" si="50"/>
        <v>0</v>
      </c>
      <c r="EK10" s="3565">
        <f t="shared" si="51"/>
        <v>0</v>
      </c>
      <c r="EL10" s="3556"/>
      <c r="EM10" s="3557">
        <f t="shared" si="52"/>
        <v>0</v>
      </c>
      <c r="EN10" s="3557">
        <f t="shared" si="29"/>
        <v>0</v>
      </c>
      <c r="EO10" s="3557">
        <f t="shared" si="29"/>
        <v>0</v>
      </c>
      <c r="EP10" s="3557">
        <f t="shared" si="29"/>
        <v>0</v>
      </c>
      <c r="EQ10" s="3557">
        <f t="shared" si="53"/>
        <v>0</v>
      </c>
      <c r="ER10" s="3557">
        <f t="shared" si="54"/>
        <v>0</v>
      </c>
      <c r="ES10" s="3557"/>
      <c r="ET10" s="3568"/>
      <c r="EU10" s="3569"/>
      <c r="EV10" s="3625"/>
      <c r="EW10" s="3547"/>
      <c r="EX10" s="3568"/>
      <c r="EY10" s="3569"/>
      <c r="EZ10" s="3562"/>
      <c r="FA10" s="3547"/>
      <c r="FB10" s="3568"/>
      <c r="FC10" s="3569"/>
      <c r="FD10" s="3625"/>
      <c r="FE10" s="3547"/>
      <c r="FF10" s="3568"/>
      <c r="FG10" s="3569"/>
      <c r="FH10" s="3625"/>
      <c r="FI10" s="3547"/>
      <c r="FJ10" s="3568"/>
      <c r="FK10" s="3646"/>
      <c r="FL10" s="3785"/>
      <c r="FM10" s="3547"/>
      <c r="FN10" s="3568"/>
      <c r="FO10" s="3569"/>
      <c r="FP10" s="3625"/>
      <c r="FQ10" s="3547"/>
      <c r="FR10" s="3568"/>
      <c r="FS10" s="3646"/>
      <c r="FT10" s="3661"/>
      <c r="FU10" s="3547"/>
      <c r="FV10" s="3568"/>
      <c r="FW10" s="3569"/>
      <c r="FX10" s="3625"/>
      <c r="FY10" s="3547"/>
      <c r="FZ10" s="3568"/>
      <c r="GA10" s="3569"/>
      <c r="GB10" s="3562"/>
      <c r="GC10" s="3547"/>
      <c r="GD10" s="3568"/>
      <c r="GE10" s="3569"/>
      <c r="GF10" s="3562"/>
      <c r="GG10" s="3547"/>
      <c r="GH10" s="3568"/>
      <c r="GI10" s="3569"/>
      <c r="GJ10" s="3562"/>
      <c r="GK10" s="3547"/>
      <c r="GL10" s="3568"/>
      <c r="GM10" s="3569"/>
      <c r="GN10" s="3562"/>
      <c r="GO10" s="3547"/>
      <c r="GP10" s="3568"/>
      <c r="GQ10" s="3569"/>
      <c r="GR10" s="3562"/>
      <c r="GS10" s="3547">
        <f t="shared" si="55"/>
        <v>0</v>
      </c>
      <c r="GT10" s="3568"/>
      <c r="GU10" s="3569"/>
      <c r="GV10" s="3562"/>
      <c r="GW10" s="3547">
        <f t="shared" si="56"/>
        <v>0</v>
      </c>
      <c r="GX10" s="3568"/>
      <c r="GY10" s="3569"/>
      <c r="GZ10" s="3562"/>
      <c r="HA10" s="3547">
        <f t="shared" si="10"/>
        <v>0</v>
      </c>
      <c r="HB10" s="3568"/>
      <c r="HC10" s="3569"/>
      <c r="HD10" s="3562"/>
      <c r="HE10" s="3547">
        <f t="shared" si="11"/>
        <v>0</v>
      </c>
      <c r="HF10" s="3568"/>
      <c r="HG10" s="3569"/>
      <c r="HH10" s="3562"/>
      <c r="HI10" s="3547">
        <f t="shared" si="12"/>
        <v>0</v>
      </c>
      <c r="HJ10" s="3568"/>
      <c r="HK10" s="3569"/>
      <c r="HL10" s="3562"/>
      <c r="HM10" s="3547">
        <f t="shared" si="13"/>
        <v>0</v>
      </c>
      <c r="HN10" s="3568"/>
      <c r="HO10" s="3569"/>
      <c r="HP10" s="3562"/>
      <c r="HQ10" s="3547">
        <f t="shared" si="14"/>
        <v>0</v>
      </c>
      <c r="HR10" s="3568"/>
      <c r="HS10" s="3569"/>
      <c r="HT10" s="3562"/>
      <c r="HU10" s="3547">
        <f t="shared" si="15"/>
        <v>0</v>
      </c>
      <c r="HV10" s="3568"/>
      <c r="HW10" s="3569"/>
      <c r="HX10" s="3562"/>
      <c r="HY10" s="3547">
        <f t="shared" si="16"/>
        <v>0</v>
      </c>
      <c r="HZ10" s="3568"/>
      <c r="IA10" s="3569"/>
      <c r="IB10" s="3562"/>
      <c r="IC10" s="3547">
        <f t="shared" si="17"/>
        <v>0</v>
      </c>
      <c r="ID10" s="3568"/>
      <c r="IE10" s="3569"/>
      <c r="IF10" s="3562"/>
      <c r="IG10" s="3547">
        <f t="shared" si="18"/>
        <v>0</v>
      </c>
      <c r="IH10" s="3568"/>
      <c r="II10" s="3569"/>
      <c r="IJ10" s="3562"/>
      <c r="IK10" s="3547">
        <f t="shared" si="19"/>
        <v>0</v>
      </c>
      <c r="IL10" s="3607"/>
      <c r="IM10" s="3569"/>
      <c r="IN10" s="3569"/>
      <c r="IO10" s="3593"/>
      <c r="IP10" s="3786">
        <f t="shared" si="30"/>
        <v>0</v>
      </c>
      <c r="IQ10" s="3787"/>
      <c r="IR10" s="3787"/>
      <c r="IS10" s="3787"/>
      <c r="IT10" s="3625"/>
      <c r="IU10" s="3625"/>
      <c r="IV10" s="3625"/>
      <c r="IW10" s="3625"/>
      <c r="IX10" s="3625"/>
      <c r="IY10" s="3625"/>
      <c r="IZ10" s="3625"/>
      <c r="JA10" s="3625"/>
      <c r="JB10" s="3625"/>
      <c r="JC10" s="3788">
        <f t="shared" si="31"/>
        <v>0</v>
      </c>
      <c r="JD10" s="3787"/>
      <c r="JE10" s="3787"/>
      <c r="JF10" s="3787"/>
      <c r="JG10" s="3625"/>
      <c r="JH10" s="3625"/>
      <c r="JI10" s="3625"/>
      <c r="JJ10" s="3625"/>
      <c r="JK10" s="3625"/>
      <c r="JL10" s="3625"/>
      <c r="JM10" s="3625"/>
      <c r="JN10" s="3625"/>
      <c r="JO10" s="3625"/>
      <c r="JP10" s="3607"/>
      <c r="JQ10" s="3569"/>
      <c r="JR10" s="3569"/>
      <c r="JS10" s="3547">
        <f t="shared" si="32"/>
        <v>0</v>
      </c>
      <c r="JT10" s="3573">
        <f t="shared" si="33"/>
        <v>0</v>
      </c>
      <c r="JU10" s="3573">
        <f t="shared" si="34"/>
        <v>0</v>
      </c>
      <c r="JV10" s="3573">
        <f t="shared" si="35"/>
        <v>0</v>
      </c>
      <c r="JW10" s="3580" t="e">
        <f t="shared" si="36"/>
        <v>#DIV/0!</v>
      </c>
      <c r="JX10" s="3576">
        <f t="shared" si="37"/>
        <v>0</v>
      </c>
      <c r="JY10" s="3576">
        <f t="shared" si="38"/>
        <v>0</v>
      </c>
      <c r="JZ10" s="3577"/>
      <c r="KA10" s="3576">
        <f t="shared" si="39"/>
        <v>0</v>
      </c>
      <c r="KB10" s="3576"/>
      <c r="KC10" s="3576"/>
      <c r="KD10" s="3576">
        <f t="shared" si="40"/>
        <v>0</v>
      </c>
      <c r="KE10" s="3795"/>
      <c r="KF10" s="3579"/>
      <c r="KG10" s="3579"/>
      <c r="KH10" s="3579"/>
      <c r="KI10" s="3579"/>
      <c r="KJ10" s="3579"/>
      <c r="KK10" s="3579"/>
      <c r="KL10" s="3579"/>
      <c r="KM10" s="3579"/>
      <c r="KN10" s="3579"/>
      <c r="KO10" s="3579">
        <f t="shared" si="41"/>
        <v>0</v>
      </c>
      <c r="KP10" s="3579">
        <f t="shared" si="42"/>
        <v>0</v>
      </c>
      <c r="KQ10" s="3577"/>
      <c r="KR10" s="3577"/>
    </row>
    <row r="11" spans="1:304" s="3580" customFormat="1" ht="32.1" hidden="1" customHeight="1">
      <c r="A11" s="3545"/>
      <c r="B11" s="3546"/>
      <c r="C11" s="3790"/>
      <c r="D11" s="3791"/>
      <c r="E11" s="3548"/>
      <c r="F11" s="3546"/>
      <c r="G11" s="3546"/>
      <c r="H11" s="3655"/>
      <c r="I11" s="3594"/>
      <c r="J11" s="3594"/>
      <c r="K11" s="3607"/>
      <c r="L11" s="3655"/>
      <c r="M11" s="3561"/>
      <c r="N11" s="3561"/>
      <c r="O11" s="3551">
        <f t="shared" si="20"/>
        <v>0</v>
      </c>
      <c r="P11" s="3561"/>
      <c r="Q11" s="3561"/>
      <c r="R11" s="3547">
        <f t="shared" si="21"/>
        <v>0</v>
      </c>
      <c r="S11" s="3547" t="e">
        <f t="shared" si="22"/>
        <v>#DIV/0!</v>
      </c>
      <c r="T11" s="3602"/>
      <c r="U11" s="3561">
        <f t="shared" si="23"/>
        <v>0</v>
      </c>
      <c r="V11" s="3551"/>
      <c r="W11" s="3547" t="e">
        <f t="shared" si="24"/>
        <v>#DIV/0!</v>
      </c>
      <c r="X11" s="3779"/>
      <c r="Y11" s="3547">
        <f t="shared" si="25"/>
        <v>0</v>
      </c>
      <c r="Z11" s="3554"/>
      <c r="AA11" s="3555"/>
      <c r="AB11" s="3607"/>
      <c r="AC11" s="3556">
        <f t="shared" si="43"/>
        <v>0</v>
      </c>
      <c r="AD11" s="3780">
        <f t="shared" si="26"/>
        <v>0</v>
      </c>
      <c r="AE11" s="3780">
        <f t="shared" si="26"/>
        <v>0</v>
      </c>
      <c r="AF11" s="3556">
        <f t="shared" si="44"/>
        <v>0</v>
      </c>
      <c r="AG11" s="3556"/>
      <c r="AH11" s="3557">
        <f t="shared" si="45"/>
        <v>0</v>
      </c>
      <c r="AI11" s="3558">
        <f t="shared" si="27"/>
        <v>0</v>
      </c>
      <c r="AJ11" s="3558">
        <f t="shared" si="27"/>
        <v>0</v>
      </c>
      <c r="AK11" s="3557">
        <f t="shared" si="46"/>
        <v>0</v>
      </c>
      <c r="AL11" s="3557"/>
      <c r="AM11" s="3644"/>
      <c r="AN11" s="3781"/>
      <c r="AO11" s="3681"/>
      <c r="AP11" s="3561"/>
      <c r="AQ11" s="3782"/>
      <c r="AR11" s="3681"/>
      <c r="AS11" s="3561"/>
      <c r="AT11" s="3783"/>
      <c r="AU11" s="3547"/>
      <c r="AV11" s="3782"/>
      <c r="AW11" s="3681"/>
      <c r="AX11" s="3561"/>
      <c r="AY11" s="3782"/>
      <c r="AZ11" s="3681"/>
      <c r="BA11" s="3561"/>
      <c r="BB11" s="3783"/>
      <c r="BC11" s="3547"/>
      <c r="BD11" s="3782"/>
      <c r="BE11" s="3681"/>
      <c r="BF11" s="3561"/>
      <c r="BG11" s="3782"/>
      <c r="BH11" s="3681"/>
      <c r="BI11" s="3561"/>
      <c r="BJ11" s="3783"/>
      <c r="BK11" s="3547"/>
      <c r="BL11" s="3782"/>
      <c r="BM11" s="3681"/>
      <c r="BN11" s="3561"/>
      <c r="BO11" s="3782"/>
      <c r="BP11" s="3681"/>
      <c r="BQ11" s="3561"/>
      <c r="BR11" s="3783"/>
      <c r="BS11" s="3547"/>
      <c r="BT11" s="3782"/>
      <c r="BU11" s="3681"/>
      <c r="BV11" s="3561"/>
      <c r="BW11" s="3782"/>
      <c r="BX11" s="3681"/>
      <c r="BY11" s="3561"/>
      <c r="BZ11" s="3783"/>
      <c r="CA11" s="3547"/>
      <c r="CB11" s="3782"/>
      <c r="CC11" s="3681"/>
      <c r="CD11" s="3561"/>
      <c r="CE11" s="3782"/>
      <c r="CF11" s="3681"/>
      <c r="CG11" s="3561"/>
      <c r="CH11" s="3783"/>
      <c r="CI11" s="3547"/>
      <c r="CJ11" s="3782"/>
      <c r="CK11" s="3681"/>
      <c r="CL11" s="3561">
        <f t="shared" si="47"/>
        <v>0</v>
      </c>
      <c r="CM11" s="3782"/>
      <c r="CN11" s="3681"/>
      <c r="CO11" s="3561">
        <f t="shared" si="48"/>
        <v>0</v>
      </c>
      <c r="CP11" s="3783"/>
      <c r="CQ11" s="3547"/>
      <c r="CR11" s="3782"/>
      <c r="CS11" s="3681"/>
      <c r="CT11" s="3561">
        <f t="shared" si="0"/>
        <v>0</v>
      </c>
      <c r="CU11" s="3782"/>
      <c r="CV11" s="3681"/>
      <c r="CW11" s="3561">
        <f t="shared" si="1"/>
        <v>0</v>
      </c>
      <c r="CX11" s="3783"/>
      <c r="CY11" s="3547"/>
      <c r="CZ11" s="3782"/>
      <c r="DA11" s="3681"/>
      <c r="DB11" s="3561">
        <f t="shared" si="2"/>
        <v>0</v>
      </c>
      <c r="DC11" s="3782"/>
      <c r="DD11" s="3681"/>
      <c r="DE11" s="3561">
        <f t="shared" si="3"/>
        <v>0</v>
      </c>
      <c r="DF11" s="3783"/>
      <c r="DG11" s="3547"/>
      <c r="DH11" s="3782"/>
      <c r="DI11" s="3681"/>
      <c r="DJ11" s="3561">
        <f t="shared" si="4"/>
        <v>0</v>
      </c>
      <c r="DK11" s="3782"/>
      <c r="DL11" s="3681"/>
      <c r="DM11" s="3561">
        <f t="shared" si="5"/>
        <v>0</v>
      </c>
      <c r="DN11" s="3783"/>
      <c r="DO11" s="3547"/>
      <c r="DP11" s="3782"/>
      <c r="DQ11" s="3681"/>
      <c r="DR11" s="3561">
        <f t="shared" si="6"/>
        <v>0</v>
      </c>
      <c r="DS11" s="3782"/>
      <c r="DT11" s="3681"/>
      <c r="DU11" s="3561">
        <f t="shared" si="7"/>
        <v>0</v>
      </c>
      <c r="DV11" s="3783"/>
      <c r="DW11" s="3547"/>
      <c r="DX11" s="3782"/>
      <c r="DY11" s="3681"/>
      <c r="DZ11" s="3561">
        <f t="shared" si="8"/>
        <v>0</v>
      </c>
      <c r="EA11" s="3782"/>
      <c r="EB11" s="3681"/>
      <c r="EC11" s="3561">
        <f t="shared" si="9"/>
        <v>0</v>
      </c>
      <c r="ED11" s="3783"/>
      <c r="EF11" s="3565">
        <f t="shared" si="49"/>
        <v>0</v>
      </c>
      <c r="EG11" s="3565">
        <f t="shared" si="28"/>
        <v>0</v>
      </c>
      <c r="EH11" s="3565">
        <f t="shared" si="28"/>
        <v>0</v>
      </c>
      <c r="EI11" s="3565">
        <f t="shared" si="28"/>
        <v>0</v>
      </c>
      <c r="EJ11" s="3565">
        <f t="shared" si="50"/>
        <v>0</v>
      </c>
      <c r="EK11" s="3565">
        <f t="shared" si="51"/>
        <v>0</v>
      </c>
      <c r="EL11" s="3556"/>
      <c r="EM11" s="3557">
        <f t="shared" si="52"/>
        <v>0</v>
      </c>
      <c r="EN11" s="3557">
        <f t="shared" si="29"/>
        <v>0</v>
      </c>
      <c r="EO11" s="3557">
        <f t="shared" si="29"/>
        <v>0</v>
      </c>
      <c r="EP11" s="3557">
        <f t="shared" si="29"/>
        <v>0</v>
      </c>
      <c r="EQ11" s="3557">
        <f t="shared" si="53"/>
        <v>0</v>
      </c>
      <c r="ER11" s="3557">
        <f t="shared" si="54"/>
        <v>0</v>
      </c>
      <c r="ES11" s="3557"/>
      <c r="ET11" s="3568"/>
      <c r="EU11" s="3569"/>
      <c r="EV11" s="3625"/>
      <c r="EW11" s="3547"/>
      <c r="EX11" s="3568"/>
      <c r="EY11" s="3569"/>
      <c r="EZ11" s="3562"/>
      <c r="FA11" s="3547"/>
      <c r="FB11" s="3568"/>
      <c r="FC11" s="3569"/>
      <c r="FD11" s="3625"/>
      <c r="FE11" s="3547"/>
      <c r="FF11" s="3568"/>
      <c r="FG11" s="3569"/>
      <c r="FH11" s="3625"/>
      <c r="FI11" s="3547"/>
      <c r="FJ11" s="3568"/>
      <c r="FK11" s="3646"/>
      <c r="FL11" s="3785"/>
      <c r="FM11" s="3547"/>
      <c r="FN11" s="3568"/>
      <c r="FO11" s="3569"/>
      <c r="FP11" s="3625"/>
      <c r="FQ11" s="3547"/>
      <c r="FR11" s="3568"/>
      <c r="FS11" s="3646"/>
      <c r="FT11" s="3661"/>
      <c r="FU11" s="3547"/>
      <c r="FV11" s="3568"/>
      <c r="FW11" s="3569"/>
      <c r="FX11" s="3625"/>
      <c r="FY11" s="3547"/>
      <c r="FZ11" s="3568"/>
      <c r="GA11" s="3569"/>
      <c r="GB11" s="3562"/>
      <c r="GC11" s="3547"/>
      <c r="GD11" s="3568"/>
      <c r="GE11" s="3569"/>
      <c r="GF11" s="3562"/>
      <c r="GG11" s="3547"/>
      <c r="GH11" s="3568"/>
      <c r="GI11" s="3569"/>
      <c r="GJ11" s="3562"/>
      <c r="GK11" s="3547"/>
      <c r="GL11" s="3568"/>
      <c r="GM11" s="3569"/>
      <c r="GN11" s="3562"/>
      <c r="GO11" s="3547"/>
      <c r="GP11" s="3568"/>
      <c r="GQ11" s="3569"/>
      <c r="GR11" s="3562"/>
      <c r="GS11" s="3547">
        <f t="shared" si="55"/>
        <v>0</v>
      </c>
      <c r="GT11" s="3568"/>
      <c r="GU11" s="3569"/>
      <c r="GV11" s="3562"/>
      <c r="GW11" s="3547">
        <f t="shared" si="56"/>
        <v>0</v>
      </c>
      <c r="GX11" s="3568"/>
      <c r="GY11" s="3569"/>
      <c r="GZ11" s="3562"/>
      <c r="HA11" s="3547">
        <f t="shared" si="10"/>
        <v>0</v>
      </c>
      <c r="HB11" s="3568"/>
      <c r="HC11" s="3569"/>
      <c r="HD11" s="3562"/>
      <c r="HE11" s="3547">
        <f t="shared" si="11"/>
        <v>0</v>
      </c>
      <c r="HF11" s="3568"/>
      <c r="HG11" s="3569"/>
      <c r="HH11" s="3562"/>
      <c r="HI11" s="3547">
        <f t="shared" si="12"/>
        <v>0</v>
      </c>
      <c r="HJ11" s="3568"/>
      <c r="HK11" s="3569"/>
      <c r="HL11" s="3562"/>
      <c r="HM11" s="3547">
        <f t="shared" si="13"/>
        <v>0</v>
      </c>
      <c r="HN11" s="3568"/>
      <c r="HO11" s="3569"/>
      <c r="HP11" s="3562"/>
      <c r="HQ11" s="3547">
        <f t="shared" si="14"/>
        <v>0</v>
      </c>
      <c r="HR11" s="3568"/>
      <c r="HS11" s="3569"/>
      <c r="HT11" s="3562"/>
      <c r="HU11" s="3547">
        <f t="shared" si="15"/>
        <v>0</v>
      </c>
      <c r="HV11" s="3568"/>
      <c r="HW11" s="3569"/>
      <c r="HX11" s="3562"/>
      <c r="HY11" s="3547">
        <f t="shared" si="16"/>
        <v>0</v>
      </c>
      <c r="HZ11" s="3568"/>
      <c r="IA11" s="3569"/>
      <c r="IB11" s="3562"/>
      <c r="IC11" s="3547">
        <f t="shared" si="17"/>
        <v>0</v>
      </c>
      <c r="ID11" s="3568"/>
      <c r="IE11" s="3569"/>
      <c r="IF11" s="3562"/>
      <c r="IG11" s="3547">
        <f t="shared" si="18"/>
        <v>0</v>
      </c>
      <c r="IH11" s="3568"/>
      <c r="II11" s="3569"/>
      <c r="IJ11" s="3562"/>
      <c r="IK11" s="3547">
        <f t="shared" si="19"/>
        <v>0</v>
      </c>
      <c r="IL11" s="3607"/>
      <c r="IM11" s="3569"/>
      <c r="IN11" s="3569"/>
      <c r="IO11" s="3593"/>
      <c r="IP11" s="3786">
        <f t="shared" si="30"/>
        <v>0</v>
      </c>
      <c r="IQ11" s="3787"/>
      <c r="IR11" s="3787"/>
      <c r="IS11" s="3787"/>
      <c r="IT11" s="3625"/>
      <c r="IU11" s="3625"/>
      <c r="IV11" s="3625"/>
      <c r="IW11" s="3625"/>
      <c r="IX11" s="3625"/>
      <c r="IY11" s="3625"/>
      <c r="IZ11" s="3625"/>
      <c r="JA11" s="3625"/>
      <c r="JB11" s="3625"/>
      <c r="JC11" s="3788">
        <f t="shared" si="31"/>
        <v>0</v>
      </c>
      <c r="JD11" s="3787"/>
      <c r="JE11" s="3787"/>
      <c r="JF11" s="3787"/>
      <c r="JG11" s="3625"/>
      <c r="JH11" s="3625"/>
      <c r="JI11" s="3625"/>
      <c r="JJ11" s="3625"/>
      <c r="JK11" s="3625"/>
      <c r="JL11" s="3625"/>
      <c r="JM11" s="3625"/>
      <c r="JN11" s="3625"/>
      <c r="JO11" s="3625"/>
      <c r="JP11" s="3607"/>
      <c r="JQ11" s="3569"/>
      <c r="JR11" s="3569"/>
      <c r="JS11" s="3547">
        <f t="shared" si="32"/>
        <v>0</v>
      </c>
      <c r="JT11" s="3573">
        <f t="shared" si="33"/>
        <v>0</v>
      </c>
      <c r="JU11" s="3573">
        <f t="shared" si="34"/>
        <v>0</v>
      </c>
      <c r="JV11" s="3573">
        <f t="shared" si="35"/>
        <v>0</v>
      </c>
      <c r="JW11" s="3580" t="e">
        <f t="shared" si="36"/>
        <v>#DIV/0!</v>
      </c>
      <c r="JX11" s="3576">
        <f t="shared" si="37"/>
        <v>0</v>
      </c>
      <c r="JY11" s="3576">
        <f t="shared" si="38"/>
        <v>0</v>
      </c>
      <c r="JZ11" s="3577"/>
      <c r="KA11" s="3576">
        <f t="shared" si="39"/>
        <v>0</v>
      </c>
      <c r="KB11" s="3576"/>
      <c r="KC11" s="3576"/>
      <c r="KD11" s="3576">
        <f t="shared" si="40"/>
        <v>0</v>
      </c>
      <c r="KE11" s="3795"/>
      <c r="KF11" s="3579"/>
      <c r="KG11" s="3579"/>
      <c r="KH11" s="3579"/>
      <c r="KI11" s="3579"/>
      <c r="KJ11" s="3579"/>
      <c r="KK11" s="3579"/>
      <c r="KL11" s="3579"/>
      <c r="KM11" s="3579"/>
      <c r="KN11" s="3579"/>
      <c r="KO11" s="3579">
        <f t="shared" si="41"/>
        <v>0</v>
      </c>
      <c r="KP11" s="3579">
        <f t="shared" si="42"/>
        <v>0</v>
      </c>
      <c r="KQ11" s="3577"/>
      <c r="KR11" s="3577"/>
    </row>
    <row r="12" spans="1:304" s="3580" customFormat="1" ht="32.1" customHeight="1">
      <c r="A12" s="3545">
        <v>5</v>
      </c>
      <c r="B12" s="3546" t="s">
        <v>5016</v>
      </c>
      <c r="C12" s="3790" t="s">
        <v>5017</v>
      </c>
      <c r="D12" s="3791">
        <f>3762.11-579.65-291.43</f>
        <v>2891.03</v>
      </c>
      <c r="E12" s="3548" t="s">
        <v>3789</v>
      </c>
      <c r="F12" s="3546" t="s">
        <v>4987</v>
      </c>
      <c r="G12" s="3546" t="s">
        <v>5018</v>
      </c>
      <c r="H12" s="3546" t="s">
        <v>5019</v>
      </c>
      <c r="I12" s="3594" t="s">
        <v>5020</v>
      </c>
      <c r="J12" s="3594" t="s">
        <v>5021</v>
      </c>
      <c r="K12" s="3607"/>
      <c r="L12" s="3555"/>
      <c r="M12" s="3561">
        <f>3371132.73-3371132.73</f>
        <v>0</v>
      </c>
      <c r="N12" s="3796">
        <f>2464144.41-2464144.41</f>
        <v>0</v>
      </c>
      <c r="O12" s="3551">
        <f t="shared" si="20"/>
        <v>0</v>
      </c>
      <c r="P12" s="3561">
        <f>284932.8-284932.8</f>
        <v>0</v>
      </c>
      <c r="Q12" s="3797">
        <f>282158.25-282158.25</f>
        <v>0</v>
      </c>
      <c r="R12" s="3547">
        <f t="shared" si="21"/>
        <v>0</v>
      </c>
      <c r="S12" s="3547">
        <f t="shared" si="22"/>
        <v>0</v>
      </c>
      <c r="T12" s="3798"/>
      <c r="U12" s="3561">
        <f t="shared" si="23"/>
        <v>0</v>
      </c>
      <c r="V12" s="3547"/>
      <c r="W12" s="3547">
        <f t="shared" si="24"/>
        <v>0</v>
      </c>
      <c r="X12" s="3796"/>
      <c r="Y12" s="3547">
        <f t="shared" si="25"/>
        <v>0</v>
      </c>
      <c r="Z12" s="3554"/>
      <c r="AA12" s="3555"/>
      <c r="AB12" s="3593" t="s">
        <v>5013</v>
      </c>
      <c r="AC12" s="3556">
        <f t="shared" si="43"/>
        <v>0</v>
      </c>
      <c r="AD12" s="3780">
        <f t="shared" si="26"/>
        <v>0</v>
      </c>
      <c r="AE12" s="3780">
        <f t="shared" si="26"/>
        <v>0</v>
      </c>
      <c r="AF12" s="3556">
        <f t="shared" si="44"/>
        <v>0</v>
      </c>
      <c r="AG12" s="3556"/>
      <c r="AH12" s="3557">
        <f t="shared" si="45"/>
        <v>0</v>
      </c>
      <c r="AI12" s="3558">
        <f t="shared" si="27"/>
        <v>0</v>
      </c>
      <c r="AJ12" s="3558">
        <f t="shared" si="27"/>
        <v>0</v>
      </c>
      <c r="AK12" s="3557">
        <f t="shared" si="46"/>
        <v>0</v>
      </c>
      <c r="AL12" s="3557"/>
      <c r="AM12" s="3547"/>
      <c r="AN12" s="3782"/>
      <c r="AO12" s="3681"/>
      <c r="AP12" s="3561">
        <f>AO12-AN12</f>
        <v>0</v>
      </c>
      <c r="AQ12" s="3782"/>
      <c r="AR12" s="3681"/>
      <c r="AS12" s="3561">
        <f>AR12-AQ12</f>
        <v>0</v>
      </c>
      <c r="AT12" s="3784" t="s">
        <v>5022</v>
      </c>
      <c r="AU12" s="3547"/>
      <c r="AV12" s="3782"/>
      <c r="AW12" s="3681"/>
      <c r="AX12" s="3561">
        <f>AW12-AV12</f>
        <v>0</v>
      </c>
      <c r="AY12" s="3782"/>
      <c r="AZ12" s="3681"/>
      <c r="BA12" s="3561">
        <f>AZ12-AY12</f>
        <v>0</v>
      </c>
      <c r="BB12" s="3784" t="s">
        <v>5022</v>
      </c>
      <c r="BC12" s="3547"/>
      <c r="BD12" s="3782"/>
      <c r="BE12" s="3681"/>
      <c r="BF12" s="3561">
        <f>BE12-BD12</f>
        <v>0</v>
      </c>
      <c r="BG12" s="3782"/>
      <c r="BH12" s="3681"/>
      <c r="BI12" s="3561">
        <f>BH12-BG12</f>
        <v>0</v>
      </c>
      <c r="BJ12" s="3784" t="s">
        <v>5022</v>
      </c>
      <c r="BK12" s="3547"/>
      <c r="BL12" s="3782"/>
      <c r="BM12" s="3681"/>
      <c r="BN12" s="3561">
        <f>BM12-BL12</f>
        <v>0</v>
      </c>
      <c r="BO12" s="3782"/>
      <c r="BP12" s="3681"/>
      <c r="BQ12" s="3561">
        <f>BP12-BO12</f>
        <v>0</v>
      </c>
      <c r="BR12" s="3784" t="s">
        <v>5022</v>
      </c>
      <c r="BS12" s="3547"/>
      <c r="BT12" s="3782"/>
      <c r="BU12" s="3681"/>
      <c r="BV12" s="3561">
        <f>BU12-BT12</f>
        <v>0</v>
      </c>
      <c r="BW12" s="3782"/>
      <c r="BX12" s="3681"/>
      <c r="BY12" s="3561">
        <f>BX12-BW12</f>
        <v>0</v>
      </c>
      <c r="BZ12" s="3784" t="s">
        <v>5022</v>
      </c>
      <c r="CA12" s="3547"/>
      <c r="CB12" s="3782"/>
      <c r="CC12" s="3681"/>
      <c r="CD12" s="3561">
        <f>CC12-CB12</f>
        <v>0</v>
      </c>
      <c r="CE12" s="3782"/>
      <c r="CF12" s="3681"/>
      <c r="CG12" s="3561">
        <f>CF12-CE12</f>
        <v>0</v>
      </c>
      <c r="CH12" s="3784" t="s">
        <v>5022</v>
      </c>
      <c r="CI12" s="3547"/>
      <c r="CJ12" s="3782"/>
      <c r="CK12" s="3681"/>
      <c r="CL12" s="3561">
        <f t="shared" si="47"/>
        <v>0</v>
      </c>
      <c r="CM12" s="3782"/>
      <c r="CN12" s="3681"/>
      <c r="CO12" s="3561">
        <f t="shared" si="48"/>
        <v>0</v>
      </c>
      <c r="CP12" s="3784" t="s">
        <v>5022</v>
      </c>
      <c r="CQ12" s="3547"/>
      <c r="CR12" s="3782"/>
      <c r="CS12" s="3681"/>
      <c r="CT12" s="3561">
        <f t="shared" si="0"/>
        <v>0</v>
      </c>
      <c r="CU12" s="3782"/>
      <c r="CV12" s="3681"/>
      <c r="CW12" s="3561">
        <f t="shared" si="1"/>
        <v>0</v>
      </c>
      <c r="CX12" s="3784" t="s">
        <v>5022</v>
      </c>
      <c r="CY12" s="3547"/>
      <c r="CZ12" s="3782"/>
      <c r="DA12" s="3681"/>
      <c r="DB12" s="3561">
        <f t="shared" si="2"/>
        <v>0</v>
      </c>
      <c r="DC12" s="3782"/>
      <c r="DD12" s="3681"/>
      <c r="DE12" s="3561">
        <f t="shared" si="3"/>
        <v>0</v>
      </c>
      <c r="DF12" s="3784" t="s">
        <v>5022</v>
      </c>
      <c r="DG12" s="3547"/>
      <c r="DH12" s="3782"/>
      <c r="DI12" s="3681"/>
      <c r="DJ12" s="3561">
        <f t="shared" si="4"/>
        <v>0</v>
      </c>
      <c r="DK12" s="3782"/>
      <c r="DL12" s="3681"/>
      <c r="DM12" s="3561">
        <f t="shared" si="5"/>
        <v>0</v>
      </c>
      <c r="DN12" s="3784"/>
      <c r="DO12" s="3547"/>
      <c r="DP12" s="3782"/>
      <c r="DQ12" s="3681"/>
      <c r="DR12" s="3561">
        <f t="shared" si="6"/>
        <v>0</v>
      </c>
      <c r="DS12" s="3782"/>
      <c r="DT12" s="3681"/>
      <c r="DU12" s="3561">
        <f t="shared" si="7"/>
        <v>0</v>
      </c>
      <c r="DV12" s="3784"/>
      <c r="DW12" s="3547"/>
      <c r="DX12" s="3782"/>
      <c r="DY12" s="3681"/>
      <c r="DZ12" s="3561">
        <f t="shared" si="8"/>
        <v>0</v>
      </c>
      <c r="EA12" s="3782"/>
      <c r="EB12" s="3681"/>
      <c r="EC12" s="3561">
        <f t="shared" si="9"/>
        <v>0</v>
      </c>
      <c r="ED12" s="3784"/>
      <c r="EF12" s="3565">
        <f t="shared" si="49"/>
        <v>1999047.6747222212</v>
      </c>
      <c r="EG12" s="3565">
        <f t="shared" si="28"/>
        <v>984032.36686507892</v>
      </c>
      <c r="EH12" s="3565">
        <f t="shared" si="28"/>
        <v>0</v>
      </c>
      <c r="EI12" s="3565">
        <f t="shared" si="28"/>
        <v>0</v>
      </c>
      <c r="EJ12" s="3565">
        <f t="shared" si="50"/>
        <v>-984032.36686507892</v>
      </c>
      <c r="EK12" s="3565">
        <f t="shared" si="51"/>
        <v>0</v>
      </c>
      <c r="EL12" s="3556"/>
      <c r="EM12" s="3557">
        <f t="shared" si="52"/>
        <v>627038.62205188686</v>
      </c>
      <c r="EN12" s="3557">
        <f t="shared" si="29"/>
        <v>399650.35389150941</v>
      </c>
      <c r="EO12" s="3557">
        <f t="shared" si="29"/>
        <v>0</v>
      </c>
      <c r="EP12" s="3557">
        <f t="shared" si="29"/>
        <v>0</v>
      </c>
      <c r="EQ12" s="3557">
        <f t="shared" si="53"/>
        <v>-399650.35389150941</v>
      </c>
      <c r="ER12" s="3557">
        <f t="shared" si="54"/>
        <v>0</v>
      </c>
      <c r="ES12" s="3557"/>
      <c r="ET12" s="3568"/>
      <c r="EU12" s="3569"/>
      <c r="EV12" s="3562"/>
      <c r="EW12" s="3547">
        <f>EV12-ET12</f>
        <v>0</v>
      </c>
      <c r="EX12" s="3568"/>
      <c r="EY12" s="3569"/>
      <c r="EZ12" s="3562"/>
      <c r="FA12" s="3547">
        <f>EZ12-EX12</f>
        <v>0</v>
      </c>
      <c r="FB12" s="3568"/>
      <c r="FC12" s="3569"/>
      <c r="FD12" s="3562"/>
      <c r="FE12" s="3547">
        <f>FD12-FB12</f>
        <v>0</v>
      </c>
      <c r="FF12" s="3568"/>
      <c r="FG12" s="3569"/>
      <c r="FH12" s="3562"/>
      <c r="FI12" s="3547">
        <f>FH12-FF12</f>
        <v>0</v>
      </c>
      <c r="FJ12" s="3568"/>
      <c r="FK12" s="3569"/>
      <c r="FL12" s="3562"/>
      <c r="FM12" s="3547">
        <f>FL12-FJ12</f>
        <v>0</v>
      </c>
      <c r="FN12" s="3568"/>
      <c r="FO12" s="3569"/>
      <c r="FP12" s="3562"/>
      <c r="FQ12" s="3547">
        <f>FP12-FN12</f>
        <v>0</v>
      </c>
      <c r="FR12" s="3568"/>
      <c r="FS12" s="3569"/>
      <c r="FT12" s="3562"/>
      <c r="FU12" s="3547">
        <f>FT12-FR12</f>
        <v>0</v>
      </c>
      <c r="FV12" s="3568"/>
      <c r="FW12" s="3569"/>
      <c r="FX12" s="3562"/>
      <c r="FY12" s="3547">
        <f>FX12-FV12</f>
        <v>0</v>
      </c>
      <c r="FZ12" s="3568"/>
      <c r="GA12" s="3569"/>
      <c r="GB12" s="3562"/>
      <c r="GC12" s="3547">
        <f>GB12-FZ12</f>
        <v>0</v>
      </c>
      <c r="GD12" s="3568">
        <v>89601.511360062897</v>
      </c>
      <c r="GE12" s="3569"/>
      <c r="GF12" s="3562"/>
      <c r="GG12" s="3547">
        <f>GF12-GD12</f>
        <v>-89601.511360062897</v>
      </c>
      <c r="GH12" s="3568"/>
      <c r="GI12" s="3569"/>
      <c r="GJ12" s="3562"/>
      <c r="GK12" s="3547">
        <f>GJ12-GH12</f>
        <v>0</v>
      </c>
      <c r="GL12" s="3568">
        <v>89601.511360062897</v>
      </c>
      <c r="GM12" s="3569"/>
      <c r="GN12" s="3562"/>
      <c r="GO12" s="3547">
        <f>GN12-GL12</f>
        <v>-89601.511360062897</v>
      </c>
      <c r="GP12" s="3568">
        <f>399963.051626984/3762.11*3182.46</f>
        <v>338338.43595238082</v>
      </c>
      <c r="GQ12" s="3569"/>
      <c r="GR12" s="3562"/>
      <c r="GS12" s="3547">
        <f t="shared" si="55"/>
        <v>-338338.43595238082</v>
      </c>
      <c r="GT12" s="3568">
        <f>89601.5113600629/3762.11*3182.46</f>
        <v>75796.089386792461</v>
      </c>
      <c r="GU12" s="3569"/>
      <c r="GV12" s="3562"/>
      <c r="GW12" s="3547">
        <f t="shared" si="56"/>
        <v>-75796.089386792461</v>
      </c>
      <c r="GX12" s="3568">
        <f>399963.051626984/3762.11*3182.46/3182.46*2891.03</f>
        <v>307355.49496031733</v>
      </c>
      <c r="GY12" s="3569"/>
      <c r="GZ12" s="3562"/>
      <c r="HA12" s="3547">
        <f t="shared" si="10"/>
        <v>-307355.49496031733</v>
      </c>
      <c r="HB12" s="3568">
        <f>89601.5113600629/3762.11*3182.46/3182.46*2891.03</f>
        <v>68855.152397798753</v>
      </c>
      <c r="HC12" s="3569"/>
      <c r="HD12" s="3562"/>
      <c r="HE12" s="3547">
        <f t="shared" si="11"/>
        <v>-68855.152397798753</v>
      </c>
      <c r="HF12" s="3568">
        <f>399963.051626984/3762.11*3182.46</f>
        <v>338338.43595238082</v>
      </c>
      <c r="HG12" s="3569"/>
      <c r="HH12" s="3562"/>
      <c r="HI12" s="3547">
        <f t="shared" si="12"/>
        <v>-338338.43595238082</v>
      </c>
      <c r="HJ12" s="3568">
        <f>89601.5113600629/3762.11*3182.46</f>
        <v>75796.089386792461</v>
      </c>
      <c r="HK12" s="3569"/>
      <c r="HL12" s="3562"/>
      <c r="HM12" s="3547">
        <f t="shared" si="13"/>
        <v>-75796.089386792461</v>
      </c>
      <c r="HN12" s="3568">
        <f>399963.051626984/3762.11*3182.46</f>
        <v>338338.43595238082</v>
      </c>
      <c r="HO12" s="3569"/>
      <c r="HP12" s="3562"/>
      <c r="HQ12" s="3547">
        <f t="shared" si="14"/>
        <v>-338338.43595238082</v>
      </c>
      <c r="HR12" s="3568">
        <f>89601.5113600629/3762.11*3182.46</f>
        <v>75796.089386792461</v>
      </c>
      <c r="HS12" s="3569"/>
      <c r="HT12" s="3562"/>
      <c r="HU12" s="3547">
        <f t="shared" si="15"/>
        <v>-75796.089386792461</v>
      </c>
      <c r="HV12" s="3568">
        <f>399963.051626984/3762.11*3182.46</f>
        <v>338338.43595238082</v>
      </c>
      <c r="HW12" s="3569"/>
      <c r="HX12" s="3562"/>
      <c r="HY12" s="3547">
        <f t="shared" si="16"/>
        <v>-338338.43595238082</v>
      </c>
      <c r="HZ12" s="3568">
        <f>89601.5113600629/3762.11*3182.46</f>
        <v>75796.089386792461</v>
      </c>
      <c r="IA12" s="3569"/>
      <c r="IB12" s="3562"/>
      <c r="IC12" s="3547">
        <f t="shared" si="17"/>
        <v>-75796.089386792461</v>
      </c>
      <c r="ID12" s="3568">
        <f>399963.051626984/3762.11*3182.46</f>
        <v>338338.43595238082</v>
      </c>
      <c r="IE12" s="3569"/>
      <c r="IF12" s="3562"/>
      <c r="IG12" s="3547">
        <f t="shared" si="18"/>
        <v>-338338.43595238082</v>
      </c>
      <c r="IH12" s="3568">
        <f>89601.5113600629/3762.11*3182.46</f>
        <v>75796.089386792461</v>
      </c>
      <c r="II12" s="3569"/>
      <c r="IJ12" s="3562"/>
      <c r="IK12" s="3547">
        <f t="shared" si="19"/>
        <v>-75796.089386792461</v>
      </c>
      <c r="IL12" s="3593"/>
      <c r="IM12" s="3569"/>
      <c r="IN12" s="3569"/>
      <c r="IO12" s="3593"/>
      <c r="IP12" s="3786">
        <f t="shared" si="30"/>
        <v>0</v>
      </c>
      <c r="IQ12" s="3787"/>
      <c r="IR12" s="3787"/>
      <c r="IS12" s="3787"/>
      <c r="IT12" s="3562"/>
      <c r="IU12" s="3562"/>
      <c r="IV12" s="3562"/>
      <c r="IW12" s="3562"/>
      <c r="IX12" s="3562"/>
      <c r="IY12" s="3562"/>
      <c r="IZ12" s="3562"/>
      <c r="JA12" s="3562"/>
      <c r="JB12" s="3562"/>
      <c r="JC12" s="3788">
        <f t="shared" si="31"/>
        <v>0</v>
      </c>
      <c r="JD12" s="3787"/>
      <c r="JE12" s="3787"/>
      <c r="JF12" s="3787"/>
      <c r="JG12" s="3562"/>
      <c r="JH12" s="3562"/>
      <c r="JI12" s="3562"/>
      <c r="JJ12" s="3562"/>
      <c r="JK12" s="3562"/>
      <c r="JL12" s="3562"/>
      <c r="JM12" s="3562"/>
      <c r="JN12" s="3562"/>
      <c r="JO12" s="3562"/>
      <c r="JP12" s="3593"/>
      <c r="JQ12" s="3569"/>
      <c r="JR12" s="3569"/>
      <c r="JS12" s="3547">
        <f t="shared" si="32"/>
        <v>0</v>
      </c>
      <c r="JT12" s="3573">
        <f t="shared" si="33"/>
        <v>0</v>
      </c>
      <c r="JU12" s="3573">
        <f t="shared" si="34"/>
        <v>0</v>
      </c>
      <c r="JV12" s="3573">
        <f t="shared" si="35"/>
        <v>0</v>
      </c>
      <c r="JW12" s="3580">
        <f t="shared" si="36"/>
        <v>0</v>
      </c>
      <c r="JX12" s="3576">
        <f t="shared" si="37"/>
        <v>0</v>
      </c>
      <c r="JY12" s="3576">
        <f t="shared" si="38"/>
        <v>0</v>
      </c>
      <c r="JZ12" s="3577"/>
      <c r="KA12" s="3576">
        <f t="shared" si="39"/>
        <v>-414134.52533917327</v>
      </c>
      <c r="KB12" s="3576"/>
      <c r="KC12" s="3576"/>
      <c r="KD12" s="3576">
        <f t="shared" si="40"/>
        <v>-414134.52533917327</v>
      </c>
      <c r="KE12" s="3794" t="s">
        <v>3765</v>
      </c>
      <c r="KF12" s="3579"/>
      <c r="KG12" s="3579"/>
      <c r="KH12" s="3579"/>
      <c r="KI12" s="3579"/>
      <c r="KJ12" s="3579"/>
      <c r="KK12" s="3579"/>
      <c r="KL12" s="3579">
        <f>-89601.51/10000*2-414134.53/10000*2-376210.65/10000</f>
        <v>-138.36827299999999</v>
      </c>
      <c r="KM12" s="3579"/>
      <c r="KN12" s="3579"/>
      <c r="KO12" s="3579">
        <f t="shared" si="41"/>
        <v>-138.36827299999999</v>
      </c>
      <c r="KP12" s="3579">
        <f t="shared" si="42"/>
        <v>9.2434115117612237E-7</v>
      </c>
      <c r="KQ12" s="3577"/>
      <c r="KR12" s="3577"/>
    </row>
    <row r="13" spans="1:304" s="3580" customFormat="1" ht="32.1" customHeight="1">
      <c r="A13" s="3545">
        <v>6</v>
      </c>
      <c r="B13" s="3546" t="s">
        <v>5023</v>
      </c>
      <c r="C13" s="3546" t="s">
        <v>5024</v>
      </c>
      <c r="D13" s="3547">
        <v>2200</v>
      </c>
      <c r="E13" s="3548" t="s">
        <v>3799</v>
      </c>
      <c r="F13" s="3546" t="s">
        <v>4987</v>
      </c>
      <c r="G13" s="3546" t="s">
        <v>5025</v>
      </c>
      <c r="H13" s="3546" t="s">
        <v>5026</v>
      </c>
      <c r="I13" s="3594" t="s">
        <v>4888</v>
      </c>
      <c r="J13" s="3594" t="s">
        <v>4186</v>
      </c>
      <c r="K13" s="3545" t="s">
        <v>4835</v>
      </c>
      <c r="L13" s="3655" t="s">
        <v>5027</v>
      </c>
      <c r="M13" s="3561">
        <v>937502.49</v>
      </c>
      <c r="N13" s="3796">
        <v>937502.49</v>
      </c>
      <c r="O13" s="3551">
        <f t="shared" si="20"/>
        <v>0</v>
      </c>
      <c r="P13" s="3561">
        <v>166622.49</v>
      </c>
      <c r="Q13" s="3796">
        <v>166622.49</v>
      </c>
      <c r="R13" s="3547">
        <f t="shared" si="21"/>
        <v>0</v>
      </c>
      <c r="S13" s="3547">
        <f t="shared" si="22"/>
        <v>4.6699999501867993</v>
      </c>
      <c r="T13" s="3778">
        <v>312500.83</v>
      </c>
      <c r="U13" s="3561">
        <f t="shared" si="23"/>
        <v>3750009.96</v>
      </c>
      <c r="V13" s="3547">
        <v>14592517.5</v>
      </c>
      <c r="W13" s="3547">
        <f t="shared" si="24"/>
        <v>0.82999995018679951</v>
      </c>
      <c r="X13" s="3796">
        <v>55540.83</v>
      </c>
      <c r="Y13" s="3547">
        <f t="shared" si="25"/>
        <v>666489.96</v>
      </c>
      <c r="Z13" s="3554"/>
      <c r="AA13" s="3555"/>
      <c r="AB13" s="3593" t="s">
        <v>4187</v>
      </c>
      <c r="AC13" s="3556">
        <f t="shared" si="43"/>
        <v>3750009.9600000004</v>
      </c>
      <c r="AD13" s="3780">
        <f t="shared" si="26"/>
        <v>2812507.47</v>
      </c>
      <c r="AE13" s="3780">
        <f t="shared" si="26"/>
        <v>2812507.47</v>
      </c>
      <c r="AF13" s="3556">
        <f t="shared" si="44"/>
        <v>0</v>
      </c>
      <c r="AG13" s="3556"/>
      <c r="AH13" s="3557">
        <f t="shared" si="45"/>
        <v>666489.96</v>
      </c>
      <c r="AI13" s="3558">
        <f t="shared" si="27"/>
        <v>499867.47000000009</v>
      </c>
      <c r="AJ13" s="3558">
        <f t="shared" si="27"/>
        <v>499867.47000000009</v>
      </c>
      <c r="AK13" s="3557">
        <f t="shared" si="46"/>
        <v>0</v>
      </c>
      <c r="AL13" s="3557"/>
      <c r="AM13" s="3547" t="s">
        <v>3900</v>
      </c>
      <c r="AN13" s="3782">
        <f>312500.83</f>
        <v>312500.83</v>
      </c>
      <c r="AO13" s="3681">
        <v>312500.83</v>
      </c>
      <c r="AP13" s="3561">
        <f t="shared" ref="AP13:AP17" si="57">AO13-AN13</f>
        <v>0</v>
      </c>
      <c r="AQ13" s="3782">
        <v>55540.83</v>
      </c>
      <c r="AR13" s="3681">
        <v>55540.83</v>
      </c>
      <c r="AS13" s="3561">
        <f t="shared" ref="AS13:AS17" si="58">AR13-AQ13</f>
        <v>0</v>
      </c>
      <c r="AT13" s="3784" t="s">
        <v>5028</v>
      </c>
      <c r="AU13" s="3547" t="s">
        <v>3902</v>
      </c>
      <c r="AV13" s="3782">
        <f>312500.83</f>
        <v>312500.83</v>
      </c>
      <c r="AW13" s="3681">
        <v>312500.83</v>
      </c>
      <c r="AX13" s="3561">
        <f t="shared" ref="AX13:AX17" si="59">AW13-AV13</f>
        <v>0</v>
      </c>
      <c r="AY13" s="3782">
        <v>55540.83</v>
      </c>
      <c r="AZ13" s="3681">
        <v>55540.83</v>
      </c>
      <c r="BA13" s="3561">
        <f t="shared" ref="BA13:BA17" si="60">AZ13-AY13</f>
        <v>0</v>
      </c>
      <c r="BB13" s="3784" t="s">
        <v>3903</v>
      </c>
      <c r="BC13" s="3547" t="s">
        <v>3904</v>
      </c>
      <c r="BD13" s="3782">
        <f>312500.83</f>
        <v>312500.83</v>
      </c>
      <c r="BE13" s="3681">
        <v>312500.83</v>
      </c>
      <c r="BF13" s="3561">
        <f t="shared" ref="BF13:BF17" si="61">BE13-BD13</f>
        <v>0</v>
      </c>
      <c r="BG13" s="3782">
        <v>55540.83</v>
      </c>
      <c r="BH13" s="3681">
        <v>55540.83</v>
      </c>
      <c r="BI13" s="3561">
        <f t="shared" ref="BI13:BI17" si="62">BH13-BG13</f>
        <v>0</v>
      </c>
      <c r="BJ13" s="3784" t="s">
        <v>5029</v>
      </c>
      <c r="BK13" s="3547" t="s">
        <v>3906</v>
      </c>
      <c r="BL13" s="3782">
        <f>312500.83</f>
        <v>312500.83</v>
      </c>
      <c r="BM13" s="3681">
        <f>312500.83</f>
        <v>312500.83</v>
      </c>
      <c r="BN13" s="3561">
        <f t="shared" ref="BN13:BN17" si="63">BM13-BL13</f>
        <v>0</v>
      </c>
      <c r="BO13" s="3782">
        <v>55540.83</v>
      </c>
      <c r="BP13" s="3681">
        <v>55540.83</v>
      </c>
      <c r="BQ13" s="3561">
        <f t="shared" ref="BQ13:BQ17" si="64">BP13-BO13</f>
        <v>0</v>
      </c>
      <c r="BR13" s="3784" t="s">
        <v>5030</v>
      </c>
      <c r="BS13" s="3547" t="s">
        <v>3908</v>
      </c>
      <c r="BT13" s="3782">
        <f>312500.83</f>
        <v>312500.83</v>
      </c>
      <c r="BU13" s="3681">
        <v>312500.83</v>
      </c>
      <c r="BV13" s="3561">
        <f t="shared" ref="BV13:BV17" si="65">BU13-BT13</f>
        <v>0</v>
      </c>
      <c r="BW13" s="3782">
        <v>55540.83</v>
      </c>
      <c r="BX13" s="3681">
        <v>55540.83</v>
      </c>
      <c r="BY13" s="3561">
        <f t="shared" ref="BY13:BY17" si="66">BX13-BW13</f>
        <v>0</v>
      </c>
      <c r="BZ13" s="3784" t="s">
        <v>5031</v>
      </c>
      <c r="CA13" s="3547" t="s">
        <v>3910</v>
      </c>
      <c r="CB13" s="3782">
        <f>312500.83</f>
        <v>312500.83</v>
      </c>
      <c r="CC13" s="3681">
        <v>312500.83</v>
      </c>
      <c r="CD13" s="3561">
        <f t="shared" ref="CD13:CD17" si="67">CC13-CB13</f>
        <v>0</v>
      </c>
      <c r="CE13" s="3782">
        <v>55540.83</v>
      </c>
      <c r="CF13" s="3681">
        <v>55540.83</v>
      </c>
      <c r="CG13" s="3561">
        <f t="shared" ref="CG13:CG17" si="68">CF13-CE13</f>
        <v>0</v>
      </c>
      <c r="CH13" s="3784" t="s">
        <v>5032</v>
      </c>
      <c r="CI13" s="3547" t="s">
        <v>3912</v>
      </c>
      <c r="CJ13" s="3782">
        <f>312500.83</f>
        <v>312500.83</v>
      </c>
      <c r="CK13" s="3681">
        <v>312500.83</v>
      </c>
      <c r="CL13" s="3561">
        <f t="shared" si="47"/>
        <v>0</v>
      </c>
      <c r="CM13" s="3782">
        <v>55540.83</v>
      </c>
      <c r="CN13" s="3681">
        <v>55540.83</v>
      </c>
      <c r="CO13" s="3561">
        <f t="shared" si="48"/>
        <v>0</v>
      </c>
      <c r="CP13" s="3784" t="s">
        <v>5033</v>
      </c>
      <c r="CQ13" s="3547" t="s">
        <v>3914</v>
      </c>
      <c r="CR13" s="3782">
        <f>312500.83</f>
        <v>312500.83</v>
      </c>
      <c r="CS13" s="3681">
        <v>312500.83</v>
      </c>
      <c r="CT13" s="3561">
        <f t="shared" si="0"/>
        <v>0</v>
      </c>
      <c r="CU13" s="3782">
        <v>55540.83</v>
      </c>
      <c r="CV13" s="3681">
        <v>55540.83</v>
      </c>
      <c r="CW13" s="3561">
        <f t="shared" si="1"/>
        <v>0</v>
      </c>
      <c r="CX13" s="3784" t="s">
        <v>5034</v>
      </c>
      <c r="CY13" s="3547" t="s">
        <v>5035</v>
      </c>
      <c r="CZ13" s="3782">
        <f>312500.83</f>
        <v>312500.83</v>
      </c>
      <c r="DA13" s="3681">
        <v>312500.83</v>
      </c>
      <c r="DB13" s="3561">
        <f t="shared" si="2"/>
        <v>0</v>
      </c>
      <c r="DC13" s="3782">
        <v>55540.83</v>
      </c>
      <c r="DD13" s="3681">
        <v>55540.83</v>
      </c>
      <c r="DE13" s="3561">
        <f t="shared" si="3"/>
        <v>0</v>
      </c>
      <c r="DF13" s="3784" t="s">
        <v>5036</v>
      </c>
      <c r="DG13" s="3547" t="s">
        <v>5037</v>
      </c>
      <c r="DH13" s="3782">
        <f>312500.83</f>
        <v>312500.83</v>
      </c>
      <c r="DI13" s="3681"/>
      <c r="DJ13" s="3561">
        <f t="shared" si="4"/>
        <v>-312500.83</v>
      </c>
      <c r="DK13" s="3782">
        <v>55540.83</v>
      </c>
      <c r="DL13" s="3681"/>
      <c r="DM13" s="3561">
        <f t="shared" si="5"/>
        <v>-55540.83</v>
      </c>
      <c r="DN13" s="3784"/>
      <c r="DO13" s="3547" t="s">
        <v>5038</v>
      </c>
      <c r="DP13" s="3782">
        <f>312500.83</f>
        <v>312500.83</v>
      </c>
      <c r="DQ13" s="3681"/>
      <c r="DR13" s="3561">
        <f t="shared" si="6"/>
        <v>-312500.83</v>
      </c>
      <c r="DS13" s="3782">
        <v>55540.83</v>
      </c>
      <c r="DT13" s="3681"/>
      <c r="DU13" s="3561">
        <f t="shared" si="7"/>
        <v>-55540.83</v>
      </c>
      <c r="DV13" s="3784"/>
      <c r="DW13" s="3547" t="s">
        <v>5039</v>
      </c>
      <c r="DX13" s="3782">
        <f>312500.83</f>
        <v>312500.83</v>
      </c>
      <c r="DY13" s="3681"/>
      <c r="DZ13" s="3561">
        <f t="shared" si="8"/>
        <v>-312500.83</v>
      </c>
      <c r="EA13" s="3782">
        <v>55540.83</v>
      </c>
      <c r="EB13" s="3681"/>
      <c r="EC13" s="3561">
        <f t="shared" si="9"/>
        <v>-55540.83</v>
      </c>
      <c r="ED13" s="3784"/>
      <c r="EF13" s="3565">
        <f t="shared" si="49"/>
        <v>3571438.0952380919</v>
      </c>
      <c r="EG13" s="3565">
        <f t="shared" si="28"/>
        <v>2678578.571428569</v>
      </c>
      <c r="EH13" s="3565">
        <f t="shared" si="28"/>
        <v>2678578.5428571422</v>
      </c>
      <c r="EI13" s="3565">
        <f t="shared" si="28"/>
        <v>2678578.5428571422</v>
      </c>
      <c r="EJ13" s="3565">
        <f t="shared" si="50"/>
        <v>-2.8571426868438721E-2</v>
      </c>
      <c r="EK13" s="3565">
        <f t="shared" si="51"/>
        <v>0</v>
      </c>
      <c r="EL13" s="3556"/>
      <c r="EM13" s="3557">
        <f t="shared" si="52"/>
        <v>628764.15094339673</v>
      </c>
      <c r="EN13" s="3557">
        <f t="shared" si="29"/>
        <v>471573.11320754752</v>
      </c>
      <c r="EO13" s="3557">
        <f t="shared" si="29"/>
        <v>471573.08490566048</v>
      </c>
      <c r="EP13" s="3557">
        <f t="shared" si="29"/>
        <v>471573.08490566036</v>
      </c>
      <c r="EQ13" s="3557">
        <f t="shared" si="53"/>
        <v>-2.8301887155976146E-2</v>
      </c>
      <c r="ER13" s="3557">
        <f t="shared" si="54"/>
        <v>0</v>
      </c>
      <c r="ES13" s="3557"/>
      <c r="ET13" s="3568">
        <v>297619.84126984101</v>
      </c>
      <c r="EU13" s="3569">
        <f>312500.83/1.05</f>
        <v>297619.83809523808</v>
      </c>
      <c r="EV13" s="3562">
        <f>312500.83/1.05*12/365*14+312500.83/1.05-312500.83/1.05*12/365*14</f>
        <v>297619.83809523808</v>
      </c>
      <c r="EW13" s="3547">
        <f t="shared" ref="EW13:EW17" si="69">EV13-ET13</f>
        <v>-3.1746029271744192E-3</v>
      </c>
      <c r="EX13" s="3568">
        <v>52397.012578616399</v>
      </c>
      <c r="EY13" s="3569">
        <f>55540.83/1.06</f>
        <v>52397.009433962266</v>
      </c>
      <c r="EZ13" s="3562">
        <f>55540.83/1.06*12/365*14+55540.83/1.06-55540.83/1.06*12/365*14</f>
        <v>52397.009433962259</v>
      </c>
      <c r="FA13" s="3547">
        <f t="shared" ref="FA13:FA17" si="70">EZ13-EX13</f>
        <v>-3.1446541397599503E-3</v>
      </c>
      <c r="FB13" s="3568">
        <v>297619.84126984101</v>
      </c>
      <c r="FC13" s="3569">
        <f>312500.83/1.05</f>
        <v>297619.83809523808</v>
      </c>
      <c r="FD13" s="3562">
        <f>312500.83/1.05*12/365*14+312500.83/1.05-312500.83/1.05*12/365*14</f>
        <v>297619.83809523808</v>
      </c>
      <c r="FE13" s="3547">
        <f t="shared" ref="FE13:FE17" si="71">FD13-FB13</f>
        <v>-3.1746029271744192E-3</v>
      </c>
      <c r="FF13" s="3568">
        <v>52397.012578616399</v>
      </c>
      <c r="FG13" s="3569">
        <f>55540.83/1.06</f>
        <v>52397.009433962266</v>
      </c>
      <c r="FH13" s="3562">
        <f>55540.83/1.06*12/365*14+55540.83/1.06-55540.83/1.06*12/365*14</f>
        <v>52397.009433962259</v>
      </c>
      <c r="FI13" s="3547">
        <f t="shared" ref="FI13:FI17" si="72">FH13-FF13</f>
        <v>-3.1446541397599503E-3</v>
      </c>
      <c r="FJ13" s="3568">
        <v>297619.84126984101</v>
      </c>
      <c r="FK13" s="3569">
        <f>312500.83/1.05</f>
        <v>297619.83809523808</v>
      </c>
      <c r="FL13" s="3562">
        <f>312500.83/1.05*12/365*14+312500.83/1.05-312500.83/1.05*12/365*14</f>
        <v>297619.83809523808</v>
      </c>
      <c r="FM13" s="3547">
        <f t="shared" ref="FM13:FM17" si="73">FL13-FJ13</f>
        <v>-3.1746029271744192E-3</v>
      </c>
      <c r="FN13" s="3568">
        <v>52397.012578616399</v>
      </c>
      <c r="FO13" s="3569">
        <f>55540.83/1.06</f>
        <v>52397.009433962266</v>
      </c>
      <c r="FP13" s="3562">
        <f>55540.83/1.06*12/365*14+55540.83/1.06-55540.83/1.06*12/365*14</f>
        <v>52397.009433962259</v>
      </c>
      <c r="FQ13" s="3547">
        <f t="shared" ref="FQ13:FQ17" si="74">FP13-FN13</f>
        <v>-3.1446541397599503E-3</v>
      </c>
      <c r="FR13" s="3568">
        <v>297619.84126984101</v>
      </c>
      <c r="FS13" s="3569">
        <f>312500.83/1.05</f>
        <v>297619.83809523808</v>
      </c>
      <c r="FT13" s="3562">
        <f>312500.83/1.05*12/365*14+312500.83/1.05-312500.83/1.05*12/365*14</f>
        <v>297619.83809523808</v>
      </c>
      <c r="FU13" s="3547">
        <f t="shared" ref="FU13:FU17" si="75">FT13-FR13</f>
        <v>-3.1746029271744192E-3</v>
      </c>
      <c r="FV13" s="3568">
        <v>52397.012578616399</v>
      </c>
      <c r="FW13" s="3569">
        <f>55540.83/1.06</f>
        <v>52397.009433962266</v>
      </c>
      <c r="FX13" s="3562">
        <f>55540.83/1.06*12/365*14+55540.83/1.06-55540.83/1.06*12/365*14</f>
        <v>52397.009433962259</v>
      </c>
      <c r="FY13" s="3547">
        <f t="shared" ref="FY13:FY17" si="76">FX13-FV13</f>
        <v>-3.1446541397599503E-3</v>
      </c>
      <c r="FZ13" s="3568">
        <v>297619.84126984101</v>
      </c>
      <c r="GA13" s="3569">
        <f>312500.83/1.05</f>
        <v>297619.83809523808</v>
      </c>
      <c r="GB13" s="3562">
        <f>312500.83/1.05*12/365*14+312500.83/1.05-312500.83/1.05*12/365*14</f>
        <v>297619.83809523808</v>
      </c>
      <c r="GC13" s="3547">
        <f t="shared" ref="GC13:GC17" si="77">GB13-FZ13</f>
        <v>-3.1746029271744192E-3</v>
      </c>
      <c r="GD13" s="3568">
        <v>52397.012578616399</v>
      </c>
      <c r="GE13" s="3569">
        <f>55540.83/1.06</f>
        <v>52397.009433962266</v>
      </c>
      <c r="GF13" s="3562">
        <f>55540.83/1.06*12/365*14+55540.83/1.06-55540.83/1.06*12/365*14</f>
        <v>52397.009433962259</v>
      </c>
      <c r="GG13" s="3547">
        <f t="shared" ref="GG13:GG17" si="78">GF13-GD13</f>
        <v>-3.1446541397599503E-3</v>
      </c>
      <c r="GH13" s="3568">
        <v>297619.84126984101</v>
      </c>
      <c r="GI13" s="3569">
        <f>312500.83/1.05</f>
        <v>297619.83809523808</v>
      </c>
      <c r="GJ13" s="3562">
        <f>312500.83/1.05*12/365*14+312500.83/1.05-312500.83/1.05*12/365*14</f>
        <v>297619.83809523808</v>
      </c>
      <c r="GK13" s="3547">
        <f t="shared" ref="GK13:GK17" si="79">GJ13-GH13</f>
        <v>-3.1746029271744192E-3</v>
      </c>
      <c r="GL13" s="3568">
        <v>52397.012578616399</v>
      </c>
      <c r="GM13" s="3569">
        <f>55540.83/1.06</f>
        <v>52397.009433962266</v>
      </c>
      <c r="GN13" s="3562">
        <f>55540.83/1.06*12/365*14+55540.83/1.06-55540.83/1.06*12/365*14</f>
        <v>52397.009433962259</v>
      </c>
      <c r="GO13" s="3547">
        <f t="shared" ref="GO13:GO17" si="80">GN13-GL13</f>
        <v>-3.1446541397599503E-3</v>
      </c>
      <c r="GP13" s="3568">
        <v>297619.84126984101</v>
      </c>
      <c r="GQ13" s="3569">
        <f>312500.83/1.05</f>
        <v>297619.83809523808</v>
      </c>
      <c r="GR13" s="3562">
        <f>312500.83/1.05*12/365*14+312500.83/1.05-312500.83/1.05*12/365*14</f>
        <v>297619.83809523808</v>
      </c>
      <c r="GS13" s="3547">
        <f t="shared" si="55"/>
        <v>-3.1746029271744192E-3</v>
      </c>
      <c r="GT13" s="3568">
        <v>52397.012578616399</v>
      </c>
      <c r="GU13" s="3569">
        <f>55540.83/1.06</f>
        <v>52397.009433962266</v>
      </c>
      <c r="GV13" s="3562">
        <f>55540.83/1.06*12/365*14+55540.83/1.06-55540.83/1.06*12/365*14</f>
        <v>52397.009433962259</v>
      </c>
      <c r="GW13" s="3547">
        <f t="shared" si="56"/>
        <v>-3.1446541397599503E-3</v>
      </c>
      <c r="GX13" s="3568">
        <v>297619.84126984101</v>
      </c>
      <c r="GY13" s="3569">
        <f>312500.83/1.05</f>
        <v>297619.83809523808</v>
      </c>
      <c r="GZ13" s="3562">
        <f>312500.83/1.05*12/365*14+312500.83/1.05-312500.83/1.05*12/365*14</f>
        <v>297619.83809523808</v>
      </c>
      <c r="HA13" s="3547">
        <f t="shared" si="10"/>
        <v>-3.1746029271744192E-3</v>
      </c>
      <c r="HB13" s="3568">
        <v>52397.012578616399</v>
      </c>
      <c r="HC13" s="3569">
        <f>55540.83/1.06</f>
        <v>52397.009433962266</v>
      </c>
      <c r="HD13" s="3562">
        <f>55540.83/1.06*12/365*14+55540.83/1.06-55540.83/1.06*12/365*14</f>
        <v>52397.009433962259</v>
      </c>
      <c r="HE13" s="3547">
        <f t="shared" si="11"/>
        <v>-3.1446541397599503E-3</v>
      </c>
      <c r="HF13" s="3568">
        <v>297619.84126984101</v>
      </c>
      <c r="HG13" s="3569">
        <f>312500.83/1.05</f>
        <v>297619.83809523808</v>
      </c>
      <c r="HH13" s="3562">
        <f>312500.83/1.05*12/365*14+312500.83/1.05-312500.83/1.05*12/365*14</f>
        <v>297619.83809523808</v>
      </c>
      <c r="HI13" s="3547">
        <f t="shared" si="12"/>
        <v>-3.1746029271744192E-3</v>
      </c>
      <c r="HJ13" s="3568">
        <v>52397.012578616399</v>
      </c>
      <c r="HK13" s="3569">
        <f>55540.83/1.06</f>
        <v>52397.009433962266</v>
      </c>
      <c r="HL13" s="3562">
        <f>55540.83/1.06*12/365*14+55540.83/1.06-55540.83/1.06*12/365*14</f>
        <v>52397.009433962259</v>
      </c>
      <c r="HM13" s="3547">
        <f t="shared" si="13"/>
        <v>-3.1446541397599503E-3</v>
      </c>
      <c r="HN13" s="3568">
        <v>297619.84126984101</v>
      </c>
      <c r="HO13" s="3569">
        <f>312500.83/1.05</f>
        <v>297619.83809523808</v>
      </c>
      <c r="HP13" s="3562">
        <f>312500.83/1.05*12/365*14+312500.83/1.05-312500.83/1.05*12/365*14</f>
        <v>297619.83809523808</v>
      </c>
      <c r="HQ13" s="3547">
        <f t="shared" si="14"/>
        <v>-3.1746029271744192E-3</v>
      </c>
      <c r="HR13" s="3568">
        <v>52397.012578616399</v>
      </c>
      <c r="HS13" s="3569">
        <f>55540.83/1.06</f>
        <v>52397.009433962266</v>
      </c>
      <c r="HT13" s="3562">
        <f>55540.83/1.06*12/365*14+55540.83/1.06-55540.83/1.06*12/365*14</f>
        <v>52397.009433962259</v>
      </c>
      <c r="HU13" s="3547">
        <f t="shared" si="15"/>
        <v>-3.1446541397599503E-3</v>
      </c>
      <c r="HV13" s="3568">
        <v>297619.84126984101</v>
      </c>
      <c r="HW13" s="3569">
        <f>312500.83/1.05</f>
        <v>297619.83809523808</v>
      </c>
      <c r="HX13" s="3562">
        <f>312500.83/1.05*12/365*14</f>
        <v>136986.66520547942</v>
      </c>
      <c r="HY13" s="3547">
        <f t="shared" si="16"/>
        <v>-160633.17606436159</v>
      </c>
      <c r="HZ13" s="3568">
        <v>52397.012578616399</v>
      </c>
      <c r="IA13" s="3569">
        <f>55540.83/1.06</f>
        <v>52397.009433962266</v>
      </c>
      <c r="IB13" s="3562">
        <f>55540.83/1.06*12/365*14</f>
        <v>24116.979684673042</v>
      </c>
      <c r="IC13" s="3547">
        <f t="shared" si="17"/>
        <v>-28280.032893943357</v>
      </c>
      <c r="ID13" s="3568">
        <v>297619.84126984101</v>
      </c>
      <c r="IE13" s="3569">
        <f>312500.83/1.05</f>
        <v>297619.83809523808</v>
      </c>
      <c r="IF13" s="3562"/>
      <c r="IG13" s="3547">
        <f t="shared" si="18"/>
        <v>-297619.84126984101</v>
      </c>
      <c r="IH13" s="3568">
        <v>52397.012578616399</v>
      </c>
      <c r="II13" s="3569">
        <f>55540.83/1.06</f>
        <v>52397.009433962266</v>
      </c>
      <c r="IJ13" s="3562"/>
      <c r="IK13" s="3547">
        <f t="shared" si="19"/>
        <v>-52397.012578616399</v>
      </c>
      <c r="IL13" s="3593" t="s">
        <v>4544</v>
      </c>
      <c r="IM13" s="3569">
        <f>312500.83/1.05+312500.83/1.05*12/365*14</f>
        <v>434606.50330071751</v>
      </c>
      <c r="IN13" s="3569">
        <f>55540.83/1.06+55540.83/1.06*12/365*14</f>
        <v>76513.989118635305</v>
      </c>
      <c r="IO13" s="3593"/>
      <c r="IP13" s="3786">
        <f t="shared" si="30"/>
        <v>0</v>
      </c>
      <c r="IQ13" s="3787"/>
      <c r="IR13" s="3787"/>
      <c r="IS13" s="3787"/>
      <c r="IT13" s="3562"/>
      <c r="IU13" s="3562"/>
      <c r="IV13" s="3562"/>
      <c r="IW13" s="3562"/>
      <c r="IX13" s="3562"/>
      <c r="IY13" s="3562"/>
      <c r="IZ13" s="3562"/>
      <c r="JA13" s="3562"/>
      <c r="JB13" s="3562"/>
      <c r="JC13" s="3788">
        <f t="shared" si="31"/>
        <v>0</v>
      </c>
      <c r="JD13" s="3787"/>
      <c r="JE13" s="3787"/>
      <c r="JF13" s="3787"/>
      <c r="JG13" s="3562"/>
      <c r="JH13" s="3562"/>
      <c r="JI13" s="3562"/>
      <c r="JJ13" s="3562"/>
      <c r="JK13" s="3562"/>
      <c r="JL13" s="3562"/>
      <c r="JM13" s="3562"/>
      <c r="JN13" s="3562"/>
      <c r="JO13" s="3562"/>
      <c r="JP13" s="3593" t="s">
        <v>3918</v>
      </c>
      <c r="JQ13" s="3569">
        <f>312500.83/1.05+312500.83/1.05*12/365*14</f>
        <v>434606.50330071751</v>
      </c>
      <c r="JR13" s="3569">
        <f>55540.83/1.06+55540.83/1.06*12/365*14</f>
        <v>76513.989118635305</v>
      </c>
      <c r="JS13" s="3547">
        <f t="shared" si="32"/>
        <v>1.4551915228366852E-9</v>
      </c>
      <c r="JT13" s="3573">
        <f t="shared" si="33"/>
        <v>-2.3283064365386963E-10</v>
      </c>
      <c r="JU13" s="3573">
        <f t="shared" si="34"/>
        <v>9.8953023552894592E-10</v>
      </c>
      <c r="JV13" s="3573">
        <f t="shared" si="35"/>
        <v>0</v>
      </c>
      <c r="JW13" s="3580">
        <f t="shared" si="36"/>
        <v>4.6699999501867993</v>
      </c>
      <c r="JX13" s="3576">
        <f t="shared" si="37"/>
        <v>434606.50330071751</v>
      </c>
      <c r="JY13" s="3576">
        <f t="shared" si="38"/>
        <v>76513.989118635305</v>
      </c>
      <c r="JZ13" s="3577"/>
      <c r="KA13" s="3576">
        <f t="shared" si="39"/>
        <v>-6.3192570669343695E-3</v>
      </c>
      <c r="KB13" s="3573"/>
      <c r="KC13" s="3576"/>
      <c r="KD13" s="3576">
        <f t="shared" si="40"/>
        <v>-6.3192570669343695E-3</v>
      </c>
      <c r="KE13" s="3795"/>
      <c r="KF13" s="3579"/>
      <c r="KG13" s="3579"/>
      <c r="KH13" s="3579"/>
      <c r="KI13" s="3579"/>
      <c r="KJ13" s="3579"/>
      <c r="KK13" s="3579"/>
      <c r="KL13" s="3579"/>
      <c r="KM13" s="3579"/>
      <c r="KN13" s="3579"/>
      <c r="KO13" s="3579">
        <f t="shared" si="41"/>
        <v>0</v>
      </c>
      <c r="KP13" s="3579">
        <f t="shared" si="42"/>
        <v>-5.6873314024414871E-6</v>
      </c>
      <c r="KQ13" s="3577"/>
      <c r="KR13" s="3577"/>
    </row>
    <row r="14" spans="1:304" s="3580" customFormat="1" ht="32.1" customHeight="1">
      <c r="A14" s="3545">
        <v>7</v>
      </c>
      <c r="B14" s="3546" t="s">
        <v>5023</v>
      </c>
      <c r="C14" s="3546" t="s">
        <v>5040</v>
      </c>
      <c r="D14" s="3547">
        <v>1260</v>
      </c>
      <c r="E14" s="3548" t="s">
        <v>3799</v>
      </c>
      <c r="F14" s="3546" t="s">
        <v>4987</v>
      </c>
      <c r="G14" s="3549" t="s">
        <v>5041</v>
      </c>
      <c r="H14" s="3546" t="s">
        <v>5042</v>
      </c>
      <c r="I14" s="3594" t="s">
        <v>4888</v>
      </c>
      <c r="J14" s="3594" t="s">
        <v>4186</v>
      </c>
      <c r="K14" s="3545" t="s">
        <v>4835</v>
      </c>
      <c r="L14" s="3655" t="s">
        <v>5027</v>
      </c>
      <c r="M14" s="3561">
        <v>536933.25</v>
      </c>
      <c r="N14" s="3796">
        <v>536933.25</v>
      </c>
      <c r="O14" s="3551">
        <f t="shared" si="20"/>
        <v>0</v>
      </c>
      <c r="P14" s="3561">
        <v>95429.25</v>
      </c>
      <c r="Q14" s="3796">
        <v>95429.25</v>
      </c>
      <c r="R14" s="3547">
        <f t="shared" si="21"/>
        <v>0</v>
      </c>
      <c r="S14" s="3547">
        <f t="shared" si="22"/>
        <v>4.67</v>
      </c>
      <c r="T14" s="3778">
        <v>178977.75</v>
      </c>
      <c r="U14" s="3561">
        <f t="shared" si="23"/>
        <v>2147733</v>
      </c>
      <c r="V14" s="3547">
        <v>8357532.75</v>
      </c>
      <c r="W14" s="3547">
        <f t="shared" si="24"/>
        <v>0.83</v>
      </c>
      <c r="X14" s="3796">
        <v>31809.75</v>
      </c>
      <c r="Y14" s="3547">
        <f t="shared" si="25"/>
        <v>381717</v>
      </c>
      <c r="Z14" s="3554"/>
      <c r="AA14" s="3555"/>
      <c r="AB14" s="3593" t="s">
        <v>4187</v>
      </c>
      <c r="AC14" s="3556">
        <f t="shared" si="43"/>
        <v>2147733</v>
      </c>
      <c r="AD14" s="3780">
        <f t="shared" si="26"/>
        <v>1610799.75</v>
      </c>
      <c r="AE14" s="3780">
        <f t="shared" si="26"/>
        <v>1610799.75</v>
      </c>
      <c r="AF14" s="3556">
        <f t="shared" si="44"/>
        <v>0</v>
      </c>
      <c r="AG14" s="3556"/>
      <c r="AH14" s="3557">
        <f t="shared" si="45"/>
        <v>381717</v>
      </c>
      <c r="AI14" s="3558">
        <f t="shared" si="27"/>
        <v>286287.75</v>
      </c>
      <c r="AJ14" s="3558">
        <f t="shared" si="27"/>
        <v>286287.75</v>
      </c>
      <c r="AK14" s="3557">
        <f t="shared" si="46"/>
        <v>0</v>
      </c>
      <c r="AL14" s="3557"/>
      <c r="AM14" s="3547" t="s">
        <v>3900</v>
      </c>
      <c r="AN14" s="3782">
        <f>178977.75</f>
        <v>178977.75</v>
      </c>
      <c r="AO14" s="3681">
        <v>178977.75</v>
      </c>
      <c r="AP14" s="3561">
        <f t="shared" si="57"/>
        <v>0</v>
      </c>
      <c r="AQ14" s="3782">
        <f>31809.75</f>
        <v>31809.75</v>
      </c>
      <c r="AR14" s="3681">
        <v>31809.75</v>
      </c>
      <c r="AS14" s="3561">
        <f t="shared" si="58"/>
        <v>0</v>
      </c>
      <c r="AT14" s="3784" t="s">
        <v>5028</v>
      </c>
      <c r="AU14" s="3547" t="s">
        <v>3902</v>
      </c>
      <c r="AV14" s="3782">
        <f>178977.75</f>
        <v>178977.75</v>
      </c>
      <c r="AW14" s="3681">
        <v>178977.75</v>
      </c>
      <c r="AX14" s="3561">
        <f t="shared" si="59"/>
        <v>0</v>
      </c>
      <c r="AY14" s="3782">
        <f>31809.75</f>
        <v>31809.75</v>
      </c>
      <c r="AZ14" s="3681">
        <v>31809.75</v>
      </c>
      <c r="BA14" s="3561">
        <f t="shared" si="60"/>
        <v>0</v>
      </c>
      <c r="BB14" s="3784" t="s">
        <v>3903</v>
      </c>
      <c r="BC14" s="3547" t="s">
        <v>3904</v>
      </c>
      <c r="BD14" s="3782">
        <f>178977.75</f>
        <v>178977.75</v>
      </c>
      <c r="BE14" s="3681">
        <v>178977.75</v>
      </c>
      <c r="BF14" s="3561">
        <f t="shared" si="61"/>
        <v>0</v>
      </c>
      <c r="BG14" s="3782">
        <f>31809.75</f>
        <v>31809.75</v>
      </c>
      <c r="BH14" s="3681">
        <v>31809.75</v>
      </c>
      <c r="BI14" s="3561">
        <f t="shared" si="62"/>
        <v>0</v>
      </c>
      <c r="BJ14" s="3784" t="s">
        <v>5029</v>
      </c>
      <c r="BK14" s="3547" t="s">
        <v>3906</v>
      </c>
      <c r="BL14" s="3782">
        <f>178977.75</f>
        <v>178977.75</v>
      </c>
      <c r="BM14" s="3681">
        <v>178977.75</v>
      </c>
      <c r="BN14" s="3561">
        <f t="shared" si="63"/>
        <v>0</v>
      </c>
      <c r="BO14" s="3782">
        <f>31809.75</f>
        <v>31809.75</v>
      </c>
      <c r="BP14" s="3681">
        <v>31809.75</v>
      </c>
      <c r="BQ14" s="3561">
        <f t="shared" si="64"/>
        <v>0</v>
      </c>
      <c r="BR14" s="3784" t="s">
        <v>5030</v>
      </c>
      <c r="BS14" s="3547" t="s">
        <v>3908</v>
      </c>
      <c r="BT14" s="3782">
        <f>178977.75</f>
        <v>178977.75</v>
      </c>
      <c r="BU14" s="3681">
        <v>178977.75</v>
      </c>
      <c r="BV14" s="3561">
        <f t="shared" si="65"/>
        <v>0</v>
      </c>
      <c r="BW14" s="3782">
        <f>31809.75</f>
        <v>31809.75</v>
      </c>
      <c r="BX14" s="3681">
        <v>31809.75</v>
      </c>
      <c r="BY14" s="3561">
        <f t="shared" si="66"/>
        <v>0</v>
      </c>
      <c r="BZ14" s="3784" t="s">
        <v>5031</v>
      </c>
      <c r="CA14" s="3547" t="s">
        <v>3910</v>
      </c>
      <c r="CB14" s="3782">
        <f>178977.75</f>
        <v>178977.75</v>
      </c>
      <c r="CC14" s="3681">
        <v>178977.75</v>
      </c>
      <c r="CD14" s="3561">
        <f t="shared" si="67"/>
        <v>0</v>
      </c>
      <c r="CE14" s="3782">
        <f>31809.75</f>
        <v>31809.75</v>
      </c>
      <c r="CF14" s="3681">
        <v>31809.75</v>
      </c>
      <c r="CG14" s="3561">
        <f t="shared" si="68"/>
        <v>0</v>
      </c>
      <c r="CH14" s="3784" t="s">
        <v>5032</v>
      </c>
      <c r="CI14" s="3547" t="s">
        <v>3912</v>
      </c>
      <c r="CJ14" s="3782">
        <f>178977.75</f>
        <v>178977.75</v>
      </c>
      <c r="CK14" s="3681">
        <v>178977.75</v>
      </c>
      <c r="CL14" s="3561">
        <f t="shared" si="47"/>
        <v>0</v>
      </c>
      <c r="CM14" s="3782">
        <f>31809.75</f>
        <v>31809.75</v>
      </c>
      <c r="CN14" s="3681">
        <v>31809.75</v>
      </c>
      <c r="CO14" s="3561">
        <f t="shared" si="48"/>
        <v>0</v>
      </c>
      <c r="CP14" s="3784" t="s">
        <v>5033</v>
      </c>
      <c r="CQ14" s="3547" t="s">
        <v>3914</v>
      </c>
      <c r="CR14" s="3782">
        <f>178977.75</f>
        <v>178977.75</v>
      </c>
      <c r="CS14" s="3681">
        <v>178977.75</v>
      </c>
      <c r="CT14" s="3561">
        <f t="shared" si="0"/>
        <v>0</v>
      </c>
      <c r="CU14" s="3782">
        <f>31809.75</f>
        <v>31809.75</v>
      </c>
      <c r="CV14" s="3681">
        <v>31809.75</v>
      </c>
      <c r="CW14" s="3561">
        <f t="shared" si="1"/>
        <v>0</v>
      </c>
      <c r="CX14" s="3784" t="s">
        <v>5034</v>
      </c>
      <c r="CY14" s="3547" t="s">
        <v>5035</v>
      </c>
      <c r="CZ14" s="3782">
        <f>178977.75</f>
        <v>178977.75</v>
      </c>
      <c r="DA14" s="3681">
        <v>178977.75</v>
      </c>
      <c r="DB14" s="3561">
        <f t="shared" si="2"/>
        <v>0</v>
      </c>
      <c r="DC14" s="3782">
        <f>31809.75</f>
        <v>31809.75</v>
      </c>
      <c r="DD14" s="3681">
        <v>31809.75</v>
      </c>
      <c r="DE14" s="3561">
        <f t="shared" si="3"/>
        <v>0</v>
      </c>
      <c r="DF14" s="3784" t="s">
        <v>5036</v>
      </c>
      <c r="DG14" s="3547" t="s">
        <v>5037</v>
      </c>
      <c r="DH14" s="3782">
        <f>178977.75</f>
        <v>178977.75</v>
      </c>
      <c r="DI14" s="3681"/>
      <c r="DJ14" s="3561">
        <f t="shared" si="4"/>
        <v>-178977.75</v>
      </c>
      <c r="DK14" s="3782">
        <f>31809.75</f>
        <v>31809.75</v>
      </c>
      <c r="DL14" s="3681"/>
      <c r="DM14" s="3561">
        <f t="shared" si="5"/>
        <v>-31809.75</v>
      </c>
      <c r="DN14" s="3784"/>
      <c r="DO14" s="3547" t="s">
        <v>5038</v>
      </c>
      <c r="DP14" s="3782">
        <f>178977.75</f>
        <v>178977.75</v>
      </c>
      <c r="DQ14" s="3681"/>
      <c r="DR14" s="3561">
        <f t="shared" si="6"/>
        <v>-178977.75</v>
      </c>
      <c r="DS14" s="3782">
        <f>31809.75</f>
        <v>31809.75</v>
      </c>
      <c r="DT14" s="3681"/>
      <c r="DU14" s="3561">
        <f t="shared" si="7"/>
        <v>-31809.75</v>
      </c>
      <c r="DV14" s="3784"/>
      <c r="DW14" s="3547" t="s">
        <v>5039</v>
      </c>
      <c r="DX14" s="3782">
        <f>178977.75</f>
        <v>178977.75</v>
      </c>
      <c r="DY14" s="3681"/>
      <c r="DZ14" s="3561">
        <f t="shared" si="8"/>
        <v>-178977.75</v>
      </c>
      <c r="EA14" s="3782">
        <f>31809.75</f>
        <v>31809.75</v>
      </c>
      <c r="EB14" s="3681"/>
      <c r="EC14" s="3561">
        <f t="shared" si="9"/>
        <v>-31809.75</v>
      </c>
      <c r="ED14" s="3784"/>
      <c r="EF14" s="3565">
        <f t="shared" si="49"/>
        <v>2045460</v>
      </c>
      <c r="EG14" s="3565">
        <f t="shared" si="28"/>
        <v>1534095</v>
      </c>
      <c r="EH14" s="3565">
        <f t="shared" si="28"/>
        <v>1534095</v>
      </c>
      <c r="EI14" s="3565">
        <f t="shared" si="28"/>
        <v>1534095</v>
      </c>
      <c r="EJ14" s="3565">
        <f t="shared" si="50"/>
        <v>0</v>
      </c>
      <c r="EK14" s="3565">
        <f t="shared" si="51"/>
        <v>0</v>
      </c>
      <c r="EL14" s="3556"/>
      <c r="EM14" s="3557">
        <f t="shared" si="52"/>
        <v>360110.3773584899</v>
      </c>
      <c r="EN14" s="3557">
        <f t="shared" si="29"/>
        <v>270082.78301886749</v>
      </c>
      <c r="EO14" s="3557">
        <f t="shared" si="29"/>
        <v>270082.78301886783</v>
      </c>
      <c r="EP14" s="3557">
        <f t="shared" si="29"/>
        <v>270082.78301886783</v>
      </c>
      <c r="EQ14" s="3557">
        <f t="shared" si="53"/>
        <v>0</v>
      </c>
      <c r="ER14" s="3557">
        <f t="shared" si="54"/>
        <v>0</v>
      </c>
      <c r="ES14" s="3557"/>
      <c r="ET14" s="3568">
        <v>170455</v>
      </c>
      <c r="EU14" s="3569">
        <f>178977.75/1.05</f>
        <v>170455</v>
      </c>
      <c r="EV14" s="3562">
        <f>178977.75/1.05*12/365*14+178977.75/1.05-178977.75/1.05*12/365*14</f>
        <v>170455</v>
      </c>
      <c r="EW14" s="3547">
        <f t="shared" si="69"/>
        <v>0</v>
      </c>
      <c r="EX14" s="3568">
        <v>30009.198113207502</v>
      </c>
      <c r="EY14" s="3569">
        <f>31809.75/1.06</f>
        <v>30009.198113207545</v>
      </c>
      <c r="EZ14" s="3562">
        <f>31809.75/1.06*12/365*14+31809.75/1.06-31809.75/1.06*12/365*14</f>
        <v>30009.198113207542</v>
      </c>
      <c r="FA14" s="3547">
        <f t="shared" si="70"/>
        <v>4.0017766878008842E-11</v>
      </c>
      <c r="FB14" s="3568">
        <v>170455</v>
      </c>
      <c r="FC14" s="3569">
        <f>178977.75/1.05</f>
        <v>170455</v>
      </c>
      <c r="FD14" s="3562">
        <f>178977.75/1.05*12/365*14+178977.75/1.05-178977.75/1.05*12/365*14</f>
        <v>170455</v>
      </c>
      <c r="FE14" s="3547">
        <f t="shared" si="71"/>
        <v>0</v>
      </c>
      <c r="FF14" s="3568">
        <v>30009.198113207502</v>
      </c>
      <c r="FG14" s="3569">
        <f>31809.75/1.06</f>
        <v>30009.198113207545</v>
      </c>
      <c r="FH14" s="3562">
        <f>31809.75/1.06*12/365*14+31809.75/1.06-31809.75/1.06*12/365*14</f>
        <v>30009.198113207542</v>
      </c>
      <c r="FI14" s="3547">
        <f t="shared" si="72"/>
        <v>4.0017766878008842E-11</v>
      </c>
      <c r="FJ14" s="3568">
        <v>170455</v>
      </c>
      <c r="FK14" s="3569">
        <f>178977.75/1.05</f>
        <v>170455</v>
      </c>
      <c r="FL14" s="3562">
        <f>178977.75/1.05*12/365*14+178977.75/1.05-178977.75/1.05*12/365*14</f>
        <v>170455</v>
      </c>
      <c r="FM14" s="3547">
        <f t="shared" si="73"/>
        <v>0</v>
      </c>
      <c r="FN14" s="3568">
        <v>30009.198113207502</v>
      </c>
      <c r="FO14" s="3569">
        <f>31809.75/1.06</f>
        <v>30009.198113207545</v>
      </c>
      <c r="FP14" s="3562">
        <f>31809.75/1.06*12/365*14+31809.75/1.06-31809.75/1.06*12/365*14</f>
        <v>30009.198113207542</v>
      </c>
      <c r="FQ14" s="3547">
        <f t="shared" si="74"/>
        <v>4.0017766878008842E-11</v>
      </c>
      <c r="FR14" s="3568">
        <v>170455</v>
      </c>
      <c r="FS14" s="3569">
        <f>178977.75/1.05</f>
        <v>170455</v>
      </c>
      <c r="FT14" s="3562">
        <f>178977.75/1.05*12/365*14+178977.75/1.05-178977.75/1.05*12/365*14</f>
        <v>170455</v>
      </c>
      <c r="FU14" s="3547">
        <f t="shared" si="75"/>
        <v>0</v>
      </c>
      <c r="FV14" s="3568">
        <v>30009.198113207502</v>
      </c>
      <c r="FW14" s="3569">
        <f>31809.75/1.06</f>
        <v>30009.198113207545</v>
      </c>
      <c r="FX14" s="3562">
        <f>31809.75/1.06*12/365*14+31809.75/1.06-31809.75/1.06*12/365*14</f>
        <v>30009.198113207542</v>
      </c>
      <c r="FY14" s="3547">
        <f t="shared" si="76"/>
        <v>4.0017766878008842E-11</v>
      </c>
      <c r="FZ14" s="3568">
        <v>170455</v>
      </c>
      <c r="GA14" s="3569">
        <f>178977.75/1.05</f>
        <v>170455</v>
      </c>
      <c r="GB14" s="3562">
        <f>178977.75/1.05*12/365*14+178977.75/1.05-178977.75/1.05*12/365*14</f>
        <v>170455</v>
      </c>
      <c r="GC14" s="3547">
        <f t="shared" si="77"/>
        <v>0</v>
      </c>
      <c r="GD14" s="3568">
        <v>30009.198113207502</v>
      </c>
      <c r="GE14" s="3569">
        <f>31809.75/1.06</f>
        <v>30009.198113207545</v>
      </c>
      <c r="GF14" s="3562">
        <f>31809.75/1.06*12/365*14+31809.75/1.06-31809.75/1.06*12/365*14</f>
        <v>30009.198113207542</v>
      </c>
      <c r="GG14" s="3547">
        <f t="shared" si="78"/>
        <v>4.0017766878008842E-11</v>
      </c>
      <c r="GH14" s="3568">
        <v>170455</v>
      </c>
      <c r="GI14" s="3569">
        <f>178977.75/1.05</f>
        <v>170455</v>
      </c>
      <c r="GJ14" s="3562">
        <f>178977.75/1.05*12/365*14+178977.75/1.05-178977.75/1.05*12/365*14</f>
        <v>170455</v>
      </c>
      <c r="GK14" s="3547">
        <f t="shared" si="79"/>
        <v>0</v>
      </c>
      <c r="GL14" s="3568">
        <v>30009.198113207502</v>
      </c>
      <c r="GM14" s="3569">
        <f>31809.75/1.06</f>
        <v>30009.198113207545</v>
      </c>
      <c r="GN14" s="3562">
        <f>31809.75/1.06*12/365*14+31809.75/1.06-31809.75/1.06*12/365*14</f>
        <v>30009.198113207542</v>
      </c>
      <c r="GO14" s="3547">
        <f t="shared" si="80"/>
        <v>4.0017766878008842E-11</v>
      </c>
      <c r="GP14" s="3568">
        <v>170455</v>
      </c>
      <c r="GQ14" s="3569">
        <f>178977.75/1.05</f>
        <v>170455</v>
      </c>
      <c r="GR14" s="3562">
        <f>178977.75/1.05*12/365*14+178977.75/1.05-178977.75/1.05*12/365*14</f>
        <v>170455</v>
      </c>
      <c r="GS14" s="3547">
        <f t="shared" si="55"/>
        <v>0</v>
      </c>
      <c r="GT14" s="3568">
        <v>30009.198113207502</v>
      </c>
      <c r="GU14" s="3569">
        <f>31809.75/1.06</f>
        <v>30009.198113207545</v>
      </c>
      <c r="GV14" s="3562">
        <f>31809.75/1.06*12/365*14+31809.75/1.06-31809.75/1.06*12/365*14</f>
        <v>30009.198113207542</v>
      </c>
      <c r="GW14" s="3547">
        <f t="shared" si="56"/>
        <v>4.0017766878008842E-11</v>
      </c>
      <c r="GX14" s="3568">
        <v>170455</v>
      </c>
      <c r="GY14" s="3569">
        <f>178977.75/1.05</f>
        <v>170455</v>
      </c>
      <c r="GZ14" s="3562">
        <f>178977.75/1.05*12/365*14+178977.75/1.05-178977.75/1.05*12/365*14</f>
        <v>170455</v>
      </c>
      <c r="HA14" s="3547">
        <f t="shared" si="10"/>
        <v>0</v>
      </c>
      <c r="HB14" s="3568">
        <v>30009.198113207502</v>
      </c>
      <c r="HC14" s="3569">
        <f>31809.75/1.06</f>
        <v>30009.198113207545</v>
      </c>
      <c r="HD14" s="3562">
        <f>31809.75/1.06*12/365*14+31809.75/1.06-31809.75/1.06*12/365*14</f>
        <v>30009.198113207542</v>
      </c>
      <c r="HE14" s="3547">
        <f t="shared" si="11"/>
        <v>4.0017766878008842E-11</v>
      </c>
      <c r="HF14" s="3568">
        <v>170455</v>
      </c>
      <c r="HG14" s="3569">
        <f>178977.75/1.05</f>
        <v>170455</v>
      </c>
      <c r="HH14" s="3562">
        <f>178977.75/1.05*12/365*14+178977.75/1.05-178977.75/1.05*12/365*14</f>
        <v>170455</v>
      </c>
      <c r="HI14" s="3547">
        <f t="shared" si="12"/>
        <v>0</v>
      </c>
      <c r="HJ14" s="3568">
        <v>30009.198113207502</v>
      </c>
      <c r="HK14" s="3569">
        <f>31809.75/1.06</f>
        <v>30009.198113207545</v>
      </c>
      <c r="HL14" s="3562">
        <f>31809.75/1.06*12/365*14+31809.75/1.06-31809.75/1.06*12/365*14</f>
        <v>30009.198113207542</v>
      </c>
      <c r="HM14" s="3547">
        <f t="shared" si="13"/>
        <v>4.0017766878008842E-11</v>
      </c>
      <c r="HN14" s="3568">
        <v>170455</v>
      </c>
      <c r="HO14" s="3569">
        <f>178977.75/1.05</f>
        <v>170455</v>
      </c>
      <c r="HP14" s="3562">
        <f>178977.75/1.05*12/365*14+178977.75/1.05-178977.75/1.05*12/365*14</f>
        <v>170455</v>
      </c>
      <c r="HQ14" s="3547">
        <f t="shared" si="14"/>
        <v>0</v>
      </c>
      <c r="HR14" s="3568">
        <v>30009.198113207502</v>
      </c>
      <c r="HS14" s="3569">
        <f>31809.75/1.06</f>
        <v>30009.198113207545</v>
      </c>
      <c r="HT14" s="3562">
        <f>31809.75/1.06*12/365*14+31809.75/1.06-31809.75/1.06*12/365*14</f>
        <v>30009.198113207542</v>
      </c>
      <c r="HU14" s="3547">
        <f t="shared" si="15"/>
        <v>4.0017766878008842E-11</v>
      </c>
      <c r="HV14" s="3568">
        <v>170455</v>
      </c>
      <c r="HW14" s="3569">
        <f>178977.75/1.05</f>
        <v>170455</v>
      </c>
      <c r="HX14" s="3562">
        <f>178977.75/1.05*12/365*14</f>
        <v>78456</v>
      </c>
      <c r="HY14" s="3547">
        <f t="shared" si="16"/>
        <v>-91999</v>
      </c>
      <c r="HZ14" s="3568">
        <v>30009.198113207502</v>
      </c>
      <c r="IA14" s="3569">
        <f>31809.75/1.06</f>
        <v>30009.198113207545</v>
      </c>
      <c r="IB14" s="3562">
        <f>31809.75/1.06*12/365*14</f>
        <v>13812.452830188678</v>
      </c>
      <c r="IC14" s="3547">
        <f t="shared" si="17"/>
        <v>-16196.745283018823</v>
      </c>
      <c r="ID14" s="3568">
        <v>170455</v>
      </c>
      <c r="IE14" s="3569">
        <f>178977.75/1.05</f>
        <v>170455</v>
      </c>
      <c r="IF14" s="3562"/>
      <c r="IG14" s="3547">
        <f t="shared" si="18"/>
        <v>-170455</v>
      </c>
      <c r="IH14" s="3568">
        <v>30009.198113207502</v>
      </c>
      <c r="II14" s="3569">
        <f>31809.75/1.06</f>
        <v>30009.198113207545</v>
      </c>
      <c r="IJ14" s="3562"/>
      <c r="IK14" s="3547">
        <f t="shared" si="19"/>
        <v>-30009.198113207502</v>
      </c>
      <c r="IL14" s="3593" t="s">
        <v>4544</v>
      </c>
      <c r="IM14" s="3569">
        <f>178977.75/1.05+178977.75/1.05*12/365*14</f>
        <v>248911</v>
      </c>
      <c r="IN14" s="3569">
        <f>31809.75/1.06+31809.75/1.06*12/365*14</f>
        <v>43821.65094339622</v>
      </c>
      <c r="IO14" s="3593"/>
      <c r="IP14" s="3786">
        <f t="shared" si="30"/>
        <v>0</v>
      </c>
      <c r="IQ14" s="3787"/>
      <c r="IR14" s="3787"/>
      <c r="IS14" s="3787"/>
      <c r="IT14" s="3562"/>
      <c r="IU14" s="3562"/>
      <c r="IV14" s="3562"/>
      <c r="IW14" s="3562"/>
      <c r="IX14" s="3562"/>
      <c r="IY14" s="3562"/>
      <c r="IZ14" s="3562"/>
      <c r="JA14" s="3562"/>
      <c r="JB14" s="3562"/>
      <c r="JC14" s="3788">
        <f t="shared" si="31"/>
        <v>0</v>
      </c>
      <c r="JD14" s="3787"/>
      <c r="JE14" s="3787"/>
      <c r="JF14" s="3787"/>
      <c r="JG14" s="3562"/>
      <c r="JH14" s="3562"/>
      <c r="JI14" s="3562"/>
      <c r="JJ14" s="3562"/>
      <c r="JK14" s="3562"/>
      <c r="JL14" s="3562"/>
      <c r="JM14" s="3562"/>
      <c r="JN14" s="3562"/>
      <c r="JO14" s="3562"/>
      <c r="JP14" s="3593" t="s">
        <v>3918</v>
      </c>
      <c r="JQ14" s="3569">
        <f>178977.75/1.05+178977.75/1.05*12/365*14</f>
        <v>248911</v>
      </c>
      <c r="JR14" s="3569">
        <f>31809.75/1.06+31809.75/1.06*12/365*14</f>
        <v>43821.65094339622</v>
      </c>
      <c r="JS14" s="3547">
        <f t="shared" si="32"/>
        <v>0</v>
      </c>
      <c r="JT14" s="3573">
        <f t="shared" si="33"/>
        <v>1.0186340659856796E-10</v>
      </c>
      <c r="JU14" s="3573">
        <f t="shared" si="34"/>
        <v>0</v>
      </c>
      <c r="JV14" s="3573">
        <f t="shared" si="35"/>
        <v>0</v>
      </c>
      <c r="JW14" s="3580">
        <f t="shared" si="36"/>
        <v>4.67</v>
      </c>
      <c r="JX14" s="3576">
        <f t="shared" si="37"/>
        <v>248911</v>
      </c>
      <c r="JY14" s="3576">
        <f t="shared" si="38"/>
        <v>43821.65094339622</v>
      </c>
      <c r="JZ14" s="3577"/>
      <c r="KA14" s="3576">
        <f t="shared" si="39"/>
        <v>4.0017766878008842E-11</v>
      </c>
      <c r="KB14" s="3573"/>
      <c r="KC14" s="3576"/>
      <c r="KD14" s="3576">
        <f t="shared" si="40"/>
        <v>4.0017766878008842E-11</v>
      </c>
      <c r="KE14" s="3795"/>
      <c r="KF14" s="3579"/>
      <c r="KG14" s="3579"/>
      <c r="KH14" s="3579"/>
      <c r="KI14" s="3579"/>
      <c r="KJ14" s="3579"/>
      <c r="KK14" s="3579"/>
      <c r="KL14" s="3579"/>
      <c r="KM14" s="3579"/>
      <c r="KN14" s="3579"/>
      <c r="KO14" s="3579">
        <f t="shared" si="41"/>
        <v>0</v>
      </c>
      <c r="KP14" s="3579">
        <f t="shared" si="42"/>
        <v>0</v>
      </c>
      <c r="KQ14" s="3577"/>
      <c r="KR14" s="3577"/>
    </row>
    <row r="15" spans="1:304" s="3580" customFormat="1" ht="32.1" customHeight="1">
      <c r="A15" s="3545">
        <v>8</v>
      </c>
      <c r="B15" s="3546" t="s">
        <v>5023</v>
      </c>
      <c r="C15" s="3546">
        <v>4010</v>
      </c>
      <c r="D15" s="3547">
        <v>322.14999999999998</v>
      </c>
      <c r="E15" s="3548" t="s">
        <v>3799</v>
      </c>
      <c r="F15" s="3546" t="s">
        <v>4987</v>
      </c>
      <c r="G15" s="3546" t="s">
        <v>4183</v>
      </c>
      <c r="H15" s="3546" t="s">
        <v>5043</v>
      </c>
      <c r="I15" s="3594" t="s">
        <v>4888</v>
      </c>
      <c r="J15" s="3594" t="s">
        <v>4186</v>
      </c>
      <c r="K15" s="3545" t="s">
        <v>4835</v>
      </c>
      <c r="L15" s="3655" t="s">
        <v>5027</v>
      </c>
      <c r="M15" s="3561">
        <v>137280.21</v>
      </c>
      <c r="N15" s="3796">
        <v>137280.21</v>
      </c>
      <c r="O15" s="3551">
        <f t="shared" si="20"/>
        <v>0</v>
      </c>
      <c r="P15" s="3561">
        <v>24398.85</v>
      </c>
      <c r="Q15" s="3796">
        <v>24398.85</v>
      </c>
      <c r="R15" s="3547">
        <f t="shared" si="21"/>
        <v>0</v>
      </c>
      <c r="S15" s="3547">
        <f t="shared" si="22"/>
        <v>4.6700004890089915</v>
      </c>
      <c r="T15" s="3778">
        <v>45760.07</v>
      </c>
      <c r="U15" s="3561">
        <f t="shared" si="23"/>
        <v>549120.84</v>
      </c>
      <c r="V15" s="3547">
        <v>2136808.8693749998</v>
      </c>
      <c r="W15" s="3547">
        <f t="shared" si="24"/>
        <v>0.83000048900899148</v>
      </c>
      <c r="X15" s="3796">
        <v>8132.95</v>
      </c>
      <c r="Y15" s="3547">
        <f t="shared" si="25"/>
        <v>97595.4</v>
      </c>
      <c r="Z15" s="3554"/>
      <c r="AA15" s="3555"/>
      <c r="AB15" s="3593" t="s">
        <v>4187</v>
      </c>
      <c r="AC15" s="3556">
        <f t="shared" si="43"/>
        <v>549120.84</v>
      </c>
      <c r="AD15" s="3780">
        <f t="shared" si="26"/>
        <v>411840.63</v>
      </c>
      <c r="AE15" s="3780">
        <f t="shared" si="26"/>
        <v>411840.63</v>
      </c>
      <c r="AF15" s="3556">
        <f t="shared" si="44"/>
        <v>0</v>
      </c>
      <c r="AG15" s="3556"/>
      <c r="AH15" s="3557">
        <f t="shared" si="45"/>
        <v>97595.39999999998</v>
      </c>
      <c r="AI15" s="3558">
        <f t="shared" si="27"/>
        <v>73196.549999999988</v>
      </c>
      <c r="AJ15" s="3558">
        <f t="shared" si="27"/>
        <v>73196.549999999988</v>
      </c>
      <c r="AK15" s="3557">
        <f t="shared" si="46"/>
        <v>0</v>
      </c>
      <c r="AL15" s="3557"/>
      <c r="AM15" s="3547" t="s">
        <v>3900</v>
      </c>
      <c r="AN15" s="3782">
        <f>45760.07</f>
        <v>45760.07</v>
      </c>
      <c r="AO15" s="3681">
        <v>45760.07</v>
      </c>
      <c r="AP15" s="3561">
        <f t="shared" si="57"/>
        <v>0</v>
      </c>
      <c r="AQ15" s="3782">
        <f>8132.95</f>
        <v>8132.95</v>
      </c>
      <c r="AR15" s="3681">
        <v>8132.95</v>
      </c>
      <c r="AS15" s="3561">
        <f t="shared" si="58"/>
        <v>0</v>
      </c>
      <c r="AT15" s="3784" t="s">
        <v>5028</v>
      </c>
      <c r="AU15" s="3547" t="s">
        <v>3902</v>
      </c>
      <c r="AV15" s="3782">
        <f>45760.07</f>
        <v>45760.07</v>
      </c>
      <c r="AW15" s="3681">
        <v>45760.07</v>
      </c>
      <c r="AX15" s="3561">
        <f t="shared" si="59"/>
        <v>0</v>
      </c>
      <c r="AY15" s="3782">
        <f>8132.95</f>
        <v>8132.95</v>
      </c>
      <c r="AZ15" s="3681">
        <v>8132.95</v>
      </c>
      <c r="BA15" s="3561">
        <f t="shared" si="60"/>
        <v>0</v>
      </c>
      <c r="BB15" s="3784" t="s">
        <v>3903</v>
      </c>
      <c r="BC15" s="3547" t="s">
        <v>3904</v>
      </c>
      <c r="BD15" s="3782">
        <f>45760.07</f>
        <v>45760.07</v>
      </c>
      <c r="BE15" s="3681">
        <v>45760.07</v>
      </c>
      <c r="BF15" s="3561">
        <f t="shared" si="61"/>
        <v>0</v>
      </c>
      <c r="BG15" s="3782">
        <f>8132.95</f>
        <v>8132.95</v>
      </c>
      <c r="BH15" s="3681">
        <v>8132.95</v>
      </c>
      <c r="BI15" s="3561">
        <f t="shared" si="62"/>
        <v>0</v>
      </c>
      <c r="BJ15" s="3784" t="s">
        <v>5029</v>
      </c>
      <c r="BK15" s="3547" t="s">
        <v>3906</v>
      </c>
      <c r="BL15" s="3782">
        <f>45760.07</f>
        <v>45760.07</v>
      </c>
      <c r="BM15" s="3681">
        <v>45760.07</v>
      </c>
      <c r="BN15" s="3561">
        <f t="shared" si="63"/>
        <v>0</v>
      </c>
      <c r="BO15" s="3782">
        <f>8132.95</f>
        <v>8132.95</v>
      </c>
      <c r="BP15" s="3681">
        <v>8132.95</v>
      </c>
      <c r="BQ15" s="3561">
        <f t="shared" si="64"/>
        <v>0</v>
      </c>
      <c r="BR15" s="3784" t="s">
        <v>5030</v>
      </c>
      <c r="BS15" s="3547" t="s">
        <v>3908</v>
      </c>
      <c r="BT15" s="3782">
        <f>45760.07</f>
        <v>45760.07</v>
      </c>
      <c r="BU15" s="3681">
        <v>45760.07</v>
      </c>
      <c r="BV15" s="3561">
        <f t="shared" si="65"/>
        <v>0</v>
      </c>
      <c r="BW15" s="3782">
        <f>8132.95</f>
        <v>8132.95</v>
      </c>
      <c r="BX15" s="3681">
        <v>8132.95</v>
      </c>
      <c r="BY15" s="3561">
        <f t="shared" si="66"/>
        <v>0</v>
      </c>
      <c r="BZ15" s="3784" t="s">
        <v>5031</v>
      </c>
      <c r="CA15" s="3547" t="s">
        <v>3910</v>
      </c>
      <c r="CB15" s="3782">
        <f>45760.07</f>
        <v>45760.07</v>
      </c>
      <c r="CC15" s="3681">
        <v>45760.07</v>
      </c>
      <c r="CD15" s="3561">
        <f t="shared" si="67"/>
        <v>0</v>
      </c>
      <c r="CE15" s="3782">
        <f>8132.95</f>
        <v>8132.95</v>
      </c>
      <c r="CF15" s="3681">
        <v>8132.95</v>
      </c>
      <c r="CG15" s="3561">
        <f t="shared" si="68"/>
        <v>0</v>
      </c>
      <c r="CH15" s="3784" t="s">
        <v>5032</v>
      </c>
      <c r="CI15" s="3547" t="s">
        <v>3912</v>
      </c>
      <c r="CJ15" s="3782">
        <f>45760.07</f>
        <v>45760.07</v>
      </c>
      <c r="CK15" s="3681">
        <v>45760.07</v>
      </c>
      <c r="CL15" s="3561">
        <f t="shared" si="47"/>
        <v>0</v>
      </c>
      <c r="CM15" s="3782">
        <f>8132.95</f>
        <v>8132.95</v>
      </c>
      <c r="CN15" s="3681">
        <v>8132.95</v>
      </c>
      <c r="CO15" s="3561">
        <f t="shared" si="48"/>
        <v>0</v>
      </c>
      <c r="CP15" s="3784" t="s">
        <v>5033</v>
      </c>
      <c r="CQ15" s="3547" t="s">
        <v>3914</v>
      </c>
      <c r="CR15" s="3782">
        <f>45760.07</f>
        <v>45760.07</v>
      </c>
      <c r="CS15" s="3681">
        <v>45760.07</v>
      </c>
      <c r="CT15" s="3561">
        <f t="shared" si="0"/>
        <v>0</v>
      </c>
      <c r="CU15" s="3782">
        <f>8132.95</f>
        <v>8132.95</v>
      </c>
      <c r="CV15" s="3681">
        <v>8132.95</v>
      </c>
      <c r="CW15" s="3561">
        <f t="shared" si="1"/>
        <v>0</v>
      </c>
      <c r="CX15" s="3784" t="s">
        <v>5034</v>
      </c>
      <c r="CY15" s="3547" t="s">
        <v>5035</v>
      </c>
      <c r="CZ15" s="3782">
        <f>45760.07</f>
        <v>45760.07</v>
      </c>
      <c r="DA15" s="3681">
        <v>45760.07</v>
      </c>
      <c r="DB15" s="3561">
        <f t="shared" si="2"/>
        <v>0</v>
      </c>
      <c r="DC15" s="3782">
        <f>8132.95</f>
        <v>8132.95</v>
      </c>
      <c r="DD15" s="3681">
        <v>8132.95</v>
      </c>
      <c r="DE15" s="3561">
        <f t="shared" si="3"/>
        <v>0</v>
      </c>
      <c r="DF15" s="3784" t="s">
        <v>5036</v>
      </c>
      <c r="DG15" s="3547" t="s">
        <v>5037</v>
      </c>
      <c r="DH15" s="3782">
        <f>45760.07</f>
        <v>45760.07</v>
      </c>
      <c r="DI15" s="3681"/>
      <c r="DJ15" s="3561">
        <f t="shared" si="4"/>
        <v>-45760.07</v>
      </c>
      <c r="DK15" s="3782">
        <f>8132.95</f>
        <v>8132.95</v>
      </c>
      <c r="DL15" s="3681"/>
      <c r="DM15" s="3561">
        <f t="shared" si="5"/>
        <v>-8132.95</v>
      </c>
      <c r="DN15" s="3784"/>
      <c r="DO15" s="3547" t="s">
        <v>5038</v>
      </c>
      <c r="DP15" s="3782">
        <f>45760.07</f>
        <v>45760.07</v>
      </c>
      <c r="DQ15" s="3681"/>
      <c r="DR15" s="3561">
        <f t="shared" si="6"/>
        <v>-45760.07</v>
      </c>
      <c r="DS15" s="3782">
        <f>8132.95</f>
        <v>8132.95</v>
      </c>
      <c r="DT15" s="3681"/>
      <c r="DU15" s="3561">
        <f t="shared" si="7"/>
        <v>-8132.95</v>
      </c>
      <c r="DV15" s="3784"/>
      <c r="DW15" s="3547" t="s">
        <v>5039</v>
      </c>
      <c r="DX15" s="3782">
        <f>45760.07</f>
        <v>45760.07</v>
      </c>
      <c r="DY15" s="3681"/>
      <c r="DZ15" s="3561">
        <f t="shared" si="8"/>
        <v>-45760.07</v>
      </c>
      <c r="EA15" s="3782">
        <f>8132.95</f>
        <v>8132.95</v>
      </c>
      <c r="EB15" s="3681"/>
      <c r="EC15" s="3561">
        <f t="shared" si="9"/>
        <v>-8132.95</v>
      </c>
      <c r="ED15" s="3784"/>
      <c r="EF15" s="3565">
        <f t="shared" si="49"/>
        <v>522972.17380952399</v>
      </c>
      <c r="EG15" s="3565">
        <f t="shared" si="28"/>
        <v>392229.130357143</v>
      </c>
      <c r="EH15" s="3565">
        <f t="shared" si="28"/>
        <v>392229.17142857146</v>
      </c>
      <c r="EI15" s="3565">
        <f t="shared" si="28"/>
        <v>392229.17142857146</v>
      </c>
      <c r="EJ15" s="3565">
        <f t="shared" si="50"/>
        <v>4.1071428451687098E-2</v>
      </c>
      <c r="EK15" s="3565">
        <f t="shared" si="51"/>
        <v>0</v>
      </c>
      <c r="EL15" s="3556"/>
      <c r="EM15" s="3557">
        <f t="shared" si="52"/>
        <v>92071.077830188689</v>
      </c>
      <c r="EN15" s="3557">
        <f t="shared" si="29"/>
        <v>69053.308372641506</v>
      </c>
      <c r="EO15" s="3557">
        <f t="shared" si="29"/>
        <v>69053.34905660378</v>
      </c>
      <c r="EP15" s="3557">
        <f t="shared" si="29"/>
        <v>69053.34905660378</v>
      </c>
      <c r="EQ15" s="3557">
        <f t="shared" si="53"/>
        <v>4.0683962273760699E-2</v>
      </c>
      <c r="ER15" s="3557">
        <f t="shared" si="54"/>
        <v>0</v>
      </c>
      <c r="ES15" s="3557"/>
      <c r="ET15" s="3568">
        <v>43581.014484127001</v>
      </c>
      <c r="EU15" s="3569">
        <f>45760.07/1.05</f>
        <v>43581.019047619047</v>
      </c>
      <c r="EV15" s="3787">
        <f>45760.07/1.05*12/365*14+45760.07/1.05-45760.07/1.05*12/365*14</f>
        <v>43581.019047619047</v>
      </c>
      <c r="EW15" s="3547">
        <f t="shared" si="69"/>
        <v>4.5634920461452566E-3</v>
      </c>
      <c r="EX15" s="3568">
        <v>7672.5898191823899</v>
      </c>
      <c r="EY15" s="3569">
        <f>8132.95/1.06</f>
        <v>7672.5943396226412</v>
      </c>
      <c r="EZ15" s="3787">
        <f>8132.95/1.06*12/365*14+8132.95/1.06-8132.95/1.06*12/365*14</f>
        <v>7672.5943396226412</v>
      </c>
      <c r="FA15" s="3547">
        <f t="shared" si="70"/>
        <v>4.5204402513263631E-3</v>
      </c>
      <c r="FB15" s="3568">
        <v>43581.014484127001</v>
      </c>
      <c r="FC15" s="3569">
        <f>45760.07/1.05</f>
        <v>43581.019047619047</v>
      </c>
      <c r="FD15" s="3787">
        <f>45760.07/1.05*12/365*14+45760.07/1.05-45760.07/1.05*12/365*14</f>
        <v>43581.019047619047</v>
      </c>
      <c r="FE15" s="3547">
        <f t="shared" si="71"/>
        <v>4.5634920461452566E-3</v>
      </c>
      <c r="FF15" s="3568">
        <v>7672.5898191823899</v>
      </c>
      <c r="FG15" s="3569">
        <f>8132.95/1.06</f>
        <v>7672.5943396226412</v>
      </c>
      <c r="FH15" s="3787">
        <f>8132.95/1.06*12/365*14+8132.95/1.06-8132.95/1.06*12/365*14</f>
        <v>7672.5943396226412</v>
      </c>
      <c r="FI15" s="3547">
        <f t="shared" si="72"/>
        <v>4.5204402513263631E-3</v>
      </c>
      <c r="FJ15" s="3568">
        <v>43581.014484127001</v>
      </c>
      <c r="FK15" s="3569">
        <f>45760.07/1.05</f>
        <v>43581.019047619047</v>
      </c>
      <c r="FL15" s="3787">
        <f>45760.07/1.05*12/365*14+45760.07/1.05-45760.07/1.05*12/365*14</f>
        <v>43581.019047619047</v>
      </c>
      <c r="FM15" s="3547">
        <f t="shared" si="73"/>
        <v>4.5634920461452566E-3</v>
      </c>
      <c r="FN15" s="3568">
        <v>7672.5898191823899</v>
      </c>
      <c r="FO15" s="3569">
        <f>8132.95/1.06</f>
        <v>7672.5943396226412</v>
      </c>
      <c r="FP15" s="3787">
        <f>8132.95/1.06*12/365*14+8132.95/1.06-8132.95/1.06*12/365*14</f>
        <v>7672.5943396226412</v>
      </c>
      <c r="FQ15" s="3547">
        <f t="shared" si="74"/>
        <v>4.5204402513263631E-3</v>
      </c>
      <c r="FR15" s="3568">
        <v>43581.014484127001</v>
      </c>
      <c r="FS15" s="3569">
        <f>45760.07/1.05</f>
        <v>43581.019047619047</v>
      </c>
      <c r="FT15" s="3787">
        <f>45760.07/1.05*12/365*14+45760.07/1.05-45760.07/1.05*12/365*14</f>
        <v>43581.019047619047</v>
      </c>
      <c r="FU15" s="3547">
        <f t="shared" si="75"/>
        <v>4.5634920461452566E-3</v>
      </c>
      <c r="FV15" s="3568">
        <v>7672.5898191823899</v>
      </c>
      <c r="FW15" s="3569">
        <f>8132.95/1.06</f>
        <v>7672.5943396226412</v>
      </c>
      <c r="FX15" s="3787">
        <f>8132.95/1.06*12/365*14+8132.95/1.06-8132.95/1.06*12/365*14</f>
        <v>7672.5943396226412</v>
      </c>
      <c r="FY15" s="3547">
        <f t="shared" si="76"/>
        <v>4.5204402513263631E-3</v>
      </c>
      <c r="FZ15" s="3568">
        <v>43581.014484127001</v>
      </c>
      <c r="GA15" s="3569">
        <f>45760.07/1.05</f>
        <v>43581.019047619047</v>
      </c>
      <c r="GB15" s="3787">
        <f>45760.07/1.05*12/365*14+45760.07/1.05-45760.07/1.05*12/365*14</f>
        <v>43581.019047619047</v>
      </c>
      <c r="GC15" s="3547">
        <f t="shared" si="77"/>
        <v>4.5634920461452566E-3</v>
      </c>
      <c r="GD15" s="3568">
        <v>7672.5898191823899</v>
      </c>
      <c r="GE15" s="3569">
        <f>8132.95/1.06</f>
        <v>7672.5943396226412</v>
      </c>
      <c r="GF15" s="3787">
        <f>8132.95/1.06*12/365*14+8132.95/1.06-8132.95/1.06*12/365*14</f>
        <v>7672.5943396226412</v>
      </c>
      <c r="GG15" s="3547">
        <f t="shared" si="78"/>
        <v>4.5204402513263631E-3</v>
      </c>
      <c r="GH15" s="3568">
        <v>43581.014484127001</v>
      </c>
      <c r="GI15" s="3569">
        <f>45760.07/1.05</f>
        <v>43581.019047619047</v>
      </c>
      <c r="GJ15" s="3787">
        <f>45760.07/1.05*12/365*14+45760.07/1.05-45760.07/1.05*12/365*14</f>
        <v>43581.019047619047</v>
      </c>
      <c r="GK15" s="3547">
        <f t="shared" si="79"/>
        <v>4.5634920461452566E-3</v>
      </c>
      <c r="GL15" s="3568">
        <v>7672.5898191823899</v>
      </c>
      <c r="GM15" s="3569">
        <f>8132.95/1.06</f>
        <v>7672.5943396226412</v>
      </c>
      <c r="GN15" s="3787">
        <f>8132.95/1.06*12/365*14+8132.95/1.06-8132.95/1.06*12/365*14</f>
        <v>7672.5943396226412</v>
      </c>
      <c r="GO15" s="3547">
        <f t="shared" si="80"/>
        <v>4.5204402513263631E-3</v>
      </c>
      <c r="GP15" s="3568">
        <v>43581.014484127001</v>
      </c>
      <c r="GQ15" s="3569">
        <f>45760.07/1.05</f>
        <v>43581.019047619047</v>
      </c>
      <c r="GR15" s="3787">
        <f>45760.07/1.05*12/365*14+45760.07/1.05-45760.07/1.05*12/365*14</f>
        <v>43581.019047619047</v>
      </c>
      <c r="GS15" s="3547">
        <f t="shared" si="55"/>
        <v>4.5634920461452566E-3</v>
      </c>
      <c r="GT15" s="3568">
        <v>7672.5898191823899</v>
      </c>
      <c r="GU15" s="3569">
        <f>8132.95/1.06</f>
        <v>7672.5943396226412</v>
      </c>
      <c r="GV15" s="3787">
        <f>8132.95/1.06*12/365*14+8132.95/1.06-8132.95/1.06*12/365*14</f>
        <v>7672.5943396226412</v>
      </c>
      <c r="GW15" s="3547">
        <f t="shared" si="56"/>
        <v>4.5204402513263631E-3</v>
      </c>
      <c r="GX15" s="3568">
        <v>43581.014484127001</v>
      </c>
      <c r="GY15" s="3569">
        <f>45760.07/1.05</f>
        <v>43581.019047619047</v>
      </c>
      <c r="GZ15" s="3787">
        <f>45760.07/1.05*12/365*14+45760.07/1.05-45760.07/1.05*12/365*14</f>
        <v>43581.019047619047</v>
      </c>
      <c r="HA15" s="3547">
        <f t="shared" si="10"/>
        <v>4.5634920461452566E-3</v>
      </c>
      <c r="HB15" s="3568">
        <v>7672.5898191823899</v>
      </c>
      <c r="HC15" s="3569">
        <f>8132.95/1.06</f>
        <v>7672.5943396226412</v>
      </c>
      <c r="HD15" s="3787">
        <f>8132.95/1.06*12/365*14+8132.95/1.06-8132.95/1.06*12/365*14</f>
        <v>7672.5943396226412</v>
      </c>
      <c r="HE15" s="3547">
        <f t="shared" si="11"/>
        <v>4.5204402513263631E-3</v>
      </c>
      <c r="HF15" s="3568">
        <v>43581.014484127001</v>
      </c>
      <c r="HG15" s="3569">
        <f>45760.07/1.05</f>
        <v>43581.019047619047</v>
      </c>
      <c r="HH15" s="3787">
        <f>45760.07/1.05*12/365*14+45760.07/1.05-45760.07/1.05*12/365*14</f>
        <v>43581.019047619047</v>
      </c>
      <c r="HI15" s="3547">
        <f t="shared" si="12"/>
        <v>4.5634920461452566E-3</v>
      </c>
      <c r="HJ15" s="3568">
        <v>7672.5898191823899</v>
      </c>
      <c r="HK15" s="3569">
        <f>8132.95/1.06</f>
        <v>7672.5943396226412</v>
      </c>
      <c r="HL15" s="3787">
        <f>8132.95/1.06*12/365*14+8132.95/1.06-8132.95/1.06*12/365*14</f>
        <v>7672.5943396226412</v>
      </c>
      <c r="HM15" s="3547">
        <f t="shared" si="13"/>
        <v>4.5204402513263631E-3</v>
      </c>
      <c r="HN15" s="3568">
        <v>43581.014484127001</v>
      </c>
      <c r="HO15" s="3569">
        <f>45760.07/1.05</f>
        <v>43581.019047619047</v>
      </c>
      <c r="HP15" s="3787">
        <f>45760.07/1.05*12/365*14+45760.07/1.05-45760.07/1.05*12/365*14</f>
        <v>43581.019047619047</v>
      </c>
      <c r="HQ15" s="3547">
        <f t="shared" si="14"/>
        <v>4.5634920461452566E-3</v>
      </c>
      <c r="HR15" s="3568">
        <v>7672.5898191823899</v>
      </c>
      <c r="HS15" s="3569">
        <f>8132.95/1.06</f>
        <v>7672.5943396226412</v>
      </c>
      <c r="HT15" s="3787">
        <f>8132.95/1.06*12/365*14+8132.95/1.06-8132.95/1.06*12/365*14</f>
        <v>7672.5943396226412</v>
      </c>
      <c r="HU15" s="3547">
        <f t="shared" si="15"/>
        <v>4.5204402513263631E-3</v>
      </c>
      <c r="HV15" s="3568">
        <v>43581.014484127001</v>
      </c>
      <c r="HW15" s="3569">
        <f>45760.07/1.05</f>
        <v>43581.019047619047</v>
      </c>
      <c r="HX15" s="3787">
        <f>45760.07/1.05*12/365*14</f>
        <v>20059.208767123288</v>
      </c>
      <c r="HY15" s="3547">
        <f t="shared" si="16"/>
        <v>-23521.805717003714</v>
      </c>
      <c r="HZ15" s="3568">
        <v>7672.5898191823899</v>
      </c>
      <c r="IA15" s="3569">
        <f>8132.95/1.06</f>
        <v>7672.5943396226412</v>
      </c>
      <c r="IB15" s="3787">
        <f>8132.95/1.06*12/365*14</f>
        <v>3531.4954768674074</v>
      </c>
      <c r="IC15" s="3547">
        <f t="shared" si="17"/>
        <v>-4141.094342314982</v>
      </c>
      <c r="ID15" s="3568">
        <v>43581.014484127001</v>
      </c>
      <c r="IE15" s="3569">
        <f>45760.07/1.05</f>
        <v>43581.019047619047</v>
      </c>
      <c r="IF15" s="3562"/>
      <c r="IG15" s="3547">
        <f t="shared" si="18"/>
        <v>-43581.014484127001</v>
      </c>
      <c r="IH15" s="3568">
        <v>7672.5898191823899</v>
      </c>
      <c r="II15" s="3569">
        <f>8132.95/1.06</f>
        <v>7672.5943396226412</v>
      </c>
      <c r="IJ15" s="3562"/>
      <c r="IK15" s="3547">
        <f t="shared" si="19"/>
        <v>-7672.5898191823899</v>
      </c>
      <c r="IL15" s="3593" t="s">
        <v>4544</v>
      </c>
      <c r="IM15" s="3569">
        <f>45760.07/1.05+45760.07/1.05*12/365*14</f>
        <v>63640.227814742335</v>
      </c>
      <c r="IN15" s="3569">
        <f>8132.95/1.06+8132.95/1.06*12/365*14</f>
        <v>11204.089816490048</v>
      </c>
      <c r="IO15" s="3593"/>
      <c r="IP15" s="3786">
        <f t="shared" si="30"/>
        <v>0</v>
      </c>
      <c r="IQ15" s="3787"/>
      <c r="IR15" s="3787"/>
      <c r="IS15" s="3787"/>
      <c r="IT15" s="3787"/>
      <c r="IU15" s="3787"/>
      <c r="IV15" s="3787"/>
      <c r="IW15" s="3787"/>
      <c r="IX15" s="3787"/>
      <c r="IY15" s="3787"/>
      <c r="IZ15" s="3787"/>
      <c r="JA15" s="3787"/>
      <c r="JB15" s="3787"/>
      <c r="JC15" s="3788">
        <f t="shared" si="31"/>
        <v>0</v>
      </c>
      <c r="JD15" s="3787"/>
      <c r="JE15" s="3787"/>
      <c r="JF15" s="3787"/>
      <c r="JG15" s="3562"/>
      <c r="JH15" s="3562"/>
      <c r="JI15" s="3562"/>
      <c r="JJ15" s="3562"/>
      <c r="JK15" s="3562"/>
      <c r="JL15" s="3562"/>
      <c r="JM15" s="3562"/>
      <c r="JN15" s="3562"/>
      <c r="JO15" s="3562"/>
      <c r="JP15" s="3593" t="s">
        <v>3918</v>
      </c>
      <c r="JQ15" s="3569">
        <f>45760.07/1.05+45760.07/1.05*12/365*14</f>
        <v>63640.227814742335</v>
      </c>
      <c r="JR15" s="3569">
        <f>8132.95/1.06+8132.95/1.06*12/365*14</f>
        <v>11204.089816490048</v>
      </c>
      <c r="JS15" s="3547">
        <f t="shared" si="32"/>
        <v>-2.0372681319713593E-10</v>
      </c>
      <c r="JT15" s="3573">
        <f t="shared" si="33"/>
        <v>-2.0008883439004421E-11</v>
      </c>
      <c r="JU15" s="3573">
        <f t="shared" si="34"/>
        <v>-8.7311491370201111E-11</v>
      </c>
      <c r="JV15" s="3573">
        <f t="shared" si="35"/>
        <v>-2.0008883439004421E-11</v>
      </c>
      <c r="JW15" s="3580">
        <f t="shared" si="36"/>
        <v>4.6700004890089915</v>
      </c>
      <c r="JX15" s="3576">
        <f t="shared" si="37"/>
        <v>63640.227814742335</v>
      </c>
      <c r="JY15" s="3576">
        <f t="shared" si="38"/>
        <v>11204.089816490048</v>
      </c>
      <c r="JZ15" s="3577"/>
      <c r="KA15" s="3576">
        <f t="shared" si="39"/>
        <v>9.0839322974716197E-3</v>
      </c>
      <c r="KB15" s="3573"/>
      <c r="KC15" s="3576"/>
      <c r="KD15" s="3576">
        <f t="shared" si="40"/>
        <v>9.0839322974716197E-3</v>
      </c>
      <c r="KE15" s="3795"/>
      <c r="KF15" s="3579"/>
      <c r="KG15" s="3579"/>
      <c r="KH15" s="3579"/>
      <c r="KI15" s="3579"/>
      <c r="KJ15" s="3579"/>
      <c r="KK15" s="3579"/>
      <c r="KL15" s="3579"/>
      <c r="KM15" s="3579"/>
      <c r="KN15" s="3579"/>
      <c r="KO15" s="3579">
        <f t="shared" si="41"/>
        <v>0</v>
      </c>
      <c r="KP15" s="3579">
        <f t="shared" si="42"/>
        <v>8.1755390725447804E-6</v>
      </c>
      <c r="KQ15" s="3577"/>
      <c r="KR15" s="3577"/>
    </row>
    <row r="16" spans="1:304" s="3580" customFormat="1" ht="32.1" customHeight="1">
      <c r="A16" s="3545">
        <v>9</v>
      </c>
      <c r="B16" s="3546" t="s">
        <v>5044</v>
      </c>
      <c r="C16" s="3546" t="s">
        <v>5045</v>
      </c>
      <c r="D16" s="3547">
        <f>421.64-421.64+3782.15</f>
        <v>3782.15</v>
      </c>
      <c r="E16" s="3548" t="s">
        <v>3799</v>
      </c>
      <c r="F16" s="3546" t="s">
        <v>4987</v>
      </c>
      <c r="G16" s="3549" t="s">
        <v>5046</v>
      </c>
      <c r="H16" s="3546" t="s">
        <v>5047</v>
      </c>
      <c r="I16" s="3594" t="s">
        <v>5048</v>
      </c>
      <c r="J16" s="3629" t="s">
        <v>5049</v>
      </c>
      <c r="K16" s="3545" t="s">
        <v>3885</v>
      </c>
      <c r="L16" s="3655" t="s">
        <v>5050</v>
      </c>
      <c r="M16" s="3561">
        <v>1439155.35</v>
      </c>
      <c r="N16" s="3561">
        <v>1439155.35</v>
      </c>
      <c r="O16" s="3551">
        <f t="shared" si="20"/>
        <v>0</v>
      </c>
      <c r="P16" s="3561">
        <v>286450.59000000003</v>
      </c>
      <c r="Q16" s="3796">
        <f>286450.59</f>
        <v>286450.59000000003</v>
      </c>
      <c r="R16" s="3547">
        <f t="shared" si="21"/>
        <v>0</v>
      </c>
      <c r="S16" s="3547">
        <f t="shared" si="22"/>
        <v>4.1699999945671262</v>
      </c>
      <c r="T16" s="3799">
        <v>479718.45</v>
      </c>
      <c r="U16" s="3561">
        <f t="shared" si="23"/>
        <v>5756621.4000000004</v>
      </c>
      <c r="V16" s="3547">
        <v>15616733.734375</v>
      </c>
      <c r="W16" s="3547">
        <f t="shared" si="24"/>
        <v>0.83000001267670631</v>
      </c>
      <c r="X16" s="3796">
        <v>95483.53</v>
      </c>
      <c r="Y16" s="3547">
        <f t="shared" si="25"/>
        <v>1145802.3599999999</v>
      </c>
      <c r="Z16" s="3554"/>
      <c r="AA16" s="3555"/>
      <c r="AB16" s="3607" t="s">
        <v>5051</v>
      </c>
      <c r="AC16" s="3556">
        <f t="shared" si="43"/>
        <v>5276902.9500000011</v>
      </c>
      <c r="AD16" s="3780">
        <f t="shared" si="26"/>
        <v>4317466.0500000007</v>
      </c>
      <c r="AE16" s="3780">
        <f t="shared" si="26"/>
        <v>4317466.0500000007</v>
      </c>
      <c r="AF16" s="3556">
        <f t="shared" si="44"/>
        <v>0</v>
      </c>
      <c r="AG16" s="3556"/>
      <c r="AH16" s="3557">
        <f t="shared" si="45"/>
        <v>1145802.3599999999</v>
      </c>
      <c r="AI16" s="3558">
        <f t="shared" si="27"/>
        <v>859351.7699999999</v>
      </c>
      <c r="AJ16" s="3558">
        <f t="shared" si="27"/>
        <v>859351.77</v>
      </c>
      <c r="AK16" s="3557">
        <f t="shared" si="46"/>
        <v>0</v>
      </c>
      <c r="AL16" s="3557"/>
      <c r="AM16" s="3547"/>
      <c r="AN16" s="3782"/>
      <c r="AO16" s="3681"/>
      <c r="AP16" s="3561">
        <f t="shared" si="57"/>
        <v>0</v>
      </c>
      <c r="AQ16" s="3782"/>
      <c r="AR16" s="3681"/>
      <c r="AS16" s="3561">
        <f t="shared" si="58"/>
        <v>0</v>
      </c>
      <c r="AT16" s="3784" t="s">
        <v>5052</v>
      </c>
      <c r="AU16" s="3547"/>
      <c r="AV16" s="3782"/>
      <c r="AW16" s="3681"/>
      <c r="AX16" s="3561">
        <f t="shared" si="59"/>
        <v>0</v>
      </c>
      <c r="AY16" s="3782"/>
      <c r="AZ16" s="3681"/>
      <c r="BA16" s="3561">
        <f t="shared" si="60"/>
        <v>0</v>
      </c>
      <c r="BB16" s="3784" t="s">
        <v>5052</v>
      </c>
      <c r="BC16" s="3547" t="s">
        <v>5053</v>
      </c>
      <c r="BD16" s="3782">
        <f>479718.45*3</f>
        <v>1439155.35</v>
      </c>
      <c r="BE16" s="3681">
        <f>589155.35+850000</f>
        <v>1439155.35</v>
      </c>
      <c r="BF16" s="3561">
        <f t="shared" si="61"/>
        <v>0</v>
      </c>
      <c r="BG16" s="3782">
        <f>95483.53*3</f>
        <v>286450.58999999997</v>
      </c>
      <c r="BH16" s="3681">
        <f>90000*3+16450.59</f>
        <v>286450.59000000003</v>
      </c>
      <c r="BI16" s="3561">
        <f t="shared" si="62"/>
        <v>0</v>
      </c>
      <c r="BJ16" s="3784" t="s">
        <v>5054</v>
      </c>
      <c r="BK16" s="3547"/>
      <c r="BL16" s="3782"/>
      <c r="BM16" s="3681"/>
      <c r="BN16" s="3561">
        <f t="shared" si="63"/>
        <v>0</v>
      </c>
      <c r="BO16" s="3782"/>
      <c r="BP16" s="3681"/>
      <c r="BQ16" s="3561">
        <f t="shared" si="64"/>
        <v>0</v>
      </c>
      <c r="BR16" s="3784" t="s">
        <v>5054</v>
      </c>
      <c r="BS16" s="3547"/>
      <c r="BT16" s="3782"/>
      <c r="BU16" s="3681">
        <f>589155.35+850000</f>
        <v>1439155.35</v>
      </c>
      <c r="BV16" s="3561">
        <f t="shared" si="65"/>
        <v>1439155.35</v>
      </c>
      <c r="BW16" s="3782"/>
      <c r="BX16" s="3681">
        <v>286450.59000000003</v>
      </c>
      <c r="BY16" s="3561">
        <f t="shared" si="66"/>
        <v>286450.59000000003</v>
      </c>
      <c r="BZ16" s="3800" t="s">
        <v>5055</v>
      </c>
      <c r="CA16" s="3547" t="s">
        <v>5056</v>
      </c>
      <c r="CB16" s="3782">
        <f>479718.45*3</f>
        <v>1439155.35</v>
      </c>
      <c r="CC16" s="3681"/>
      <c r="CD16" s="3561">
        <f t="shared" si="67"/>
        <v>-1439155.35</v>
      </c>
      <c r="CE16" s="3782">
        <f>95483.53*3</f>
        <v>286450.58999999997</v>
      </c>
      <c r="CF16" s="3681"/>
      <c r="CG16" s="3561">
        <f t="shared" si="68"/>
        <v>-286450.58999999997</v>
      </c>
      <c r="CH16" s="3800" t="s">
        <v>5055</v>
      </c>
      <c r="CI16" s="3547"/>
      <c r="CJ16" s="3782"/>
      <c r="CK16" s="3681"/>
      <c r="CL16" s="3561">
        <f t="shared" si="47"/>
        <v>0</v>
      </c>
      <c r="CM16" s="3782"/>
      <c r="CN16" s="3681"/>
      <c r="CO16" s="3561">
        <f t="shared" si="48"/>
        <v>0</v>
      </c>
      <c r="CP16" s="3801" t="s">
        <v>5055</v>
      </c>
      <c r="CQ16" s="3547"/>
      <c r="CR16" s="3782"/>
      <c r="CS16" s="3681"/>
      <c r="CT16" s="3561">
        <f t="shared" si="0"/>
        <v>0</v>
      </c>
      <c r="CU16" s="3782"/>
      <c r="CV16" s="3681"/>
      <c r="CW16" s="3561">
        <f t="shared" si="1"/>
        <v>0</v>
      </c>
      <c r="CX16" s="3801" t="s">
        <v>5055</v>
      </c>
      <c r="CY16" s="3547" t="s">
        <v>5057</v>
      </c>
      <c r="CZ16" s="3782">
        <f>479718.45*3</f>
        <v>1439155.35</v>
      </c>
      <c r="DA16" s="3681">
        <v>1439155.35</v>
      </c>
      <c r="DB16" s="3561">
        <f t="shared" si="2"/>
        <v>0</v>
      </c>
      <c r="DC16" s="3782">
        <f>95483.53*3</f>
        <v>286450.58999999997</v>
      </c>
      <c r="DD16" s="3681">
        <v>286450.59000000003</v>
      </c>
      <c r="DE16" s="3561">
        <f t="shared" si="3"/>
        <v>0</v>
      </c>
      <c r="DF16" s="3801" t="s">
        <v>5058</v>
      </c>
      <c r="DG16" s="3547"/>
      <c r="DH16" s="3782"/>
      <c r="DI16" s="3681"/>
      <c r="DJ16" s="3561">
        <f t="shared" si="4"/>
        <v>0</v>
      </c>
      <c r="DK16" s="3782"/>
      <c r="DL16" s="3681"/>
      <c r="DM16" s="3561">
        <f t="shared" si="5"/>
        <v>0</v>
      </c>
      <c r="DN16" s="3784"/>
      <c r="DO16" s="3547"/>
      <c r="DP16" s="3782"/>
      <c r="DQ16" s="3681"/>
      <c r="DR16" s="3561">
        <f t="shared" si="6"/>
        <v>0</v>
      </c>
      <c r="DS16" s="3782"/>
      <c r="DT16" s="3681"/>
      <c r="DU16" s="3561">
        <f t="shared" si="7"/>
        <v>0</v>
      </c>
      <c r="DV16" s="3784"/>
      <c r="DW16" s="3644" t="s">
        <v>5059</v>
      </c>
      <c r="DX16" s="3781">
        <f>479718.45*2</f>
        <v>959436.9</v>
      </c>
      <c r="DY16" s="3681"/>
      <c r="DZ16" s="3561">
        <f t="shared" si="8"/>
        <v>-959436.9</v>
      </c>
      <c r="EA16" s="3782">
        <f>95483.53*3</f>
        <v>286450.58999999997</v>
      </c>
      <c r="EB16" s="3681"/>
      <c r="EC16" s="3561">
        <f t="shared" si="9"/>
        <v>-286450.58999999997</v>
      </c>
      <c r="ED16" s="3784"/>
      <c r="EF16" s="3565">
        <f t="shared" si="49"/>
        <v>4787796.6696428536</v>
      </c>
      <c r="EG16" s="3565">
        <f t="shared" si="28"/>
        <v>3408410.5441666641</v>
      </c>
      <c r="EH16" s="3565">
        <f t="shared" si="28"/>
        <v>3429689.6360078272</v>
      </c>
      <c r="EI16" s="3565">
        <f t="shared" si="28"/>
        <v>3429689.6360078272</v>
      </c>
      <c r="EJ16" s="3565">
        <f t="shared" si="50"/>
        <v>21279.091841163114</v>
      </c>
      <c r="EK16" s="3565">
        <f t="shared" si="51"/>
        <v>0</v>
      </c>
      <c r="EL16" s="3556"/>
      <c r="EM16" s="3557">
        <f t="shared" si="52"/>
        <v>1080945.6061320754</v>
      </c>
      <c r="EN16" s="3557">
        <f t="shared" si="29"/>
        <v>810709.20459905651</v>
      </c>
      <c r="EO16" s="3557">
        <f t="shared" si="29"/>
        <v>810709.21698113182</v>
      </c>
      <c r="EP16" s="3557">
        <f t="shared" si="29"/>
        <v>810709.21698113205</v>
      </c>
      <c r="EQ16" s="3557">
        <f t="shared" si="53"/>
        <v>1.2382075539790094E-2</v>
      </c>
      <c r="ER16" s="3557">
        <f t="shared" si="54"/>
        <v>0</v>
      </c>
      <c r="ES16" s="3557"/>
      <c r="ET16" s="3568">
        <v>0</v>
      </c>
      <c r="EU16" s="3646"/>
      <c r="EV16" s="3792"/>
      <c r="EW16" s="3547">
        <f t="shared" si="69"/>
        <v>0</v>
      </c>
      <c r="EX16" s="3568">
        <v>90078.800511006295</v>
      </c>
      <c r="EY16" s="3569">
        <f>95483.53/1.06</f>
        <v>90078.80188679244</v>
      </c>
      <c r="EZ16" s="3562">
        <f t="shared" ref="EZ16" si="81">286450.59/3/1.06</f>
        <v>90078.801886792455</v>
      </c>
      <c r="FA16" s="3547">
        <f t="shared" si="70"/>
        <v>1.3757861597696319E-3</v>
      </c>
      <c r="FB16" s="3568">
        <v>210287.54</v>
      </c>
      <c r="FC16" s="3646">
        <f>479718.45/1.05-479718.45*12/365*15/1.05</f>
        <v>231566.63600782776</v>
      </c>
      <c r="FD16" s="3792">
        <f>479718.45/1.05-479718.45*12/365*15/1.05</f>
        <v>231566.63600782776</v>
      </c>
      <c r="FE16" s="3547">
        <f t="shared" si="71"/>
        <v>21279.096007827757</v>
      </c>
      <c r="FF16" s="3568">
        <v>90078.800511006295</v>
      </c>
      <c r="FG16" s="3569">
        <f>95483.53/1.06</f>
        <v>90078.80188679244</v>
      </c>
      <c r="FH16" s="3562">
        <f t="shared" ref="FH16" si="82">286450.59/3/1.06</f>
        <v>90078.801886792455</v>
      </c>
      <c r="FI16" s="3547">
        <f t="shared" si="72"/>
        <v>1.3757861597696319E-3</v>
      </c>
      <c r="FJ16" s="3568">
        <v>456874.71488095197</v>
      </c>
      <c r="FK16" s="3569">
        <f>479718.45/1.05</f>
        <v>456874.71428571426</v>
      </c>
      <c r="FL16" s="3787">
        <f>479718.45*12/365*15/1.05+1439155.35/3/1.05-1439155.35/3/1.05*12/365*15</f>
        <v>456874.7142857142</v>
      </c>
      <c r="FM16" s="3547">
        <f t="shared" si="73"/>
        <v>-5.9523776872083545E-4</v>
      </c>
      <c r="FN16" s="3568">
        <v>90078.800511006295</v>
      </c>
      <c r="FO16" s="3569">
        <f>95483.53/1.06</f>
        <v>90078.80188679244</v>
      </c>
      <c r="FP16" s="3562">
        <f>286450.59/3*12/365*15/1.06+286450.59/3/1.06-286450.59/3/1.06*12/365*15</f>
        <v>90078.801886792484</v>
      </c>
      <c r="FQ16" s="3547">
        <f t="shared" si="74"/>
        <v>1.3757861888734624E-3</v>
      </c>
      <c r="FR16" s="3568">
        <v>456874.71488095197</v>
      </c>
      <c r="FS16" s="3569">
        <f>479718.45/1.05</f>
        <v>456874.71428571426</v>
      </c>
      <c r="FT16" s="3562">
        <f>1439155.35/3/1.05</f>
        <v>456874.71428571426</v>
      </c>
      <c r="FU16" s="3547">
        <f t="shared" si="75"/>
        <v>-5.9523771051317453E-4</v>
      </c>
      <c r="FV16" s="3568">
        <v>90078.800511006295</v>
      </c>
      <c r="FW16" s="3569">
        <f>95483.53/1.06</f>
        <v>90078.80188679244</v>
      </c>
      <c r="FX16" s="3562">
        <f>286450.59/3/1.06</f>
        <v>90078.801886792455</v>
      </c>
      <c r="FY16" s="3547">
        <f t="shared" si="76"/>
        <v>1.3757861597696319E-3</v>
      </c>
      <c r="FZ16" s="3568">
        <v>456874.71488095197</v>
      </c>
      <c r="GA16" s="3569">
        <f>479718.45/1.05</f>
        <v>456874.71428571426</v>
      </c>
      <c r="GB16" s="3562">
        <f>1439155.35/3/1.05</f>
        <v>456874.71428571426</v>
      </c>
      <c r="GC16" s="3547">
        <f t="shared" si="77"/>
        <v>-5.9523771051317453E-4</v>
      </c>
      <c r="GD16" s="3568">
        <v>90078.800511006295</v>
      </c>
      <c r="GE16" s="3569">
        <f>95483.53/1.06</f>
        <v>90078.80188679244</v>
      </c>
      <c r="GF16" s="3562">
        <f>286450.59/3/1.06</f>
        <v>90078.801886792455</v>
      </c>
      <c r="GG16" s="3547">
        <f t="shared" si="78"/>
        <v>1.3757861597696319E-3</v>
      </c>
      <c r="GH16" s="3568">
        <v>456874.71488095197</v>
      </c>
      <c r="GI16" s="3569">
        <f>479718.45/1.05</f>
        <v>456874.71428571426</v>
      </c>
      <c r="GJ16" s="3562">
        <f>1439155.35/3*12/365*15/1.05+1439155.35/3/1.05-1439155.35/3*12/365*15/1.05</f>
        <v>456874.7142857142</v>
      </c>
      <c r="GK16" s="3547">
        <f t="shared" si="79"/>
        <v>-5.9523776872083545E-4</v>
      </c>
      <c r="GL16" s="3568">
        <v>90078.800511006295</v>
      </c>
      <c r="GM16" s="3569">
        <f>95483.53/1.06</f>
        <v>90078.80188679244</v>
      </c>
      <c r="GN16" s="3562">
        <f>286450.59/3*12/365*15/1.06+286450.59/3/1.06-286450.59/3*12/365*15/1.06</f>
        <v>90078.801886792469</v>
      </c>
      <c r="GO16" s="3547">
        <f t="shared" si="80"/>
        <v>1.3757861743215472E-3</v>
      </c>
      <c r="GP16" s="3568">
        <v>456874.71488095197</v>
      </c>
      <c r="GQ16" s="3569">
        <f>479718.45/1.05</f>
        <v>456874.71428571426</v>
      </c>
      <c r="GR16" s="3562">
        <f>1439155.35/3/1.05</f>
        <v>456874.71428571426</v>
      </c>
      <c r="GS16" s="3547">
        <f t="shared" si="55"/>
        <v>-5.9523771051317453E-4</v>
      </c>
      <c r="GT16" s="3568">
        <v>90078.800511006295</v>
      </c>
      <c r="GU16" s="3569">
        <f>95483.53/1.06</f>
        <v>90078.80188679244</v>
      </c>
      <c r="GV16" s="3562">
        <f>286450.59/3/1.06</f>
        <v>90078.801886792455</v>
      </c>
      <c r="GW16" s="3547">
        <f t="shared" si="56"/>
        <v>1.3757861597696319E-3</v>
      </c>
      <c r="GX16" s="3568">
        <v>456874.71488095197</v>
      </c>
      <c r="GY16" s="3569">
        <f>479718.45/1.05</f>
        <v>456874.71428571426</v>
      </c>
      <c r="GZ16" s="3562">
        <f>1439155.35/3/1.05</f>
        <v>456874.71428571426</v>
      </c>
      <c r="HA16" s="3547">
        <f t="shared" si="10"/>
        <v>-5.9523771051317453E-4</v>
      </c>
      <c r="HB16" s="3568">
        <v>90078.800511006295</v>
      </c>
      <c r="HC16" s="3569">
        <f>95483.53/1.06</f>
        <v>90078.80188679244</v>
      </c>
      <c r="HD16" s="3562">
        <f>286450.59/3/1.06</f>
        <v>90078.801886792455</v>
      </c>
      <c r="HE16" s="3547">
        <f t="shared" si="11"/>
        <v>1.3757861597696319E-3</v>
      </c>
      <c r="HF16" s="3568">
        <v>456874.71488095197</v>
      </c>
      <c r="HG16" s="3569">
        <f>479718.45/1.05</f>
        <v>456874.71428571426</v>
      </c>
      <c r="HH16" s="3562">
        <f>1439155.35/3/1.05*12/365*15+1439155.35/3/1.05-1439155.35/3/1.05*12/365*15</f>
        <v>456874.7142857142</v>
      </c>
      <c r="HI16" s="3547">
        <f t="shared" si="12"/>
        <v>-5.9523776872083545E-4</v>
      </c>
      <c r="HJ16" s="3568">
        <v>90078.800511006295</v>
      </c>
      <c r="HK16" s="3569">
        <f>95483.53/1.06</f>
        <v>90078.80188679244</v>
      </c>
      <c r="HL16" s="3562">
        <f>286450.59/3/1.06*12/365*15+286450.59/3/1.06-286450.59/3/1.06*12/365*15</f>
        <v>90078.801886792455</v>
      </c>
      <c r="HM16" s="3547">
        <f t="shared" si="13"/>
        <v>1.3757861597696319E-3</v>
      </c>
      <c r="HN16" s="3568">
        <v>456874.71488095197</v>
      </c>
      <c r="HO16" s="3569">
        <f>479718.45/1.05</f>
        <v>456874.71428571426</v>
      </c>
      <c r="HP16" s="3562">
        <f>1439155.35/3/1.05</f>
        <v>456874.71428571426</v>
      </c>
      <c r="HQ16" s="3547">
        <f t="shared" si="14"/>
        <v>-5.9523771051317453E-4</v>
      </c>
      <c r="HR16" s="3568">
        <v>90078.800511006295</v>
      </c>
      <c r="HS16" s="3569">
        <f>95483.53/1.06</f>
        <v>90078.80188679244</v>
      </c>
      <c r="HT16" s="3562">
        <f>286450.59/3/1.06</f>
        <v>90078.801886792455</v>
      </c>
      <c r="HU16" s="3547">
        <f t="shared" si="15"/>
        <v>1.3757861597696319E-3</v>
      </c>
      <c r="HV16" s="3568">
        <v>456874.71488095197</v>
      </c>
      <c r="HW16" s="3569">
        <f>479718.45/1.05</f>
        <v>456874.71428571426</v>
      </c>
      <c r="HX16" s="3562">
        <f>1439155.35/3/1.05</f>
        <v>456874.71428571426</v>
      </c>
      <c r="HY16" s="3547">
        <f t="shared" si="16"/>
        <v>-5.9523771051317453E-4</v>
      </c>
      <c r="HZ16" s="3568">
        <v>90078.800511006295</v>
      </c>
      <c r="IA16" s="3569">
        <f>95483.53/1.06</f>
        <v>90078.80188679244</v>
      </c>
      <c r="IB16" s="3562">
        <f>286450.59/3/1.06</f>
        <v>90078.801886792455</v>
      </c>
      <c r="IC16" s="3547">
        <f t="shared" si="17"/>
        <v>1.3757861597696319E-3</v>
      </c>
      <c r="ID16" s="3568">
        <v>465636.695714286</v>
      </c>
      <c r="IE16" s="3646">
        <f>479718.45/1.05*12/365*15</f>
        <v>225308.0782778865</v>
      </c>
      <c r="IF16" s="3661">
        <f>1439155.35/3/1.05*12/365*15</f>
        <v>225308.0782778865</v>
      </c>
      <c r="IG16" s="3547">
        <f t="shared" si="18"/>
        <v>-240328.61743639951</v>
      </c>
      <c r="IH16" s="3568">
        <v>90078.800511006295</v>
      </c>
      <c r="II16" s="3569">
        <f>95483.53/1.06</f>
        <v>90078.80188679244</v>
      </c>
      <c r="IJ16" s="3562">
        <f>286450.59/3/1.06*12/365*15</f>
        <v>44422.422848281203</v>
      </c>
      <c r="IK16" s="3547">
        <f t="shared" si="19"/>
        <v>-45656.377662725092</v>
      </c>
      <c r="IL16" s="3802" t="s">
        <v>5060</v>
      </c>
      <c r="IM16" s="3646">
        <f>479718.45/1.05-479718.45/1.05*12/365*15+479718.45/1.05+479718.45/1.05*12/365*15</f>
        <v>913749.42857142852</v>
      </c>
      <c r="IN16" s="3569">
        <f>95483.53/1.06*2+95483.53*12/365/1.06*15</f>
        <v>224580.02662186607</v>
      </c>
      <c r="IO16" s="3593"/>
      <c r="IP16" s="3786">
        <f t="shared" si="30"/>
        <v>0</v>
      </c>
      <c r="IQ16" s="3787"/>
      <c r="IR16" s="3787"/>
      <c r="IS16" s="3787"/>
      <c r="IT16" s="3787"/>
      <c r="IU16" s="3787"/>
      <c r="IV16" s="3787"/>
      <c r="IW16" s="3787"/>
      <c r="IX16" s="3787"/>
      <c r="IY16" s="3787"/>
      <c r="IZ16" s="3787"/>
      <c r="JA16" s="3787"/>
      <c r="JB16" s="3787"/>
      <c r="JC16" s="3788">
        <f t="shared" si="31"/>
        <v>0</v>
      </c>
      <c r="JD16" s="3787"/>
      <c r="JE16" s="3787"/>
      <c r="JF16" s="3787"/>
      <c r="JG16" s="3562"/>
      <c r="JH16" s="3562"/>
      <c r="JI16" s="3562"/>
      <c r="JJ16" s="3562"/>
      <c r="JK16" s="3562"/>
      <c r="JL16" s="3562"/>
      <c r="JM16" s="3562"/>
      <c r="JN16" s="3562"/>
      <c r="JO16" s="3562"/>
      <c r="JP16" s="3607" t="s">
        <v>5061</v>
      </c>
      <c r="JQ16" s="3646">
        <f>479718.45/1.05-479718.45/1.05*12/365*15+479718.45/1.05*12/365*15</f>
        <v>456874.71428571426</v>
      </c>
      <c r="JR16" s="3569">
        <f>286450.59/3/1.06*2+286450.59/3*12/365/1.06*15</f>
        <v>224580.02662186613</v>
      </c>
      <c r="JS16" s="3547">
        <f t="shared" si="32"/>
        <v>1.5133991837501526E-9</v>
      </c>
      <c r="JT16" s="3573">
        <f t="shared" si="33"/>
        <v>0</v>
      </c>
      <c r="JU16" s="3573">
        <f t="shared" si="34"/>
        <v>0</v>
      </c>
      <c r="JV16" s="3573">
        <f t="shared" si="35"/>
        <v>0</v>
      </c>
      <c r="JW16" s="3580">
        <f t="shared" si="36"/>
        <v>4.1699999945671262</v>
      </c>
      <c r="JX16" s="3576">
        <f t="shared" si="37"/>
        <v>1139057.506849315</v>
      </c>
      <c r="JY16" s="3576">
        <f t="shared" si="38"/>
        <v>224580.0266218661</v>
      </c>
      <c r="JZ16" s="3577"/>
      <c r="KA16" s="3576">
        <v>0</v>
      </c>
      <c r="KB16" s="3576"/>
      <c r="KC16" s="3576"/>
      <c r="KD16" s="3576">
        <f t="shared" si="40"/>
        <v>0</v>
      </c>
      <c r="KE16" s="3794"/>
      <c r="KF16" s="3579"/>
      <c r="KG16" s="3579"/>
      <c r="KH16" s="3579"/>
      <c r="KI16" s="3579"/>
      <c r="KJ16" s="3579"/>
      <c r="KK16" s="3579"/>
      <c r="KL16" s="3579"/>
      <c r="KM16" s="3579"/>
      <c r="KN16" s="3579">
        <f>21279.1/10000</f>
        <v>2.12791</v>
      </c>
      <c r="KO16" s="3579">
        <f t="shared" si="41"/>
        <v>2.12791</v>
      </c>
      <c r="KP16" s="3579">
        <f t="shared" si="42"/>
        <v>4.2232386521234844E-7</v>
      </c>
      <c r="KQ16" s="3577"/>
      <c r="KR16" s="3577"/>
    </row>
    <row r="17" spans="1:16368" s="3580" customFormat="1" ht="32.1" customHeight="1">
      <c r="A17" s="3545">
        <v>10</v>
      </c>
      <c r="B17" s="3546" t="s">
        <v>5062</v>
      </c>
      <c r="C17" s="3546" t="s">
        <v>5063</v>
      </c>
      <c r="D17" s="3547">
        <v>3782.15</v>
      </c>
      <c r="E17" s="3548" t="s">
        <v>3789</v>
      </c>
      <c r="F17" s="3546" t="s">
        <v>4987</v>
      </c>
      <c r="G17" s="3546" t="s">
        <v>5064</v>
      </c>
      <c r="H17" s="3546" t="s">
        <v>5065</v>
      </c>
      <c r="I17" s="3594" t="s">
        <v>5066</v>
      </c>
      <c r="J17" s="3594" t="s">
        <v>4592</v>
      </c>
      <c r="K17" s="3545"/>
      <c r="L17" s="3655"/>
      <c r="M17" s="3551">
        <f>800000-800000</f>
        <v>0</v>
      </c>
      <c r="N17" s="3551">
        <f>800000-800000</f>
        <v>0</v>
      </c>
      <c r="O17" s="3551">
        <f t="shared" si="20"/>
        <v>0</v>
      </c>
      <c r="P17" s="3547"/>
      <c r="Q17" s="3547"/>
      <c r="R17" s="3547">
        <f t="shared" si="21"/>
        <v>0</v>
      </c>
      <c r="S17" s="3547">
        <f t="shared" si="22"/>
        <v>0</v>
      </c>
      <c r="T17" s="3547"/>
      <c r="U17" s="3561">
        <f t="shared" si="23"/>
        <v>0</v>
      </c>
      <c r="V17" s="3547"/>
      <c r="W17" s="3547">
        <f t="shared" si="24"/>
        <v>0</v>
      </c>
      <c r="X17" s="3796"/>
      <c r="Y17" s="3547">
        <f t="shared" si="25"/>
        <v>0</v>
      </c>
      <c r="Z17" s="3554"/>
      <c r="AA17" s="3555"/>
      <c r="AB17" s="3552" t="s">
        <v>5067</v>
      </c>
      <c r="AC17" s="3556">
        <f t="shared" si="43"/>
        <v>0</v>
      </c>
      <c r="AD17" s="3780">
        <f t="shared" si="26"/>
        <v>0</v>
      </c>
      <c r="AE17" s="3780">
        <f t="shared" si="26"/>
        <v>0</v>
      </c>
      <c r="AF17" s="3556">
        <f t="shared" si="44"/>
        <v>0</v>
      </c>
      <c r="AG17" s="3556"/>
      <c r="AH17" s="3557">
        <f t="shared" si="45"/>
        <v>0</v>
      </c>
      <c r="AI17" s="3558">
        <f t="shared" si="27"/>
        <v>0</v>
      </c>
      <c r="AJ17" s="3558">
        <f t="shared" si="27"/>
        <v>0</v>
      </c>
      <c r="AK17" s="3557">
        <f t="shared" si="46"/>
        <v>0</v>
      </c>
      <c r="AL17" s="3557"/>
      <c r="AM17" s="3547"/>
      <c r="AN17" s="3782"/>
      <c r="AO17" s="3681"/>
      <c r="AP17" s="3561">
        <f t="shared" si="57"/>
        <v>0</v>
      </c>
      <c r="AQ17" s="3782"/>
      <c r="AR17" s="3681"/>
      <c r="AS17" s="3561">
        <f t="shared" si="58"/>
        <v>0</v>
      </c>
      <c r="AT17" s="3784" t="s">
        <v>5068</v>
      </c>
      <c r="AU17" s="3547"/>
      <c r="AV17" s="3782"/>
      <c r="AW17" s="3681"/>
      <c r="AX17" s="3561">
        <f t="shared" si="59"/>
        <v>0</v>
      </c>
      <c r="AY17" s="3782"/>
      <c r="AZ17" s="3681"/>
      <c r="BA17" s="3561">
        <f t="shared" si="60"/>
        <v>0</v>
      </c>
      <c r="BB17" s="3784" t="s">
        <v>5068</v>
      </c>
      <c r="BC17" s="3547"/>
      <c r="BD17" s="3782"/>
      <c r="BE17" s="3681"/>
      <c r="BF17" s="3561">
        <f t="shared" si="61"/>
        <v>0</v>
      </c>
      <c r="BG17" s="3782"/>
      <c r="BH17" s="3681"/>
      <c r="BI17" s="3561">
        <f t="shared" si="62"/>
        <v>0</v>
      </c>
      <c r="BJ17" s="3784" t="s">
        <v>5068</v>
      </c>
      <c r="BK17" s="3547"/>
      <c r="BL17" s="3782"/>
      <c r="BM17" s="3681"/>
      <c r="BN17" s="3561">
        <f t="shared" si="63"/>
        <v>0</v>
      </c>
      <c r="BO17" s="3782"/>
      <c r="BP17" s="3681"/>
      <c r="BQ17" s="3561">
        <f t="shared" si="64"/>
        <v>0</v>
      </c>
      <c r="BR17" s="3784" t="s">
        <v>5068</v>
      </c>
      <c r="BS17" s="3547"/>
      <c r="BT17" s="3782"/>
      <c r="BU17" s="3681"/>
      <c r="BV17" s="3561">
        <f t="shared" si="65"/>
        <v>0</v>
      </c>
      <c r="BW17" s="3782"/>
      <c r="BX17" s="3681"/>
      <c r="BY17" s="3561">
        <f t="shared" si="66"/>
        <v>0</v>
      </c>
      <c r="BZ17" s="3784" t="s">
        <v>5068</v>
      </c>
      <c r="CA17" s="3547"/>
      <c r="CB17" s="3782"/>
      <c r="CC17" s="3681"/>
      <c r="CD17" s="3561">
        <f t="shared" si="67"/>
        <v>0</v>
      </c>
      <c r="CE17" s="3782"/>
      <c r="CF17" s="3681"/>
      <c r="CG17" s="3561">
        <f t="shared" si="68"/>
        <v>0</v>
      </c>
      <c r="CH17" s="3784" t="s">
        <v>5068</v>
      </c>
      <c r="CI17" s="3547"/>
      <c r="CJ17" s="3782"/>
      <c r="CK17" s="3681"/>
      <c r="CL17" s="3561">
        <f t="shared" si="47"/>
        <v>0</v>
      </c>
      <c r="CM17" s="3782"/>
      <c r="CN17" s="3681"/>
      <c r="CO17" s="3561">
        <f t="shared" si="48"/>
        <v>0</v>
      </c>
      <c r="CP17" s="3784" t="s">
        <v>5068</v>
      </c>
      <c r="CQ17" s="3547"/>
      <c r="CR17" s="3782"/>
      <c r="CS17" s="3681"/>
      <c r="CT17" s="3561">
        <f t="shared" si="0"/>
        <v>0</v>
      </c>
      <c r="CU17" s="3782"/>
      <c r="CV17" s="3681"/>
      <c r="CW17" s="3561">
        <f t="shared" si="1"/>
        <v>0</v>
      </c>
      <c r="CX17" s="3784" t="s">
        <v>5068</v>
      </c>
      <c r="CY17" s="3547"/>
      <c r="CZ17" s="3782"/>
      <c r="DA17" s="3681"/>
      <c r="DB17" s="3561">
        <f t="shared" si="2"/>
        <v>0</v>
      </c>
      <c r="DC17" s="3782"/>
      <c r="DD17" s="3681"/>
      <c r="DE17" s="3561">
        <f t="shared" si="3"/>
        <v>0</v>
      </c>
      <c r="DF17" s="3784" t="s">
        <v>5068</v>
      </c>
      <c r="DG17" s="3547"/>
      <c r="DH17" s="3782"/>
      <c r="DI17" s="3681"/>
      <c r="DJ17" s="3561">
        <f t="shared" si="4"/>
        <v>0</v>
      </c>
      <c r="DK17" s="3782"/>
      <c r="DL17" s="3681"/>
      <c r="DM17" s="3561">
        <f t="shared" si="5"/>
        <v>0</v>
      </c>
      <c r="DN17" s="3784"/>
      <c r="DO17" s="3547"/>
      <c r="DP17" s="3782"/>
      <c r="DQ17" s="3681"/>
      <c r="DR17" s="3561">
        <f t="shared" si="6"/>
        <v>0</v>
      </c>
      <c r="DS17" s="3782"/>
      <c r="DT17" s="3681"/>
      <c r="DU17" s="3561">
        <f t="shared" si="7"/>
        <v>0</v>
      </c>
      <c r="DV17" s="3784"/>
      <c r="DW17" s="3547"/>
      <c r="DX17" s="3782"/>
      <c r="DY17" s="3681"/>
      <c r="DZ17" s="3561">
        <f t="shared" si="8"/>
        <v>0</v>
      </c>
      <c r="EA17" s="3782"/>
      <c r="EB17" s="3681"/>
      <c r="EC17" s="3561">
        <f t="shared" si="9"/>
        <v>0</v>
      </c>
      <c r="ED17" s="3784"/>
      <c r="EF17" s="3565">
        <f t="shared" si="49"/>
        <v>2412561.4440476159</v>
      </c>
      <c r="EG17" s="3565">
        <f t="shared" si="28"/>
        <v>1206280.7220238079</v>
      </c>
      <c r="EH17" s="3565">
        <f t="shared" si="28"/>
        <v>0</v>
      </c>
      <c r="EI17" s="3565">
        <f t="shared" si="28"/>
        <v>0</v>
      </c>
      <c r="EJ17" s="3565">
        <f t="shared" si="50"/>
        <v>-1206280.7220238079</v>
      </c>
      <c r="EK17" s="3565">
        <f t="shared" si="51"/>
        <v>0</v>
      </c>
      <c r="EL17" s="3556"/>
      <c r="EM17" s="3557">
        <f t="shared" si="52"/>
        <v>810709.20459905651</v>
      </c>
      <c r="EN17" s="3557">
        <f t="shared" si="29"/>
        <v>540472.80306603771</v>
      </c>
      <c r="EO17" s="3557">
        <f t="shared" si="29"/>
        <v>0</v>
      </c>
      <c r="EP17" s="3557">
        <f t="shared" si="29"/>
        <v>0</v>
      </c>
      <c r="EQ17" s="3557">
        <f t="shared" si="53"/>
        <v>-540472.80306603771</v>
      </c>
      <c r="ER17" s="3557">
        <f t="shared" si="54"/>
        <v>0</v>
      </c>
      <c r="ES17" s="3557"/>
      <c r="ET17" s="3568"/>
      <c r="EU17" s="3569"/>
      <c r="EV17" s="3562"/>
      <c r="EW17" s="3547">
        <f t="shared" si="69"/>
        <v>0</v>
      </c>
      <c r="EX17" s="3568"/>
      <c r="EY17" s="3569"/>
      <c r="EZ17" s="3562"/>
      <c r="FA17" s="3547">
        <f t="shared" si="70"/>
        <v>0</v>
      </c>
      <c r="FB17" s="3568"/>
      <c r="FC17" s="3569"/>
      <c r="FD17" s="3562"/>
      <c r="FE17" s="3547">
        <f t="shared" si="71"/>
        <v>0</v>
      </c>
      <c r="FF17" s="3568"/>
      <c r="FG17" s="3569"/>
      <c r="FH17" s="3562"/>
      <c r="FI17" s="3547">
        <f t="shared" si="72"/>
        <v>0</v>
      </c>
      <c r="FJ17" s="3568"/>
      <c r="FK17" s="3569"/>
      <c r="FL17" s="3562"/>
      <c r="FM17" s="3547">
        <f t="shared" si="73"/>
        <v>0</v>
      </c>
      <c r="FN17" s="3568"/>
      <c r="FO17" s="3569"/>
      <c r="FP17" s="3562"/>
      <c r="FQ17" s="3547">
        <f t="shared" si="74"/>
        <v>0</v>
      </c>
      <c r="FR17" s="3568"/>
      <c r="FS17" s="3569"/>
      <c r="FT17" s="3562"/>
      <c r="FU17" s="3547">
        <f t="shared" si="75"/>
        <v>0</v>
      </c>
      <c r="FV17" s="3568">
        <v>90078.800511006295</v>
      </c>
      <c r="FW17" s="3569"/>
      <c r="FX17" s="3562"/>
      <c r="FY17" s="3547">
        <f t="shared" si="76"/>
        <v>-90078.800511006295</v>
      </c>
      <c r="FZ17" s="3568"/>
      <c r="GA17" s="3569"/>
      <c r="GB17" s="3562"/>
      <c r="GC17" s="3547">
        <f t="shared" si="77"/>
        <v>0</v>
      </c>
      <c r="GD17" s="3568">
        <v>90078.800511006295</v>
      </c>
      <c r="GE17" s="3569"/>
      <c r="GF17" s="3562"/>
      <c r="GG17" s="3547">
        <f t="shared" si="78"/>
        <v>-90078.800511006295</v>
      </c>
      <c r="GH17" s="3568"/>
      <c r="GI17" s="3569"/>
      <c r="GJ17" s="3562"/>
      <c r="GK17" s="3547">
        <f t="shared" si="79"/>
        <v>0</v>
      </c>
      <c r="GL17" s="3568">
        <v>90078.800511006295</v>
      </c>
      <c r="GM17" s="3569"/>
      <c r="GN17" s="3562"/>
      <c r="GO17" s="3547">
        <f t="shared" si="80"/>
        <v>-90078.800511006295</v>
      </c>
      <c r="GP17" s="3568">
        <v>402093.574007936</v>
      </c>
      <c r="GQ17" s="3569"/>
      <c r="GR17" s="3562"/>
      <c r="GS17" s="3547">
        <f t="shared" si="55"/>
        <v>-402093.574007936</v>
      </c>
      <c r="GT17" s="3568">
        <v>90078.800511006295</v>
      </c>
      <c r="GU17" s="3569"/>
      <c r="GV17" s="3562"/>
      <c r="GW17" s="3547">
        <f t="shared" si="56"/>
        <v>-90078.800511006295</v>
      </c>
      <c r="GX17" s="3568">
        <v>402093.574007936</v>
      </c>
      <c r="GY17" s="3569"/>
      <c r="GZ17" s="3562"/>
      <c r="HA17" s="3547">
        <f t="shared" si="10"/>
        <v>-402093.574007936</v>
      </c>
      <c r="HB17" s="3568">
        <v>90078.800511006295</v>
      </c>
      <c r="HC17" s="3569"/>
      <c r="HD17" s="3562"/>
      <c r="HE17" s="3547">
        <f t="shared" si="11"/>
        <v>-90078.800511006295</v>
      </c>
      <c r="HF17" s="3568">
        <v>402093.574007936</v>
      </c>
      <c r="HG17" s="3569"/>
      <c r="HH17" s="3562"/>
      <c r="HI17" s="3547">
        <f t="shared" si="12"/>
        <v>-402093.574007936</v>
      </c>
      <c r="HJ17" s="3568">
        <v>90078.800511006295</v>
      </c>
      <c r="HK17" s="3569"/>
      <c r="HL17" s="3562"/>
      <c r="HM17" s="3547">
        <f t="shared" si="13"/>
        <v>-90078.800511006295</v>
      </c>
      <c r="HN17" s="3568">
        <v>402093.574007936</v>
      </c>
      <c r="HO17" s="3569"/>
      <c r="HP17" s="3562"/>
      <c r="HQ17" s="3547">
        <f t="shared" si="14"/>
        <v>-402093.574007936</v>
      </c>
      <c r="HR17" s="3568">
        <v>90078.800511006295</v>
      </c>
      <c r="HS17" s="3569"/>
      <c r="HT17" s="3562"/>
      <c r="HU17" s="3547">
        <f t="shared" si="15"/>
        <v>-90078.800511006295</v>
      </c>
      <c r="HV17" s="3568">
        <v>402093.574007936</v>
      </c>
      <c r="HW17" s="3569"/>
      <c r="HX17" s="3562"/>
      <c r="HY17" s="3547">
        <f t="shared" si="16"/>
        <v>-402093.574007936</v>
      </c>
      <c r="HZ17" s="3568">
        <v>90078.800511006295</v>
      </c>
      <c r="IA17" s="3569"/>
      <c r="IB17" s="3562"/>
      <c r="IC17" s="3547">
        <f t="shared" si="17"/>
        <v>-90078.800511006295</v>
      </c>
      <c r="ID17" s="3568">
        <v>402093.574007936</v>
      </c>
      <c r="IE17" s="3569"/>
      <c r="IF17" s="3562"/>
      <c r="IG17" s="3547">
        <f t="shared" si="18"/>
        <v>-402093.574007936</v>
      </c>
      <c r="IH17" s="3568">
        <v>90078.800511006295</v>
      </c>
      <c r="II17" s="3569"/>
      <c r="IJ17" s="3562"/>
      <c r="IK17" s="3547">
        <f t="shared" si="19"/>
        <v>-90078.800511006295</v>
      </c>
      <c r="IL17" s="3607"/>
      <c r="IM17" s="3569"/>
      <c r="IN17" s="3569"/>
      <c r="IO17" s="3593"/>
      <c r="IP17" s="3786">
        <f t="shared" si="30"/>
        <v>0</v>
      </c>
      <c r="IQ17" s="3787"/>
      <c r="IR17" s="3787"/>
      <c r="IS17" s="3787"/>
      <c r="IT17" s="3562"/>
      <c r="IU17" s="3562"/>
      <c r="IV17" s="3562"/>
      <c r="IW17" s="3562"/>
      <c r="IX17" s="3562"/>
      <c r="IY17" s="3562"/>
      <c r="IZ17" s="3562"/>
      <c r="JA17" s="3562"/>
      <c r="JB17" s="3562"/>
      <c r="JC17" s="3788">
        <f t="shared" si="31"/>
        <v>0</v>
      </c>
      <c r="JD17" s="3787"/>
      <c r="JE17" s="3787"/>
      <c r="JF17" s="3787"/>
      <c r="JG17" s="3562"/>
      <c r="JH17" s="3562"/>
      <c r="JI17" s="3562"/>
      <c r="JJ17" s="3562"/>
      <c r="JK17" s="3562"/>
      <c r="JL17" s="3562"/>
      <c r="JM17" s="3562"/>
      <c r="JN17" s="3562"/>
      <c r="JO17" s="3562"/>
      <c r="JP17" s="3593"/>
      <c r="JQ17" s="3569"/>
      <c r="JR17" s="3569"/>
      <c r="JS17" s="3547">
        <f t="shared" si="32"/>
        <v>0</v>
      </c>
      <c r="JT17" s="3573">
        <f t="shared" si="33"/>
        <v>0</v>
      </c>
      <c r="JU17" s="3573">
        <f t="shared" si="34"/>
        <v>0</v>
      </c>
      <c r="JV17" s="3573">
        <f t="shared" si="35"/>
        <v>0</v>
      </c>
      <c r="JW17" s="3580">
        <f t="shared" si="36"/>
        <v>0</v>
      </c>
      <c r="JX17" s="3576">
        <f t="shared" si="37"/>
        <v>0</v>
      </c>
      <c r="JY17" s="3576">
        <f t="shared" si="38"/>
        <v>0</v>
      </c>
      <c r="JZ17" s="3577"/>
      <c r="KA17" s="3576">
        <f t="shared" si="39"/>
        <v>-492172.37451894232</v>
      </c>
      <c r="KB17" s="3576"/>
      <c r="KC17" s="3576"/>
      <c r="KD17" s="3576">
        <f t="shared" si="40"/>
        <v>-492172.37451894232</v>
      </c>
      <c r="KE17" s="3795" t="s">
        <v>3765</v>
      </c>
      <c r="KF17" s="3579"/>
      <c r="KG17" s="3579"/>
      <c r="KH17" s="3579"/>
      <c r="KI17" s="3579"/>
      <c r="KJ17" s="3579"/>
      <c r="KK17" s="3579"/>
      <c r="KL17" s="3579">
        <f>-90078.8/10000*3-492172.37/10000*3</f>
        <v>-174.67535099999998</v>
      </c>
      <c r="KM17" s="3579"/>
      <c r="KN17" s="3579"/>
      <c r="KO17" s="3579">
        <f t="shared" si="41"/>
        <v>-174.67535099999998</v>
      </c>
      <c r="KP17" s="3579">
        <f t="shared" si="42"/>
        <v>-1.5089845817328751E-6</v>
      </c>
      <c r="KQ17" s="3577"/>
      <c r="KR17" s="3577"/>
    </row>
    <row r="18" spans="1:16368" s="3708" customFormat="1" ht="18.75" customHeight="1">
      <c r="A18" s="3975" t="s">
        <v>5069</v>
      </c>
      <c r="B18" s="3976"/>
      <c r="C18" s="3699"/>
      <c r="D18" s="3700">
        <f>SUM(D4:D17)</f>
        <v>19233.98</v>
      </c>
      <c r="E18" s="3701"/>
      <c r="F18" s="3699"/>
      <c r="G18" s="3699"/>
      <c r="H18" s="3699"/>
      <c r="I18" s="3803"/>
      <c r="J18" s="3700">
        <f t="shared" ref="J18:R18" si="83">SUM(J4:J17)</f>
        <v>0</v>
      </c>
      <c r="K18" s="3700">
        <f t="shared" si="83"/>
        <v>0</v>
      </c>
      <c r="L18" s="3700">
        <f t="shared" si="83"/>
        <v>0</v>
      </c>
      <c r="M18" s="3700">
        <f t="shared" si="83"/>
        <v>5644677.5</v>
      </c>
      <c r="N18" s="3700">
        <f t="shared" si="83"/>
        <v>5644677.5</v>
      </c>
      <c r="O18" s="3700">
        <f t="shared" si="83"/>
        <v>0</v>
      </c>
      <c r="P18" s="3700">
        <f t="shared" si="83"/>
        <v>936608.82999999984</v>
      </c>
      <c r="Q18" s="3700">
        <f t="shared" si="83"/>
        <v>936608.82999999984</v>
      </c>
      <c r="R18" s="3700">
        <f t="shared" si="83"/>
        <v>0</v>
      </c>
      <c r="S18" s="3700"/>
      <c r="T18" s="3700">
        <f>SUM(T4:T17)</f>
        <v>1952937.4500000002</v>
      </c>
      <c r="U18" s="3700">
        <f>SUM(U4:U17)</f>
        <v>23435249.399999999</v>
      </c>
      <c r="V18" s="3700">
        <f>SUM(V4:V17)</f>
        <v>92134748.513750002</v>
      </c>
      <c r="W18" s="3700"/>
      <c r="X18" s="3700">
        <f>SUM(X4:X17)</f>
        <v>317107.87</v>
      </c>
      <c r="Y18" s="3700">
        <f>SUM(Y4:Y17)</f>
        <v>3805294.4399999995</v>
      </c>
      <c r="Z18" s="3700">
        <f>SUM(Z4:Z17)</f>
        <v>0</v>
      </c>
      <c r="AA18" s="3702"/>
      <c r="AB18" s="3804"/>
      <c r="AC18" s="3703">
        <f>SUM(AC4:AC17)</f>
        <v>21326667.723945208</v>
      </c>
      <c r="AD18" s="3703">
        <f>SUM(AD4:AD17)</f>
        <v>16071763.083945207</v>
      </c>
      <c r="AE18" s="3703">
        <f>SUM(AE4:AE17)</f>
        <v>16071763.090000002</v>
      </c>
      <c r="AF18" s="3703">
        <f>SUM(AF4:AF17)</f>
        <v>6.0547944158315659E-3</v>
      </c>
      <c r="AG18" s="3703">
        <v>0</v>
      </c>
      <c r="AH18" s="3700">
        <f>SUM(AH4:AH17)</f>
        <v>3687819.29</v>
      </c>
      <c r="AI18" s="3700">
        <f>SUM(AI4:AI17)</f>
        <v>2758567.85</v>
      </c>
      <c r="AJ18" s="3700">
        <f>SUM(AJ4:AJ17)</f>
        <v>2758567.85</v>
      </c>
      <c r="AK18" s="3700">
        <f>SUM(AK4:AK17)</f>
        <v>0</v>
      </c>
      <c r="AL18" s="3700">
        <v>0</v>
      </c>
      <c r="AM18" s="3700">
        <f t="shared" ref="AM18:BQ18" si="84">SUM(AM4:AM17)</f>
        <v>0</v>
      </c>
      <c r="AN18" s="3700">
        <f t="shared" si="84"/>
        <v>2085431.0039452058</v>
      </c>
      <c r="AO18" s="3703">
        <f t="shared" si="84"/>
        <v>2085431.01</v>
      </c>
      <c r="AP18" s="3703">
        <f t="shared" si="84"/>
        <v>6.0547943576239049E-3</v>
      </c>
      <c r="AQ18" s="3700">
        <f t="shared" si="84"/>
        <v>407932.54000000004</v>
      </c>
      <c r="AR18" s="3700">
        <f t="shared" si="84"/>
        <v>407932.54</v>
      </c>
      <c r="AS18" s="3703">
        <f t="shared" si="84"/>
        <v>0</v>
      </c>
      <c r="AT18" s="3707">
        <f t="shared" si="84"/>
        <v>0</v>
      </c>
      <c r="AU18" s="3700">
        <f t="shared" si="84"/>
        <v>0</v>
      </c>
      <c r="AV18" s="3700">
        <f t="shared" si="84"/>
        <v>537238.65</v>
      </c>
      <c r="AW18" s="3703">
        <f t="shared" si="84"/>
        <v>537238.65</v>
      </c>
      <c r="AX18" s="3703">
        <f t="shared" si="84"/>
        <v>0</v>
      </c>
      <c r="AY18" s="3700">
        <f t="shared" si="84"/>
        <v>95483.53</v>
      </c>
      <c r="AZ18" s="3700">
        <f t="shared" si="84"/>
        <v>95483.53</v>
      </c>
      <c r="BA18" s="3703">
        <f t="shared" si="84"/>
        <v>0</v>
      </c>
      <c r="BB18" s="3707">
        <f t="shared" si="84"/>
        <v>0</v>
      </c>
      <c r="BC18" s="3700">
        <f t="shared" si="84"/>
        <v>0</v>
      </c>
      <c r="BD18" s="3700">
        <f t="shared" si="84"/>
        <v>1976394</v>
      </c>
      <c r="BE18" s="3703">
        <f t="shared" si="84"/>
        <v>1976394</v>
      </c>
      <c r="BF18" s="3703">
        <f t="shared" si="84"/>
        <v>0</v>
      </c>
      <c r="BG18" s="3700">
        <f t="shared" si="84"/>
        <v>381934.12</v>
      </c>
      <c r="BH18" s="3700">
        <f t="shared" si="84"/>
        <v>381934.12</v>
      </c>
      <c r="BI18" s="3703">
        <f t="shared" si="84"/>
        <v>0</v>
      </c>
      <c r="BJ18" s="3707">
        <f t="shared" si="84"/>
        <v>0</v>
      </c>
      <c r="BK18" s="3700">
        <f t="shared" si="84"/>
        <v>0</v>
      </c>
      <c r="BL18" s="3700">
        <f t="shared" si="84"/>
        <v>2982971.67</v>
      </c>
      <c r="BM18" s="3703">
        <f t="shared" si="84"/>
        <v>2982971.67</v>
      </c>
      <c r="BN18" s="3703">
        <f t="shared" si="84"/>
        <v>0</v>
      </c>
      <c r="BO18" s="3700">
        <f t="shared" si="84"/>
        <v>407932.54000000004</v>
      </c>
      <c r="BP18" s="3700">
        <f t="shared" si="84"/>
        <v>407932.54</v>
      </c>
      <c r="BQ18" s="3703">
        <f t="shared" si="84"/>
        <v>0</v>
      </c>
      <c r="BR18" s="3805"/>
      <c r="BS18" s="3700">
        <f t="shared" ref="BS18:BY18" si="85">SUM(BS4:BS17)</f>
        <v>0</v>
      </c>
      <c r="BT18" s="3700">
        <f t="shared" si="85"/>
        <v>537238.65</v>
      </c>
      <c r="BU18" s="3703">
        <f t="shared" si="85"/>
        <v>1976394</v>
      </c>
      <c r="BV18" s="3703">
        <f t="shared" si="85"/>
        <v>1439155.35</v>
      </c>
      <c r="BW18" s="3700">
        <f t="shared" si="85"/>
        <v>95483.53</v>
      </c>
      <c r="BX18" s="3700">
        <f t="shared" si="85"/>
        <v>381934.12</v>
      </c>
      <c r="BY18" s="3703">
        <f t="shared" si="85"/>
        <v>286450.59000000003</v>
      </c>
      <c r="BZ18" s="3805"/>
      <c r="CA18" s="3700">
        <f t="shared" ref="CA18:CG18" si="86">SUM(CA4:CA17)</f>
        <v>0</v>
      </c>
      <c r="CB18" s="3700">
        <f t="shared" si="86"/>
        <v>1976394</v>
      </c>
      <c r="CC18" s="3703">
        <f t="shared" si="86"/>
        <v>537238.65</v>
      </c>
      <c r="CD18" s="3703">
        <f t="shared" si="86"/>
        <v>-1439155.35</v>
      </c>
      <c r="CE18" s="3700">
        <f t="shared" si="86"/>
        <v>381934.12</v>
      </c>
      <c r="CF18" s="3700">
        <f t="shared" si="86"/>
        <v>95483.53</v>
      </c>
      <c r="CG18" s="3703">
        <f t="shared" si="86"/>
        <v>-286450.58999999997</v>
      </c>
      <c r="CH18" s="3805"/>
      <c r="CI18" s="3700">
        <f t="shared" ref="CI18:CO18" si="87">SUM(CI4:CI17)</f>
        <v>0</v>
      </c>
      <c r="CJ18" s="3700">
        <f t="shared" si="87"/>
        <v>3141650.85</v>
      </c>
      <c r="CK18" s="3703">
        <f t="shared" si="87"/>
        <v>3141650.85</v>
      </c>
      <c r="CL18" s="3703">
        <f t="shared" si="87"/>
        <v>0</v>
      </c>
      <c r="CM18" s="3700">
        <f t="shared" si="87"/>
        <v>451833.79000000004</v>
      </c>
      <c r="CN18" s="3700">
        <f t="shared" si="87"/>
        <v>451833.79</v>
      </c>
      <c r="CO18" s="3703">
        <f t="shared" si="87"/>
        <v>0</v>
      </c>
      <c r="CP18" s="3805"/>
      <c r="CQ18" s="3700">
        <f t="shared" ref="CQ18:CW18" si="88">SUM(CQ4:CQ17)</f>
        <v>0</v>
      </c>
      <c r="CR18" s="3700">
        <f t="shared" si="88"/>
        <v>578635.06999999995</v>
      </c>
      <c r="CS18" s="3703">
        <f t="shared" si="88"/>
        <v>578635.06999999995</v>
      </c>
      <c r="CT18" s="3703">
        <f t="shared" si="88"/>
        <v>0</v>
      </c>
      <c r="CU18" s="3700">
        <f t="shared" si="88"/>
        <v>102840.92</v>
      </c>
      <c r="CV18" s="3700">
        <f t="shared" si="88"/>
        <v>102840.92</v>
      </c>
      <c r="CW18" s="3703">
        <f t="shared" si="88"/>
        <v>0</v>
      </c>
      <c r="CX18" s="3805"/>
      <c r="CY18" s="3700">
        <f t="shared" ref="CY18:DE18" si="89">SUM(CY4:CY17)</f>
        <v>0</v>
      </c>
      <c r="CZ18" s="3700">
        <f t="shared" si="89"/>
        <v>2255809.19</v>
      </c>
      <c r="DA18" s="3703">
        <f t="shared" si="89"/>
        <v>2255809.19</v>
      </c>
      <c r="DB18" s="3703">
        <f t="shared" si="89"/>
        <v>0</v>
      </c>
      <c r="DC18" s="3700">
        <f t="shared" si="89"/>
        <v>433192.76</v>
      </c>
      <c r="DD18" s="3700">
        <f t="shared" si="89"/>
        <v>433192.76</v>
      </c>
      <c r="DE18" s="3703">
        <f t="shared" si="89"/>
        <v>0</v>
      </c>
      <c r="DF18" s="3805"/>
      <c r="DG18" s="3700">
        <f t="shared" ref="DG18:DM18" si="90">SUM(DG4:DG17)</f>
        <v>0</v>
      </c>
      <c r="DH18" s="3700">
        <f t="shared" si="90"/>
        <v>2982971.67</v>
      </c>
      <c r="DI18" s="3703">
        <f t="shared" si="90"/>
        <v>0</v>
      </c>
      <c r="DJ18" s="3703">
        <f t="shared" si="90"/>
        <v>-2982971.67</v>
      </c>
      <c r="DK18" s="3700">
        <f t="shared" si="90"/>
        <v>407932.54000000004</v>
      </c>
      <c r="DL18" s="3700">
        <f t="shared" si="90"/>
        <v>0</v>
      </c>
      <c r="DM18" s="3703">
        <f t="shared" si="90"/>
        <v>-407932.54000000004</v>
      </c>
      <c r="DN18" s="3806"/>
      <c r="DO18" s="3700">
        <f t="shared" ref="DO18:DU18" si="91">SUM(DO4:DO17)</f>
        <v>0</v>
      </c>
      <c r="DP18" s="3700">
        <f t="shared" si="91"/>
        <v>537238.65</v>
      </c>
      <c r="DQ18" s="3703">
        <f t="shared" si="91"/>
        <v>0</v>
      </c>
      <c r="DR18" s="3703">
        <f t="shared" si="91"/>
        <v>-537238.65</v>
      </c>
      <c r="DS18" s="3700">
        <f t="shared" si="91"/>
        <v>95483.53</v>
      </c>
      <c r="DT18" s="3700">
        <f t="shared" si="91"/>
        <v>0</v>
      </c>
      <c r="DU18" s="3703">
        <f t="shared" si="91"/>
        <v>-95483.53</v>
      </c>
      <c r="DV18" s="3806"/>
      <c r="DW18" s="3700">
        <f t="shared" ref="DW18:EC18" si="92">SUM(DW4:DW17)</f>
        <v>0</v>
      </c>
      <c r="DX18" s="3700">
        <f t="shared" si="92"/>
        <v>1734694.3199999998</v>
      </c>
      <c r="DY18" s="3703">
        <f t="shared" si="92"/>
        <v>0</v>
      </c>
      <c r="DZ18" s="3703">
        <f t="shared" si="92"/>
        <v>-1734694.3199999998</v>
      </c>
      <c r="EA18" s="3700">
        <f t="shared" si="92"/>
        <v>425835.37</v>
      </c>
      <c r="EB18" s="3700">
        <f t="shared" si="92"/>
        <v>0</v>
      </c>
      <c r="EC18" s="3703">
        <f t="shared" si="92"/>
        <v>-425835.37</v>
      </c>
      <c r="ED18" s="3806"/>
      <c r="EF18" s="3807">
        <f t="shared" ref="EF18:GQ18" si="93">SUM(EF4:EF17)</f>
        <v>24160588.410182528</v>
      </c>
      <c r="EG18" s="3807">
        <f t="shared" si="93"/>
        <v>16510795.284111103</v>
      </c>
      <c r="EH18" s="3807">
        <f t="shared" si="93"/>
        <v>14321098.822361384</v>
      </c>
      <c r="EI18" s="3807">
        <f t="shared" si="93"/>
        <v>14321098.828127854</v>
      </c>
      <c r="EJ18" s="3807">
        <f t="shared" si="93"/>
        <v>-2189696.4559832532</v>
      </c>
      <c r="EK18" s="3807">
        <f t="shared" si="93"/>
        <v>5.7664701016619802E-3</v>
      </c>
      <c r="EL18" s="3807">
        <f t="shared" si="93"/>
        <v>0</v>
      </c>
      <c r="EM18" s="3807">
        <f t="shared" si="93"/>
        <v>4868465.3275550315</v>
      </c>
      <c r="EN18" s="3807">
        <f t="shared" si="93"/>
        <v>3494188.3839229555</v>
      </c>
      <c r="EO18" s="3807">
        <f t="shared" si="93"/>
        <v>2554651.9488239856</v>
      </c>
      <c r="EP18" s="3807">
        <f t="shared" si="93"/>
        <v>2554651.9488239856</v>
      </c>
      <c r="EQ18" s="3807">
        <f t="shared" si="93"/>
        <v>-939536.43509897066</v>
      </c>
      <c r="ER18" s="3807">
        <f t="shared" si="93"/>
        <v>0</v>
      </c>
      <c r="ES18" s="3807">
        <f t="shared" si="93"/>
        <v>0</v>
      </c>
      <c r="ET18" s="3807">
        <f t="shared" si="93"/>
        <v>1246383.1677380952</v>
      </c>
      <c r="EU18" s="3807">
        <f t="shared" si="93"/>
        <v>1246383.1619047618</v>
      </c>
      <c r="EV18" s="3807">
        <f t="shared" si="93"/>
        <v>1246383.1619047618</v>
      </c>
      <c r="EW18" s="3807">
        <f t="shared" si="93"/>
        <v>-5.8333334382041357E-3</v>
      </c>
      <c r="EX18" s="3807">
        <f t="shared" si="93"/>
        <v>278412.00267295598</v>
      </c>
      <c r="EY18" s="3807">
        <f t="shared" si="93"/>
        <v>278412.00943396229</v>
      </c>
      <c r="EZ18" s="3807">
        <f t="shared" si="93"/>
        <v>278412.00943396223</v>
      </c>
      <c r="FA18" s="3807">
        <f t="shared" si="93"/>
        <v>6.7610062642415869E-3</v>
      </c>
      <c r="FB18" s="3807">
        <f t="shared" si="93"/>
        <v>1456670.7077380952</v>
      </c>
      <c r="FC18" s="3807">
        <f t="shared" si="93"/>
        <v>1477949.7979125895</v>
      </c>
      <c r="FD18" s="3807">
        <f t="shared" si="93"/>
        <v>1477949.7979125895</v>
      </c>
      <c r="FE18" s="3807">
        <f t="shared" si="93"/>
        <v>21279.090174494333</v>
      </c>
      <c r="FF18" s="3807">
        <f t="shared" si="93"/>
        <v>278412.00267295598</v>
      </c>
      <c r="FG18" s="3807">
        <f t="shared" si="93"/>
        <v>278412.00943396229</v>
      </c>
      <c r="FH18" s="3807">
        <f t="shared" si="93"/>
        <v>278412.00943396223</v>
      </c>
      <c r="FI18" s="3807">
        <f t="shared" si="93"/>
        <v>6.7610062642415869E-3</v>
      </c>
      <c r="FJ18" s="3807">
        <f t="shared" si="93"/>
        <v>1427483.5216825393</v>
      </c>
      <c r="FK18" s="3807">
        <f t="shared" si="93"/>
        <v>1427483.517964775</v>
      </c>
      <c r="FL18" s="3807">
        <f t="shared" si="93"/>
        <v>1427483.5237312461</v>
      </c>
      <c r="FM18" s="3807">
        <f t="shared" si="93"/>
        <v>2.0487066940404475E-3</v>
      </c>
      <c r="FN18" s="3807">
        <f t="shared" si="93"/>
        <v>278412.00267295598</v>
      </c>
      <c r="FO18" s="3807">
        <f t="shared" si="93"/>
        <v>278412.00943396229</v>
      </c>
      <c r="FP18" s="3807">
        <f t="shared" si="93"/>
        <v>278412.00943396229</v>
      </c>
      <c r="FQ18" s="3807">
        <f t="shared" si="93"/>
        <v>6.7610062933454174E-3</v>
      </c>
      <c r="FR18" s="3807">
        <f t="shared" si="93"/>
        <v>1249319.2294920625</v>
      </c>
      <c r="FS18" s="3807">
        <f t="shared" si="93"/>
        <v>1249319.2286497066</v>
      </c>
      <c r="FT18" s="3807">
        <f t="shared" si="93"/>
        <v>1249319.2286497066</v>
      </c>
      <c r="FU18" s="3807">
        <f t="shared" si="93"/>
        <v>-8.4235597387305461E-4</v>
      </c>
      <c r="FV18" s="3807">
        <f t="shared" si="93"/>
        <v>368490.80318396224</v>
      </c>
      <c r="FW18" s="3807">
        <f t="shared" si="93"/>
        <v>278412.00943396229</v>
      </c>
      <c r="FX18" s="3807">
        <f t="shared" si="93"/>
        <v>278412.00943396223</v>
      </c>
      <c r="FY18" s="3807">
        <f t="shared" si="93"/>
        <v>-90078.793750000026</v>
      </c>
      <c r="FZ18" s="3807">
        <f t="shared" si="93"/>
        <v>1744953.7561111106</v>
      </c>
      <c r="GA18" s="3807">
        <f t="shared" si="93"/>
        <v>1744953.7523809525</v>
      </c>
      <c r="GB18" s="3807">
        <f t="shared" si="93"/>
        <v>1744953.7523809522</v>
      </c>
      <c r="GC18" s="3807">
        <f t="shared" si="93"/>
        <v>-3.7301582560758106E-3</v>
      </c>
      <c r="GD18" s="3807">
        <f t="shared" si="93"/>
        <v>458092.31454402511</v>
      </c>
      <c r="GE18" s="3807">
        <f t="shared" si="93"/>
        <v>278412.00943396229</v>
      </c>
      <c r="GF18" s="3807">
        <f t="shared" si="93"/>
        <v>278412.00943396223</v>
      </c>
      <c r="GG18" s="3807">
        <f t="shared" si="93"/>
        <v>-179680.30511006294</v>
      </c>
      <c r="GH18" s="3807">
        <f t="shared" si="93"/>
        <v>1744953.7561111106</v>
      </c>
      <c r="GI18" s="3807">
        <f t="shared" si="93"/>
        <v>1744953.7523809525</v>
      </c>
      <c r="GJ18" s="3807">
        <f t="shared" si="93"/>
        <v>1744953.7523809522</v>
      </c>
      <c r="GK18" s="3807">
        <f t="shared" si="93"/>
        <v>-3.7301583142834716E-3</v>
      </c>
      <c r="GL18" s="3807">
        <f t="shared" si="93"/>
        <v>458092.31454402511</v>
      </c>
      <c r="GM18" s="3807">
        <f t="shared" si="93"/>
        <v>278412.00943396229</v>
      </c>
      <c r="GN18" s="3807">
        <f t="shared" si="93"/>
        <v>278412.00943396229</v>
      </c>
      <c r="GO18" s="3807">
        <f t="shared" si="93"/>
        <v>-179680.30511006291</v>
      </c>
      <c r="GP18" s="3807">
        <f t="shared" si="93"/>
        <v>2547010.3817460304</v>
      </c>
      <c r="GQ18" s="3807">
        <f t="shared" si="93"/>
        <v>1744953.7523809525</v>
      </c>
      <c r="GR18" s="3807">
        <f t="shared" ref="GR18:JC18" si="94">SUM(GR4:GR17)</f>
        <v>1744953.7523809522</v>
      </c>
      <c r="GS18" s="3807">
        <f t="shared" si="94"/>
        <v>-802056.62936507817</v>
      </c>
      <c r="GT18" s="3807">
        <f t="shared" si="94"/>
        <v>458092.31454402511</v>
      </c>
      <c r="GU18" s="3807">
        <f t="shared" si="94"/>
        <v>285863.15637115529</v>
      </c>
      <c r="GV18" s="3807">
        <f t="shared" si="94"/>
        <v>285863.15637115535</v>
      </c>
      <c r="GW18" s="3807">
        <f t="shared" si="94"/>
        <v>-172229.15817286985</v>
      </c>
      <c r="GX18" s="3807">
        <f t="shared" si="94"/>
        <v>2547010.3817460304</v>
      </c>
      <c r="GY18" s="3807">
        <f t="shared" si="94"/>
        <v>1825161.4302152642</v>
      </c>
      <c r="GZ18" s="3807">
        <f t="shared" si="94"/>
        <v>1825161.4302152642</v>
      </c>
      <c r="HA18" s="3807">
        <f t="shared" si="94"/>
        <v>-721848.95153076644</v>
      </c>
      <c r="HB18" s="3807">
        <f t="shared" si="94"/>
        <v>458092.31454402511</v>
      </c>
      <c r="HC18" s="3807">
        <f t="shared" si="94"/>
        <v>299158.36792452831</v>
      </c>
      <c r="HD18" s="3807">
        <f t="shared" si="94"/>
        <v>299158.36792452831</v>
      </c>
      <c r="HE18" s="3807">
        <f t="shared" si="94"/>
        <v>-158933.94661949688</v>
      </c>
      <c r="HF18" s="3807">
        <f t="shared" si="94"/>
        <v>2547010.3817460304</v>
      </c>
      <c r="HG18" s="3807">
        <f t="shared" si="94"/>
        <v>1859940.4285714286</v>
      </c>
      <c r="HH18" s="3807">
        <f t="shared" si="94"/>
        <v>1859940.4285714286</v>
      </c>
      <c r="HI18" s="3807">
        <f t="shared" si="94"/>
        <v>-687069.95317460212</v>
      </c>
      <c r="HJ18" s="3807">
        <f t="shared" si="94"/>
        <v>458092.31454402511</v>
      </c>
      <c r="HK18" s="3807">
        <f t="shared" si="94"/>
        <v>299158.36792452831</v>
      </c>
      <c r="HL18" s="3807">
        <f t="shared" si="94"/>
        <v>299158.36792452831</v>
      </c>
      <c r="HM18" s="3807">
        <f t="shared" si="94"/>
        <v>-158933.94661949688</v>
      </c>
      <c r="HN18" s="3807">
        <f t="shared" si="94"/>
        <v>2547010.3817460304</v>
      </c>
      <c r="HO18" s="3807">
        <f t="shared" si="94"/>
        <v>1820515.2666666666</v>
      </c>
      <c r="HP18" s="3807">
        <f t="shared" si="94"/>
        <v>1820515.2666666666</v>
      </c>
      <c r="HQ18" s="3807">
        <f t="shared" si="94"/>
        <v>-726495.11507936404</v>
      </c>
      <c r="HR18" s="3807">
        <f t="shared" si="94"/>
        <v>458092.31454402511</v>
      </c>
      <c r="HS18" s="3807">
        <f t="shared" si="94"/>
        <v>292217.4339622641</v>
      </c>
      <c r="HT18" s="3807">
        <f t="shared" si="94"/>
        <v>292217.43396226416</v>
      </c>
      <c r="HU18" s="3807">
        <f t="shared" si="94"/>
        <v>-165874.88058176104</v>
      </c>
      <c r="HV18" s="3807">
        <f t="shared" si="94"/>
        <v>2547010.3817460304</v>
      </c>
      <c r="HW18" s="3807">
        <f t="shared" si="94"/>
        <v>1820515.2666666666</v>
      </c>
      <c r="HX18" s="3807">
        <f t="shared" si="94"/>
        <v>767938.10254403134</v>
      </c>
      <c r="HY18" s="3807">
        <f t="shared" si="94"/>
        <v>-1779072.2792019995</v>
      </c>
      <c r="HZ18" s="3807">
        <f t="shared" si="94"/>
        <v>458092.31454402511</v>
      </c>
      <c r="IA18" s="3807">
        <f t="shared" si="94"/>
        <v>292217.4339622641</v>
      </c>
      <c r="IB18" s="3807">
        <f t="shared" si="94"/>
        <v>145345.15440682345</v>
      </c>
      <c r="IC18" s="3807">
        <f t="shared" si="94"/>
        <v>-312747.16013720166</v>
      </c>
      <c r="ID18" s="3807">
        <f t="shared" si="94"/>
        <v>2555772.3625793643</v>
      </c>
      <c r="IE18" s="3807">
        <f t="shared" si="94"/>
        <v>1588948.6306588389</v>
      </c>
      <c r="IF18" s="3807">
        <f t="shared" si="94"/>
        <v>300869.59256360075</v>
      </c>
      <c r="IG18" s="3807">
        <f t="shared" si="94"/>
        <v>-2254902.7700157636</v>
      </c>
      <c r="IH18" s="3807">
        <f t="shared" si="94"/>
        <v>458092.31454402511</v>
      </c>
      <c r="II18" s="3807">
        <f t="shared" si="94"/>
        <v>292217.4339622641</v>
      </c>
      <c r="IJ18" s="3807">
        <f t="shared" si="94"/>
        <v>58227.847376583086</v>
      </c>
      <c r="IK18" s="3807">
        <f t="shared" si="94"/>
        <v>-399864.46716744208</v>
      </c>
      <c r="IL18" s="3807">
        <f t="shared" si="94"/>
        <v>0</v>
      </c>
      <c r="IM18" s="3807">
        <f t="shared" si="94"/>
        <v>2698793.8818525765</v>
      </c>
      <c r="IN18" s="3807">
        <f t="shared" si="94"/>
        <v>502144.7133367795</v>
      </c>
      <c r="IO18" s="3807">
        <f t="shared" si="94"/>
        <v>0</v>
      </c>
      <c r="IP18" s="3807">
        <f t="shared" si="94"/>
        <v>34778.998356164382</v>
      </c>
      <c r="IQ18" s="3807">
        <f t="shared" si="94"/>
        <v>34778.998356164382</v>
      </c>
      <c r="IR18" s="3807">
        <f t="shared" si="94"/>
        <v>0</v>
      </c>
      <c r="IS18" s="3807">
        <f t="shared" si="94"/>
        <v>0</v>
      </c>
      <c r="IT18" s="3807">
        <f t="shared" si="94"/>
        <v>0</v>
      </c>
      <c r="IU18" s="3807">
        <f t="shared" si="94"/>
        <v>0</v>
      </c>
      <c r="IV18" s="3807">
        <f t="shared" si="94"/>
        <v>0</v>
      </c>
      <c r="IW18" s="3807">
        <f t="shared" si="94"/>
        <v>0</v>
      </c>
      <c r="IX18" s="3807">
        <f t="shared" si="94"/>
        <v>0</v>
      </c>
      <c r="IY18" s="3807">
        <f t="shared" si="94"/>
        <v>0</v>
      </c>
      <c r="IZ18" s="3807">
        <f t="shared" si="94"/>
        <v>0</v>
      </c>
      <c r="JA18" s="3807">
        <f t="shared" si="94"/>
        <v>0</v>
      </c>
      <c r="JB18" s="3807">
        <f t="shared" si="94"/>
        <v>0</v>
      </c>
      <c r="JC18" s="3807">
        <f t="shared" si="94"/>
        <v>6354.2775911088138</v>
      </c>
      <c r="JD18" s="3807">
        <f t="shared" ref="JD18:JV18" si="95">SUM(JD4:JD17)</f>
        <v>6354.2775911088138</v>
      </c>
      <c r="JE18" s="3807">
        <f t="shared" si="95"/>
        <v>0</v>
      </c>
      <c r="JF18" s="3807">
        <f t="shared" si="95"/>
        <v>0</v>
      </c>
      <c r="JG18" s="3807">
        <f t="shared" si="95"/>
        <v>0</v>
      </c>
      <c r="JH18" s="3807">
        <f t="shared" si="95"/>
        <v>0</v>
      </c>
      <c r="JI18" s="3807">
        <f t="shared" si="95"/>
        <v>0</v>
      </c>
      <c r="JJ18" s="3807">
        <f t="shared" si="95"/>
        <v>0</v>
      </c>
      <c r="JK18" s="3807">
        <f t="shared" si="95"/>
        <v>0</v>
      </c>
      <c r="JL18" s="3807">
        <f t="shared" si="95"/>
        <v>0</v>
      </c>
      <c r="JM18" s="3807">
        <f t="shared" si="95"/>
        <v>0</v>
      </c>
      <c r="JN18" s="3807">
        <f t="shared" si="95"/>
        <v>0</v>
      </c>
      <c r="JO18" s="3807">
        <f t="shared" si="95"/>
        <v>0</v>
      </c>
      <c r="JP18" s="3807">
        <f t="shared" si="95"/>
        <v>0</v>
      </c>
      <c r="JQ18" s="3807">
        <f t="shared" si="95"/>
        <v>1938759.7501630788</v>
      </c>
      <c r="JR18" s="3807">
        <f t="shared" si="95"/>
        <v>454374.16216076503</v>
      </c>
      <c r="JS18" s="3807">
        <f t="shared" si="95"/>
        <v>-1.1641532182693481E-10</v>
      </c>
      <c r="JT18" s="3807">
        <f t="shared" si="95"/>
        <v>-1.5097612049430609E-10</v>
      </c>
      <c r="JU18" s="3807">
        <f t="shared" si="95"/>
        <v>9.0221874415874481E-10</v>
      </c>
      <c r="JV18" s="3807">
        <f t="shared" si="95"/>
        <v>-2.0008883439004421E-11</v>
      </c>
      <c r="JX18" s="3700">
        <f>SUM(JX4:JX17)</f>
        <v>2924101.9601304629</v>
      </c>
      <c r="JY18" s="3700">
        <f>SUM(JY4:JY17)</f>
        <v>502144.7133367795</v>
      </c>
      <c r="JZ18" s="3577"/>
      <c r="KA18" s="3700">
        <f>SUM(KA4:KA17)</f>
        <v>-846003.90057464736</v>
      </c>
      <c r="KB18" s="3700">
        <f>SUM(KB4:KB17)</f>
        <v>0</v>
      </c>
      <c r="KC18" s="3700">
        <f>SUM(KC4:KC17)</f>
        <v>0</v>
      </c>
      <c r="KD18" s="3700">
        <f>SUM(KD4:KD17)</f>
        <v>-846003.90057464736</v>
      </c>
      <c r="KE18" s="3700"/>
      <c r="KF18" s="3705">
        <f t="shared" ref="KF18:KP18" si="96">SUM(KF4:KF17)</f>
        <v>4.6366100000000001</v>
      </c>
      <c r="KG18" s="3705">
        <f t="shared" si="96"/>
        <v>3.6342219999999994</v>
      </c>
      <c r="KH18" s="3705">
        <f t="shared" si="96"/>
        <v>0</v>
      </c>
      <c r="KI18" s="3705">
        <f t="shared" si="96"/>
        <v>0</v>
      </c>
      <c r="KJ18" s="3705">
        <f t="shared" si="96"/>
        <v>0</v>
      </c>
      <c r="KK18" s="3705">
        <f t="shared" si="96"/>
        <v>0</v>
      </c>
      <c r="KL18" s="3705">
        <f t="shared" si="96"/>
        <v>-319.84151299999996</v>
      </c>
      <c r="KM18" s="3705">
        <f t="shared" si="96"/>
        <v>0</v>
      </c>
      <c r="KN18" s="3705">
        <f t="shared" si="96"/>
        <v>-1.3499898356164381</v>
      </c>
      <c r="KO18" s="3808">
        <f t="shared" si="96"/>
        <v>-312.92067083561642</v>
      </c>
      <c r="KP18" s="3808">
        <f t="shared" si="96"/>
        <v>-2.6182726059705594E-3</v>
      </c>
      <c r="KQ18" s="3713"/>
      <c r="KR18" s="3713"/>
      <c r="KS18" s="3580"/>
    </row>
    <row r="19" spans="1:16368" s="3580" customFormat="1" ht="17.100000000000001" customHeight="1">
      <c r="A19" s="3507"/>
      <c r="B19" s="3507"/>
      <c r="C19" s="3673" t="s">
        <v>4900</v>
      </c>
      <c r="D19" s="3575">
        <v>206.35</v>
      </c>
      <c r="E19" s="3580" t="s">
        <v>4901</v>
      </c>
      <c r="F19" s="3507"/>
      <c r="G19" s="3517"/>
      <c r="H19" s="3517"/>
      <c r="K19" s="3507"/>
      <c r="L19" s="3507"/>
      <c r="M19" s="3508"/>
      <c r="N19" s="3508"/>
      <c r="O19" s="3508"/>
      <c r="P19" s="3508"/>
      <c r="Q19" s="3508"/>
      <c r="R19" s="3508"/>
      <c r="S19" s="3508"/>
      <c r="T19" s="3508"/>
      <c r="U19" s="3508"/>
      <c r="V19" s="3508"/>
      <c r="W19" s="3508"/>
      <c r="X19" s="3508"/>
      <c r="Y19" s="3508"/>
      <c r="Z19" s="3508"/>
      <c r="AA19" s="3507"/>
      <c r="AB19" s="3507"/>
      <c r="AC19" s="3574">
        <f>SUM(AN19,AV19,BD19,BL19,BT19,CB19,CJ19,CR19,CZ19,DH19,DP19,DX19)</f>
        <v>85000</v>
      </c>
      <c r="AD19" s="3609">
        <f>SUM(AN19,AV19,BD19,BL19)</f>
        <v>85000</v>
      </c>
      <c r="AE19" s="3562">
        <f>SUM(AO19,AW19,BE19,BM19)</f>
        <v>85000</v>
      </c>
      <c r="AF19" s="3574">
        <f>AE19-AD19</f>
        <v>0</v>
      </c>
      <c r="AG19" s="3809"/>
      <c r="AH19" s="3574">
        <f>SUM(AQ19,AY19,BG19,BO19,BW19,CE19,CM19,CU19,DC19,DK19,DS19,EA19)</f>
        <v>0</v>
      </c>
      <c r="AI19" s="3547">
        <f>SUM(AQ19,AY19,BG19,BO19)</f>
        <v>0</v>
      </c>
      <c r="AJ19" s="3547">
        <f>SUM(AR19,AZ19,BH19,BP19)</f>
        <v>0</v>
      </c>
      <c r="AK19" s="3574">
        <f>AJ19-AI19</f>
        <v>0</v>
      </c>
      <c r="AL19" s="3809"/>
      <c r="AM19" s="3575"/>
      <c r="AN19" s="3810"/>
      <c r="AO19" s="3755"/>
      <c r="AP19" s="3742"/>
      <c r="AQ19" s="3810"/>
      <c r="AR19" s="3755"/>
      <c r="AS19" s="3575"/>
      <c r="AT19" s="3575"/>
      <c r="AU19" s="3689" t="s">
        <v>5070</v>
      </c>
      <c r="AV19" s="3609">
        <v>85000</v>
      </c>
      <c r="AW19" s="3562">
        <v>85000</v>
      </c>
      <c r="AX19" s="3561">
        <f>AW19-AV19</f>
        <v>0</v>
      </c>
      <c r="AY19" s="3559"/>
      <c r="AZ19" s="3562"/>
      <c r="BA19" s="3561">
        <f>AZ19-AY19</f>
        <v>0</v>
      </c>
      <c r="BB19" s="3686" t="s">
        <v>5071</v>
      </c>
      <c r="BC19" s="3575"/>
      <c r="BD19" s="3810"/>
      <c r="BE19" s="3811"/>
      <c r="BF19" s="3742"/>
      <c r="BG19" s="3742"/>
      <c r="BH19" s="3742"/>
      <c r="BI19" s="3742"/>
      <c r="BJ19" s="3575"/>
      <c r="BK19" s="3575"/>
      <c r="BL19" s="3810"/>
      <c r="BM19" s="3755"/>
      <c r="BN19" s="3742"/>
      <c r="BO19" s="3810"/>
      <c r="BP19" s="3755"/>
      <c r="BQ19" s="3742"/>
      <c r="BR19" s="3575"/>
      <c r="BS19" s="3575"/>
      <c r="BT19" s="3810"/>
      <c r="BU19" s="3755"/>
      <c r="BV19" s="3742"/>
      <c r="BW19" s="3810"/>
      <c r="BX19" s="3755"/>
      <c r="BY19" s="3742"/>
      <c r="BZ19" s="3575"/>
      <c r="CA19" s="3575"/>
      <c r="CB19" s="3810"/>
      <c r="CC19" s="3755"/>
      <c r="CD19" s="3575"/>
      <c r="CE19" s="3810"/>
      <c r="CF19" s="3755"/>
      <c r="CG19" s="3575"/>
      <c r="CH19" s="3575"/>
      <c r="CI19" s="3575"/>
      <c r="CJ19" s="3810"/>
      <c r="CK19" s="3755"/>
      <c r="CL19" s="3575"/>
      <c r="CM19" s="3575"/>
      <c r="CN19" s="3755"/>
      <c r="CO19" s="3575"/>
      <c r="CP19" s="3575"/>
      <c r="CQ19" s="3575"/>
      <c r="CR19" s="3810"/>
      <c r="CS19" s="3755"/>
      <c r="CT19" s="3575"/>
      <c r="CU19" s="3810"/>
      <c r="CV19" s="3755"/>
      <c r="CW19" s="3575"/>
      <c r="CX19" s="3575"/>
      <c r="CY19" s="3575"/>
      <c r="CZ19" s="3810"/>
      <c r="DA19" s="3755"/>
      <c r="DB19" s="3575"/>
      <c r="DC19" s="3810"/>
      <c r="DD19" s="3755"/>
      <c r="DE19" s="3575"/>
      <c r="DF19" s="3575"/>
      <c r="DG19" s="3575"/>
      <c r="DH19" s="3810"/>
      <c r="DI19" s="3755"/>
      <c r="DJ19" s="3575"/>
      <c r="DK19" s="3810"/>
      <c r="DL19" s="3755"/>
      <c r="DM19" s="3575"/>
      <c r="DN19" s="3812"/>
      <c r="DO19" s="3575"/>
      <c r="DP19" s="3810"/>
      <c r="DQ19" s="3755"/>
      <c r="DR19" s="3575"/>
      <c r="DS19" s="3810"/>
      <c r="DT19" s="3755"/>
      <c r="DU19" s="3575"/>
      <c r="DV19" s="3812"/>
      <c r="DW19" s="3575"/>
      <c r="DX19" s="3810"/>
      <c r="DY19" s="3755"/>
      <c r="DZ19" s="3575"/>
      <c r="EA19" s="3810"/>
      <c r="EB19" s="3755"/>
      <c r="EC19" s="3575"/>
      <c r="ED19" s="3575"/>
      <c r="EE19" s="3813" t="s">
        <v>4904</v>
      </c>
      <c r="EF19" s="3814">
        <f>SUM(ET19,FB19,FJ19,FR19,FZ19,GH19,GP19,GX19,HF19,HN19,HV19,ID19)</f>
        <v>0</v>
      </c>
      <c r="EG19" s="3814">
        <f t="shared" ref="EG19:EI19" si="97">SUM(ET19,FB19,FJ19,FR19,FZ19,GH19,GP19)</f>
        <v>0</v>
      </c>
      <c r="EH19" s="3814">
        <f t="shared" si="97"/>
        <v>80188.679245283012</v>
      </c>
      <c r="EI19" s="3814">
        <f t="shared" si="97"/>
        <v>80188.679245283012</v>
      </c>
      <c r="EJ19" s="3814">
        <f>EI19-EG19</f>
        <v>80188.679245283012</v>
      </c>
      <c r="EK19" s="3814">
        <f>EI19-EH19</f>
        <v>0</v>
      </c>
      <c r="EL19" s="3815"/>
      <c r="EM19" s="3547">
        <f>SUM(EX19,FF19,FN19,FV19,GD19,GL19,GT19,HB19,HJ19,HR19,HZ19,IH19)</f>
        <v>0</v>
      </c>
      <c r="EN19" s="3547">
        <f t="shared" ref="EN19:EP19" si="98">SUM(EX19,FF19,FN19,FV19,GD19,GL19,GT19)</f>
        <v>0</v>
      </c>
      <c r="EO19" s="3547">
        <f t="shared" si="98"/>
        <v>0</v>
      </c>
      <c r="EP19" s="3547">
        <f t="shared" si="98"/>
        <v>0</v>
      </c>
      <c r="EQ19" s="3547">
        <f>EP19-EN19</f>
        <v>0</v>
      </c>
      <c r="ER19" s="3547">
        <f>EP19-EO19</f>
        <v>0</v>
      </c>
      <c r="ES19" s="3547"/>
      <c r="ET19" s="3509"/>
      <c r="EU19" s="3510"/>
      <c r="EV19" s="3768"/>
      <c r="EW19" s="3511"/>
      <c r="EX19" s="3509"/>
      <c r="EY19" s="3510"/>
      <c r="EZ19" s="3510"/>
      <c r="FA19" s="3511"/>
      <c r="FB19" s="3568"/>
      <c r="FC19" s="3569">
        <f>85000/1.06</f>
        <v>80188.679245283012</v>
      </c>
      <c r="FD19" s="3562">
        <f>85000/1.06</f>
        <v>80188.679245283012</v>
      </c>
      <c r="FE19" s="3547">
        <f>FD19-FB19</f>
        <v>80188.679245283012</v>
      </c>
      <c r="FF19" s="3568"/>
      <c r="FG19" s="3569"/>
      <c r="FH19" s="3562"/>
      <c r="FI19" s="3547">
        <f>FH19-FF19</f>
        <v>0</v>
      </c>
      <c r="FJ19" s="3509"/>
      <c r="FK19" s="3510"/>
      <c r="FL19" s="3816"/>
      <c r="FM19" s="3511"/>
      <c r="FN19" s="3509"/>
      <c r="FO19" s="3510"/>
      <c r="FP19" s="3510"/>
      <c r="FQ19" s="3511"/>
      <c r="FR19" s="3509"/>
      <c r="FS19" s="3510"/>
      <c r="FT19" s="3510"/>
      <c r="FU19" s="3511"/>
      <c r="FV19" s="3509"/>
      <c r="FW19" s="3510"/>
      <c r="FX19" s="3510"/>
      <c r="FY19" s="3511"/>
      <c r="FZ19" s="3509"/>
      <c r="GA19" s="3510"/>
      <c r="GB19" s="3510"/>
      <c r="GC19" s="3511"/>
      <c r="GD19" s="3509"/>
      <c r="GE19" s="3510"/>
      <c r="GF19" s="3510"/>
      <c r="GG19" s="3511"/>
      <c r="GH19" s="3509"/>
      <c r="GI19" s="3510"/>
      <c r="GJ19" s="3510"/>
      <c r="GK19" s="3511"/>
      <c r="GL19" s="3509"/>
      <c r="GM19" s="3510"/>
      <c r="GN19" s="3510"/>
      <c r="GO19" s="3511"/>
      <c r="GP19" s="3509"/>
      <c r="GQ19" s="3510"/>
      <c r="GR19" s="3510"/>
      <c r="GS19" s="3511"/>
      <c r="GT19" s="3509"/>
      <c r="GU19" s="3510"/>
      <c r="GV19" s="3510"/>
      <c r="GW19" s="3511"/>
      <c r="GX19" s="3509"/>
      <c r="GY19" s="3510"/>
      <c r="GZ19" s="3510"/>
      <c r="HA19" s="3511"/>
      <c r="HB19" s="3509"/>
      <c r="HC19" s="3510"/>
      <c r="HD19" s="3510"/>
      <c r="HE19" s="3511"/>
      <c r="HF19" s="3509"/>
      <c r="HG19" s="3510"/>
      <c r="HH19" s="3510"/>
      <c r="HI19" s="3511"/>
      <c r="HJ19" s="3509"/>
      <c r="HK19" s="3510"/>
      <c r="HL19" s="3510"/>
      <c r="HM19" s="3511"/>
      <c r="HN19" s="3509"/>
      <c r="HO19" s="3510"/>
      <c r="HP19" s="3510"/>
      <c r="HQ19" s="3511"/>
      <c r="HR19" s="3509"/>
      <c r="HS19" s="3510"/>
      <c r="HT19" s="3510"/>
      <c r="HU19" s="3511"/>
      <c r="HV19" s="3509"/>
      <c r="HW19" s="3510"/>
      <c r="HX19" s="3510"/>
      <c r="HY19" s="3511"/>
      <c r="HZ19" s="3509"/>
      <c r="IA19" s="3510"/>
      <c r="IB19" s="3510"/>
      <c r="IC19" s="3511"/>
      <c r="ID19" s="3509"/>
      <c r="IE19" s="3510"/>
      <c r="IF19" s="3510"/>
      <c r="IG19" s="3511"/>
      <c r="IH19" s="3509"/>
      <c r="II19" s="3510"/>
      <c r="IJ19" s="3510"/>
      <c r="IK19" s="3511"/>
      <c r="IL19" s="3517"/>
      <c r="IM19" s="3516"/>
      <c r="IN19" s="3516"/>
      <c r="IO19" s="3507"/>
      <c r="IP19" s="3515"/>
      <c r="IQ19" s="3515"/>
      <c r="IR19" s="3515"/>
      <c r="IS19" s="3515"/>
      <c r="IT19" s="3515"/>
      <c r="IU19" s="3515"/>
      <c r="IV19" s="3515"/>
      <c r="IW19" s="3515"/>
      <c r="IX19" s="3515"/>
      <c r="IY19" s="3515"/>
      <c r="IZ19" s="3515"/>
      <c r="JA19" s="3515"/>
      <c r="JB19" s="3515"/>
      <c r="JC19" s="3515"/>
      <c r="JD19" s="3515"/>
      <c r="JE19" s="3515"/>
      <c r="JF19" s="3515"/>
      <c r="JG19" s="3515"/>
      <c r="JH19" s="3515"/>
      <c r="JI19" s="3515"/>
      <c r="JJ19" s="3515"/>
      <c r="JK19" s="3515"/>
      <c r="JL19" s="3515"/>
      <c r="JM19" s="3515"/>
      <c r="JN19" s="3515"/>
      <c r="JO19" s="3515"/>
      <c r="JP19" s="3507"/>
      <c r="JQ19" s="3516"/>
      <c r="JR19" s="3516"/>
      <c r="JS19" s="3507"/>
      <c r="JT19" s="3507"/>
      <c r="JU19" s="3507"/>
      <c r="JV19" s="3507"/>
      <c r="JW19" s="3507"/>
      <c r="JX19" s="3518">
        <f>JX18+[3]北辛安!JX12+[3]科贸项目!JX14+[3]科贸项目!JX31+[3]海兴项目!JX31+[3]海兴项目!JX46</f>
        <v>6191228.6183775906</v>
      </c>
      <c r="JY19" s="3518">
        <f>[3]北辛安!JY12+[3]科贸项目!JY14+[3]科贸项目!JY31+[3]海兴项目!JY31+[3]海兴项目!JY46</f>
        <v>978449.69992246118</v>
      </c>
      <c r="JZ19" s="3516"/>
      <c r="KA19" s="3547"/>
      <c r="KB19" s="3576"/>
      <c r="KC19" s="3576"/>
      <c r="KD19" s="3576">
        <f>SUM(KA19:KC19)</f>
        <v>0</v>
      </c>
      <c r="KE19" s="3817"/>
      <c r="KF19" s="3577"/>
      <c r="KG19" s="3577"/>
      <c r="KH19" s="3577"/>
      <c r="KI19" s="3577"/>
      <c r="KJ19" s="3577"/>
      <c r="KK19" s="3577"/>
      <c r="KL19" s="3577"/>
      <c r="KM19" s="3577"/>
      <c r="KN19" s="3577"/>
      <c r="KO19" s="3562">
        <f>85000/1.06/10000</f>
        <v>8.0188679245283012</v>
      </c>
      <c r="KP19" s="3793" t="s">
        <v>5072</v>
      </c>
      <c r="KQ19" s="3516"/>
      <c r="KR19" s="3516"/>
      <c r="KS19" s="3507"/>
      <c r="KT19" s="3507"/>
      <c r="KU19" s="3507"/>
      <c r="KV19" s="3507"/>
      <c r="KW19" s="3507"/>
      <c r="KX19" s="3507"/>
      <c r="KY19" s="3507"/>
      <c r="KZ19" s="3507"/>
      <c r="LA19" s="3507"/>
      <c r="LB19" s="3507"/>
      <c r="LC19" s="3507"/>
      <c r="LD19" s="3507"/>
      <c r="LE19" s="3507"/>
      <c r="LF19" s="3507"/>
      <c r="LG19" s="3507"/>
      <c r="LH19" s="3507"/>
      <c r="LI19" s="3507"/>
      <c r="LJ19" s="3507"/>
      <c r="LK19" s="3507"/>
      <c r="LL19" s="3507"/>
      <c r="LM19" s="3507"/>
      <c r="LN19" s="3507"/>
      <c r="LO19" s="3507"/>
      <c r="LP19" s="3507"/>
      <c r="LQ19" s="3507"/>
      <c r="LR19" s="3507"/>
      <c r="LS19" s="3507"/>
      <c r="LT19" s="3507"/>
      <c r="LU19" s="3507"/>
      <c r="LV19" s="3507"/>
      <c r="LW19" s="3507"/>
      <c r="LX19" s="3507"/>
      <c r="LY19" s="3507"/>
      <c r="LZ19" s="3507"/>
      <c r="MA19" s="3507"/>
      <c r="MB19" s="3507"/>
      <c r="MC19" s="3507"/>
      <c r="MD19" s="3507"/>
      <c r="ME19" s="3507"/>
      <c r="MF19" s="3507"/>
      <c r="MG19" s="3507"/>
      <c r="MH19" s="3507"/>
      <c r="MI19" s="3507"/>
      <c r="MJ19" s="3507"/>
      <c r="MK19" s="3507"/>
      <c r="ML19" s="3507"/>
      <c r="MM19" s="3507"/>
      <c r="MN19" s="3507"/>
      <c r="MO19" s="3507"/>
      <c r="MP19" s="3507"/>
      <c r="MQ19" s="3507"/>
      <c r="MR19" s="3507"/>
      <c r="MS19" s="3507"/>
      <c r="MT19" s="3507"/>
      <c r="MU19" s="3507"/>
      <c r="MV19" s="3507"/>
      <c r="MW19" s="3507"/>
      <c r="MX19" s="3507"/>
      <c r="MY19" s="3507"/>
      <c r="MZ19" s="3507"/>
      <c r="NA19" s="3507"/>
      <c r="NB19" s="3507"/>
      <c r="NC19" s="3507"/>
      <c r="ND19" s="3507"/>
      <c r="NE19" s="3507"/>
      <c r="NF19" s="3507"/>
      <c r="NG19" s="3507"/>
      <c r="NH19" s="3507"/>
      <c r="NI19" s="3507"/>
      <c r="NJ19" s="3507"/>
      <c r="NK19" s="3507"/>
      <c r="NL19" s="3507"/>
      <c r="NM19" s="3507"/>
      <c r="NN19" s="3507"/>
      <c r="NO19" s="3507"/>
      <c r="NP19" s="3507"/>
      <c r="NQ19" s="3507"/>
      <c r="NR19" s="3507"/>
      <c r="NS19" s="3507"/>
      <c r="NT19" s="3507"/>
      <c r="NU19" s="3507"/>
      <c r="NV19" s="3507"/>
      <c r="NW19" s="3507"/>
      <c r="NX19" s="3507"/>
      <c r="NY19" s="3507"/>
      <c r="NZ19" s="3507"/>
      <c r="OA19" s="3507"/>
      <c r="OB19" s="3507"/>
      <c r="OC19" s="3507"/>
      <c r="OD19" s="3507"/>
      <c r="OE19" s="3507"/>
      <c r="OF19" s="3507"/>
      <c r="OG19" s="3507"/>
      <c r="OH19" s="3507"/>
      <c r="OI19" s="3507"/>
      <c r="OJ19" s="3507"/>
      <c r="OK19" s="3507"/>
      <c r="OL19" s="3507"/>
      <c r="OM19" s="3507"/>
      <c r="ON19" s="3507"/>
      <c r="OO19" s="3507"/>
      <c r="OP19" s="3507"/>
      <c r="OQ19" s="3507"/>
      <c r="OR19" s="3507"/>
      <c r="OS19" s="3507"/>
      <c r="OT19" s="3507"/>
      <c r="OU19" s="3507"/>
      <c r="OV19" s="3507"/>
      <c r="OW19" s="3507"/>
      <c r="OX19" s="3507"/>
      <c r="OY19" s="3507"/>
      <c r="OZ19" s="3507"/>
      <c r="PA19" s="3507"/>
      <c r="PB19" s="3507"/>
      <c r="PC19" s="3507"/>
      <c r="PD19" s="3507"/>
      <c r="PE19" s="3507"/>
      <c r="PF19" s="3507"/>
      <c r="PG19" s="3507"/>
      <c r="PH19" s="3507"/>
      <c r="PI19" s="3507"/>
      <c r="PJ19" s="3507"/>
      <c r="PK19" s="3507"/>
      <c r="PL19" s="3507"/>
      <c r="PM19" s="3507"/>
      <c r="PN19" s="3507"/>
      <c r="PO19" s="3507"/>
      <c r="PP19" s="3507"/>
      <c r="PQ19" s="3507"/>
      <c r="PR19" s="3507"/>
      <c r="PS19" s="3507"/>
      <c r="PT19" s="3507"/>
      <c r="PU19" s="3507"/>
      <c r="PV19" s="3507"/>
      <c r="PW19" s="3507"/>
      <c r="PX19" s="3507"/>
      <c r="PY19" s="3507"/>
      <c r="PZ19" s="3507"/>
      <c r="QA19" s="3507"/>
      <c r="QB19" s="3507"/>
      <c r="QC19" s="3507"/>
      <c r="QD19" s="3507"/>
      <c r="QE19" s="3507"/>
      <c r="QF19" s="3507"/>
      <c r="QG19" s="3507"/>
      <c r="QH19" s="3507"/>
      <c r="QI19" s="3507"/>
      <c r="QJ19" s="3507"/>
      <c r="QK19" s="3507"/>
      <c r="QL19" s="3507"/>
      <c r="QM19" s="3507"/>
      <c r="QN19" s="3507"/>
      <c r="QO19" s="3507"/>
      <c r="QP19" s="3507"/>
      <c r="QQ19" s="3507"/>
      <c r="QR19" s="3507"/>
      <c r="QS19" s="3507"/>
      <c r="QT19" s="3507"/>
      <c r="QU19" s="3507"/>
      <c r="QV19" s="3507"/>
      <c r="QW19" s="3507"/>
      <c r="QX19" s="3507"/>
      <c r="QY19" s="3507"/>
      <c r="QZ19" s="3507"/>
      <c r="RA19" s="3507"/>
      <c r="RB19" s="3507"/>
      <c r="RC19" s="3507"/>
      <c r="RD19" s="3507"/>
      <c r="RE19" s="3507"/>
      <c r="RF19" s="3507"/>
      <c r="RG19" s="3507"/>
      <c r="RH19" s="3507"/>
      <c r="RI19" s="3507"/>
      <c r="RJ19" s="3507"/>
      <c r="RK19" s="3507"/>
      <c r="RL19" s="3507"/>
      <c r="RM19" s="3507"/>
      <c r="RN19" s="3507"/>
      <c r="RO19" s="3507"/>
      <c r="RP19" s="3507"/>
      <c r="RQ19" s="3507"/>
      <c r="RR19" s="3507"/>
      <c r="RS19" s="3507"/>
      <c r="RT19" s="3507"/>
      <c r="RU19" s="3507"/>
      <c r="RV19" s="3507"/>
      <c r="RW19" s="3507"/>
      <c r="RX19" s="3507"/>
      <c r="RY19" s="3507"/>
      <c r="RZ19" s="3507"/>
      <c r="SA19" s="3507"/>
      <c r="SB19" s="3507"/>
      <c r="SC19" s="3507"/>
      <c r="SD19" s="3507"/>
      <c r="SE19" s="3507"/>
      <c r="SF19" s="3507"/>
      <c r="SG19" s="3507"/>
      <c r="SH19" s="3507"/>
      <c r="SI19" s="3507"/>
      <c r="SJ19" s="3507"/>
      <c r="SK19" s="3507"/>
      <c r="SL19" s="3507"/>
      <c r="SM19" s="3507"/>
      <c r="SN19" s="3507"/>
      <c r="SO19" s="3507"/>
      <c r="SP19" s="3507"/>
      <c r="SQ19" s="3507"/>
      <c r="SR19" s="3507"/>
      <c r="SS19" s="3507"/>
      <c r="ST19" s="3507"/>
      <c r="SU19" s="3507"/>
      <c r="SV19" s="3507"/>
      <c r="SW19" s="3507"/>
      <c r="SX19" s="3507"/>
      <c r="SY19" s="3507"/>
      <c r="SZ19" s="3507"/>
      <c r="TA19" s="3507"/>
      <c r="TB19" s="3507"/>
      <c r="TC19" s="3507"/>
      <c r="TD19" s="3507"/>
      <c r="TE19" s="3507"/>
      <c r="TF19" s="3507"/>
      <c r="TG19" s="3507"/>
      <c r="TH19" s="3507"/>
      <c r="TI19" s="3507"/>
      <c r="TJ19" s="3507"/>
      <c r="TK19" s="3507"/>
      <c r="TL19" s="3507"/>
      <c r="TM19" s="3507"/>
      <c r="TN19" s="3507"/>
      <c r="TO19" s="3507"/>
      <c r="TP19" s="3507"/>
      <c r="TQ19" s="3507"/>
      <c r="TR19" s="3507"/>
      <c r="TS19" s="3507"/>
      <c r="TT19" s="3507"/>
      <c r="TU19" s="3507"/>
      <c r="TV19" s="3507"/>
      <c r="TW19" s="3507"/>
      <c r="TX19" s="3507"/>
      <c r="TY19" s="3507"/>
      <c r="TZ19" s="3507"/>
      <c r="UA19" s="3507"/>
      <c r="UB19" s="3507"/>
      <c r="UC19" s="3507"/>
      <c r="UD19" s="3507"/>
      <c r="UE19" s="3507"/>
      <c r="UF19" s="3507"/>
      <c r="UG19" s="3507"/>
      <c r="UH19" s="3507"/>
      <c r="UI19" s="3507"/>
      <c r="UJ19" s="3507"/>
      <c r="UK19" s="3507"/>
      <c r="UL19" s="3507"/>
      <c r="UM19" s="3507"/>
      <c r="UN19" s="3507"/>
      <c r="UO19" s="3507"/>
      <c r="UP19" s="3507"/>
      <c r="UQ19" s="3507"/>
      <c r="UR19" s="3507"/>
      <c r="US19" s="3507"/>
      <c r="UT19" s="3507"/>
      <c r="UU19" s="3507"/>
      <c r="UV19" s="3507"/>
      <c r="UW19" s="3507"/>
      <c r="UX19" s="3507"/>
      <c r="UY19" s="3507"/>
      <c r="UZ19" s="3507"/>
      <c r="VA19" s="3507"/>
      <c r="VB19" s="3507"/>
      <c r="VC19" s="3507"/>
      <c r="VD19" s="3507"/>
      <c r="VE19" s="3507"/>
      <c r="VF19" s="3507"/>
      <c r="VG19" s="3507"/>
      <c r="VH19" s="3507"/>
      <c r="VI19" s="3507"/>
      <c r="VJ19" s="3507"/>
      <c r="VK19" s="3507"/>
      <c r="VL19" s="3507"/>
      <c r="VM19" s="3507"/>
      <c r="VN19" s="3507"/>
      <c r="VO19" s="3507"/>
      <c r="VP19" s="3507"/>
      <c r="VQ19" s="3507"/>
      <c r="VR19" s="3507"/>
      <c r="VS19" s="3507"/>
      <c r="VT19" s="3507"/>
      <c r="VU19" s="3507"/>
      <c r="VV19" s="3507"/>
      <c r="VW19" s="3507"/>
      <c r="VX19" s="3507"/>
      <c r="VY19" s="3507"/>
      <c r="VZ19" s="3507"/>
      <c r="WA19" s="3507"/>
      <c r="WB19" s="3507"/>
      <c r="WC19" s="3507"/>
      <c r="WD19" s="3507"/>
      <c r="WE19" s="3507"/>
      <c r="WF19" s="3507"/>
      <c r="WG19" s="3507"/>
      <c r="WH19" s="3507"/>
      <c r="WI19" s="3507"/>
      <c r="WJ19" s="3507"/>
      <c r="WK19" s="3507"/>
      <c r="WL19" s="3507"/>
      <c r="WM19" s="3507"/>
      <c r="WN19" s="3507"/>
      <c r="WO19" s="3507"/>
      <c r="WP19" s="3507"/>
      <c r="WQ19" s="3507"/>
      <c r="WR19" s="3507"/>
      <c r="WS19" s="3507"/>
      <c r="WT19" s="3507"/>
      <c r="WU19" s="3507"/>
      <c r="WV19" s="3507"/>
      <c r="WW19" s="3507"/>
      <c r="WX19" s="3507"/>
      <c r="WY19" s="3507"/>
      <c r="WZ19" s="3507"/>
      <c r="XA19" s="3507"/>
      <c r="XB19" s="3507"/>
      <c r="XC19" s="3507"/>
      <c r="XD19" s="3507"/>
      <c r="XE19" s="3507"/>
      <c r="XF19" s="3507"/>
      <c r="XG19" s="3507"/>
      <c r="XH19" s="3507"/>
      <c r="XI19" s="3507"/>
      <c r="XJ19" s="3507"/>
      <c r="XK19" s="3507"/>
      <c r="XL19" s="3507"/>
      <c r="XM19" s="3507"/>
      <c r="XN19" s="3507"/>
      <c r="XO19" s="3507"/>
      <c r="XP19" s="3507"/>
      <c r="XQ19" s="3507"/>
      <c r="XR19" s="3507"/>
      <c r="XS19" s="3507"/>
      <c r="XT19" s="3507"/>
      <c r="XU19" s="3507"/>
      <c r="XV19" s="3507"/>
      <c r="XW19" s="3507"/>
      <c r="XX19" s="3507"/>
      <c r="XY19" s="3507"/>
      <c r="XZ19" s="3507"/>
      <c r="YA19" s="3507"/>
      <c r="YB19" s="3507"/>
      <c r="YC19" s="3507"/>
      <c r="YD19" s="3507"/>
      <c r="YE19" s="3507"/>
      <c r="YF19" s="3507"/>
      <c r="YG19" s="3507"/>
      <c r="YH19" s="3507"/>
      <c r="YI19" s="3507"/>
      <c r="YJ19" s="3507"/>
      <c r="YK19" s="3507"/>
      <c r="YL19" s="3507"/>
      <c r="YM19" s="3507"/>
      <c r="YN19" s="3507"/>
      <c r="YO19" s="3507"/>
      <c r="YP19" s="3507"/>
      <c r="YQ19" s="3507"/>
      <c r="YR19" s="3507"/>
      <c r="YS19" s="3507"/>
      <c r="YT19" s="3507"/>
      <c r="YU19" s="3507"/>
      <c r="YV19" s="3507"/>
      <c r="YW19" s="3507"/>
      <c r="YX19" s="3507"/>
      <c r="YY19" s="3507"/>
      <c r="YZ19" s="3507"/>
      <c r="ZA19" s="3507"/>
      <c r="ZB19" s="3507"/>
      <c r="ZC19" s="3507"/>
      <c r="ZD19" s="3507"/>
      <c r="ZE19" s="3507"/>
      <c r="ZF19" s="3507"/>
      <c r="ZG19" s="3507"/>
      <c r="ZH19" s="3507"/>
      <c r="ZI19" s="3507"/>
      <c r="ZJ19" s="3507"/>
      <c r="ZK19" s="3507"/>
      <c r="ZL19" s="3507"/>
      <c r="ZM19" s="3507"/>
      <c r="ZN19" s="3507"/>
      <c r="ZO19" s="3507"/>
      <c r="ZP19" s="3507"/>
      <c r="ZQ19" s="3507"/>
      <c r="ZR19" s="3507"/>
      <c r="ZS19" s="3507"/>
      <c r="ZT19" s="3507"/>
      <c r="ZU19" s="3507"/>
      <c r="ZV19" s="3507"/>
      <c r="ZW19" s="3507"/>
      <c r="ZX19" s="3507"/>
      <c r="ZY19" s="3507"/>
      <c r="ZZ19" s="3507"/>
      <c r="AAA19" s="3507"/>
      <c r="AAB19" s="3507"/>
      <c r="AAC19" s="3507"/>
      <c r="AAD19" s="3507"/>
      <c r="AAE19" s="3507"/>
      <c r="AAF19" s="3507"/>
      <c r="AAG19" s="3507"/>
      <c r="AAH19" s="3507"/>
      <c r="AAI19" s="3507"/>
      <c r="AAJ19" s="3507"/>
      <c r="AAK19" s="3507"/>
      <c r="AAL19" s="3507"/>
      <c r="AAM19" s="3507"/>
      <c r="AAN19" s="3507"/>
      <c r="AAO19" s="3507"/>
      <c r="AAP19" s="3507"/>
      <c r="AAQ19" s="3507"/>
      <c r="AAR19" s="3507"/>
      <c r="AAS19" s="3507"/>
      <c r="AAT19" s="3507"/>
      <c r="AAU19" s="3507"/>
      <c r="AAV19" s="3507"/>
      <c r="AAW19" s="3507"/>
      <c r="AAX19" s="3507"/>
      <c r="AAY19" s="3507"/>
      <c r="AAZ19" s="3507"/>
      <c r="ABA19" s="3507"/>
      <c r="ABB19" s="3507"/>
      <c r="ABC19" s="3507"/>
      <c r="ABD19" s="3507"/>
      <c r="ABE19" s="3507"/>
      <c r="ABF19" s="3507"/>
      <c r="ABG19" s="3507"/>
      <c r="ABH19" s="3507"/>
      <c r="ABI19" s="3507"/>
      <c r="ABJ19" s="3507"/>
      <c r="ABK19" s="3507"/>
      <c r="ABL19" s="3507"/>
      <c r="ABM19" s="3507"/>
      <c r="ABN19" s="3507"/>
      <c r="ABO19" s="3507"/>
      <c r="ABP19" s="3507"/>
      <c r="ABQ19" s="3507"/>
      <c r="ABR19" s="3507"/>
      <c r="ABS19" s="3507"/>
      <c r="ABT19" s="3507"/>
      <c r="ABU19" s="3507"/>
      <c r="ABV19" s="3507"/>
      <c r="ABW19" s="3507"/>
      <c r="ABX19" s="3507"/>
      <c r="ABY19" s="3507"/>
      <c r="ABZ19" s="3507"/>
      <c r="ACA19" s="3507"/>
      <c r="ACB19" s="3507"/>
      <c r="ACC19" s="3507"/>
      <c r="ACD19" s="3507"/>
      <c r="ACE19" s="3507"/>
      <c r="ACF19" s="3507"/>
      <c r="ACG19" s="3507"/>
      <c r="ACH19" s="3507"/>
      <c r="ACI19" s="3507"/>
      <c r="ACJ19" s="3507"/>
      <c r="ACK19" s="3507"/>
      <c r="ACL19" s="3507"/>
      <c r="ACM19" s="3507"/>
      <c r="ACN19" s="3507"/>
      <c r="ACO19" s="3507"/>
      <c r="ACP19" s="3507"/>
      <c r="ACQ19" s="3507"/>
      <c r="ACR19" s="3507"/>
      <c r="ACS19" s="3507"/>
      <c r="ACT19" s="3507"/>
      <c r="ACU19" s="3507"/>
      <c r="ACV19" s="3507"/>
      <c r="ACW19" s="3507"/>
      <c r="ACX19" s="3507"/>
      <c r="ACY19" s="3507"/>
      <c r="ACZ19" s="3507"/>
      <c r="ADA19" s="3507"/>
      <c r="ADB19" s="3507"/>
      <c r="ADC19" s="3507"/>
      <c r="ADD19" s="3507"/>
      <c r="ADE19" s="3507"/>
      <c r="ADF19" s="3507"/>
      <c r="ADG19" s="3507"/>
      <c r="ADH19" s="3507"/>
      <c r="ADI19" s="3507"/>
      <c r="ADJ19" s="3507"/>
      <c r="ADK19" s="3507"/>
      <c r="ADL19" s="3507"/>
      <c r="ADM19" s="3507"/>
      <c r="ADN19" s="3507"/>
      <c r="ADO19" s="3507"/>
      <c r="ADP19" s="3507"/>
      <c r="ADQ19" s="3507"/>
      <c r="ADR19" s="3507"/>
      <c r="ADS19" s="3507"/>
      <c r="ADT19" s="3507"/>
      <c r="ADU19" s="3507"/>
      <c r="ADV19" s="3507"/>
      <c r="ADW19" s="3507"/>
      <c r="ADX19" s="3507"/>
      <c r="ADY19" s="3507"/>
      <c r="ADZ19" s="3507"/>
      <c r="AEA19" s="3507"/>
      <c r="AEB19" s="3507"/>
      <c r="AEC19" s="3507"/>
      <c r="AED19" s="3507"/>
      <c r="AEE19" s="3507"/>
      <c r="AEF19" s="3507"/>
      <c r="AEG19" s="3507"/>
      <c r="AEH19" s="3507"/>
      <c r="AEI19" s="3507"/>
      <c r="AEJ19" s="3507"/>
      <c r="AEK19" s="3507"/>
      <c r="AEL19" s="3507"/>
      <c r="AEM19" s="3507"/>
      <c r="AEN19" s="3507"/>
      <c r="AEO19" s="3507"/>
      <c r="AEP19" s="3507"/>
      <c r="AEQ19" s="3507"/>
      <c r="AER19" s="3507"/>
      <c r="AES19" s="3507"/>
      <c r="AET19" s="3507"/>
      <c r="AEU19" s="3507"/>
      <c r="AEV19" s="3507"/>
      <c r="AEW19" s="3507"/>
      <c r="AEX19" s="3507"/>
      <c r="AEY19" s="3507"/>
      <c r="AEZ19" s="3507"/>
      <c r="AFA19" s="3507"/>
      <c r="AFB19" s="3507"/>
      <c r="AFC19" s="3507"/>
      <c r="AFD19" s="3507"/>
      <c r="AFE19" s="3507"/>
      <c r="AFF19" s="3507"/>
      <c r="AFG19" s="3507"/>
      <c r="AFH19" s="3507"/>
      <c r="AFI19" s="3507"/>
      <c r="AFJ19" s="3507"/>
      <c r="AFK19" s="3507"/>
      <c r="AFL19" s="3507"/>
      <c r="AFM19" s="3507"/>
      <c r="AFN19" s="3507"/>
      <c r="AFO19" s="3507"/>
      <c r="AFP19" s="3507"/>
      <c r="AFQ19" s="3507"/>
      <c r="AFR19" s="3507"/>
      <c r="AFS19" s="3507"/>
      <c r="AFT19" s="3507"/>
      <c r="AFU19" s="3507"/>
      <c r="AFV19" s="3507"/>
      <c r="AFW19" s="3507"/>
      <c r="AFX19" s="3507"/>
      <c r="AFY19" s="3507"/>
      <c r="AFZ19" s="3507"/>
      <c r="AGA19" s="3507"/>
      <c r="AGB19" s="3507"/>
      <c r="AGC19" s="3507"/>
      <c r="AGD19" s="3507"/>
      <c r="AGE19" s="3507"/>
      <c r="AGF19" s="3507"/>
      <c r="AGG19" s="3507"/>
      <c r="AGH19" s="3507"/>
      <c r="AGI19" s="3507"/>
      <c r="AGJ19" s="3507"/>
      <c r="AGK19" s="3507"/>
      <c r="AGL19" s="3507"/>
      <c r="AGM19" s="3507"/>
      <c r="AGN19" s="3507"/>
      <c r="AGO19" s="3507"/>
      <c r="AGP19" s="3507"/>
      <c r="AGQ19" s="3507"/>
      <c r="AGR19" s="3507"/>
      <c r="AGS19" s="3507"/>
      <c r="AGT19" s="3507"/>
      <c r="AGU19" s="3507"/>
      <c r="AGV19" s="3507"/>
      <c r="AGW19" s="3507"/>
      <c r="AGX19" s="3507"/>
      <c r="AGY19" s="3507"/>
      <c r="AGZ19" s="3507"/>
      <c r="AHA19" s="3507"/>
      <c r="AHB19" s="3507"/>
      <c r="AHC19" s="3507"/>
      <c r="AHD19" s="3507"/>
      <c r="AHE19" s="3507"/>
      <c r="AHF19" s="3507"/>
      <c r="AHG19" s="3507"/>
      <c r="AHH19" s="3507"/>
      <c r="AHI19" s="3507"/>
      <c r="AHJ19" s="3507"/>
      <c r="AHK19" s="3507"/>
      <c r="AHL19" s="3507"/>
      <c r="AHM19" s="3507"/>
      <c r="AHN19" s="3507"/>
      <c r="AHO19" s="3507"/>
      <c r="AHP19" s="3507"/>
      <c r="AHQ19" s="3507"/>
      <c r="AHR19" s="3507"/>
      <c r="AHS19" s="3507"/>
      <c r="AHT19" s="3507"/>
      <c r="AHU19" s="3507"/>
      <c r="AHV19" s="3507"/>
      <c r="AHW19" s="3507"/>
      <c r="AHX19" s="3507"/>
      <c r="AHY19" s="3507"/>
      <c r="AHZ19" s="3507"/>
      <c r="AIA19" s="3507"/>
      <c r="AIB19" s="3507"/>
      <c r="AIC19" s="3507"/>
      <c r="AID19" s="3507"/>
      <c r="AIE19" s="3507"/>
      <c r="AIF19" s="3507"/>
      <c r="AIG19" s="3507"/>
      <c r="AIH19" s="3507"/>
      <c r="AII19" s="3507"/>
      <c r="AIJ19" s="3507"/>
      <c r="AIK19" s="3507"/>
      <c r="AIL19" s="3507"/>
      <c r="AIM19" s="3507"/>
      <c r="AIN19" s="3507"/>
      <c r="AIO19" s="3507"/>
      <c r="AIP19" s="3507"/>
      <c r="AIQ19" s="3507"/>
      <c r="AIR19" s="3507"/>
      <c r="AIS19" s="3507"/>
      <c r="AIT19" s="3507"/>
      <c r="AIU19" s="3507"/>
      <c r="AIV19" s="3507"/>
      <c r="AIW19" s="3507"/>
      <c r="AIX19" s="3507"/>
      <c r="AIY19" s="3507"/>
      <c r="AIZ19" s="3507"/>
      <c r="AJA19" s="3507"/>
      <c r="AJB19" s="3507"/>
      <c r="AJC19" s="3507"/>
      <c r="AJD19" s="3507"/>
      <c r="AJE19" s="3507"/>
      <c r="AJF19" s="3507"/>
      <c r="AJG19" s="3507"/>
      <c r="AJH19" s="3507"/>
      <c r="AJI19" s="3507"/>
      <c r="AJJ19" s="3507"/>
      <c r="AJK19" s="3507"/>
      <c r="AJL19" s="3507"/>
      <c r="AJM19" s="3507"/>
      <c r="AJN19" s="3507"/>
      <c r="AJO19" s="3507"/>
      <c r="AJP19" s="3507"/>
      <c r="AJQ19" s="3507"/>
      <c r="AJR19" s="3507"/>
      <c r="AJS19" s="3507"/>
      <c r="AJT19" s="3507"/>
      <c r="AJU19" s="3507"/>
      <c r="AJV19" s="3507"/>
      <c r="AJW19" s="3507"/>
      <c r="AJX19" s="3507"/>
      <c r="AJY19" s="3507"/>
      <c r="AJZ19" s="3507"/>
      <c r="AKA19" s="3507"/>
      <c r="AKB19" s="3507"/>
      <c r="AKC19" s="3507"/>
      <c r="AKD19" s="3507"/>
      <c r="AKE19" s="3507"/>
      <c r="AKF19" s="3507"/>
      <c r="AKG19" s="3507"/>
      <c r="AKH19" s="3507"/>
      <c r="AKI19" s="3507"/>
      <c r="AKJ19" s="3507"/>
      <c r="AKK19" s="3507"/>
      <c r="AKL19" s="3507"/>
      <c r="AKM19" s="3507"/>
      <c r="AKN19" s="3507"/>
      <c r="AKO19" s="3507"/>
      <c r="AKP19" s="3507"/>
      <c r="AKQ19" s="3507"/>
      <c r="AKR19" s="3507"/>
      <c r="AKS19" s="3507"/>
      <c r="AKT19" s="3507"/>
      <c r="AKU19" s="3507"/>
      <c r="AKV19" s="3507"/>
      <c r="AKW19" s="3507"/>
      <c r="AKX19" s="3507"/>
      <c r="AKY19" s="3507"/>
      <c r="AKZ19" s="3507"/>
      <c r="ALA19" s="3507"/>
      <c r="ALB19" s="3507"/>
      <c r="ALC19" s="3507"/>
      <c r="ALD19" s="3507"/>
      <c r="ALE19" s="3507"/>
      <c r="ALF19" s="3507"/>
      <c r="ALG19" s="3507"/>
      <c r="ALH19" s="3507"/>
      <c r="ALI19" s="3507"/>
      <c r="ALJ19" s="3507"/>
      <c r="ALK19" s="3507"/>
      <c r="ALL19" s="3507"/>
      <c r="ALM19" s="3507"/>
      <c r="ALN19" s="3507"/>
      <c r="ALO19" s="3507"/>
      <c r="ALP19" s="3507"/>
      <c r="ALQ19" s="3507"/>
      <c r="ALR19" s="3507"/>
      <c r="ALS19" s="3507"/>
      <c r="ALT19" s="3507"/>
      <c r="ALU19" s="3507"/>
      <c r="ALV19" s="3507"/>
      <c r="ALW19" s="3507"/>
      <c r="ALX19" s="3507"/>
      <c r="ALY19" s="3507"/>
      <c r="ALZ19" s="3507"/>
      <c r="AMA19" s="3507"/>
      <c r="AMB19" s="3507"/>
      <c r="AMC19" s="3507"/>
      <c r="AMD19" s="3507"/>
      <c r="AME19" s="3507"/>
      <c r="AMF19" s="3507"/>
      <c r="AMG19" s="3507"/>
      <c r="AMH19" s="3507"/>
      <c r="AMI19" s="3507"/>
      <c r="AMJ19" s="3507"/>
      <c r="AMK19" s="3507"/>
      <c r="AML19" s="3507"/>
      <c r="AMM19" s="3507"/>
      <c r="AMN19" s="3507"/>
      <c r="AMO19" s="3507"/>
      <c r="AMP19" s="3507"/>
      <c r="AMQ19" s="3507"/>
      <c r="AMR19" s="3507"/>
      <c r="AMS19" s="3507"/>
      <c r="AMT19" s="3507"/>
      <c r="AMU19" s="3507"/>
      <c r="AMV19" s="3507"/>
      <c r="AMW19" s="3507"/>
      <c r="AMX19" s="3507"/>
      <c r="AMY19" s="3507"/>
      <c r="AMZ19" s="3507"/>
      <c r="ANA19" s="3507"/>
      <c r="ANB19" s="3507"/>
      <c r="ANC19" s="3507"/>
      <c r="AND19" s="3507"/>
      <c r="ANE19" s="3507"/>
      <c r="ANF19" s="3507"/>
      <c r="ANG19" s="3507"/>
      <c r="ANH19" s="3507"/>
      <c r="ANI19" s="3507"/>
      <c r="ANJ19" s="3507"/>
      <c r="ANK19" s="3507"/>
      <c r="ANL19" s="3507"/>
      <c r="ANM19" s="3507"/>
      <c r="ANN19" s="3507"/>
      <c r="ANO19" s="3507"/>
      <c r="ANP19" s="3507"/>
      <c r="ANQ19" s="3507"/>
      <c r="ANR19" s="3507"/>
      <c r="ANS19" s="3507"/>
      <c r="ANT19" s="3507"/>
      <c r="ANU19" s="3507"/>
      <c r="ANV19" s="3507"/>
      <c r="ANW19" s="3507"/>
      <c r="ANX19" s="3507"/>
      <c r="ANY19" s="3507"/>
      <c r="ANZ19" s="3507"/>
      <c r="AOA19" s="3507"/>
      <c r="AOB19" s="3507"/>
      <c r="AOC19" s="3507"/>
      <c r="AOD19" s="3507"/>
      <c r="AOE19" s="3507"/>
      <c r="AOF19" s="3507"/>
      <c r="AOG19" s="3507"/>
      <c r="AOH19" s="3507"/>
      <c r="AOI19" s="3507"/>
      <c r="AOJ19" s="3507"/>
      <c r="AOK19" s="3507"/>
      <c r="AOL19" s="3507"/>
      <c r="AOM19" s="3507"/>
      <c r="AON19" s="3507"/>
      <c r="AOO19" s="3507"/>
      <c r="AOP19" s="3507"/>
      <c r="AOQ19" s="3507"/>
      <c r="AOR19" s="3507"/>
      <c r="AOS19" s="3507"/>
      <c r="AOT19" s="3507"/>
      <c r="AOU19" s="3507"/>
      <c r="AOV19" s="3507"/>
      <c r="AOW19" s="3507"/>
      <c r="AOX19" s="3507"/>
      <c r="AOY19" s="3507"/>
      <c r="AOZ19" s="3507"/>
      <c r="APA19" s="3507"/>
      <c r="APB19" s="3507"/>
      <c r="APC19" s="3507"/>
      <c r="APD19" s="3507"/>
      <c r="APE19" s="3507"/>
      <c r="APF19" s="3507"/>
      <c r="APG19" s="3507"/>
      <c r="APH19" s="3507"/>
      <c r="API19" s="3507"/>
      <c r="APJ19" s="3507"/>
      <c r="APK19" s="3507"/>
      <c r="APL19" s="3507"/>
      <c r="APM19" s="3507"/>
      <c r="APN19" s="3507"/>
      <c r="APO19" s="3507"/>
      <c r="APP19" s="3507"/>
      <c r="APQ19" s="3507"/>
      <c r="APR19" s="3507"/>
      <c r="APS19" s="3507"/>
      <c r="APT19" s="3507"/>
      <c r="APU19" s="3507"/>
      <c r="APV19" s="3507"/>
      <c r="APW19" s="3507"/>
      <c r="APX19" s="3507"/>
      <c r="APY19" s="3507"/>
      <c r="APZ19" s="3507"/>
      <c r="AQA19" s="3507"/>
      <c r="AQB19" s="3507"/>
      <c r="AQC19" s="3507"/>
      <c r="AQD19" s="3507"/>
      <c r="AQE19" s="3507"/>
      <c r="AQF19" s="3507"/>
      <c r="AQG19" s="3507"/>
      <c r="AQH19" s="3507"/>
      <c r="AQI19" s="3507"/>
      <c r="AQJ19" s="3507"/>
      <c r="AQK19" s="3507"/>
      <c r="AQL19" s="3507"/>
      <c r="AQM19" s="3507"/>
      <c r="AQN19" s="3507"/>
      <c r="AQO19" s="3507"/>
      <c r="AQP19" s="3507"/>
      <c r="AQQ19" s="3507"/>
      <c r="AQR19" s="3507"/>
      <c r="AQS19" s="3507"/>
      <c r="AQT19" s="3507"/>
      <c r="AQU19" s="3507"/>
      <c r="AQV19" s="3507"/>
      <c r="AQW19" s="3507"/>
      <c r="AQX19" s="3507"/>
      <c r="AQY19" s="3507"/>
      <c r="AQZ19" s="3507"/>
      <c r="ARA19" s="3507"/>
      <c r="ARB19" s="3507"/>
      <c r="ARC19" s="3507"/>
      <c r="ARD19" s="3507"/>
      <c r="ARE19" s="3507"/>
      <c r="ARF19" s="3507"/>
      <c r="ARG19" s="3507"/>
      <c r="ARH19" s="3507"/>
      <c r="ARI19" s="3507"/>
      <c r="ARJ19" s="3507"/>
      <c r="ARK19" s="3507"/>
      <c r="ARL19" s="3507"/>
      <c r="ARM19" s="3507"/>
      <c r="ARN19" s="3507"/>
      <c r="ARO19" s="3507"/>
      <c r="ARP19" s="3507"/>
      <c r="ARQ19" s="3507"/>
      <c r="ARR19" s="3507"/>
      <c r="ARS19" s="3507"/>
      <c r="ART19" s="3507"/>
      <c r="ARU19" s="3507"/>
      <c r="ARV19" s="3507"/>
      <c r="ARW19" s="3507"/>
      <c r="ARX19" s="3507"/>
      <c r="ARY19" s="3507"/>
      <c r="ARZ19" s="3507"/>
      <c r="ASA19" s="3507"/>
      <c r="ASB19" s="3507"/>
      <c r="ASC19" s="3507"/>
      <c r="ASD19" s="3507"/>
      <c r="ASE19" s="3507"/>
      <c r="ASF19" s="3507"/>
      <c r="ASG19" s="3507"/>
      <c r="ASH19" s="3507"/>
      <c r="ASI19" s="3507"/>
      <c r="ASJ19" s="3507"/>
      <c r="ASK19" s="3507"/>
      <c r="ASL19" s="3507"/>
      <c r="ASM19" s="3507"/>
      <c r="ASN19" s="3507"/>
      <c r="ASO19" s="3507"/>
      <c r="ASP19" s="3507"/>
      <c r="ASQ19" s="3507"/>
      <c r="ASR19" s="3507"/>
      <c r="ASS19" s="3507"/>
      <c r="AST19" s="3507"/>
      <c r="ASU19" s="3507"/>
      <c r="ASV19" s="3507"/>
      <c r="ASW19" s="3507"/>
      <c r="ASX19" s="3507"/>
      <c r="ASY19" s="3507"/>
      <c r="ASZ19" s="3507"/>
      <c r="ATA19" s="3507"/>
      <c r="ATB19" s="3507"/>
      <c r="ATC19" s="3507"/>
      <c r="ATD19" s="3507"/>
      <c r="ATE19" s="3507"/>
      <c r="ATF19" s="3507"/>
      <c r="ATG19" s="3507"/>
      <c r="ATH19" s="3507"/>
      <c r="ATI19" s="3507"/>
      <c r="ATJ19" s="3507"/>
      <c r="ATK19" s="3507"/>
      <c r="ATL19" s="3507"/>
      <c r="ATM19" s="3507"/>
      <c r="ATN19" s="3507"/>
      <c r="ATO19" s="3507"/>
      <c r="ATP19" s="3507"/>
      <c r="ATQ19" s="3507"/>
      <c r="ATR19" s="3507"/>
      <c r="ATS19" s="3507"/>
      <c r="ATT19" s="3507"/>
      <c r="ATU19" s="3507"/>
      <c r="ATV19" s="3507"/>
      <c r="ATW19" s="3507"/>
      <c r="ATX19" s="3507"/>
      <c r="ATY19" s="3507"/>
      <c r="ATZ19" s="3507"/>
      <c r="AUA19" s="3507"/>
      <c r="AUB19" s="3507"/>
      <c r="AUC19" s="3507"/>
      <c r="AUD19" s="3507"/>
      <c r="AUE19" s="3507"/>
      <c r="AUF19" s="3507"/>
      <c r="AUG19" s="3507"/>
      <c r="AUH19" s="3507"/>
      <c r="AUI19" s="3507"/>
      <c r="AUJ19" s="3507"/>
      <c r="AUK19" s="3507"/>
      <c r="AUL19" s="3507"/>
      <c r="AUM19" s="3507"/>
      <c r="AUN19" s="3507"/>
      <c r="AUO19" s="3507"/>
      <c r="AUP19" s="3507"/>
      <c r="AUQ19" s="3507"/>
      <c r="AUR19" s="3507"/>
      <c r="AUS19" s="3507"/>
      <c r="AUT19" s="3507"/>
      <c r="AUU19" s="3507"/>
      <c r="AUV19" s="3507"/>
      <c r="AUW19" s="3507"/>
      <c r="AUX19" s="3507"/>
      <c r="AUY19" s="3507"/>
      <c r="AUZ19" s="3507"/>
      <c r="AVA19" s="3507"/>
      <c r="AVB19" s="3507"/>
      <c r="AVC19" s="3507"/>
      <c r="AVD19" s="3507"/>
      <c r="AVE19" s="3507"/>
      <c r="AVF19" s="3507"/>
      <c r="AVG19" s="3507"/>
      <c r="AVH19" s="3507"/>
      <c r="AVI19" s="3507"/>
      <c r="AVJ19" s="3507"/>
      <c r="AVK19" s="3507"/>
      <c r="AVL19" s="3507"/>
      <c r="AVM19" s="3507"/>
      <c r="AVN19" s="3507"/>
      <c r="AVO19" s="3507"/>
      <c r="AVP19" s="3507"/>
      <c r="AVQ19" s="3507"/>
      <c r="AVR19" s="3507"/>
      <c r="AVS19" s="3507"/>
      <c r="AVT19" s="3507"/>
      <c r="AVU19" s="3507"/>
      <c r="AVV19" s="3507"/>
      <c r="AVW19" s="3507"/>
      <c r="AVX19" s="3507"/>
      <c r="AVY19" s="3507"/>
      <c r="AVZ19" s="3507"/>
      <c r="AWA19" s="3507"/>
      <c r="AWB19" s="3507"/>
      <c r="AWC19" s="3507"/>
      <c r="AWD19" s="3507"/>
      <c r="AWE19" s="3507"/>
      <c r="AWF19" s="3507"/>
      <c r="AWG19" s="3507"/>
      <c r="AWH19" s="3507"/>
      <c r="AWI19" s="3507"/>
      <c r="AWJ19" s="3507"/>
      <c r="AWK19" s="3507"/>
      <c r="AWL19" s="3507"/>
      <c r="AWM19" s="3507"/>
      <c r="AWN19" s="3507"/>
      <c r="AWO19" s="3507"/>
      <c r="AWP19" s="3507"/>
      <c r="AWQ19" s="3507"/>
      <c r="AWR19" s="3507"/>
      <c r="AWS19" s="3507"/>
      <c r="AWT19" s="3507"/>
      <c r="AWU19" s="3507"/>
      <c r="AWV19" s="3507"/>
      <c r="AWW19" s="3507"/>
      <c r="AWX19" s="3507"/>
      <c r="AWY19" s="3507"/>
      <c r="AWZ19" s="3507"/>
      <c r="AXA19" s="3507"/>
      <c r="AXB19" s="3507"/>
      <c r="AXC19" s="3507"/>
      <c r="AXD19" s="3507"/>
      <c r="AXE19" s="3507"/>
      <c r="AXF19" s="3507"/>
      <c r="AXG19" s="3507"/>
      <c r="AXH19" s="3507"/>
      <c r="AXI19" s="3507"/>
      <c r="AXJ19" s="3507"/>
      <c r="AXK19" s="3507"/>
      <c r="AXL19" s="3507"/>
      <c r="AXM19" s="3507"/>
      <c r="AXN19" s="3507"/>
      <c r="AXO19" s="3507"/>
      <c r="AXP19" s="3507"/>
      <c r="AXQ19" s="3507"/>
      <c r="AXR19" s="3507"/>
      <c r="AXS19" s="3507"/>
      <c r="AXT19" s="3507"/>
      <c r="AXU19" s="3507"/>
      <c r="AXV19" s="3507"/>
      <c r="AXW19" s="3507"/>
      <c r="AXX19" s="3507"/>
      <c r="AXY19" s="3507"/>
      <c r="AXZ19" s="3507"/>
      <c r="AYA19" s="3507"/>
      <c r="AYB19" s="3507"/>
      <c r="AYC19" s="3507"/>
      <c r="AYD19" s="3507"/>
      <c r="AYE19" s="3507"/>
      <c r="AYF19" s="3507"/>
      <c r="AYG19" s="3507"/>
      <c r="AYH19" s="3507"/>
      <c r="AYI19" s="3507"/>
      <c r="AYJ19" s="3507"/>
      <c r="AYK19" s="3507"/>
      <c r="AYL19" s="3507"/>
      <c r="AYM19" s="3507"/>
      <c r="AYN19" s="3507"/>
      <c r="AYO19" s="3507"/>
      <c r="AYP19" s="3507"/>
      <c r="AYQ19" s="3507"/>
      <c r="AYR19" s="3507"/>
      <c r="AYS19" s="3507"/>
      <c r="AYT19" s="3507"/>
      <c r="AYU19" s="3507"/>
      <c r="AYV19" s="3507"/>
      <c r="AYW19" s="3507"/>
      <c r="AYX19" s="3507"/>
      <c r="AYY19" s="3507"/>
      <c r="AYZ19" s="3507"/>
      <c r="AZA19" s="3507"/>
      <c r="AZB19" s="3507"/>
      <c r="AZC19" s="3507"/>
      <c r="AZD19" s="3507"/>
      <c r="AZE19" s="3507"/>
      <c r="AZF19" s="3507"/>
      <c r="AZG19" s="3507"/>
      <c r="AZH19" s="3507"/>
      <c r="AZI19" s="3507"/>
      <c r="AZJ19" s="3507"/>
      <c r="AZK19" s="3507"/>
      <c r="AZL19" s="3507"/>
      <c r="AZM19" s="3507"/>
      <c r="AZN19" s="3507"/>
      <c r="AZO19" s="3507"/>
      <c r="AZP19" s="3507"/>
      <c r="AZQ19" s="3507"/>
      <c r="AZR19" s="3507"/>
      <c r="AZS19" s="3507"/>
      <c r="AZT19" s="3507"/>
      <c r="AZU19" s="3507"/>
      <c r="AZV19" s="3507"/>
      <c r="AZW19" s="3507"/>
      <c r="AZX19" s="3507"/>
      <c r="AZY19" s="3507"/>
      <c r="AZZ19" s="3507"/>
      <c r="BAA19" s="3507"/>
      <c r="BAB19" s="3507"/>
      <c r="BAC19" s="3507"/>
      <c r="BAD19" s="3507"/>
      <c r="BAE19" s="3507"/>
      <c r="BAF19" s="3507"/>
      <c r="BAG19" s="3507"/>
      <c r="BAH19" s="3507"/>
      <c r="BAI19" s="3507"/>
      <c r="BAJ19" s="3507"/>
      <c r="BAK19" s="3507"/>
      <c r="BAL19" s="3507"/>
      <c r="BAM19" s="3507"/>
      <c r="BAN19" s="3507"/>
      <c r="BAO19" s="3507"/>
      <c r="BAP19" s="3507"/>
      <c r="BAQ19" s="3507"/>
      <c r="BAR19" s="3507"/>
      <c r="BAS19" s="3507"/>
      <c r="BAT19" s="3507"/>
      <c r="BAU19" s="3507"/>
      <c r="BAV19" s="3507"/>
      <c r="BAW19" s="3507"/>
      <c r="BAX19" s="3507"/>
      <c r="BAY19" s="3507"/>
      <c r="BAZ19" s="3507"/>
      <c r="BBA19" s="3507"/>
      <c r="BBB19" s="3507"/>
      <c r="BBC19" s="3507"/>
      <c r="BBD19" s="3507"/>
      <c r="BBE19" s="3507"/>
      <c r="BBF19" s="3507"/>
      <c r="BBG19" s="3507"/>
      <c r="BBH19" s="3507"/>
      <c r="BBI19" s="3507"/>
      <c r="BBJ19" s="3507"/>
      <c r="BBK19" s="3507"/>
      <c r="BBL19" s="3507"/>
      <c r="BBM19" s="3507"/>
      <c r="BBN19" s="3507"/>
      <c r="BBO19" s="3507"/>
      <c r="BBP19" s="3507"/>
      <c r="BBQ19" s="3507"/>
      <c r="BBR19" s="3507"/>
      <c r="BBS19" s="3507"/>
      <c r="BBT19" s="3507"/>
      <c r="BBU19" s="3507"/>
      <c r="BBV19" s="3507"/>
      <c r="BBW19" s="3507"/>
      <c r="BBX19" s="3507"/>
      <c r="BBY19" s="3507"/>
      <c r="BBZ19" s="3507"/>
      <c r="BCA19" s="3507"/>
      <c r="BCB19" s="3507"/>
      <c r="BCC19" s="3507"/>
      <c r="BCD19" s="3507"/>
      <c r="BCE19" s="3507"/>
      <c r="BCF19" s="3507"/>
      <c r="BCG19" s="3507"/>
      <c r="BCH19" s="3507"/>
      <c r="BCI19" s="3507"/>
      <c r="BCJ19" s="3507"/>
      <c r="BCK19" s="3507"/>
      <c r="BCL19" s="3507"/>
      <c r="BCM19" s="3507"/>
      <c r="BCN19" s="3507"/>
      <c r="BCO19" s="3507"/>
      <c r="BCP19" s="3507"/>
      <c r="BCQ19" s="3507"/>
      <c r="BCR19" s="3507"/>
      <c r="BCS19" s="3507"/>
      <c r="BCT19" s="3507"/>
      <c r="BCU19" s="3507"/>
      <c r="BCV19" s="3507"/>
      <c r="BCW19" s="3507"/>
      <c r="BCX19" s="3507"/>
      <c r="BCY19" s="3507"/>
      <c r="BCZ19" s="3507"/>
      <c r="BDA19" s="3507"/>
      <c r="BDB19" s="3507"/>
      <c r="BDC19" s="3507"/>
      <c r="BDD19" s="3507"/>
      <c r="BDE19" s="3507"/>
      <c r="BDF19" s="3507"/>
      <c r="BDG19" s="3507"/>
      <c r="BDH19" s="3507"/>
      <c r="BDI19" s="3507"/>
      <c r="BDJ19" s="3507"/>
      <c r="BDK19" s="3507"/>
      <c r="BDL19" s="3507"/>
      <c r="BDM19" s="3507"/>
      <c r="BDN19" s="3507"/>
      <c r="BDO19" s="3507"/>
      <c r="BDP19" s="3507"/>
      <c r="BDQ19" s="3507"/>
      <c r="BDR19" s="3507"/>
      <c r="BDS19" s="3507"/>
      <c r="BDT19" s="3507"/>
      <c r="BDU19" s="3507"/>
      <c r="BDV19" s="3507"/>
      <c r="BDW19" s="3507"/>
      <c r="BDX19" s="3507"/>
      <c r="BDY19" s="3507"/>
      <c r="BDZ19" s="3507"/>
      <c r="BEA19" s="3507"/>
      <c r="BEB19" s="3507"/>
      <c r="BEC19" s="3507"/>
      <c r="BED19" s="3507"/>
      <c r="BEE19" s="3507"/>
      <c r="BEF19" s="3507"/>
      <c r="BEG19" s="3507"/>
      <c r="BEH19" s="3507"/>
      <c r="BEI19" s="3507"/>
      <c r="BEJ19" s="3507"/>
      <c r="BEK19" s="3507"/>
      <c r="BEL19" s="3507"/>
      <c r="BEM19" s="3507"/>
      <c r="BEN19" s="3507"/>
      <c r="BEO19" s="3507"/>
      <c r="BEP19" s="3507"/>
      <c r="BEQ19" s="3507"/>
      <c r="BER19" s="3507"/>
      <c r="BES19" s="3507"/>
      <c r="BET19" s="3507"/>
      <c r="BEU19" s="3507"/>
      <c r="BEV19" s="3507"/>
      <c r="BEW19" s="3507"/>
      <c r="BEX19" s="3507"/>
      <c r="BEY19" s="3507"/>
      <c r="BEZ19" s="3507"/>
      <c r="BFA19" s="3507"/>
      <c r="BFB19" s="3507"/>
      <c r="BFC19" s="3507"/>
      <c r="BFD19" s="3507"/>
      <c r="BFE19" s="3507"/>
      <c r="BFF19" s="3507"/>
      <c r="BFG19" s="3507"/>
      <c r="BFH19" s="3507"/>
      <c r="BFI19" s="3507"/>
      <c r="BFJ19" s="3507"/>
      <c r="BFK19" s="3507"/>
      <c r="BFL19" s="3507"/>
      <c r="BFM19" s="3507"/>
      <c r="BFN19" s="3507"/>
      <c r="BFO19" s="3507"/>
      <c r="BFP19" s="3507"/>
      <c r="BFQ19" s="3507"/>
      <c r="BFR19" s="3507"/>
      <c r="BFS19" s="3507"/>
      <c r="BFT19" s="3507"/>
      <c r="BFU19" s="3507"/>
      <c r="BFV19" s="3507"/>
      <c r="BFW19" s="3507"/>
      <c r="BFX19" s="3507"/>
      <c r="BFY19" s="3507"/>
      <c r="BFZ19" s="3507"/>
      <c r="BGA19" s="3507"/>
      <c r="BGB19" s="3507"/>
      <c r="BGC19" s="3507"/>
      <c r="BGD19" s="3507"/>
      <c r="BGE19" s="3507"/>
      <c r="BGF19" s="3507"/>
      <c r="BGG19" s="3507"/>
      <c r="BGH19" s="3507"/>
      <c r="BGI19" s="3507"/>
      <c r="BGJ19" s="3507"/>
      <c r="BGK19" s="3507"/>
      <c r="BGL19" s="3507"/>
      <c r="BGM19" s="3507"/>
      <c r="BGN19" s="3507"/>
      <c r="BGO19" s="3507"/>
      <c r="BGP19" s="3507"/>
      <c r="BGQ19" s="3507"/>
      <c r="BGR19" s="3507"/>
      <c r="BGS19" s="3507"/>
      <c r="BGT19" s="3507"/>
      <c r="BGU19" s="3507"/>
      <c r="BGV19" s="3507"/>
      <c r="BGW19" s="3507"/>
      <c r="BGX19" s="3507"/>
      <c r="BGY19" s="3507"/>
      <c r="BGZ19" s="3507"/>
      <c r="BHA19" s="3507"/>
      <c r="BHB19" s="3507"/>
      <c r="BHC19" s="3507"/>
      <c r="BHD19" s="3507"/>
      <c r="BHE19" s="3507"/>
      <c r="BHF19" s="3507"/>
      <c r="BHG19" s="3507"/>
      <c r="BHH19" s="3507"/>
      <c r="BHI19" s="3507"/>
      <c r="BHJ19" s="3507"/>
      <c r="BHK19" s="3507"/>
      <c r="BHL19" s="3507"/>
      <c r="BHM19" s="3507"/>
      <c r="BHN19" s="3507"/>
      <c r="BHO19" s="3507"/>
      <c r="BHP19" s="3507"/>
      <c r="BHQ19" s="3507"/>
      <c r="BHR19" s="3507"/>
      <c r="BHS19" s="3507"/>
      <c r="BHT19" s="3507"/>
      <c r="BHU19" s="3507"/>
      <c r="BHV19" s="3507"/>
      <c r="BHW19" s="3507"/>
      <c r="BHX19" s="3507"/>
      <c r="BHY19" s="3507"/>
      <c r="BHZ19" s="3507"/>
      <c r="BIA19" s="3507"/>
      <c r="BIB19" s="3507"/>
      <c r="BIC19" s="3507"/>
      <c r="BID19" s="3507"/>
      <c r="BIE19" s="3507"/>
      <c r="BIF19" s="3507"/>
      <c r="BIG19" s="3507"/>
      <c r="BIH19" s="3507"/>
      <c r="BII19" s="3507"/>
      <c r="BIJ19" s="3507"/>
      <c r="BIK19" s="3507"/>
      <c r="BIL19" s="3507"/>
      <c r="BIM19" s="3507"/>
      <c r="BIN19" s="3507"/>
      <c r="BIO19" s="3507"/>
      <c r="BIP19" s="3507"/>
      <c r="BIQ19" s="3507"/>
      <c r="BIR19" s="3507"/>
      <c r="BIS19" s="3507"/>
      <c r="BIT19" s="3507"/>
      <c r="BIU19" s="3507"/>
      <c r="BIV19" s="3507"/>
      <c r="BIW19" s="3507"/>
      <c r="BIX19" s="3507"/>
      <c r="BIY19" s="3507"/>
      <c r="BIZ19" s="3507"/>
      <c r="BJA19" s="3507"/>
      <c r="BJB19" s="3507"/>
      <c r="BJC19" s="3507"/>
      <c r="BJD19" s="3507"/>
      <c r="BJE19" s="3507"/>
      <c r="BJF19" s="3507"/>
      <c r="BJG19" s="3507"/>
      <c r="BJH19" s="3507"/>
      <c r="BJI19" s="3507"/>
      <c r="BJJ19" s="3507"/>
      <c r="BJK19" s="3507"/>
      <c r="BJL19" s="3507"/>
      <c r="BJM19" s="3507"/>
      <c r="BJN19" s="3507"/>
      <c r="BJO19" s="3507"/>
      <c r="BJP19" s="3507"/>
      <c r="BJQ19" s="3507"/>
      <c r="BJR19" s="3507"/>
      <c r="BJS19" s="3507"/>
      <c r="BJT19" s="3507"/>
      <c r="BJU19" s="3507"/>
      <c r="BJV19" s="3507"/>
      <c r="BJW19" s="3507"/>
      <c r="BJX19" s="3507"/>
      <c r="BJY19" s="3507"/>
      <c r="BJZ19" s="3507"/>
      <c r="BKA19" s="3507"/>
      <c r="BKB19" s="3507"/>
      <c r="BKC19" s="3507"/>
      <c r="BKD19" s="3507"/>
      <c r="BKE19" s="3507"/>
      <c r="BKF19" s="3507"/>
      <c r="BKG19" s="3507"/>
      <c r="BKH19" s="3507"/>
      <c r="BKI19" s="3507"/>
      <c r="BKJ19" s="3507"/>
      <c r="BKK19" s="3507"/>
      <c r="BKL19" s="3507"/>
      <c r="BKM19" s="3507"/>
      <c r="BKN19" s="3507"/>
      <c r="BKO19" s="3507"/>
      <c r="BKP19" s="3507"/>
      <c r="BKQ19" s="3507"/>
      <c r="BKR19" s="3507"/>
      <c r="BKS19" s="3507"/>
      <c r="BKT19" s="3507"/>
      <c r="BKU19" s="3507"/>
      <c r="BKV19" s="3507"/>
      <c r="BKW19" s="3507"/>
      <c r="BKX19" s="3507"/>
      <c r="BKY19" s="3507"/>
      <c r="BKZ19" s="3507"/>
      <c r="BLA19" s="3507"/>
      <c r="BLB19" s="3507"/>
      <c r="BLC19" s="3507"/>
      <c r="BLD19" s="3507"/>
      <c r="BLE19" s="3507"/>
      <c r="BLF19" s="3507"/>
      <c r="BLG19" s="3507"/>
      <c r="BLH19" s="3507"/>
      <c r="BLI19" s="3507"/>
      <c r="BLJ19" s="3507"/>
      <c r="BLK19" s="3507"/>
      <c r="BLL19" s="3507"/>
      <c r="BLM19" s="3507"/>
      <c r="BLN19" s="3507"/>
      <c r="BLO19" s="3507"/>
      <c r="BLP19" s="3507"/>
      <c r="BLQ19" s="3507"/>
      <c r="BLR19" s="3507"/>
      <c r="BLS19" s="3507"/>
      <c r="BLT19" s="3507"/>
      <c r="BLU19" s="3507"/>
      <c r="BLV19" s="3507"/>
      <c r="BLW19" s="3507"/>
      <c r="BLX19" s="3507"/>
      <c r="BLY19" s="3507"/>
      <c r="BLZ19" s="3507"/>
      <c r="BMA19" s="3507"/>
      <c r="BMB19" s="3507"/>
      <c r="BMC19" s="3507"/>
      <c r="BMD19" s="3507"/>
      <c r="BME19" s="3507"/>
      <c r="BMF19" s="3507"/>
      <c r="BMG19" s="3507"/>
      <c r="BMH19" s="3507"/>
      <c r="BMI19" s="3507"/>
      <c r="BMJ19" s="3507"/>
      <c r="BMK19" s="3507"/>
      <c r="BML19" s="3507"/>
      <c r="BMM19" s="3507"/>
      <c r="BMN19" s="3507"/>
      <c r="BMO19" s="3507"/>
      <c r="BMP19" s="3507"/>
      <c r="BMQ19" s="3507"/>
      <c r="BMR19" s="3507"/>
      <c r="BMS19" s="3507"/>
      <c r="BMT19" s="3507"/>
      <c r="BMU19" s="3507"/>
      <c r="BMV19" s="3507"/>
      <c r="BMW19" s="3507"/>
      <c r="BMX19" s="3507"/>
      <c r="BMY19" s="3507"/>
      <c r="BMZ19" s="3507"/>
      <c r="BNA19" s="3507"/>
      <c r="BNB19" s="3507"/>
      <c r="BNC19" s="3507"/>
      <c r="BND19" s="3507"/>
      <c r="BNE19" s="3507"/>
      <c r="BNF19" s="3507"/>
      <c r="BNG19" s="3507"/>
      <c r="BNH19" s="3507"/>
      <c r="BNI19" s="3507"/>
      <c r="BNJ19" s="3507"/>
      <c r="BNK19" s="3507"/>
      <c r="BNL19" s="3507"/>
      <c r="BNM19" s="3507"/>
      <c r="BNN19" s="3507"/>
      <c r="BNO19" s="3507"/>
      <c r="BNP19" s="3507"/>
      <c r="BNQ19" s="3507"/>
      <c r="BNR19" s="3507"/>
      <c r="BNS19" s="3507"/>
      <c r="BNT19" s="3507"/>
      <c r="BNU19" s="3507"/>
      <c r="BNV19" s="3507"/>
      <c r="BNW19" s="3507"/>
      <c r="BNX19" s="3507"/>
      <c r="BNY19" s="3507"/>
      <c r="BNZ19" s="3507"/>
      <c r="BOA19" s="3507"/>
      <c r="BOB19" s="3507"/>
      <c r="BOC19" s="3507"/>
      <c r="BOD19" s="3507"/>
      <c r="BOE19" s="3507"/>
      <c r="BOF19" s="3507"/>
      <c r="BOG19" s="3507"/>
      <c r="BOH19" s="3507"/>
      <c r="BOI19" s="3507"/>
      <c r="BOJ19" s="3507"/>
      <c r="BOK19" s="3507"/>
      <c r="BOL19" s="3507"/>
      <c r="BOM19" s="3507"/>
      <c r="BON19" s="3507"/>
      <c r="BOO19" s="3507"/>
      <c r="BOP19" s="3507"/>
      <c r="BOQ19" s="3507"/>
      <c r="BOR19" s="3507"/>
      <c r="BOS19" s="3507"/>
      <c r="BOT19" s="3507"/>
      <c r="BOU19" s="3507"/>
      <c r="BOV19" s="3507"/>
      <c r="BOW19" s="3507"/>
      <c r="BOX19" s="3507"/>
      <c r="BOY19" s="3507"/>
      <c r="BOZ19" s="3507"/>
      <c r="BPA19" s="3507"/>
      <c r="BPB19" s="3507"/>
      <c r="BPC19" s="3507"/>
      <c r="BPD19" s="3507"/>
      <c r="BPE19" s="3507"/>
      <c r="BPF19" s="3507"/>
      <c r="BPG19" s="3507"/>
      <c r="BPH19" s="3507"/>
      <c r="BPI19" s="3507"/>
      <c r="BPJ19" s="3507"/>
      <c r="BPK19" s="3507"/>
      <c r="BPL19" s="3507"/>
      <c r="BPM19" s="3507"/>
      <c r="BPN19" s="3507"/>
      <c r="BPO19" s="3507"/>
      <c r="BPP19" s="3507"/>
      <c r="BPQ19" s="3507"/>
      <c r="BPR19" s="3507"/>
      <c r="BPS19" s="3507"/>
      <c r="BPT19" s="3507"/>
      <c r="BPU19" s="3507"/>
      <c r="BPV19" s="3507"/>
      <c r="BPW19" s="3507"/>
      <c r="BPX19" s="3507"/>
      <c r="BPY19" s="3507"/>
      <c r="BPZ19" s="3507"/>
      <c r="BQA19" s="3507"/>
      <c r="BQB19" s="3507"/>
      <c r="BQC19" s="3507"/>
      <c r="BQD19" s="3507"/>
      <c r="BQE19" s="3507"/>
      <c r="BQF19" s="3507"/>
      <c r="BQG19" s="3507"/>
      <c r="BQH19" s="3507"/>
      <c r="BQI19" s="3507"/>
      <c r="BQJ19" s="3507"/>
      <c r="BQK19" s="3507"/>
      <c r="BQL19" s="3507"/>
      <c r="BQM19" s="3507"/>
      <c r="BQN19" s="3507"/>
      <c r="BQO19" s="3507"/>
      <c r="BQP19" s="3507"/>
      <c r="BQQ19" s="3507"/>
      <c r="BQR19" s="3507"/>
      <c r="BQS19" s="3507"/>
      <c r="BQT19" s="3507"/>
      <c r="BQU19" s="3507"/>
      <c r="BQV19" s="3507"/>
      <c r="BQW19" s="3507"/>
      <c r="BQX19" s="3507"/>
      <c r="BQY19" s="3507"/>
      <c r="BQZ19" s="3507"/>
      <c r="BRA19" s="3507"/>
      <c r="BRB19" s="3507"/>
      <c r="BRC19" s="3507"/>
      <c r="BRD19" s="3507"/>
      <c r="BRE19" s="3507"/>
      <c r="BRF19" s="3507"/>
      <c r="BRG19" s="3507"/>
      <c r="BRH19" s="3507"/>
      <c r="BRI19" s="3507"/>
      <c r="BRJ19" s="3507"/>
      <c r="BRK19" s="3507"/>
      <c r="BRL19" s="3507"/>
      <c r="BRM19" s="3507"/>
      <c r="BRN19" s="3507"/>
      <c r="BRO19" s="3507"/>
      <c r="BRP19" s="3507"/>
      <c r="BRQ19" s="3507"/>
      <c r="BRR19" s="3507"/>
      <c r="BRS19" s="3507"/>
      <c r="BRT19" s="3507"/>
      <c r="BRU19" s="3507"/>
      <c r="BRV19" s="3507"/>
      <c r="BRW19" s="3507"/>
      <c r="BRX19" s="3507"/>
      <c r="BRY19" s="3507"/>
      <c r="BRZ19" s="3507"/>
      <c r="BSA19" s="3507"/>
      <c r="BSB19" s="3507"/>
      <c r="BSC19" s="3507"/>
      <c r="BSD19" s="3507"/>
      <c r="BSE19" s="3507"/>
      <c r="BSF19" s="3507"/>
      <c r="BSG19" s="3507"/>
      <c r="BSH19" s="3507"/>
      <c r="BSI19" s="3507"/>
      <c r="BSJ19" s="3507"/>
      <c r="BSK19" s="3507"/>
      <c r="BSL19" s="3507"/>
      <c r="BSM19" s="3507"/>
      <c r="BSN19" s="3507"/>
      <c r="BSO19" s="3507"/>
      <c r="BSP19" s="3507"/>
      <c r="BSQ19" s="3507"/>
      <c r="BSR19" s="3507"/>
      <c r="BSS19" s="3507"/>
      <c r="BST19" s="3507"/>
      <c r="BSU19" s="3507"/>
      <c r="BSV19" s="3507"/>
      <c r="BSW19" s="3507"/>
      <c r="BSX19" s="3507"/>
      <c r="BSY19" s="3507"/>
      <c r="BSZ19" s="3507"/>
      <c r="BTA19" s="3507"/>
      <c r="BTB19" s="3507"/>
      <c r="BTC19" s="3507"/>
      <c r="BTD19" s="3507"/>
      <c r="BTE19" s="3507"/>
      <c r="BTF19" s="3507"/>
      <c r="BTG19" s="3507"/>
      <c r="BTH19" s="3507"/>
      <c r="BTI19" s="3507"/>
      <c r="BTJ19" s="3507"/>
      <c r="BTK19" s="3507"/>
      <c r="BTL19" s="3507"/>
      <c r="BTM19" s="3507"/>
      <c r="BTN19" s="3507"/>
      <c r="BTO19" s="3507"/>
      <c r="BTP19" s="3507"/>
      <c r="BTQ19" s="3507"/>
      <c r="BTR19" s="3507"/>
      <c r="BTS19" s="3507"/>
      <c r="BTT19" s="3507"/>
      <c r="BTU19" s="3507"/>
      <c r="BTV19" s="3507"/>
      <c r="BTW19" s="3507"/>
      <c r="BTX19" s="3507"/>
      <c r="BTY19" s="3507"/>
      <c r="BTZ19" s="3507"/>
      <c r="BUA19" s="3507"/>
      <c r="BUB19" s="3507"/>
      <c r="BUC19" s="3507"/>
      <c r="BUD19" s="3507"/>
      <c r="BUE19" s="3507"/>
      <c r="BUF19" s="3507"/>
      <c r="BUG19" s="3507"/>
      <c r="BUH19" s="3507"/>
      <c r="BUI19" s="3507"/>
      <c r="BUJ19" s="3507"/>
      <c r="BUK19" s="3507"/>
      <c r="BUL19" s="3507"/>
      <c r="BUM19" s="3507"/>
      <c r="BUN19" s="3507"/>
      <c r="BUO19" s="3507"/>
      <c r="BUP19" s="3507"/>
      <c r="BUQ19" s="3507"/>
      <c r="BUR19" s="3507"/>
      <c r="BUS19" s="3507"/>
      <c r="BUT19" s="3507"/>
      <c r="BUU19" s="3507"/>
      <c r="BUV19" s="3507"/>
      <c r="BUW19" s="3507"/>
      <c r="BUX19" s="3507"/>
      <c r="BUY19" s="3507"/>
      <c r="BUZ19" s="3507"/>
      <c r="BVA19" s="3507"/>
      <c r="BVB19" s="3507"/>
      <c r="BVC19" s="3507"/>
      <c r="BVD19" s="3507"/>
      <c r="BVE19" s="3507"/>
      <c r="BVF19" s="3507"/>
      <c r="BVG19" s="3507"/>
      <c r="BVH19" s="3507"/>
      <c r="BVI19" s="3507"/>
      <c r="BVJ19" s="3507"/>
      <c r="BVK19" s="3507"/>
      <c r="BVL19" s="3507"/>
      <c r="BVM19" s="3507"/>
      <c r="BVN19" s="3507"/>
      <c r="BVO19" s="3507"/>
      <c r="BVP19" s="3507"/>
      <c r="BVQ19" s="3507"/>
      <c r="BVR19" s="3507"/>
      <c r="BVS19" s="3507"/>
      <c r="BVT19" s="3507"/>
      <c r="BVU19" s="3507"/>
      <c r="BVV19" s="3507"/>
      <c r="BVW19" s="3507"/>
      <c r="BVX19" s="3507"/>
      <c r="BVY19" s="3507"/>
      <c r="BVZ19" s="3507"/>
      <c r="BWA19" s="3507"/>
      <c r="BWB19" s="3507"/>
      <c r="BWC19" s="3507"/>
      <c r="BWD19" s="3507"/>
      <c r="BWE19" s="3507"/>
      <c r="BWF19" s="3507"/>
      <c r="BWG19" s="3507"/>
      <c r="BWH19" s="3507"/>
      <c r="BWI19" s="3507"/>
      <c r="BWJ19" s="3507"/>
      <c r="BWK19" s="3507"/>
      <c r="BWL19" s="3507"/>
      <c r="BWM19" s="3507"/>
      <c r="BWN19" s="3507"/>
      <c r="BWO19" s="3507"/>
      <c r="BWP19" s="3507"/>
      <c r="BWQ19" s="3507"/>
      <c r="BWR19" s="3507"/>
      <c r="BWS19" s="3507"/>
      <c r="BWT19" s="3507"/>
      <c r="BWU19" s="3507"/>
      <c r="BWV19" s="3507"/>
      <c r="BWW19" s="3507"/>
      <c r="BWX19" s="3507"/>
      <c r="BWY19" s="3507"/>
      <c r="BWZ19" s="3507"/>
      <c r="BXA19" s="3507"/>
      <c r="BXB19" s="3507"/>
      <c r="BXC19" s="3507"/>
      <c r="BXD19" s="3507"/>
      <c r="BXE19" s="3507"/>
      <c r="BXF19" s="3507"/>
      <c r="BXG19" s="3507"/>
      <c r="BXH19" s="3507"/>
      <c r="BXI19" s="3507"/>
      <c r="BXJ19" s="3507"/>
      <c r="BXK19" s="3507"/>
      <c r="BXL19" s="3507"/>
      <c r="BXM19" s="3507"/>
      <c r="BXN19" s="3507"/>
      <c r="BXO19" s="3507"/>
      <c r="BXP19" s="3507"/>
      <c r="BXQ19" s="3507"/>
      <c r="BXR19" s="3507"/>
      <c r="BXS19" s="3507"/>
      <c r="BXT19" s="3507"/>
      <c r="BXU19" s="3507"/>
      <c r="BXV19" s="3507"/>
      <c r="BXW19" s="3507"/>
      <c r="BXX19" s="3507"/>
      <c r="BXY19" s="3507"/>
      <c r="BXZ19" s="3507"/>
      <c r="BYA19" s="3507"/>
      <c r="BYB19" s="3507"/>
      <c r="BYC19" s="3507"/>
      <c r="BYD19" s="3507"/>
      <c r="BYE19" s="3507"/>
      <c r="BYF19" s="3507"/>
      <c r="BYG19" s="3507"/>
      <c r="BYH19" s="3507"/>
      <c r="BYI19" s="3507"/>
      <c r="BYJ19" s="3507"/>
      <c r="BYK19" s="3507"/>
      <c r="BYL19" s="3507"/>
      <c r="BYM19" s="3507"/>
      <c r="BYN19" s="3507"/>
      <c r="BYO19" s="3507"/>
      <c r="BYP19" s="3507"/>
      <c r="BYQ19" s="3507"/>
      <c r="BYR19" s="3507"/>
      <c r="BYS19" s="3507"/>
      <c r="BYT19" s="3507"/>
      <c r="BYU19" s="3507"/>
      <c r="BYV19" s="3507"/>
      <c r="BYW19" s="3507"/>
      <c r="BYX19" s="3507"/>
      <c r="BYY19" s="3507"/>
      <c r="BYZ19" s="3507"/>
      <c r="BZA19" s="3507"/>
      <c r="BZB19" s="3507"/>
      <c r="BZC19" s="3507"/>
      <c r="BZD19" s="3507"/>
      <c r="BZE19" s="3507"/>
      <c r="BZF19" s="3507"/>
      <c r="BZG19" s="3507"/>
      <c r="BZH19" s="3507"/>
      <c r="BZI19" s="3507"/>
      <c r="BZJ19" s="3507"/>
      <c r="BZK19" s="3507"/>
      <c r="BZL19" s="3507"/>
      <c r="BZM19" s="3507"/>
      <c r="BZN19" s="3507"/>
      <c r="BZO19" s="3507"/>
      <c r="BZP19" s="3507"/>
      <c r="BZQ19" s="3507"/>
      <c r="BZR19" s="3507"/>
      <c r="BZS19" s="3507"/>
      <c r="BZT19" s="3507"/>
      <c r="BZU19" s="3507"/>
      <c r="BZV19" s="3507"/>
      <c r="BZW19" s="3507"/>
      <c r="BZX19" s="3507"/>
      <c r="BZY19" s="3507"/>
      <c r="BZZ19" s="3507"/>
      <c r="CAA19" s="3507"/>
      <c r="CAB19" s="3507"/>
      <c r="CAC19" s="3507"/>
      <c r="CAD19" s="3507"/>
      <c r="CAE19" s="3507"/>
      <c r="CAF19" s="3507"/>
      <c r="CAG19" s="3507"/>
      <c r="CAH19" s="3507"/>
      <c r="CAI19" s="3507"/>
      <c r="CAJ19" s="3507"/>
      <c r="CAK19" s="3507"/>
      <c r="CAL19" s="3507"/>
      <c r="CAM19" s="3507"/>
      <c r="CAN19" s="3507"/>
      <c r="CAO19" s="3507"/>
      <c r="CAP19" s="3507"/>
      <c r="CAQ19" s="3507"/>
      <c r="CAR19" s="3507"/>
      <c r="CAS19" s="3507"/>
      <c r="CAT19" s="3507"/>
      <c r="CAU19" s="3507"/>
      <c r="CAV19" s="3507"/>
      <c r="CAW19" s="3507"/>
      <c r="CAX19" s="3507"/>
      <c r="CAY19" s="3507"/>
      <c r="CAZ19" s="3507"/>
      <c r="CBA19" s="3507"/>
      <c r="CBB19" s="3507"/>
      <c r="CBC19" s="3507"/>
      <c r="CBD19" s="3507"/>
      <c r="CBE19" s="3507"/>
      <c r="CBF19" s="3507"/>
      <c r="CBG19" s="3507"/>
      <c r="CBH19" s="3507"/>
      <c r="CBI19" s="3507"/>
      <c r="CBJ19" s="3507"/>
      <c r="CBK19" s="3507"/>
      <c r="CBL19" s="3507"/>
      <c r="CBM19" s="3507"/>
      <c r="CBN19" s="3507"/>
      <c r="CBO19" s="3507"/>
      <c r="CBP19" s="3507"/>
      <c r="CBQ19" s="3507"/>
      <c r="CBR19" s="3507"/>
      <c r="CBS19" s="3507"/>
      <c r="CBT19" s="3507"/>
      <c r="CBU19" s="3507"/>
      <c r="CBV19" s="3507"/>
      <c r="CBW19" s="3507"/>
      <c r="CBX19" s="3507"/>
      <c r="CBY19" s="3507"/>
      <c r="CBZ19" s="3507"/>
      <c r="CCA19" s="3507"/>
      <c r="CCB19" s="3507"/>
      <c r="CCC19" s="3507"/>
      <c r="CCD19" s="3507"/>
      <c r="CCE19" s="3507"/>
      <c r="CCF19" s="3507"/>
      <c r="CCG19" s="3507"/>
      <c r="CCH19" s="3507"/>
      <c r="CCI19" s="3507"/>
      <c r="CCJ19" s="3507"/>
      <c r="CCK19" s="3507"/>
      <c r="CCL19" s="3507"/>
      <c r="CCM19" s="3507"/>
      <c r="CCN19" s="3507"/>
      <c r="CCO19" s="3507"/>
      <c r="CCP19" s="3507"/>
      <c r="CCQ19" s="3507"/>
      <c r="CCR19" s="3507"/>
      <c r="CCS19" s="3507"/>
      <c r="CCT19" s="3507"/>
      <c r="CCU19" s="3507"/>
      <c r="CCV19" s="3507"/>
      <c r="CCW19" s="3507"/>
      <c r="CCX19" s="3507"/>
      <c r="CCY19" s="3507"/>
      <c r="CCZ19" s="3507"/>
      <c r="CDA19" s="3507"/>
      <c r="CDB19" s="3507"/>
      <c r="CDC19" s="3507"/>
      <c r="CDD19" s="3507"/>
      <c r="CDE19" s="3507"/>
      <c r="CDF19" s="3507"/>
      <c r="CDG19" s="3507"/>
      <c r="CDH19" s="3507"/>
      <c r="CDI19" s="3507"/>
      <c r="CDJ19" s="3507"/>
      <c r="CDK19" s="3507"/>
      <c r="CDL19" s="3507"/>
      <c r="CDM19" s="3507"/>
      <c r="CDN19" s="3507"/>
      <c r="CDO19" s="3507"/>
      <c r="CDP19" s="3507"/>
      <c r="CDQ19" s="3507"/>
      <c r="CDR19" s="3507"/>
      <c r="CDS19" s="3507"/>
      <c r="CDT19" s="3507"/>
      <c r="CDU19" s="3507"/>
      <c r="CDV19" s="3507"/>
      <c r="CDW19" s="3507"/>
      <c r="CDX19" s="3507"/>
      <c r="CDY19" s="3507"/>
      <c r="CDZ19" s="3507"/>
      <c r="CEA19" s="3507"/>
      <c r="CEB19" s="3507"/>
      <c r="CEC19" s="3507"/>
      <c r="CED19" s="3507"/>
      <c r="CEE19" s="3507"/>
      <c r="CEF19" s="3507"/>
      <c r="CEG19" s="3507"/>
      <c r="CEH19" s="3507"/>
      <c r="CEI19" s="3507"/>
      <c r="CEJ19" s="3507"/>
      <c r="CEK19" s="3507"/>
      <c r="CEL19" s="3507"/>
      <c r="CEM19" s="3507"/>
      <c r="CEN19" s="3507"/>
      <c r="CEO19" s="3507"/>
      <c r="CEP19" s="3507"/>
      <c r="CEQ19" s="3507"/>
      <c r="CER19" s="3507"/>
      <c r="CES19" s="3507"/>
      <c r="CET19" s="3507"/>
      <c r="CEU19" s="3507"/>
      <c r="CEV19" s="3507"/>
      <c r="CEW19" s="3507"/>
      <c r="CEX19" s="3507"/>
      <c r="CEY19" s="3507"/>
      <c r="CEZ19" s="3507"/>
      <c r="CFA19" s="3507"/>
      <c r="CFB19" s="3507"/>
      <c r="CFC19" s="3507"/>
      <c r="CFD19" s="3507"/>
      <c r="CFE19" s="3507"/>
      <c r="CFF19" s="3507"/>
      <c r="CFG19" s="3507"/>
      <c r="CFH19" s="3507"/>
      <c r="CFI19" s="3507"/>
      <c r="CFJ19" s="3507"/>
      <c r="CFK19" s="3507"/>
      <c r="CFL19" s="3507"/>
      <c r="CFM19" s="3507"/>
      <c r="CFN19" s="3507"/>
      <c r="CFO19" s="3507"/>
      <c r="CFP19" s="3507"/>
      <c r="CFQ19" s="3507"/>
      <c r="CFR19" s="3507"/>
      <c r="CFS19" s="3507"/>
      <c r="CFT19" s="3507"/>
      <c r="CFU19" s="3507"/>
      <c r="CFV19" s="3507"/>
      <c r="CFW19" s="3507"/>
      <c r="CFX19" s="3507"/>
      <c r="CFY19" s="3507"/>
      <c r="CFZ19" s="3507"/>
      <c r="CGA19" s="3507"/>
      <c r="CGB19" s="3507"/>
      <c r="CGC19" s="3507"/>
      <c r="CGD19" s="3507"/>
      <c r="CGE19" s="3507"/>
      <c r="CGF19" s="3507"/>
      <c r="CGG19" s="3507"/>
      <c r="CGH19" s="3507"/>
      <c r="CGI19" s="3507"/>
      <c r="CGJ19" s="3507"/>
      <c r="CGK19" s="3507"/>
      <c r="CGL19" s="3507"/>
      <c r="CGM19" s="3507"/>
      <c r="CGN19" s="3507"/>
      <c r="CGO19" s="3507"/>
      <c r="CGP19" s="3507"/>
      <c r="CGQ19" s="3507"/>
      <c r="CGR19" s="3507"/>
      <c r="CGS19" s="3507"/>
      <c r="CGT19" s="3507"/>
      <c r="CGU19" s="3507"/>
      <c r="CGV19" s="3507"/>
      <c r="CGW19" s="3507"/>
      <c r="CGX19" s="3507"/>
      <c r="CGY19" s="3507"/>
      <c r="CGZ19" s="3507"/>
      <c r="CHA19" s="3507"/>
      <c r="CHB19" s="3507"/>
      <c r="CHC19" s="3507"/>
      <c r="CHD19" s="3507"/>
      <c r="CHE19" s="3507"/>
      <c r="CHF19" s="3507"/>
      <c r="CHG19" s="3507"/>
      <c r="CHH19" s="3507"/>
      <c r="CHI19" s="3507"/>
      <c r="CHJ19" s="3507"/>
      <c r="CHK19" s="3507"/>
      <c r="CHL19" s="3507"/>
      <c r="CHM19" s="3507"/>
      <c r="CHN19" s="3507"/>
      <c r="CHO19" s="3507"/>
      <c r="CHP19" s="3507"/>
      <c r="CHQ19" s="3507"/>
      <c r="CHR19" s="3507"/>
      <c r="CHS19" s="3507"/>
      <c r="CHT19" s="3507"/>
      <c r="CHU19" s="3507"/>
      <c r="CHV19" s="3507"/>
      <c r="CHW19" s="3507"/>
      <c r="CHX19" s="3507"/>
      <c r="CHY19" s="3507"/>
      <c r="CHZ19" s="3507"/>
      <c r="CIA19" s="3507"/>
      <c r="CIB19" s="3507"/>
      <c r="CIC19" s="3507"/>
      <c r="CID19" s="3507"/>
      <c r="CIE19" s="3507"/>
      <c r="CIF19" s="3507"/>
      <c r="CIG19" s="3507"/>
      <c r="CIH19" s="3507"/>
      <c r="CII19" s="3507"/>
      <c r="CIJ19" s="3507"/>
      <c r="CIK19" s="3507"/>
      <c r="CIL19" s="3507"/>
      <c r="CIM19" s="3507"/>
      <c r="CIN19" s="3507"/>
      <c r="CIO19" s="3507"/>
      <c r="CIP19" s="3507"/>
      <c r="CIQ19" s="3507"/>
      <c r="CIR19" s="3507"/>
      <c r="CIS19" s="3507"/>
      <c r="CIT19" s="3507"/>
      <c r="CIU19" s="3507"/>
      <c r="CIV19" s="3507"/>
      <c r="CIW19" s="3507"/>
      <c r="CIX19" s="3507"/>
      <c r="CIY19" s="3507"/>
      <c r="CIZ19" s="3507"/>
      <c r="CJA19" s="3507"/>
      <c r="CJB19" s="3507"/>
      <c r="CJC19" s="3507"/>
      <c r="CJD19" s="3507"/>
      <c r="CJE19" s="3507"/>
      <c r="CJF19" s="3507"/>
      <c r="CJG19" s="3507"/>
      <c r="CJH19" s="3507"/>
      <c r="CJI19" s="3507"/>
      <c r="CJJ19" s="3507"/>
      <c r="CJK19" s="3507"/>
      <c r="CJL19" s="3507"/>
      <c r="CJM19" s="3507"/>
      <c r="CJN19" s="3507"/>
      <c r="CJO19" s="3507"/>
      <c r="CJP19" s="3507"/>
      <c r="CJQ19" s="3507"/>
      <c r="CJR19" s="3507"/>
      <c r="CJS19" s="3507"/>
      <c r="CJT19" s="3507"/>
      <c r="CJU19" s="3507"/>
      <c r="CJV19" s="3507"/>
      <c r="CJW19" s="3507"/>
      <c r="CJX19" s="3507"/>
      <c r="CJY19" s="3507"/>
      <c r="CJZ19" s="3507"/>
      <c r="CKA19" s="3507"/>
      <c r="CKB19" s="3507"/>
      <c r="CKC19" s="3507"/>
      <c r="CKD19" s="3507"/>
      <c r="CKE19" s="3507"/>
      <c r="CKF19" s="3507"/>
      <c r="CKG19" s="3507"/>
      <c r="CKH19" s="3507"/>
      <c r="CKI19" s="3507"/>
      <c r="CKJ19" s="3507"/>
      <c r="CKK19" s="3507"/>
      <c r="CKL19" s="3507"/>
      <c r="CKM19" s="3507"/>
      <c r="CKN19" s="3507"/>
      <c r="CKO19" s="3507"/>
      <c r="CKP19" s="3507"/>
      <c r="CKQ19" s="3507"/>
      <c r="CKR19" s="3507"/>
      <c r="CKS19" s="3507"/>
      <c r="CKT19" s="3507"/>
      <c r="CKU19" s="3507"/>
      <c r="CKV19" s="3507"/>
      <c r="CKW19" s="3507"/>
      <c r="CKX19" s="3507"/>
      <c r="CKY19" s="3507"/>
      <c r="CKZ19" s="3507"/>
      <c r="CLA19" s="3507"/>
      <c r="CLB19" s="3507"/>
      <c r="CLC19" s="3507"/>
      <c r="CLD19" s="3507"/>
      <c r="CLE19" s="3507"/>
      <c r="CLF19" s="3507"/>
      <c r="CLG19" s="3507"/>
      <c r="CLH19" s="3507"/>
      <c r="CLI19" s="3507"/>
      <c r="CLJ19" s="3507"/>
      <c r="CLK19" s="3507"/>
      <c r="CLL19" s="3507"/>
      <c r="CLM19" s="3507"/>
      <c r="CLN19" s="3507"/>
      <c r="CLO19" s="3507"/>
      <c r="CLP19" s="3507"/>
      <c r="CLQ19" s="3507"/>
      <c r="CLR19" s="3507"/>
      <c r="CLS19" s="3507"/>
      <c r="CLT19" s="3507"/>
      <c r="CLU19" s="3507"/>
      <c r="CLV19" s="3507"/>
      <c r="CLW19" s="3507"/>
      <c r="CLX19" s="3507"/>
      <c r="CLY19" s="3507"/>
      <c r="CLZ19" s="3507"/>
      <c r="CMA19" s="3507"/>
      <c r="CMB19" s="3507"/>
      <c r="CMC19" s="3507"/>
      <c r="CMD19" s="3507"/>
      <c r="CME19" s="3507"/>
      <c r="CMF19" s="3507"/>
      <c r="CMG19" s="3507"/>
      <c r="CMH19" s="3507"/>
      <c r="CMI19" s="3507"/>
      <c r="CMJ19" s="3507"/>
      <c r="CMK19" s="3507"/>
      <c r="CML19" s="3507"/>
      <c r="CMM19" s="3507"/>
      <c r="CMN19" s="3507"/>
      <c r="CMO19" s="3507"/>
      <c r="CMP19" s="3507"/>
      <c r="CMQ19" s="3507"/>
      <c r="CMR19" s="3507"/>
      <c r="CMS19" s="3507"/>
      <c r="CMT19" s="3507"/>
      <c r="CMU19" s="3507"/>
      <c r="CMV19" s="3507"/>
      <c r="CMW19" s="3507"/>
      <c r="CMX19" s="3507"/>
      <c r="CMY19" s="3507"/>
      <c r="CMZ19" s="3507"/>
      <c r="CNA19" s="3507"/>
      <c r="CNB19" s="3507"/>
      <c r="CNC19" s="3507"/>
      <c r="CND19" s="3507"/>
      <c r="CNE19" s="3507"/>
      <c r="CNF19" s="3507"/>
      <c r="CNG19" s="3507"/>
      <c r="CNH19" s="3507"/>
      <c r="CNI19" s="3507"/>
      <c r="CNJ19" s="3507"/>
      <c r="CNK19" s="3507"/>
      <c r="CNL19" s="3507"/>
      <c r="CNM19" s="3507"/>
      <c r="CNN19" s="3507"/>
      <c r="CNO19" s="3507"/>
      <c r="CNP19" s="3507"/>
      <c r="CNQ19" s="3507"/>
      <c r="CNR19" s="3507"/>
      <c r="CNS19" s="3507"/>
      <c r="CNT19" s="3507"/>
      <c r="CNU19" s="3507"/>
      <c r="CNV19" s="3507"/>
      <c r="CNW19" s="3507"/>
      <c r="CNX19" s="3507"/>
      <c r="CNY19" s="3507"/>
      <c r="CNZ19" s="3507"/>
      <c r="COA19" s="3507"/>
      <c r="COB19" s="3507"/>
      <c r="COC19" s="3507"/>
      <c r="COD19" s="3507"/>
      <c r="COE19" s="3507"/>
      <c r="COF19" s="3507"/>
      <c r="COG19" s="3507"/>
      <c r="COH19" s="3507"/>
      <c r="COI19" s="3507"/>
      <c r="COJ19" s="3507"/>
      <c r="COK19" s="3507"/>
      <c r="COL19" s="3507"/>
      <c r="COM19" s="3507"/>
      <c r="CON19" s="3507"/>
      <c r="COO19" s="3507"/>
      <c r="COP19" s="3507"/>
      <c r="COQ19" s="3507"/>
      <c r="COR19" s="3507"/>
      <c r="COS19" s="3507"/>
      <c r="COT19" s="3507"/>
      <c r="COU19" s="3507"/>
      <c r="COV19" s="3507"/>
      <c r="COW19" s="3507"/>
      <c r="COX19" s="3507"/>
      <c r="COY19" s="3507"/>
      <c r="COZ19" s="3507"/>
      <c r="CPA19" s="3507"/>
      <c r="CPB19" s="3507"/>
      <c r="CPC19" s="3507"/>
      <c r="CPD19" s="3507"/>
      <c r="CPE19" s="3507"/>
      <c r="CPF19" s="3507"/>
      <c r="CPG19" s="3507"/>
      <c r="CPH19" s="3507"/>
      <c r="CPI19" s="3507"/>
      <c r="CPJ19" s="3507"/>
      <c r="CPK19" s="3507"/>
      <c r="CPL19" s="3507"/>
      <c r="CPM19" s="3507"/>
      <c r="CPN19" s="3507"/>
      <c r="CPO19" s="3507"/>
      <c r="CPP19" s="3507"/>
      <c r="CPQ19" s="3507"/>
      <c r="CPR19" s="3507"/>
      <c r="CPS19" s="3507"/>
      <c r="CPT19" s="3507"/>
      <c r="CPU19" s="3507"/>
      <c r="CPV19" s="3507"/>
      <c r="CPW19" s="3507"/>
      <c r="CPX19" s="3507"/>
      <c r="CPY19" s="3507"/>
      <c r="CPZ19" s="3507"/>
      <c r="CQA19" s="3507"/>
      <c r="CQB19" s="3507"/>
      <c r="CQC19" s="3507"/>
      <c r="CQD19" s="3507"/>
      <c r="CQE19" s="3507"/>
      <c r="CQF19" s="3507"/>
      <c r="CQG19" s="3507"/>
      <c r="CQH19" s="3507"/>
      <c r="CQI19" s="3507"/>
      <c r="CQJ19" s="3507"/>
      <c r="CQK19" s="3507"/>
      <c r="CQL19" s="3507"/>
      <c r="CQM19" s="3507"/>
      <c r="CQN19" s="3507"/>
      <c r="CQO19" s="3507"/>
      <c r="CQP19" s="3507"/>
      <c r="CQQ19" s="3507"/>
      <c r="CQR19" s="3507"/>
      <c r="CQS19" s="3507"/>
      <c r="CQT19" s="3507"/>
      <c r="CQU19" s="3507"/>
      <c r="CQV19" s="3507"/>
      <c r="CQW19" s="3507"/>
      <c r="CQX19" s="3507"/>
      <c r="CQY19" s="3507"/>
      <c r="CQZ19" s="3507"/>
      <c r="CRA19" s="3507"/>
      <c r="CRB19" s="3507"/>
      <c r="CRC19" s="3507"/>
      <c r="CRD19" s="3507"/>
      <c r="CRE19" s="3507"/>
      <c r="CRF19" s="3507"/>
      <c r="CRG19" s="3507"/>
      <c r="CRH19" s="3507"/>
      <c r="CRI19" s="3507"/>
      <c r="CRJ19" s="3507"/>
      <c r="CRK19" s="3507"/>
      <c r="CRL19" s="3507"/>
      <c r="CRM19" s="3507"/>
      <c r="CRN19" s="3507"/>
      <c r="CRO19" s="3507"/>
      <c r="CRP19" s="3507"/>
      <c r="CRQ19" s="3507"/>
      <c r="CRR19" s="3507"/>
      <c r="CRS19" s="3507"/>
      <c r="CRT19" s="3507"/>
      <c r="CRU19" s="3507"/>
      <c r="CRV19" s="3507"/>
      <c r="CRW19" s="3507"/>
      <c r="CRX19" s="3507"/>
      <c r="CRY19" s="3507"/>
      <c r="CRZ19" s="3507"/>
      <c r="CSA19" s="3507"/>
      <c r="CSB19" s="3507"/>
      <c r="CSC19" s="3507"/>
      <c r="CSD19" s="3507"/>
      <c r="CSE19" s="3507"/>
      <c r="CSF19" s="3507"/>
      <c r="CSG19" s="3507"/>
      <c r="CSH19" s="3507"/>
      <c r="CSI19" s="3507"/>
      <c r="CSJ19" s="3507"/>
      <c r="CSK19" s="3507"/>
      <c r="CSL19" s="3507"/>
      <c r="CSM19" s="3507"/>
      <c r="CSN19" s="3507"/>
      <c r="CSO19" s="3507"/>
      <c r="CSP19" s="3507"/>
      <c r="CSQ19" s="3507"/>
      <c r="CSR19" s="3507"/>
      <c r="CSS19" s="3507"/>
      <c r="CST19" s="3507"/>
      <c r="CSU19" s="3507"/>
      <c r="CSV19" s="3507"/>
      <c r="CSW19" s="3507"/>
      <c r="CSX19" s="3507"/>
      <c r="CSY19" s="3507"/>
      <c r="CSZ19" s="3507"/>
      <c r="CTA19" s="3507"/>
      <c r="CTB19" s="3507"/>
      <c r="CTC19" s="3507"/>
      <c r="CTD19" s="3507"/>
      <c r="CTE19" s="3507"/>
      <c r="CTF19" s="3507"/>
      <c r="CTG19" s="3507"/>
      <c r="CTH19" s="3507"/>
      <c r="CTI19" s="3507"/>
      <c r="CTJ19" s="3507"/>
      <c r="CTK19" s="3507"/>
      <c r="CTL19" s="3507"/>
      <c r="CTM19" s="3507"/>
      <c r="CTN19" s="3507"/>
      <c r="CTO19" s="3507"/>
      <c r="CTP19" s="3507"/>
      <c r="CTQ19" s="3507"/>
      <c r="CTR19" s="3507"/>
      <c r="CTS19" s="3507"/>
      <c r="CTT19" s="3507"/>
      <c r="CTU19" s="3507"/>
      <c r="CTV19" s="3507"/>
      <c r="CTW19" s="3507"/>
      <c r="CTX19" s="3507"/>
      <c r="CTY19" s="3507"/>
      <c r="CTZ19" s="3507"/>
      <c r="CUA19" s="3507"/>
      <c r="CUB19" s="3507"/>
      <c r="CUC19" s="3507"/>
      <c r="CUD19" s="3507"/>
      <c r="CUE19" s="3507"/>
      <c r="CUF19" s="3507"/>
      <c r="CUG19" s="3507"/>
      <c r="CUH19" s="3507"/>
      <c r="CUI19" s="3507"/>
      <c r="CUJ19" s="3507"/>
      <c r="CUK19" s="3507"/>
      <c r="CUL19" s="3507"/>
      <c r="CUM19" s="3507"/>
      <c r="CUN19" s="3507"/>
      <c r="CUO19" s="3507"/>
      <c r="CUP19" s="3507"/>
      <c r="CUQ19" s="3507"/>
      <c r="CUR19" s="3507"/>
      <c r="CUS19" s="3507"/>
      <c r="CUT19" s="3507"/>
      <c r="CUU19" s="3507"/>
      <c r="CUV19" s="3507"/>
      <c r="CUW19" s="3507"/>
      <c r="CUX19" s="3507"/>
      <c r="CUY19" s="3507"/>
      <c r="CUZ19" s="3507"/>
      <c r="CVA19" s="3507"/>
      <c r="CVB19" s="3507"/>
      <c r="CVC19" s="3507"/>
      <c r="CVD19" s="3507"/>
      <c r="CVE19" s="3507"/>
      <c r="CVF19" s="3507"/>
      <c r="CVG19" s="3507"/>
      <c r="CVH19" s="3507"/>
      <c r="CVI19" s="3507"/>
      <c r="CVJ19" s="3507"/>
      <c r="CVK19" s="3507"/>
      <c r="CVL19" s="3507"/>
      <c r="CVM19" s="3507"/>
      <c r="CVN19" s="3507"/>
      <c r="CVO19" s="3507"/>
      <c r="CVP19" s="3507"/>
      <c r="CVQ19" s="3507"/>
      <c r="CVR19" s="3507"/>
      <c r="CVS19" s="3507"/>
      <c r="CVT19" s="3507"/>
      <c r="CVU19" s="3507"/>
      <c r="CVV19" s="3507"/>
      <c r="CVW19" s="3507"/>
      <c r="CVX19" s="3507"/>
      <c r="CVY19" s="3507"/>
      <c r="CVZ19" s="3507"/>
      <c r="CWA19" s="3507"/>
      <c r="CWB19" s="3507"/>
      <c r="CWC19" s="3507"/>
      <c r="CWD19" s="3507"/>
      <c r="CWE19" s="3507"/>
      <c r="CWF19" s="3507"/>
      <c r="CWG19" s="3507"/>
      <c r="CWH19" s="3507"/>
      <c r="CWI19" s="3507"/>
      <c r="CWJ19" s="3507"/>
      <c r="CWK19" s="3507"/>
      <c r="CWL19" s="3507"/>
      <c r="CWM19" s="3507"/>
      <c r="CWN19" s="3507"/>
      <c r="CWO19" s="3507"/>
      <c r="CWP19" s="3507"/>
      <c r="CWQ19" s="3507"/>
      <c r="CWR19" s="3507"/>
      <c r="CWS19" s="3507"/>
      <c r="CWT19" s="3507"/>
      <c r="CWU19" s="3507"/>
      <c r="CWV19" s="3507"/>
      <c r="CWW19" s="3507"/>
      <c r="CWX19" s="3507"/>
      <c r="CWY19" s="3507"/>
      <c r="CWZ19" s="3507"/>
      <c r="CXA19" s="3507"/>
      <c r="CXB19" s="3507"/>
      <c r="CXC19" s="3507"/>
      <c r="CXD19" s="3507"/>
      <c r="CXE19" s="3507"/>
      <c r="CXF19" s="3507"/>
      <c r="CXG19" s="3507"/>
      <c r="CXH19" s="3507"/>
      <c r="CXI19" s="3507"/>
      <c r="CXJ19" s="3507"/>
      <c r="CXK19" s="3507"/>
      <c r="CXL19" s="3507"/>
      <c r="CXM19" s="3507"/>
      <c r="CXN19" s="3507"/>
      <c r="CXO19" s="3507"/>
      <c r="CXP19" s="3507"/>
      <c r="CXQ19" s="3507"/>
      <c r="CXR19" s="3507"/>
      <c r="CXS19" s="3507"/>
      <c r="CXT19" s="3507"/>
      <c r="CXU19" s="3507"/>
      <c r="CXV19" s="3507"/>
      <c r="CXW19" s="3507"/>
      <c r="CXX19" s="3507"/>
      <c r="CXY19" s="3507"/>
      <c r="CXZ19" s="3507"/>
      <c r="CYA19" s="3507"/>
      <c r="CYB19" s="3507"/>
      <c r="CYC19" s="3507"/>
      <c r="CYD19" s="3507"/>
      <c r="CYE19" s="3507"/>
      <c r="CYF19" s="3507"/>
      <c r="CYG19" s="3507"/>
      <c r="CYH19" s="3507"/>
      <c r="CYI19" s="3507"/>
      <c r="CYJ19" s="3507"/>
      <c r="CYK19" s="3507"/>
      <c r="CYL19" s="3507"/>
      <c r="CYM19" s="3507"/>
      <c r="CYN19" s="3507"/>
      <c r="CYO19" s="3507"/>
      <c r="CYP19" s="3507"/>
      <c r="CYQ19" s="3507"/>
      <c r="CYR19" s="3507"/>
      <c r="CYS19" s="3507"/>
      <c r="CYT19" s="3507"/>
      <c r="CYU19" s="3507"/>
      <c r="CYV19" s="3507"/>
      <c r="CYW19" s="3507"/>
      <c r="CYX19" s="3507"/>
      <c r="CYY19" s="3507"/>
      <c r="CYZ19" s="3507"/>
      <c r="CZA19" s="3507"/>
      <c r="CZB19" s="3507"/>
      <c r="CZC19" s="3507"/>
      <c r="CZD19" s="3507"/>
      <c r="CZE19" s="3507"/>
      <c r="CZF19" s="3507"/>
      <c r="CZG19" s="3507"/>
      <c r="CZH19" s="3507"/>
      <c r="CZI19" s="3507"/>
      <c r="CZJ19" s="3507"/>
      <c r="CZK19" s="3507"/>
      <c r="CZL19" s="3507"/>
      <c r="CZM19" s="3507"/>
      <c r="CZN19" s="3507"/>
      <c r="CZO19" s="3507"/>
      <c r="CZP19" s="3507"/>
      <c r="CZQ19" s="3507"/>
      <c r="CZR19" s="3507"/>
      <c r="CZS19" s="3507"/>
      <c r="CZT19" s="3507"/>
      <c r="CZU19" s="3507"/>
      <c r="CZV19" s="3507"/>
      <c r="CZW19" s="3507"/>
      <c r="CZX19" s="3507"/>
      <c r="CZY19" s="3507"/>
      <c r="CZZ19" s="3507"/>
      <c r="DAA19" s="3507"/>
      <c r="DAB19" s="3507"/>
      <c r="DAC19" s="3507"/>
      <c r="DAD19" s="3507"/>
      <c r="DAE19" s="3507"/>
      <c r="DAF19" s="3507"/>
      <c r="DAG19" s="3507"/>
      <c r="DAH19" s="3507"/>
      <c r="DAI19" s="3507"/>
      <c r="DAJ19" s="3507"/>
      <c r="DAK19" s="3507"/>
      <c r="DAL19" s="3507"/>
      <c r="DAM19" s="3507"/>
      <c r="DAN19" s="3507"/>
      <c r="DAO19" s="3507"/>
      <c r="DAP19" s="3507"/>
      <c r="DAQ19" s="3507"/>
      <c r="DAR19" s="3507"/>
      <c r="DAS19" s="3507"/>
      <c r="DAT19" s="3507"/>
      <c r="DAU19" s="3507"/>
      <c r="DAV19" s="3507"/>
      <c r="DAW19" s="3507"/>
      <c r="DAX19" s="3507"/>
      <c r="DAY19" s="3507"/>
      <c r="DAZ19" s="3507"/>
      <c r="DBA19" s="3507"/>
      <c r="DBB19" s="3507"/>
      <c r="DBC19" s="3507"/>
      <c r="DBD19" s="3507"/>
      <c r="DBE19" s="3507"/>
      <c r="DBF19" s="3507"/>
      <c r="DBG19" s="3507"/>
      <c r="DBH19" s="3507"/>
      <c r="DBI19" s="3507"/>
      <c r="DBJ19" s="3507"/>
      <c r="DBK19" s="3507"/>
      <c r="DBL19" s="3507"/>
      <c r="DBM19" s="3507"/>
      <c r="DBN19" s="3507"/>
      <c r="DBO19" s="3507"/>
      <c r="DBP19" s="3507"/>
      <c r="DBQ19" s="3507"/>
      <c r="DBR19" s="3507"/>
      <c r="DBS19" s="3507"/>
      <c r="DBT19" s="3507"/>
      <c r="DBU19" s="3507"/>
      <c r="DBV19" s="3507"/>
      <c r="DBW19" s="3507"/>
      <c r="DBX19" s="3507"/>
      <c r="DBY19" s="3507"/>
      <c r="DBZ19" s="3507"/>
      <c r="DCA19" s="3507"/>
      <c r="DCB19" s="3507"/>
      <c r="DCC19" s="3507"/>
      <c r="DCD19" s="3507"/>
      <c r="DCE19" s="3507"/>
      <c r="DCF19" s="3507"/>
      <c r="DCG19" s="3507"/>
      <c r="DCH19" s="3507"/>
      <c r="DCI19" s="3507"/>
      <c r="DCJ19" s="3507"/>
      <c r="DCK19" s="3507"/>
      <c r="DCL19" s="3507"/>
      <c r="DCM19" s="3507"/>
      <c r="DCN19" s="3507"/>
      <c r="DCO19" s="3507"/>
      <c r="DCP19" s="3507"/>
      <c r="DCQ19" s="3507"/>
      <c r="DCR19" s="3507"/>
      <c r="DCS19" s="3507"/>
      <c r="DCT19" s="3507"/>
      <c r="DCU19" s="3507"/>
      <c r="DCV19" s="3507"/>
      <c r="DCW19" s="3507"/>
      <c r="DCX19" s="3507"/>
      <c r="DCY19" s="3507"/>
      <c r="DCZ19" s="3507"/>
      <c r="DDA19" s="3507"/>
      <c r="DDB19" s="3507"/>
      <c r="DDC19" s="3507"/>
      <c r="DDD19" s="3507"/>
      <c r="DDE19" s="3507"/>
      <c r="DDF19" s="3507"/>
      <c r="DDG19" s="3507"/>
      <c r="DDH19" s="3507"/>
      <c r="DDI19" s="3507"/>
      <c r="DDJ19" s="3507"/>
      <c r="DDK19" s="3507"/>
      <c r="DDL19" s="3507"/>
      <c r="DDM19" s="3507"/>
      <c r="DDN19" s="3507"/>
      <c r="DDO19" s="3507"/>
      <c r="DDP19" s="3507"/>
      <c r="DDQ19" s="3507"/>
      <c r="DDR19" s="3507"/>
      <c r="DDS19" s="3507"/>
      <c r="DDT19" s="3507"/>
      <c r="DDU19" s="3507"/>
      <c r="DDV19" s="3507"/>
      <c r="DDW19" s="3507"/>
      <c r="DDX19" s="3507"/>
      <c r="DDY19" s="3507"/>
      <c r="DDZ19" s="3507"/>
      <c r="DEA19" s="3507"/>
      <c r="DEB19" s="3507"/>
      <c r="DEC19" s="3507"/>
      <c r="DED19" s="3507"/>
      <c r="DEE19" s="3507"/>
      <c r="DEF19" s="3507"/>
      <c r="DEG19" s="3507"/>
      <c r="DEH19" s="3507"/>
      <c r="DEI19" s="3507"/>
      <c r="DEJ19" s="3507"/>
      <c r="DEK19" s="3507"/>
      <c r="DEL19" s="3507"/>
      <c r="DEM19" s="3507"/>
      <c r="DEN19" s="3507"/>
      <c r="DEO19" s="3507"/>
      <c r="DEP19" s="3507"/>
      <c r="DEQ19" s="3507"/>
      <c r="DER19" s="3507"/>
      <c r="DES19" s="3507"/>
      <c r="DET19" s="3507"/>
      <c r="DEU19" s="3507"/>
      <c r="DEV19" s="3507"/>
      <c r="DEW19" s="3507"/>
      <c r="DEX19" s="3507"/>
      <c r="DEY19" s="3507"/>
      <c r="DEZ19" s="3507"/>
      <c r="DFA19" s="3507"/>
      <c r="DFB19" s="3507"/>
      <c r="DFC19" s="3507"/>
      <c r="DFD19" s="3507"/>
      <c r="DFE19" s="3507"/>
      <c r="DFF19" s="3507"/>
      <c r="DFG19" s="3507"/>
      <c r="DFH19" s="3507"/>
      <c r="DFI19" s="3507"/>
      <c r="DFJ19" s="3507"/>
      <c r="DFK19" s="3507"/>
      <c r="DFL19" s="3507"/>
      <c r="DFM19" s="3507"/>
      <c r="DFN19" s="3507"/>
      <c r="DFO19" s="3507"/>
      <c r="DFP19" s="3507"/>
      <c r="DFQ19" s="3507"/>
      <c r="DFR19" s="3507"/>
      <c r="DFS19" s="3507"/>
      <c r="DFT19" s="3507"/>
      <c r="DFU19" s="3507"/>
      <c r="DFV19" s="3507"/>
      <c r="DFW19" s="3507"/>
      <c r="DFX19" s="3507"/>
      <c r="DFY19" s="3507"/>
      <c r="DFZ19" s="3507"/>
      <c r="DGA19" s="3507"/>
      <c r="DGB19" s="3507"/>
      <c r="DGC19" s="3507"/>
      <c r="DGD19" s="3507"/>
      <c r="DGE19" s="3507"/>
      <c r="DGF19" s="3507"/>
      <c r="DGG19" s="3507"/>
      <c r="DGH19" s="3507"/>
      <c r="DGI19" s="3507"/>
      <c r="DGJ19" s="3507"/>
      <c r="DGK19" s="3507"/>
      <c r="DGL19" s="3507"/>
      <c r="DGM19" s="3507"/>
      <c r="DGN19" s="3507"/>
      <c r="DGO19" s="3507"/>
      <c r="DGP19" s="3507"/>
      <c r="DGQ19" s="3507"/>
      <c r="DGR19" s="3507"/>
      <c r="DGS19" s="3507"/>
      <c r="DGT19" s="3507"/>
      <c r="DGU19" s="3507"/>
      <c r="DGV19" s="3507"/>
      <c r="DGW19" s="3507"/>
      <c r="DGX19" s="3507"/>
      <c r="DGY19" s="3507"/>
      <c r="DGZ19" s="3507"/>
      <c r="DHA19" s="3507"/>
      <c r="DHB19" s="3507"/>
      <c r="DHC19" s="3507"/>
      <c r="DHD19" s="3507"/>
      <c r="DHE19" s="3507"/>
      <c r="DHF19" s="3507"/>
      <c r="DHG19" s="3507"/>
      <c r="DHH19" s="3507"/>
      <c r="DHI19" s="3507"/>
      <c r="DHJ19" s="3507"/>
      <c r="DHK19" s="3507"/>
      <c r="DHL19" s="3507"/>
      <c r="DHM19" s="3507"/>
      <c r="DHN19" s="3507"/>
      <c r="DHO19" s="3507"/>
      <c r="DHP19" s="3507"/>
      <c r="DHQ19" s="3507"/>
      <c r="DHR19" s="3507"/>
      <c r="DHS19" s="3507"/>
      <c r="DHT19" s="3507"/>
      <c r="DHU19" s="3507"/>
      <c r="DHV19" s="3507"/>
      <c r="DHW19" s="3507"/>
      <c r="DHX19" s="3507"/>
      <c r="DHY19" s="3507"/>
      <c r="DHZ19" s="3507"/>
      <c r="DIA19" s="3507"/>
      <c r="DIB19" s="3507"/>
      <c r="DIC19" s="3507"/>
      <c r="DID19" s="3507"/>
      <c r="DIE19" s="3507"/>
      <c r="DIF19" s="3507"/>
      <c r="DIG19" s="3507"/>
      <c r="DIH19" s="3507"/>
      <c r="DII19" s="3507"/>
      <c r="DIJ19" s="3507"/>
      <c r="DIK19" s="3507"/>
      <c r="DIL19" s="3507"/>
      <c r="DIM19" s="3507"/>
      <c r="DIN19" s="3507"/>
      <c r="DIO19" s="3507"/>
      <c r="DIP19" s="3507"/>
      <c r="DIQ19" s="3507"/>
      <c r="DIR19" s="3507"/>
      <c r="DIS19" s="3507"/>
      <c r="DIT19" s="3507"/>
      <c r="DIU19" s="3507"/>
      <c r="DIV19" s="3507"/>
      <c r="DIW19" s="3507"/>
      <c r="DIX19" s="3507"/>
      <c r="DIY19" s="3507"/>
      <c r="DIZ19" s="3507"/>
      <c r="DJA19" s="3507"/>
      <c r="DJB19" s="3507"/>
      <c r="DJC19" s="3507"/>
      <c r="DJD19" s="3507"/>
      <c r="DJE19" s="3507"/>
      <c r="DJF19" s="3507"/>
      <c r="DJG19" s="3507"/>
      <c r="DJH19" s="3507"/>
      <c r="DJI19" s="3507"/>
      <c r="DJJ19" s="3507"/>
      <c r="DJK19" s="3507"/>
      <c r="DJL19" s="3507"/>
      <c r="DJM19" s="3507"/>
      <c r="DJN19" s="3507"/>
      <c r="DJO19" s="3507"/>
      <c r="DJP19" s="3507"/>
      <c r="DJQ19" s="3507"/>
      <c r="DJR19" s="3507"/>
      <c r="DJS19" s="3507"/>
      <c r="DJT19" s="3507"/>
      <c r="DJU19" s="3507"/>
      <c r="DJV19" s="3507"/>
      <c r="DJW19" s="3507"/>
      <c r="DJX19" s="3507"/>
      <c r="DJY19" s="3507"/>
      <c r="DJZ19" s="3507"/>
      <c r="DKA19" s="3507"/>
      <c r="DKB19" s="3507"/>
      <c r="DKC19" s="3507"/>
      <c r="DKD19" s="3507"/>
      <c r="DKE19" s="3507"/>
      <c r="DKF19" s="3507"/>
      <c r="DKG19" s="3507"/>
      <c r="DKH19" s="3507"/>
      <c r="DKI19" s="3507"/>
      <c r="DKJ19" s="3507"/>
      <c r="DKK19" s="3507"/>
      <c r="DKL19" s="3507"/>
      <c r="DKM19" s="3507"/>
      <c r="DKN19" s="3507"/>
      <c r="DKO19" s="3507"/>
      <c r="DKP19" s="3507"/>
      <c r="DKQ19" s="3507"/>
      <c r="DKR19" s="3507"/>
      <c r="DKS19" s="3507"/>
      <c r="DKT19" s="3507"/>
      <c r="DKU19" s="3507"/>
      <c r="DKV19" s="3507"/>
      <c r="DKW19" s="3507"/>
      <c r="DKX19" s="3507"/>
      <c r="DKY19" s="3507"/>
      <c r="DKZ19" s="3507"/>
      <c r="DLA19" s="3507"/>
      <c r="DLB19" s="3507"/>
      <c r="DLC19" s="3507"/>
      <c r="DLD19" s="3507"/>
      <c r="DLE19" s="3507"/>
      <c r="DLF19" s="3507"/>
      <c r="DLG19" s="3507"/>
      <c r="DLH19" s="3507"/>
      <c r="DLI19" s="3507"/>
      <c r="DLJ19" s="3507"/>
      <c r="DLK19" s="3507"/>
      <c r="DLL19" s="3507"/>
      <c r="DLM19" s="3507"/>
      <c r="DLN19" s="3507"/>
      <c r="DLO19" s="3507"/>
      <c r="DLP19" s="3507"/>
      <c r="DLQ19" s="3507"/>
      <c r="DLR19" s="3507"/>
      <c r="DLS19" s="3507"/>
      <c r="DLT19" s="3507"/>
      <c r="DLU19" s="3507"/>
      <c r="DLV19" s="3507"/>
      <c r="DLW19" s="3507"/>
      <c r="DLX19" s="3507"/>
      <c r="DLY19" s="3507"/>
      <c r="DLZ19" s="3507"/>
      <c r="DMA19" s="3507"/>
      <c r="DMB19" s="3507"/>
      <c r="DMC19" s="3507"/>
      <c r="DMD19" s="3507"/>
      <c r="DME19" s="3507"/>
      <c r="DMF19" s="3507"/>
      <c r="DMG19" s="3507"/>
      <c r="DMH19" s="3507"/>
      <c r="DMI19" s="3507"/>
      <c r="DMJ19" s="3507"/>
      <c r="DMK19" s="3507"/>
      <c r="DML19" s="3507"/>
      <c r="DMM19" s="3507"/>
      <c r="DMN19" s="3507"/>
      <c r="DMO19" s="3507"/>
      <c r="DMP19" s="3507"/>
      <c r="DMQ19" s="3507"/>
      <c r="DMR19" s="3507"/>
      <c r="DMS19" s="3507"/>
      <c r="DMT19" s="3507"/>
      <c r="DMU19" s="3507"/>
      <c r="DMV19" s="3507"/>
      <c r="DMW19" s="3507"/>
      <c r="DMX19" s="3507"/>
      <c r="DMY19" s="3507"/>
      <c r="DMZ19" s="3507"/>
      <c r="DNA19" s="3507"/>
      <c r="DNB19" s="3507"/>
      <c r="DNC19" s="3507"/>
      <c r="DND19" s="3507"/>
      <c r="DNE19" s="3507"/>
      <c r="DNF19" s="3507"/>
      <c r="DNG19" s="3507"/>
      <c r="DNH19" s="3507"/>
      <c r="DNI19" s="3507"/>
      <c r="DNJ19" s="3507"/>
      <c r="DNK19" s="3507"/>
      <c r="DNL19" s="3507"/>
      <c r="DNM19" s="3507"/>
      <c r="DNN19" s="3507"/>
      <c r="DNO19" s="3507"/>
      <c r="DNP19" s="3507"/>
      <c r="DNQ19" s="3507"/>
      <c r="DNR19" s="3507"/>
      <c r="DNS19" s="3507"/>
      <c r="DNT19" s="3507"/>
      <c r="DNU19" s="3507"/>
      <c r="DNV19" s="3507"/>
      <c r="DNW19" s="3507"/>
      <c r="DNX19" s="3507"/>
      <c r="DNY19" s="3507"/>
      <c r="DNZ19" s="3507"/>
      <c r="DOA19" s="3507"/>
      <c r="DOB19" s="3507"/>
      <c r="DOC19" s="3507"/>
      <c r="DOD19" s="3507"/>
      <c r="DOE19" s="3507"/>
      <c r="DOF19" s="3507"/>
      <c r="DOG19" s="3507"/>
      <c r="DOH19" s="3507"/>
      <c r="DOI19" s="3507"/>
      <c r="DOJ19" s="3507"/>
      <c r="DOK19" s="3507"/>
      <c r="DOL19" s="3507"/>
      <c r="DOM19" s="3507"/>
      <c r="DON19" s="3507"/>
      <c r="DOO19" s="3507"/>
      <c r="DOP19" s="3507"/>
      <c r="DOQ19" s="3507"/>
      <c r="DOR19" s="3507"/>
      <c r="DOS19" s="3507"/>
      <c r="DOT19" s="3507"/>
      <c r="DOU19" s="3507"/>
      <c r="DOV19" s="3507"/>
      <c r="DOW19" s="3507"/>
      <c r="DOX19" s="3507"/>
      <c r="DOY19" s="3507"/>
      <c r="DOZ19" s="3507"/>
      <c r="DPA19" s="3507"/>
      <c r="DPB19" s="3507"/>
      <c r="DPC19" s="3507"/>
      <c r="DPD19" s="3507"/>
      <c r="DPE19" s="3507"/>
      <c r="DPF19" s="3507"/>
      <c r="DPG19" s="3507"/>
      <c r="DPH19" s="3507"/>
      <c r="DPI19" s="3507"/>
      <c r="DPJ19" s="3507"/>
      <c r="DPK19" s="3507"/>
      <c r="DPL19" s="3507"/>
      <c r="DPM19" s="3507"/>
      <c r="DPN19" s="3507"/>
      <c r="DPO19" s="3507"/>
      <c r="DPP19" s="3507"/>
      <c r="DPQ19" s="3507"/>
      <c r="DPR19" s="3507"/>
      <c r="DPS19" s="3507"/>
      <c r="DPT19" s="3507"/>
      <c r="DPU19" s="3507"/>
      <c r="DPV19" s="3507"/>
      <c r="DPW19" s="3507"/>
      <c r="DPX19" s="3507"/>
      <c r="DPY19" s="3507"/>
      <c r="DPZ19" s="3507"/>
      <c r="DQA19" s="3507"/>
      <c r="DQB19" s="3507"/>
      <c r="DQC19" s="3507"/>
      <c r="DQD19" s="3507"/>
      <c r="DQE19" s="3507"/>
      <c r="DQF19" s="3507"/>
      <c r="DQG19" s="3507"/>
      <c r="DQH19" s="3507"/>
      <c r="DQI19" s="3507"/>
      <c r="DQJ19" s="3507"/>
      <c r="DQK19" s="3507"/>
      <c r="DQL19" s="3507"/>
      <c r="DQM19" s="3507"/>
      <c r="DQN19" s="3507"/>
      <c r="DQO19" s="3507"/>
      <c r="DQP19" s="3507"/>
      <c r="DQQ19" s="3507"/>
      <c r="DQR19" s="3507"/>
      <c r="DQS19" s="3507"/>
      <c r="DQT19" s="3507"/>
      <c r="DQU19" s="3507"/>
      <c r="DQV19" s="3507"/>
      <c r="DQW19" s="3507"/>
      <c r="DQX19" s="3507"/>
      <c r="DQY19" s="3507"/>
      <c r="DQZ19" s="3507"/>
      <c r="DRA19" s="3507"/>
      <c r="DRB19" s="3507"/>
      <c r="DRC19" s="3507"/>
      <c r="DRD19" s="3507"/>
      <c r="DRE19" s="3507"/>
      <c r="DRF19" s="3507"/>
      <c r="DRG19" s="3507"/>
      <c r="DRH19" s="3507"/>
      <c r="DRI19" s="3507"/>
      <c r="DRJ19" s="3507"/>
      <c r="DRK19" s="3507"/>
      <c r="DRL19" s="3507"/>
      <c r="DRM19" s="3507"/>
      <c r="DRN19" s="3507"/>
      <c r="DRO19" s="3507"/>
      <c r="DRP19" s="3507"/>
      <c r="DRQ19" s="3507"/>
      <c r="DRR19" s="3507"/>
      <c r="DRS19" s="3507"/>
      <c r="DRT19" s="3507"/>
      <c r="DRU19" s="3507"/>
      <c r="DRV19" s="3507"/>
      <c r="DRW19" s="3507"/>
      <c r="DRX19" s="3507"/>
      <c r="DRY19" s="3507"/>
      <c r="DRZ19" s="3507"/>
      <c r="DSA19" s="3507"/>
      <c r="DSB19" s="3507"/>
      <c r="DSC19" s="3507"/>
      <c r="DSD19" s="3507"/>
      <c r="DSE19" s="3507"/>
      <c r="DSF19" s="3507"/>
      <c r="DSG19" s="3507"/>
      <c r="DSH19" s="3507"/>
      <c r="DSI19" s="3507"/>
      <c r="DSJ19" s="3507"/>
      <c r="DSK19" s="3507"/>
      <c r="DSL19" s="3507"/>
      <c r="DSM19" s="3507"/>
      <c r="DSN19" s="3507"/>
      <c r="DSO19" s="3507"/>
      <c r="DSP19" s="3507"/>
      <c r="DSQ19" s="3507"/>
      <c r="DSR19" s="3507"/>
      <c r="DSS19" s="3507"/>
      <c r="DST19" s="3507"/>
      <c r="DSU19" s="3507"/>
      <c r="DSV19" s="3507"/>
      <c r="DSW19" s="3507"/>
      <c r="DSX19" s="3507"/>
      <c r="DSY19" s="3507"/>
      <c r="DSZ19" s="3507"/>
      <c r="DTA19" s="3507"/>
      <c r="DTB19" s="3507"/>
      <c r="DTC19" s="3507"/>
      <c r="DTD19" s="3507"/>
      <c r="DTE19" s="3507"/>
      <c r="DTF19" s="3507"/>
      <c r="DTG19" s="3507"/>
      <c r="DTH19" s="3507"/>
      <c r="DTI19" s="3507"/>
      <c r="DTJ19" s="3507"/>
      <c r="DTK19" s="3507"/>
      <c r="DTL19" s="3507"/>
      <c r="DTM19" s="3507"/>
      <c r="DTN19" s="3507"/>
      <c r="DTO19" s="3507"/>
      <c r="DTP19" s="3507"/>
      <c r="DTQ19" s="3507"/>
      <c r="DTR19" s="3507"/>
      <c r="DTS19" s="3507"/>
      <c r="DTT19" s="3507"/>
      <c r="DTU19" s="3507"/>
      <c r="DTV19" s="3507"/>
      <c r="DTW19" s="3507"/>
      <c r="DTX19" s="3507"/>
      <c r="DTY19" s="3507"/>
      <c r="DTZ19" s="3507"/>
      <c r="DUA19" s="3507"/>
      <c r="DUB19" s="3507"/>
      <c r="DUC19" s="3507"/>
      <c r="DUD19" s="3507"/>
      <c r="DUE19" s="3507"/>
      <c r="DUF19" s="3507"/>
      <c r="DUG19" s="3507"/>
      <c r="DUH19" s="3507"/>
      <c r="DUI19" s="3507"/>
      <c r="DUJ19" s="3507"/>
      <c r="DUK19" s="3507"/>
      <c r="DUL19" s="3507"/>
      <c r="DUM19" s="3507"/>
      <c r="DUN19" s="3507"/>
      <c r="DUO19" s="3507"/>
      <c r="DUP19" s="3507"/>
      <c r="DUQ19" s="3507"/>
      <c r="DUR19" s="3507"/>
      <c r="DUS19" s="3507"/>
      <c r="DUT19" s="3507"/>
      <c r="DUU19" s="3507"/>
      <c r="DUV19" s="3507"/>
      <c r="DUW19" s="3507"/>
      <c r="DUX19" s="3507"/>
      <c r="DUY19" s="3507"/>
      <c r="DUZ19" s="3507"/>
      <c r="DVA19" s="3507"/>
      <c r="DVB19" s="3507"/>
      <c r="DVC19" s="3507"/>
      <c r="DVD19" s="3507"/>
      <c r="DVE19" s="3507"/>
      <c r="DVF19" s="3507"/>
      <c r="DVG19" s="3507"/>
      <c r="DVH19" s="3507"/>
      <c r="DVI19" s="3507"/>
      <c r="DVJ19" s="3507"/>
      <c r="DVK19" s="3507"/>
      <c r="DVL19" s="3507"/>
      <c r="DVM19" s="3507"/>
      <c r="DVN19" s="3507"/>
      <c r="DVO19" s="3507"/>
      <c r="DVP19" s="3507"/>
      <c r="DVQ19" s="3507"/>
      <c r="DVR19" s="3507"/>
      <c r="DVS19" s="3507"/>
      <c r="DVT19" s="3507"/>
      <c r="DVU19" s="3507"/>
      <c r="DVV19" s="3507"/>
      <c r="DVW19" s="3507"/>
      <c r="DVX19" s="3507"/>
      <c r="DVY19" s="3507"/>
      <c r="DVZ19" s="3507"/>
      <c r="DWA19" s="3507"/>
      <c r="DWB19" s="3507"/>
      <c r="DWC19" s="3507"/>
      <c r="DWD19" s="3507"/>
      <c r="DWE19" s="3507"/>
      <c r="DWF19" s="3507"/>
      <c r="DWG19" s="3507"/>
      <c r="DWH19" s="3507"/>
      <c r="DWI19" s="3507"/>
      <c r="DWJ19" s="3507"/>
      <c r="DWK19" s="3507"/>
      <c r="DWL19" s="3507"/>
      <c r="DWM19" s="3507"/>
      <c r="DWN19" s="3507"/>
      <c r="DWO19" s="3507"/>
      <c r="DWP19" s="3507"/>
      <c r="DWQ19" s="3507"/>
      <c r="DWR19" s="3507"/>
      <c r="DWS19" s="3507"/>
      <c r="DWT19" s="3507"/>
      <c r="DWU19" s="3507"/>
      <c r="DWV19" s="3507"/>
      <c r="DWW19" s="3507"/>
      <c r="DWX19" s="3507"/>
      <c r="DWY19" s="3507"/>
      <c r="DWZ19" s="3507"/>
      <c r="DXA19" s="3507"/>
      <c r="DXB19" s="3507"/>
      <c r="DXC19" s="3507"/>
      <c r="DXD19" s="3507"/>
      <c r="DXE19" s="3507"/>
      <c r="DXF19" s="3507"/>
      <c r="DXG19" s="3507"/>
      <c r="DXH19" s="3507"/>
      <c r="DXI19" s="3507"/>
      <c r="DXJ19" s="3507"/>
      <c r="DXK19" s="3507"/>
      <c r="DXL19" s="3507"/>
      <c r="DXM19" s="3507"/>
      <c r="DXN19" s="3507"/>
      <c r="DXO19" s="3507"/>
      <c r="DXP19" s="3507"/>
      <c r="DXQ19" s="3507"/>
      <c r="DXR19" s="3507"/>
      <c r="DXS19" s="3507"/>
      <c r="DXT19" s="3507"/>
      <c r="DXU19" s="3507"/>
      <c r="DXV19" s="3507"/>
      <c r="DXW19" s="3507"/>
      <c r="DXX19" s="3507"/>
      <c r="DXY19" s="3507"/>
      <c r="DXZ19" s="3507"/>
      <c r="DYA19" s="3507"/>
      <c r="DYB19" s="3507"/>
      <c r="DYC19" s="3507"/>
      <c r="DYD19" s="3507"/>
      <c r="DYE19" s="3507"/>
      <c r="DYF19" s="3507"/>
      <c r="DYG19" s="3507"/>
      <c r="DYH19" s="3507"/>
      <c r="DYI19" s="3507"/>
      <c r="DYJ19" s="3507"/>
      <c r="DYK19" s="3507"/>
      <c r="DYL19" s="3507"/>
      <c r="DYM19" s="3507"/>
      <c r="DYN19" s="3507"/>
      <c r="DYO19" s="3507"/>
      <c r="DYP19" s="3507"/>
      <c r="DYQ19" s="3507"/>
      <c r="DYR19" s="3507"/>
      <c r="DYS19" s="3507"/>
      <c r="DYT19" s="3507"/>
      <c r="DYU19" s="3507"/>
      <c r="DYV19" s="3507"/>
      <c r="DYW19" s="3507"/>
      <c r="DYX19" s="3507"/>
      <c r="DYY19" s="3507"/>
      <c r="DYZ19" s="3507"/>
      <c r="DZA19" s="3507"/>
      <c r="DZB19" s="3507"/>
      <c r="DZC19" s="3507"/>
      <c r="DZD19" s="3507"/>
      <c r="DZE19" s="3507"/>
      <c r="DZF19" s="3507"/>
      <c r="DZG19" s="3507"/>
      <c r="DZH19" s="3507"/>
      <c r="DZI19" s="3507"/>
      <c r="DZJ19" s="3507"/>
      <c r="DZK19" s="3507"/>
      <c r="DZL19" s="3507"/>
      <c r="DZM19" s="3507"/>
      <c r="DZN19" s="3507"/>
      <c r="DZO19" s="3507"/>
      <c r="DZP19" s="3507"/>
      <c r="DZQ19" s="3507"/>
      <c r="DZR19" s="3507"/>
      <c r="DZS19" s="3507"/>
      <c r="DZT19" s="3507"/>
      <c r="DZU19" s="3507"/>
      <c r="DZV19" s="3507"/>
      <c r="DZW19" s="3507"/>
      <c r="DZX19" s="3507"/>
      <c r="DZY19" s="3507"/>
      <c r="DZZ19" s="3507"/>
      <c r="EAA19" s="3507"/>
      <c r="EAB19" s="3507"/>
      <c r="EAC19" s="3507"/>
      <c r="EAD19" s="3507"/>
      <c r="EAE19" s="3507"/>
      <c r="EAF19" s="3507"/>
      <c r="EAG19" s="3507"/>
      <c r="EAH19" s="3507"/>
      <c r="EAI19" s="3507"/>
      <c r="EAJ19" s="3507"/>
      <c r="EAK19" s="3507"/>
      <c r="EAL19" s="3507"/>
      <c r="EAM19" s="3507"/>
      <c r="EAN19" s="3507"/>
      <c r="EAO19" s="3507"/>
      <c r="EAP19" s="3507"/>
      <c r="EAQ19" s="3507"/>
      <c r="EAR19" s="3507"/>
      <c r="EAS19" s="3507"/>
      <c r="EAT19" s="3507"/>
      <c r="EAU19" s="3507"/>
      <c r="EAV19" s="3507"/>
      <c r="EAW19" s="3507"/>
      <c r="EAX19" s="3507"/>
      <c r="EAY19" s="3507"/>
      <c r="EAZ19" s="3507"/>
      <c r="EBA19" s="3507"/>
      <c r="EBB19" s="3507"/>
      <c r="EBC19" s="3507"/>
      <c r="EBD19" s="3507"/>
      <c r="EBE19" s="3507"/>
      <c r="EBF19" s="3507"/>
      <c r="EBG19" s="3507"/>
      <c r="EBH19" s="3507"/>
      <c r="EBI19" s="3507"/>
      <c r="EBJ19" s="3507"/>
      <c r="EBK19" s="3507"/>
      <c r="EBL19" s="3507"/>
      <c r="EBM19" s="3507"/>
      <c r="EBN19" s="3507"/>
      <c r="EBO19" s="3507"/>
      <c r="EBP19" s="3507"/>
      <c r="EBQ19" s="3507"/>
      <c r="EBR19" s="3507"/>
      <c r="EBS19" s="3507"/>
      <c r="EBT19" s="3507"/>
      <c r="EBU19" s="3507"/>
      <c r="EBV19" s="3507"/>
      <c r="EBW19" s="3507"/>
      <c r="EBX19" s="3507"/>
      <c r="EBY19" s="3507"/>
      <c r="EBZ19" s="3507"/>
      <c r="ECA19" s="3507"/>
      <c r="ECB19" s="3507"/>
      <c r="ECC19" s="3507"/>
      <c r="ECD19" s="3507"/>
      <c r="ECE19" s="3507"/>
      <c r="ECF19" s="3507"/>
      <c r="ECG19" s="3507"/>
      <c r="ECH19" s="3507"/>
      <c r="ECI19" s="3507"/>
      <c r="ECJ19" s="3507"/>
      <c r="ECK19" s="3507"/>
      <c r="ECL19" s="3507"/>
      <c r="ECM19" s="3507"/>
      <c r="ECN19" s="3507"/>
      <c r="ECO19" s="3507"/>
      <c r="ECP19" s="3507"/>
      <c r="ECQ19" s="3507"/>
      <c r="ECR19" s="3507"/>
      <c r="ECS19" s="3507"/>
      <c r="ECT19" s="3507"/>
      <c r="ECU19" s="3507"/>
      <c r="ECV19" s="3507"/>
      <c r="ECW19" s="3507"/>
      <c r="ECX19" s="3507"/>
      <c r="ECY19" s="3507"/>
      <c r="ECZ19" s="3507"/>
      <c r="EDA19" s="3507"/>
      <c r="EDB19" s="3507"/>
      <c r="EDC19" s="3507"/>
      <c r="EDD19" s="3507"/>
      <c r="EDE19" s="3507"/>
      <c r="EDF19" s="3507"/>
      <c r="EDG19" s="3507"/>
      <c r="EDH19" s="3507"/>
      <c r="EDI19" s="3507"/>
      <c r="EDJ19" s="3507"/>
      <c r="EDK19" s="3507"/>
      <c r="EDL19" s="3507"/>
      <c r="EDM19" s="3507"/>
      <c r="EDN19" s="3507"/>
      <c r="EDO19" s="3507"/>
      <c r="EDP19" s="3507"/>
      <c r="EDQ19" s="3507"/>
      <c r="EDR19" s="3507"/>
      <c r="EDS19" s="3507"/>
      <c r="EDT19" s="3507"/>
      <c r="EDU19" s="3507"/>
      <c r="EDV19" s="3507"/>
      <c r="EDW19" s="3507"/>
      <c r="EDX19" s="3507"/>
      <c r="EDY19" s="3507"/>
      <c r="EDZ19" s="3507"/>
      <c r="EEA19" s="3507"/>
      <c r="EEB19" s="3507"/>
      <c r="EEC19" s="3507"/>
      <c r="EED19" s="3507"/>
      <c r="EEE19" s="3507"/>
      <c r="EEF19" s="3507"/>
      <c r="EEG19" s="3507"/>
      <c r="EEH19" s="3507"/>
      <c r="EEI19" s="3507"/>
      <c r="EEJ19" s="3507"/>
      <c r="EEK19" s="3507"/>
      <c r="EEL19" s="3507"/>
      <c r="EEM19" s="3507"/>
      <c r="EEN19" s="3507"/>
      <c r="EEO19" s="3507"/>
      <c r="EEP19" s="3507"/>
      <c r="EEQ19" s="3507"/>
      <c r="EER19" s="3507"/>
      <c r="EES19" s="3507"/>
      <c r="EET19" s="3507"/>
      <c r="EEU19" s="3507"/>
      <c r="EEV19" s="3507"/>
      <c r="EEW19" s="3507"/>
      <c r="EEX19" s="3507"/>
      <c r="EEY19" s="3507"/>
      <c r="EEZ19" s="3507"/>
      <c r="EFA19" s="3507"/>
      <c r="EFB19" s="3507"/>
      <c r="EFC19" s="3507"/>
      <c r="EFD19" s="3507"/>
      <c r="EFE19" s="3507"/>
      <c r="EFF19" s="3507"/>
      <c r="EFG19" s="3507"/>
      <c r="EFH19" s="3507"/>
      <c r="EFI19" s="3507"/>
      <c r="EFJ19" s="3507"/>
      <c r="EFK19" s="3507"/>
      <c r="EFL19" s="3507"/>
      <c r="EFM19" s="3507"/>
      <c r="EFN19" s="3507"/>
      <c r="EFO19" s="3507"/>
      <c r="EFP19" s="3507"/>
      <c r="EFQ19" s="3507"/>
      <c r="EFR19" s="3507"/>
      <c r="EFS19" s="3507"/>
      <c r="EFT19" s="3507"/>
      <c r="EFU19" s="3507"/>
      <c r="EFV19" s="3507"/>
      <c r="EFW19" s="3507"/>
      <c r="EFX19" s="3507"/>
      <c r="EFY19" s="3507"/>
      <c r="EFZ19" s="3507"/>
      <c r="EGA19" s="3507"/>
      <c r="EGB19" s="3507"/>
      <c r="EGC19" s="3507"/>
      <c r="EGD19" s="3507"/>
      <c r="EGE19" s="3507"/>
      <c r="EGF19" s="3507"/>
      <c r="EGG19" s="3507"/>
      <c r="EGH19" s="3507"/>
      <c r="EGI19" s="3507"/>
      <c r="EGJ19" s="3507"/>
      <c r="EGK19" s="3507"/>
      <c r="EGL19" s="3507"/>
      <c r="EGM19" s="3507"/>
      <c r="EGN19" s="3507"/>
      <c r="EGO19" s="3507"/>
      <c r="EGP19" s="3507"/>
      <c r="EGQ19" s="3507"/>
      <c r="EGR19" s="3507"/>
      <c r="EGS19" s="3507"/>
      <c r="EGT19" s="3507"/>
      <c r="EGU19" s="3507"/>
      <c r="EGV19" s="3507"/>
      <c r="EGW19" s="3507"/>
      <c r="EGX19" s="3507"/>
      <c r="EGY19" s="3507"/>
      <c r="EGZ19" s="3507"/>
      <c r="EHA19" s="3507"/>
      <c r="EHB19" s="3507"/>
      <c r="EHC19" s="3507"/>
      <c r="EHD19" s="3507"/>
      <c r="EHE19" s="3507"/>
      <c r="EHF19" s="3507"/>
      <c r="EHG19" s="3507"/>
      <c r="EHH19" s="3507"/>
      <c r="EHI19" s="3507"/>
      <c r="EHJ19" s="3507"/>
      <c r="EHK19" s="3507"/>
      <c r="EHL19" s="3507"/>
      <c r="EHM19" s="3507"/>
      <c r="EHN19" s="3507"/>
      <c r="EHO19" s="3507"/>
      <c r="EHP19" s="3507"/>
      <c r="EHQ19" s="3507"/>
      <c r="EHR19" s="3507"/>
      <c r="EHS19" s="3507"/>
      <c r="EHT19" s="3507"/>
      <c r="EHU19" s="3507"/>
      <c r="EHV19" s="3507"/>
      <c r="EHW19" s="3507"/>
      <c r="EHX19" s="3507"/>
      <c r="EHY19" s="3507"/>
      <c r="EHZ19" s="3507"/>
      <c r="EIA19" s="3507"/>
      <c r="EIB19" s="3507"/>
      <c r="EIC19" s="3507"/>
      <c r="EID19" s="3507"/>
      <c r="EIE19" s="3507"/>
      <c r="EIF19" s="3507"/>
      <c r="EIG19" s="3507"/>
      <c r="EIH19" s="3507"/>
      <c r="EII19" s="3507"/>
      <c r="EIJ19" s="3507"/>
      <c r="EIK19" s="3507"/>
      <c r="EIL19" s="3507"/>
      <c r="EIM19" s="3507"/>
      <c r="EIN19" s="3507"/>
      <c r="EIO19" s="3507"/>
      <c r="EIP19" s="3507"/>
      <c r="EIQ19" s="3507"/>
      <c r="EIR19" s="3507"/>
      <c r="EIS19" s="3507"/>
      <c r="EIT19" s="3507"/>
      <c r="EIU19" s="3507"/>
      <c r="EIV19" s="3507"/>
      <c r="EIW19" s="3507"/>
      <c r="EIX19" s="3507"/>
      <c r="EIY19" s="3507"/>
      <c r="EIZ19" s="3507"/>
      <c r="EJA19" s="3507"/>
      <c r="EJB19" s="3507"/>
      <c r="EJC19" s="3507"/>
      <c r="EJD19" s="3507"/>
      <c r="EJE19" s="3507"/>
      <c r="EJF19" s="3507"/>
      <c r="EJG19" s="3507"/>
      <c r="EJH19" s="3507"/>
      <c r="EJI19" s="3507"/>
      <c r="EJJ19" s="3507"/>
      <c r="EJK19" s="3507"/>
      <c r="EJL19" s="3507"/>
      <c r="EJM19" s="3507"/>
      <c r="EJN19" s="3507"/>
      <c r="EJO19" s="3507"/>
      <c r="EJP19" s="3507"/>
      <c r="EJQ19" s="3507"/>
      <c r="EJR19" s="3507"/>
      <c r="EJS19" s="3507"/>
      <c r="EJT19" s="3507"/>
      <c r="EJU19" s="3507"/>
      <c r="EJV19" s="3507"/>
      <c r="EJW19" s="3507"/>
      <c r="EJX19" s="3507"/>
      <c r="EJY19" s="3507"/>
      <c r="EJZ19" s="3507"/>
      <c r="EKA19" s="3507"/>
      <c r="EKB19" s="3507"/>
      <c r="EKC19" s="3507"/>
      <c r="EKD19" s="3507"/>
      <c r="EKE19" s="3507"/>
      <c r="EKF19" s="3507"/>
      <c r="EKG19" s="3507"/>
      <c r="EKH19" s="3507"/>
      <c r="EKI19" s="3507"/>
      <c r="EKJ19" s="3507"/>
      <c r="EKK19" s="3507"/>
      <c r="EKL19" s="3507"/>
      <c r="EKM19" s="3507"/>
      <c r="EKN19" s="3507"/>
      <c r="EKO19" s="3507"/>
      <c r="EKP19" s="3507"/>
      <c r="EKQ19" s="3507"/>
      <c r="EKR19" s="3507"/>
      <c r="EKS19" s="3507"/>
      <c r="EKT19" s="3507"/>
      <c r="EKU19" s="3507"/>
      <c r="EKV19" s="3507"/>
      <c r="EKW19" s="3507"/>
      <c r="EKX19" s="3507"/>
      <c r="EKY19" s="3507"/>
      <c r="EKZ19" s="3507"/>
      <c r="ELA19" s="3507"/>
      <c r="ELB19" s="3507"/>
      <c r="ELC19" s="3507"/>
      <c r="ELD19" s="3507"/>
      <c r="ELE19" s="3507"/>
      <c r="ELF19" s="3507"/>
      <c r="ELG19" s="3507"/>
      <c r="ELH19" s="3507"/>
      <c r="ELI19" s="3507"/>
      <c r="ELJ19" s="3507"/>
      <c r="ELK19" s="3507"/>
      <c r="ELL19" s="3507"/>
      <c r="ELM19" s="3507"/>
      <c r="ELN19" s="3507"/>
      <c r="ELO19" s="3507"/>
      <c r="ELP19" s="3507"/>
      <c r="ELQ19" s="3507"/>
      <c r="ELR19" s="3507"/>
      <c r="ELS19" s="3507"/>
      <c r="ELT19" s="3507"/>
      <c r="ELU19" s="3507"/>
      <c r="ELV19" s="3507"/>
      <c r="ELW19" s="3507"/>
      <c r="ELX19" s="3507"/>
      <c r="ELY19" s="3507"/>
      <c r="ELZ19" s="3507"/>
      <c r="EMA19" s="3507"/>
      <c r="EMB19" s="3507"/>
      <c r="EMC19" s="3507"/>
      <c r="EMD19" s="3507"/>
      <c r="EME19" s="3507"/>
      <c r="EMF19" s="3507"/>
      <c r="EMG19" s="3507"/>
      <c r="EMH19" s="3507"/>
      <c r="EMI19" s="3507"/>
      <c r="EMJ19" s="3507"/>
      <c r="EMK19" s="3507"/>
      <c r="EML19" s="3507"/>
      <c r="EMM19" s="3507"/>
      <c r="EMN19" s="3507"/>
      <c r="EMO19" s="3507"/>
      <c r="EMP19" s="3507"/>
      <c r="EMQ19" s="3507"/>
      <c r="EMR19" s="3507"/>
      <c r="EMS19" s="3507"/>
      <c r="EMT19" s="3507"/>
      <c r="EMU19" s="3507"/>
      <c r="EMV19" s="3507"/>
      <c r="EMW19" s="3507"/>
      <c r="EMX19" s="3507"/>
      <c r="EMY19" s="3507"/>
      <c r="EMZ19" s="3507"/>
      <c r="ENA19" s="3507"/>
      <c r="ENB19" s="3507"/>
      <c r="ENC19" s="3507"/>
      <c r="END19" s="3507"/>
      <c r="ENE19" s="3507"/>
      <c r="ENF19" s="3507"/>
      <c r="ENG19" s="3507"/>
      <c r="ENH19" s="3507"/>
      <c r="ENI19" s="3507"/>
      <c r="ENJ19" s="3507"/>
      <c r="ENK19" s="3507"/>
      <c r="ENL19" s="3507"/>
      <c r="ENM19" s="3507"/>
      <c r="ENN19" s="3507"/>
      <c r="ENO19" s="3507"/>
      <c r="ENP19" s="3507"/>
      <c r="ENQ19" s="3507"/>
      <c r="ENR19" s="3507"/>
      <c r="ENS19" s="3507"/>
      <c r="ENT19" s="3507"/>
      <c r="ENU19" s="3507"/>
      <c r="ENV19" s="3507"/>
      <c r="ENW19" s="3507"/>
      <c r="ENX19" s="3507"/>
      <c r="ENY19" s="3507"/>
      <c r="ENZ19" s="3507"/>
      <c r="EOA19" s="3507"/>
      <c r="EOB19" s="3507"/>
      <c r="EOC19" s="3507"/>
      <c r="EOD19" s="3507"/>
      <c r="EOE19" s="3507"/>
      <c r="EOF19" s="3507"/>
      <c r="EOG19" s="3507"/>
      <c r="EOH19" s="3507"/>
      <c r="EOI19" s="3507"/>
      <c r="EOJ19" s="3507"/>
      <c r="EOK19" s="3507"/>
      <c r="EOL19" s="3507"/>
      <c r="EOM19" s="3507"/>
      <c r="EON19" s="3507"/>
      <c r="EOO19" s="3507"/>
      <c r="EOP19" s="3507"/>
      <c r="EOQ19" s="3507"/>
      <c r="EOR19" s="3507"/>
      <c r="EOS19" s="3507"/>
      <c r="EOT19" s="3507"/>
      <c r="EOU19" s="3507"/>
      <c r="EOV19" s="3507"/>
      <c r="EOW19" s="3507"/>
      <c r="EOX19" s="3507"/>
      <c r="EOY19" s="3507"/>
      <c r="EOZ19" s="3507"/>
      <c r="EPA19" s="3507"/>
      <c r="EPB19" s="3507"/>
      <c r="EPC19" s="3507"/>
      <c r="EPD19" s="3507"/>
      <c r="EPE19" s="3507"/>
      <c r="EPF19" s="3507"/>
      <c r="EPG19" s="3507"/>
      <c r="EPH19" s="3507"/>
      <c r="EPI19" s="3507"/>
      <c r="EPJ19" s="3507"/>
      <c r="EPK19" s="3507"/>
      <c r="EPL19" s="3507"/>
      <c r="EPM19" s="3507"/>
      <c r="EPN19" s="3507"/>
      <c r="EPO19" s="3507"/>
      <c r="EPP19" s="3507"/>
      <c r="EPQ19" s="3507"/>
      <c r="EPR19" s="3507"/>
      <c r="EPS19" s="3507"/>
      <c r="EPT19" s="3507"/>
      <c r="EPU19" s="3507"/>
      <c r="EPV19" s="3507"/>
      <c r="EPW19" s="3507"/>
      <c r="EPX19" s="3507"/>
      <c r="EPY19" s="3507"/>
      <c r="EPZ19" s="3507"/>
      <c r="EQA19" s="3507"/>
      <c r="EQB19" s="3507"/>
      <c r="EQC19" s="3507"/>
      <c r="EQD19" s="3507"/>
      <c r="EQE19" s="3507"/>
      <c r="EQF19" s="3507"/>
      <c r="EQG19" s="3507"/>
      <c r="EQH19" s="3507"/>
      <c r="EQI19" s="3507"/>
      <c r="EQJ19" s="3507"/>
      <c r="EQK19" s="3507"/>
      <c r="EQL19" s="3507"/>
      <c r="EQM19" s="3507"/>
      <c r="EQN19" s="3507"/>
      <c r="EQO19" s="3507"/>
      <c r="EQP19" s="3507"/>
      <c r="EQQ19" s="3507"/>
      <c r="EQR19" s="3507"/>
      <c r="EQS19" s="3507"/>
      <c r="EQT19" s="3507"/>
      <c r="EQU19" s="3507"/>
      <c r="EQV19" s="3507"/>
      <c r="EQW19" s="3507"/>
      <c r="EQX19" s="3507"/>
      <c r="EQY19" s="3507"/>
      <c r="EQZ19" s="3507"/>
      <c r="ERA19" s="3507"/>
      <c r="ERB19" s="3507"/>
      <c r="ERC19" s="3507"/>
      <c r="ERD19" s="3507"/>
      <c r="ERE19" s="3507"/>
      <c r="ERF19" s="3507"/>
      <c r="ERG19" s="3507"/>
      <c r="ERH19" s="3507"/>
      <c r="ERI19" s="3507"/>
      <c r="ERJ19" s="3507"/>
      <c r="ERK19" s="3507"/>
      <c r="ERL19" s="3507"/>
      <c r="ERM19" s="3507"/>
      <c r="ERN19" s="3507"/>
      <c r="ERO19" s="3507"/>
      <c r="ERP19" s="3507"/>
      <c r="ERQ19" s="3507"/>
      <c r="ERR19" s="3507"/>
      <c r="ERS19" s="3507"/>
      <c r="ERT19" s="3507"/>
      <c r="ERU19" s="3507"/>
      <c r="ERV19" s="3507"/>
      <c r="ERW19" s="3507"/>
      <c r="ERX19" s="3507"/>
      <c r="ERY19" s="3507"/>
      <c r="ERZ19" s="3507"/>
      <c r="ESA19" s="3507"/>
      <c r="ESB19" s="3507"/>
      <c r="ESC19" s="3507"/>
      <c r="ESD19" s="3507"/>
      <c r="ESE19" s="3507"/>
      <c r="ESF19" s="3507"/>
      <c r="ESG19" s="3507"/>
      <c r="ESH19" s="3507"/>
      <c r="ESI19" s="3507"/>
      <c r="ESJ19" s="3507"/>
      <c r="ESK19" s="3507"/>
      <c r="ESL19" s="3507"/>
      <c r="ESM19" s="3507"/>
      <c r="ESN19" s="3507"/>
      <c r="ESO19" s="3507"/>
      <c r="ESP19" s="3507"/>
      <c r="ESQ19" s="3507"/>
      <c r="ESR19" s="3507"/>
      <c r="ESS19" s="3507"/>
      <c r="EST19" s="3507"/>
      <c r="ESU19" s="3507"/>
      <c r="ESV19" s="3507"/>
      <c r="ESW19" s="3507"/>
      <c r="ESX19" s="3507"/>
      <c r="ESY19" s="3507"/>
      <c r="ESZ19" s="3507"/>
      <c r="ETA19" s="3507"/>
      <c r="ETB19" s="3507"/>
      <c r="ETC19" s="3507"/>
      <c r="ETD19" s="3507"/>
      <c r="ETE19" s="3507"/>
      <c r="ETF19" s="3507"/>
      <c r="ETG19" s="3507"/>
      <c r="ETH19" s="3507"/>
      <c r="ETI19" s="3507"/>
      <c r="ETJ19" s="3507"/>
      <c r="ETK19" s="3507"/>
      <c r="ETL19" s="3507"/>
      <c r="ETM19" s="3507"/>
      <c r="ETN19" s="3507"/>
      <c r="ETO19" s="3507"/>
      <c r="ETP19" s="3507"/>
      <c r="ETQ19" s="3507"/>
      <c r="ETR19" s="3507"/>
      <c r="ETS19" s="3507"/>
      <c r="ETT19" s="3507"/>
      <c r="ETU19" s="3507"/>
      <c r="ETV19" s="3507"/>
      <c r="ETW19" s="3507"/>
      <c r="ETX19" s="3507"/>
      <c r="ETY19" s="3507"/>
      <c r="ETZ19" s="3507"/>
      <c r="EUA19" s="3507"/>
      <c r="EUB19" s="3507"/>
      <c r="EUC19" s="3507"/>
      <c r="EUD19" s="3507"/>
      <c r="EUE19" s="3507"/>
      <c r="EUF19" s="3507"/>
      <c r="EUG19" s="3507"/>
      <c r="EUH19" s="3507"/>
      <c r="EUI19" s="3507"/>
      <c r="EUJ19" s="3507"/>
      <c r="EUK19" s="3507"/>
      <c r="EUL19" s="3507"/>
      <c r="EUM19" s="3507"/>
      <c r="EUN19" s="3507"/>
      <c r="EUO19" s="3507"/>
      <c r="EUP19" s="3507"/>
      <c r="EUQ19" s="3507"/>
      <c r="EUR19" s="3507"/>
      <c r="EUS19" s="3507"/>
      <c r="EUT19" s="3507"/>
      <c r="EUU19" s="3507"/>
      <c r="EUV19" s="3507"/>
      <c r="EUW19" s="3507"/>
      <c r="EUX19" s="3507"/>
      <c r="EUY19" s="3507"/>
      <c r="EUZ19" s="3507"/>
      <c r="EVA19" s="3507"/>
      <c r="EVB19" s="3507"/>
      <c r="EVC19" s="3507"/>
      <c r="EVD19" s="3507"/>
      <c r="EVE19" s="3507"/>
      <c r="EVF19" s="3507"/>
      <c r="EVG19" s="3507"/>
      <c r="EVH19" s="3507"/>
      <c r="EVI19" s="3507"/>
      <c r="EVJ19" s="3507"/>
      <c r="EVK19" s="3507"/>
      <c r="EVL19" s="3507"/>
      <c r="EVM19" s="3507"/>
      <c r="EVN19" s="3507"/>
      <c r="EVO19" s="3507"/>
      <c r="EVP19" s="3507"/>
      <c r="EVQ19" s="3507"/>
      <c r="EVR19" s="3507"/>
      <c r="EVS19" s="3507"/>
      <c r="EVT19" s="3507"/>
      <c r="EVU19" s="3507"/>
      <c r="EVV19" s="3507"/>
      <c r="EVW19" s="3507"/>
      <c r="EVX19" s="3507"/>
      <c r="EVY19" s="3507"/>
      <c r="EVZ19" s="3507"/>
      <c r="EWA19" s="3507"/>
      <c r="EWB19" s="3507"/>
      <c r="EWC19" s="3507"/>
      <c r="EWD19" s="3507"/>
      <c r="EWE19" s="3507"/>
      <c r="EWF19" s="3507"/>
      <c r="EWG19" s="3507"/>
      <c r="EWH19" s="3507"/>
      <c r="EWI19" s="3507"/>
      <c r="EWJ19" s="3507"/>
      <c r="EWK19" s="3507"/>
      <c r="EWL19" s="3507"/>
      <c r="EWM19" s="3507"/>
      <c r="EWN19" s="3507"/>
      <c r="EWO19" s="3507"/>
      <c r="EWP19" s="3507"/>
      <c r="EWQ19" s="3507"/>
      <c r="EWR19" s="3507"/>
      <c r="EWS19" s="3507"/>
      <c r="EWT19" s="3507"/>
      <c r="EWU19" s="3507"/>
      <c r="EWV19" s="3507"/>
      <c r="EWW19" s="3507"/>
      <c r="EWX19" s="3507"/>
      <c r="EWY19" s="3507"/>
      <c r="EWZ19" s="3507"/>
      <c r="EXA19" s="3507"/>
      <c r="EXB19" s="3507"/>
      <c r="EXC19" s="3507"/>
      <c r="EXD19" s="3507"/>
      <c r="EXE19" s="3507"/>
      <c r="EXF19" s="3507"/>
      <c r="EXG19" s="3507"/>
      <c r="EXH19" s="3507"/>
      <c r="EXI19" s="3507"/>
      <c r="EXJ19" s="3507"/>
      <c r="EXK19" s="3507"/>
      <c r="EXL19" s="3507"/>
      <c r="EXM19" s="3507"/>
      <c r="EXN19" s="3507"/>
      <c r="EXO19" s="3507"/>
      <c r="EXP19" s="3507"/>
      <c r="EXQ19" s="3507"/>
      <c r="EXR19" s="3507"/>
      <c r="EXS19" s="3507"/>
      <c r="EXT19" s="3507"/>
      <c r="EXU19" s="3507"/>
      <c r="EXV19" s="3507"/>
      <c r="EXW19" s="3507"/>
      <c r="EXX19" s="3507"/>
      <c r="EXY19" s="3507"/>
      <c r="EXZ19" s="3507"/>
      <c r="EYA19" s="3507"/>
      <c r="EYB19" s="3507"/>
      <c r="EYC19" s="3507"/>
      <c r="EYD19" s="3507"/>
      <c r="EYE19" s="3507"/>
      <c r="EYF19" s="3507"/>
      <c r="EYG19" s="3507"/>
      <c r="EYH19" s="3507"/>
      <c r="EYI19" s="3507"/>
      <c r="EYJ19" s="3507"/>
      <c r="EYK19" s="3507"/>
      <c r="EYL19" s="3507"/>
      <c r="EYM19" s="3507"/>
      <c r="EYN19" s="3507"/>
      <c r="EYO19" s="3507"/>
      <c r="EYP19" s="3507"/>
      <c r="EYQ19" s="3507"/>
      <c r="EYR19" s="3507"/>
      <c r="EYS19" s="3507"/>
      <c r="EYT19" s="3507"/>
      <c r="EYU19" s="3507"/>
      <c r="EYV19" s="3507"/>
      <c r="EYW19" s="3507"/>
      <c r="EYX19" s="3507"/>
      <c r="EYY19" s="3507"/>
      <c r="EYZ19" s="3507"/>
      <c r="EZA19" s="3507"/>
      <c r="EZB19" s="3507"/>
      <c r="EZC19" s="3507"/>
      <c r="EZD19" s="3507"/>
      <c r="EZE19" s="3507"/>
      <c r="EZF19" s="3507"/>
      <c r="EZG19" s="3507"/>
      <c r="EZH19" s="3507"/>
      <c r="EZI19" s="3507"/>
      <c r="EZJ19" s="3507"/>
      <c r="EZK19" s="3507"/>
      <c r="EZL19" s="3507"/>
      <c r="EZM19" s="3507"/>
      <c r="EZN19" s="3507"/>
      <c r="EZO19" s="3507"/>
      <c r="EZP19" s="3507"/>
      <c r="EZQ19" s="3507"/>
      <c r="EZR19" s="3507"/>
      <c r="EZS19" s="3507"/>
      <c r="EZT19" s="3507"/>
      <c r="EZU19" s="3507"/>
      <c r="EZV19" s="3507"/>
      <c r="EZW19" s="3507"/>
      <c r="EZX19" s="3507"/>
      <c r="EZY19" s="3507"/>
      <c r="EZZ19" s="3507"/>
      <c r="FAA19" s="3507"/>
      <c r="FAB19" s="3507"/>
      <c r="FAC19" s="3507"/>
      <c r="FAD19" s="3507"/>
      <c r="FAE19" s="3507"/>
      <c r="FAF19" s="3507"/>
      <c r="FAG19" s="3507"/>
      <c r="FAH19" s="3507"/>
      <c r="FAI19" s="3507"/>
      <c r="FAJ19" s="3507"/>
      <c r="FAK19" s="3507"/>
      <c r="FAL19" s="3507"/>
      <c r="FAM19" s="3507"/>
      <c r="FAN19" s="3507"/>
      <c r="FAO19" s="3507"/>
      <c r="FAP19" s="3507"/>
      <c r="FAQ19" s="3507"/>
      <c r="FAR19" s="3507"/>
      <c r="FAS19" s="3507"/>
      <c r="FAT19" s="3507"/>
      <c r="FAU19" s="3507"/>
      <c r="FAV19" s="3507"/>
      <c r="FAW19" s="3507"/>
      <c r="FAX19" s="3507"/>
      <c r="FAY19" s="3507"/>
      <c r="FAZ19" s="3507"/>
      <c r="FBA19" s="3507"/>
      <c r="FBB19" s="3507"/>
      <c r="FBC19" s="3507"/>
      <c r="FBD19" s="3507"/>
      <c r="FBE19" s="3507"/>
      <c r="FBF19" s="3507"/>
      <c r="FBG19" s="3507"/>
      <c r="FBH19" s="3507"/>
      <c r="FBI19" s="3507"/>
      <c r="FBJ19" s="3507"/>
      <c r="FBK19" s="3507"/>
      <c r="FBL19" s="3507"/>
      <c r="FBM19" s="3507"/>
      <c r="FBN19" s="3507"/>
      <c r="FBO19" s="3507"/>
      <c r="FBP19" s="3507"/>
      <c r="FBQ19" s="3507"/>
      <c r="FBR19" s="3507"/>
      <c r="FBS19" s="3507"/>
      <c r="FBT19" s="3507"/>
      <c r="FBU19" s="3507"/>
      <c r="FBV19" s="3507"/>
      <c r="FBW19" s="3507"/>
      <c r="FBX19" s="3507"/>
      <c r="FBY19" s="3507"/>
      <c r="FBZ19" s="3507"/>
      <c r="FCA19" s="3507"/>
      <c r="FCB19" s="3507"/>
      <c r="FCC19" s="3507"/>
      <c r="FCD19" s="3507"/>
      <c r="FCE19" s="3507"/>
      <c r="FCF19" s="3507"/>
      <c r="FCG19" s="3507"/>
      <c r="FCH19" s="3507"/>
      <c r="FCI19" s="3507"/>
      <c r="FCJ19" s="3507"/>
      <c r="FCK19" s="3507"/>
      <c r="FCL19" s="3507"/>
      <c r="FCM19" s="3507"/>
      <c r="FCN19" s="3507"/>
      <c r="FCO19" s="3507"/>
      <c r="FCP19" s="3507"/>
      <c r="FCQ19" s="3507"/>
      <c r="FCR19" s="3507"/>
      <c r="FCS19" s="3507"/>
      <c r="FCT19" s="3507"/>
      <c r="FCU19" s="3507"/>
      <c r="FCV19" s="3507"/>
      <c r="FCW19" s="3507"/>
      <c r="FCX19" s="3507"/>
      <c r="FCY19" s="3507"/>
      <c r="FCZ19" s="3507"/>
      <c r="FDA19" s="3507"/>
      <c r="FDB19" s="3507"/>
      <c r="FDC19" s="3507"/>
      <c r="FDD19" s="3507"/>
      <c r="FDE19" s="3507"/>
      <c r="FDF19" s="3507"/>
      <c r="FDG19" s="3507"/>
      <c r="FDH19" s="3507"/>
      <c r="FDI19" s="3507"/>
      <c r="FDJ19" s="3507"/>
      <c r="FDK19" s="3507"/>
      <c r="FDL19" s="3507"/>
      <c r="FDM19" s="3507"/>
      <c r="FDN19" s="3507"/>
      <c r="FDO19" s="3507"/>
      <c r="FDP19" s="3507"/>
      <c r="FDQ19" s="3507"/>
      <c r="FDR19" s="3507"/>
      <c r="FDS19" s="3507"/>
      <c r="FDT19" s="3507"/>
      <c r="FDU19" s="3507"/>
      <c r="FDV19" s="3507"/>
      <c r="FDW19" s="3507"/>
      <c r="FDX19" s="3507"/>
      <c r="FDY19" s="3507"/>
      <c r="FDZ19" s="3507"/>
      <c r="FEA19" s="3507"/>
      <c r="FEB19" s="3507"/>
      <c r="FEC19" s="3507"/>
      <c r="FED19" s="3507"/>
      <c r="FEE19" s="3507"/>
      <c r="FEF19" s="3507"/>
      <c r="FEG19" s="3507"/>
      <c r="FEH19" s="3507"/>
      <c r="FEI19" s="3507"/>
      <c r="FEJ19" s="3507"/>
      <c r="FEK19" s="3507"/>
      <c r="FEL19" s="3507"/>
      <c r="FEM19" s="3507"/>
      <c r="FEN19" s="3507"/>
      <c r="FEO19" s="3507"/>
      <c r="FEP19" s="3507"/>
      <c r="FEQ19" s="3507"/>
      <c r="FER19" s="3507"/>
      <c r="FES19" s="3507"/>
      <c r="FET19" s="3507"/>
      <c r="FEU19" s="3507"/>
      <c r="FEV19" s="3507"/>
      <c r="FEW19" s="3507"/>
      <c r="FEX19" s="3507"/>
      <c r="FEY19" s="3507"/>
      <c r="FEZ19" s="3507"/>
      <c r="FFA19" s="3507"/>
      <c r="FFB19" s="3507"/>
      <c r="FFC19" s="3507"/>
      <c r="FFD19" s="3507"/>
      <c r="FFE19" s="3507"/>
      <c r="FFF19" s="3507"/>
      <c r="FFG19" s="3507"/>
      <c r="FFH19" s="3507"/>
      <c r="FFI19" s="3507"/>
      <c r="FFJ19" s="3507"/>
      <c r="FFK19" s="3507"/>
      <c r="FFL19" s="3507"/>
      <c r="FFM19" s="3507"/>
      <c r="FFN19" s="3507"/>
      <c r="FFO19" s="3507"/>
      <c r="FFP19" s="3507"/>
      <c r="FFQ19" s="3507"/>
      <c r="FFR19" s="3507"/>
      <c r="FFS19" s="3507"/>
      <c r="FFT19" s="3507"/>
      <c r="FFU19" s="3507"/>
      <c r="FFV19" s="3507"/>
      <c r="FFW19" s="3507"/>
      <c r="FFX19" s="3507"/>
      <c r="FFY19" s="3507"/>
      <c r="FFZ19" s="3507"/>
      <c r="FGA19" s="3507"/>
      <c r="FGB19" s="3507"/>
      <c r="FGC19" s="3507"/>
      <c r="FGD19" s="3507"/>
      <c r="FGE19" s="3507"/>
      <c r="FGF19" s="3507"/>
      <c r="FGG19" s="3507"/>
      <c r="FGH19" s="3507"/>
      <c r="FGI19" s="3507"/>
      <c r="FGJ19" s="3507"/>
      <c r="FGK19" s="3507"/>
      <c r="FGL19" s="3507"/>
      <c r="FGM19" s="3507"/>
      <c r="FGN19" s="3507"/>
      <c r="FGO19" s="3507"/>
      <c r="FGP19" s="3507"/>
      <c r="FGQ19" s="3507"/>
      <c r="FGR19" s="3507"/>
      <c r="FGS19" s="3507"/>
      <c r="FGT19" s="3507"/>
      <c r="FGU19" s="3507"/>
      <c r="FGV19" s="3507"/>
      <c r="FGW19" s="3507"/>
      <c r="FGX19" s="3507"/>
      <c r="FGY19" s="3507"/>
      <c r="FGZ19" s="3507"/>
      <c r="FHA19" s="3507"/>
      <c r="FHB19" s="3507"/>
      <c r="FHC19" s="3507"/>
      <c r="FHD19" s="3507"/>
      <c r="FHE19" s="3507"/>
      <c r="FHF19" s="3507"/>
      <c r="FHG19" s="3507"/>
      <c r="FHH19" s="3507"/>
      <c r="FHI19" s="3507"/>
      <c r="FHJ19" s="3507"/>
      <c r="FHK19" s="3507"/>
      <c r="FHL19" s="3507"/>
      <c r="FHM19" s="3507"/>
      <c r="FHN19" s="3507"/>
      <c r="FHO19" s="3507"/>
      <c r="FHP19" s="3507"/>
      <c r="FHQ19" s="3507"/>
      <c r="FHR19" s="3507"/>
      <c r="FHS19" s="3507"/>
      <c r="FHT19" s="3507"/>
      <c r="FHU19" s="3507"/>
      <c r="FHV19" s="3507"/>
      <c r="FHW19" s="3507"/>
      <c r="FHX19" s="3507"/>
      <c r="FHY19" s="3507"/>
      <c r="FHZ19" s="3507"/>
      <c r="FIA19" s="3507"/>
      <c r="FIB19" s="3507"/>
      <c r="FIC19" s="3507"/>
      <c r="FID19" s="3507"/>
      <c r="FIE19" s="3507"/>
      <c r="FIF19" s="3507"/>
      <c r="FIG19" s="3507"/>
      <c r="FIH19" s="3507"/>
      <c r="FII19" s="3507"/>
      <c r="FIJ19" s="3507"/>
      <c r="FIK19" s="3507"/>
      <c r="FIL19" s="3507"/>
      <c r="FIM19" s="3507"/>
      <c r="FIN19" s="3507"/>
      <c r="FIO19" s="3507"/>
      <c r="FIP19" s="3507"/>
      <c r="FIQ19" s="3507"/>
      <c r="FIR19" s="3507"/>
      <c r="FIS19" s="3507"/>
      <c r="FIT19" s="3507"/>
      <c r="FIU19" s="3507"/>
      <c r="FIV19" s="3507"/>
      <c r="FIW19" s="3507"/>
      <c r="FIX19" s="3507"/>
      <c r="FIY19" s="3507"/>
      <c r="FIZ19" s="3507"/>
      <c r="FJA19" s="3507"/>
      <c r="FJB19" s="3507"/>
      <c r="FJC19" s="3507"/>
      <c r="FJD19" s="3507"/>
      <c r="FJE19" s="3507"/>
      <c r="FJF19" s="3507"/>
      <c r="FJG19" s="3507"/>
      <c r="FJH19" s="3507"/>
      <c r="FJI19" s="3507"/>
      <c r="FJJ19" s="3507"/>
      <c r="FJK19" s="3507"/>
      <c r="FJL19" s="3507"/>
      <c r="FJM19" s="3507"/>
      <c r="FJN19" s="3507"/>
      <c r="FJO19" s="3507"/>
      <c r="FJP19" s="3507"/>
      <c r="FJQ19" s="3507"/>
      <c r="FJR19" s="3507"/>
      <c r="FJS19" s="3507"/>
      <c r="FJT19" s="3507"/>
      <c r="FJU19" s="3507"/>
      <c r="FJV19" s="3507"/>
      <c r="FJW19" s="3507"/>
      <c r="FJX19" s="3507"/>
      <c r="FJY19" s="3507"/>
      <c r="FJZ19" s="3507"/>
      <c r="FKA19" s="3507"/>
      <c r="FKB19" s="3507"/>
      <c r="FKC19" s="3507"/>
      <c r="FKD19" s="3507"/>
      <c r="FKE19" s="3507"/>
      <c r="FKF19" s="3507"/>
      <c r="FKG19" s="3507"/>
      <c r="FKH19" s="3507"/>
      <c r="FKI19" s="3507"/>
      <c r="FKJ19" s="3507"/>
      <c r="FKK19" s="3507"/>
      <c r="FKL19" s="3507"/>
      <c r="FKM19" s="3507"/>
      <c r="FKN19" s="3507"/>
      <c r="FKO19" s="3507"/>
      <c r="FKP19" s="3507"/>
      <c r="FKQ19" s="3507"/>
      <c r="FKR19" s="3507"/>
      <c r="FKS19" s="3507"/>
      <c r="FKT19" s="3507"/>
      <c r="FKU19" s="3507"/>
      <c r="FKV19" s="3507"/>
      <c r="FKW19" s="3507"/>
      <c r="FKX19" s="3507"/>
      <c r="FKY19" s="3507"/>
      <c r="FKZ19" s="3507"/>
      <c r="FLA19" s="3507"/>
      <c r="FLB19" s="3507"/>
      <c r="FLC19" s="3507"/>
      <c r="FLD19" s="3507"/>
      <c r="FLE19" s="3507"/>
      <c r="FLF19" s="3507"/>
      <c r="FLG19" s="3507"/>
      <c r="FLH19" s="3507"/>
      <c r="FLI19" s="3507"/>
      <c r="FLJ19" s="3507"/>
      <c r="FLK19" s="3507"/>
      <c r="FLL19" s="3507"/>
      <c r="FLM19" s="3507"/>
      <c r="FLN19" s="3507"/>
      <c r="FLO19" s="3507"/>
      <c r="FLP19" s="3507"/>
      <c r="FLQ19" s="3507"/>
      <c r="FLR19" s="3507"/>
      <c r="FLS19" s="3507"/>
      <c r="FLT19" s="3507"/>
      <c r="FLU19" s="3507"/>
      <c r="FLV19" s="3507"/>
      <c r="FLW19" s="3507"/>
      <c r="FLX19" s="3507"/>
      <c r="FLY19" s="3507"/>
      <c r="FLZ19" s="3507"/>
      <c r="FMA19" s="3507"/>
      <c r="FMB19" s="3507"/>
      <c r="FMC19" s="3507"/>
      <c r="FMD19" s="3507"/>
      <c r="FME19" s="3507"/>
      <c r="FMF19" s="3507"/>
      <c r="FMG19" s="3507"/>
      <c r="FMH19" s="3507"/>
      <c r="FMI19" s="3507"/>
      <c r="FMJ19" s="3507"/>
      <c r="FMK19" s="3507"/>
      <c r="FML19" s="3507"/>
      <c r="FMM19" s="3507"/>
      <c r="FMN19" s="3507"/>
      <c r="FMO19" s="3507"/>
      <c r="FMP19" s="3507"/>
      <c r="FMQ19" s="3507"/>
      <c r="FMR19" s="3507"/>
      <c r="FMS19" s="3507"/>
      <c r="FMT19" s="3507"/>
      <c r="FMU19" s="3507"/>
      <c r="FMV19" s="3507"/>
      <c r="FMW19" s="3507"/>
      <c r="FMX19" s="3507"/>
      <c r="FMY19" s="3507"/>
      <c r="FMZ19" s="3507"/>
      <c r="FNA19" s="3507"/>
      <c r="FNB19" s="3507"/>
      <c r="FNC19" s="3507"/>
      <c r="FND19" s="3507"/>
      <c r="FNE19" s="3507"/>
      <c r="FNF19" s="3507"/>
      <c r="FNG19" s="3507"/>
      <c r="FNH19" s="3507"/>
      <c r="FNI19" s="3507"/>
      <c r="FNJ19" s="3507"/>
      <c r="FNK19" s="3507"/>
      <c r="FNL19" s="3507"/>
      <c r="FNM19" s="3507"/>
      <c r="FNN19" s="3507"/>
      <c r="FNO19" s="3507"/>
      <c r="FNP19" s="3507"/>
      <c r="FNQ19" s="3507"/>
      <c r="FNR19" s="3507"/>
      <c r="FNS19" s="3507"/>
      <c r="FNT19" s="3507"/>
      <c r="FNU19" s="3507"/>
      <c r="FNV19" s="3507"/>
      <c r="FNW19" s="3507"/>
      <c r="FNX19" s="3507"/>
      <c r="FNY19" s="3507"/>
      <c r="FNZ19" s="3507"/>
      <c r="FOA19" s="3507"/>
      <c r="FOB19" s="3507"/>
      <c r="FOC19" s="3507"/>
      <c r="FOD19" s="3507"/>
      <c r="FOE19" s="3507"/>
      <c r="FOF19" s="3507"/>
      <c r="FOG19" s="3507"/>
      <c r="FOH19" s="3507"/>
      <c r="FOI19" s="3507"/>
      <c r="FOJ19" s="3507"/>
      <c r="FOK19" s="3507"/>
      <c r="FOL19" s="3507"/>
      <c r="FOM19" s="3507"/>
      <c r="FON19" s="3507"/>
      <c r="FOO19" s="3507"/>
      <c r="FOP19" s="3507"/>
      <c r="FOQ19" s="3507"/>
      <c r="FOR19" s="3507"/>
      <c r="FOS19" s="3507"/>
      <c r="FOT19" s="3507"/>
      <c r="FOU19" s="3507"/>
      <c r="FOV19" s="3507"/>
      <c r="FOW19" s="3507"/>
      <c r="FOX19" s="3507"/>
      <c r="FOY19" s="3507"/>
      <c r="FOZ19" s="3507"/>
      <c r="FPA19" s="3507"/>
      <c r="FPB19" s="3507"/>
      <c r="FPC19" s="3507"/>
      <c r="FPD19" s="3507"/>
      <c r="FPE19" s="3507"/>
      <c r="FPF19" s="3507"/>
      <c r="FPG19" s="3507"/>
      <c r="FPH19" s="3507"/>
      <c r="FPI19" s="3507"/>
      <c r="FPJ19" s="3507"/>
      <c r="FPK19" s="3507"/>
      <c r="FPL19" s="3507"/>
      <c r="FPM19" s="3507"/>
      <c r="FPN19" s="3507"/>
      <c r="FPO19" s="3507"/>
      <c r="FPP19" s="3507"/>
      <c r="FPQ19" s="3507"/>
      <c r="FPR19" s="3507"/>
      <c r="FPS19" s="3507"/>
      <c r="FPT19" s="3507"/>
      <c r="FPU19" s="3507"/>
      <c r="FPV19" s="3507"/>
      <c r="FPW19" s="3507"/>
      <c r="FPX19" s="3507"/>
      <c r="FPY19" s="3507"/>
      <c r="FPZ19" s="3507"/>
      <c r="FQA19" s="3507"/>
      <c r="FQB19" s="3507"/>
      <c r="FQC19" s="3507"/>
      <c r="FQD19" s="3507"/>
      <c r="FQE19" s="3507"/>
      <c r="FQF19" s="3507"/>
      <c r="FQG19" s="3507"/>
      <c r="FQH19" s="3507"/>
      <c r="FQI19" s="3507"/>
      <c r="FQJ19" s="3507"/>
      <c r="FQK19" s="3507"/>
      <c r="FQL19" s="3507"/>
      <c r="FQM19" s="3507"/>
      <c r="FQN19" s="3507"/>
      <c r="FQO19" s="3507"/>
      <c r="FQP19" s="3507"/>
      <c r="FQQ19" s="3507"/>
      <c r="FQR19" s="3507"/>
      <c r="FQS19" s="3507"/>
      <c r="FQT19" s="3507"/>
      <c r="FQU19" s="3507"/>
      <c r="FQV19" s="3507"/>
      <c r="FQW19" s="3507"/>
      <c r="FQX19" s="3507"/>
      <c r="FQY19" s="3507"/>
      <c r="FQZ19" s="3507"/>
      <c r="FRA19" s="3507"/>
      <c r="FRB19" s="3507"/>
      <c r="FRC19" s="3507"/>
      <c r="FRD19" s="3507"/>
      <c r="FRE19" s="3507"/>
      <c r="FRF19" s="3507"/>
      <c r="FRG19" s="3507"/>
      <c r="FRH19" s="3507"/>
      <c r="FRI19" s="3507"/>
      <c r="FRJ19" s="3507"/>
      <c r="FRK19" s="3507"/>
      <c r="FRL19" s="3507"/>
      <c r="FRM19" s="3507"/>
      <c r="FRN19" s="3507"/>
      <c r="FRO19" s="3507"/>
      <c r="FRP19" s="3507"/>
      <c r="FRQ19" s="3507"/>
      <c r="FRR19" s="3507"/>
      <c r="FRS19" s="3507"/>
      <c r="FRT19" s="3507"/>
      <c r="FRU19" s="3507"/>
      <c r="FRV19" s="3507"/>
      <c r="FRW19" s="3507"/>
      <c r="FRX19" s="3507"/>
      <c r="FRY19" s="3507"/>
      <c r="FRZ19" s="3507"/>
      <c r="FSA19" s="3507"/>
      <c r="FSB19" s="3507"/>
      <c r="FSC19" s="3507"/>
      <c r="FSD19" s="3507"/>
      <c r="FSE19" s="3507"/>
      <c r="FSF19" s="3507"/>
      <c r="FSG19" s="3507"/>
      <c r="FSH19" s="3507"/>
      <c r="FSI19" s="3507"/>
      <c r="FSJ19" s="3507"/>
      <c r="FSK19" s="3507"/>
      <c r="FSL19" s="3507"/>
      <c r="FSM19" s="3507"/>
      <c r="FSN19" s="3507"/>
      <c r="FSO19" s="3507"/>
      <c r="FSP19" s="3507"/>
      <c r="FSQ19" s="3507"/>
      <c r="FSR19" s="3507"/>
      <c r="FSS19" s="3507"/>
      <c r="FST19" s="3507"/>
      <c r="FSU19" s="3507"/>
      <c r="FSV19" s="3507"/>
      <c r="FSW19" s="3507"/>
      <c r="FSX19" s="3507"/>
      <c r="FSY19" s="3507"/>
      <c r="FSZ19" s="3507"/>
      <c r="FTA19" s="3507"/>
      <c r="FTB19" s="3507"/>
      <c r="FTC19" s="3507"/>
      <c r="FTD19" s="3507"/>
      <c r="FTE19" s="3507"/>
      <c r="FTF19" s="3507"/>
      <c r="FTG19" s="3507"/>
      <c r="FTH19" s="3507"/>
      <c r="FTI19" s="3507"/>
      <c r="FTJ19" s="3507"/>
      <c r="FTK19" s="3507"/>
      <c r="FTL19" s="3507"/>
      <c r="FTM19" s="3507"/>
      <c r="FTN19" s="3507"/>
      <c r="FTO19" s="3507"/>
      <c r="FTP19" s="3507"/>
      <c r="FTQ19" s="3507"/>
      <c r="FTR19" s="3507"/>
      <c r="FTS19" s="3507"/>
      <c r="FTT19" s="3507"/>
      <c r="FTU19" s="3507"/>
      <c r="FTV19" s="3507"/>
      <c r="FTW19" s="3507"/>
      <c r="FTX19" s="3507"/>
      <c r="FTY19" s="3507"/>
      <c r="FTZ19" s="3507"/>
      <c r="FUA19" s="3507"/>
      <c r="FUB19" s="3507"/>
      <c r="FUC19" s="3507"/>
      <c r="FUD19" s="3507"/>
      <c r="FUE19" s="3507"/>
      <c r="FUF19" s="3507"/>
      <c r="FUG19" s="3507"/>
      <c r="FUH19" s="3507"/>
      <c r="FUI19" s="3507"/>
      <c r="FUJ19" s="3507"/>
      <c r="FUK19" s="3507"/>
      <c r="FUL19" s="3507"/>
      <c r="FUM19" s="3507"/>
      <c r="FUN19" s="3507"/>
      <c r="FUO19" s="3507"/>
      <c r="FUP19" s="3507"/>
      <c r="FUQ19" s="3507"/>
      <c r="FUR19" s="3507"/>
      <c r="FUS19" s="3507"/>
      <c r="FUT19" s="3507"/>
      <c r="FUU19" s="3507"/>
      <c r="FUV19" s="3507"/>
      <c r="FUW19" s="3507"/>
      <c r="FUX19" s="3507"/>
      <c r="FUY19" s="3507"/>
      <c r="FUZ19" s="3507"/>
      <c r="FVA19" s="3507"/>
      <c r="FVB19" s="3507"/>
      <c r="FVC19" s="3507"/>
      <c r="FVD19" s="3507"/>
      <c r="FVE19" s="3507"/>
      <c r="FVF19" s="3507"/>
      <c r="FVG19" s="3507"/>
      <c r="FVH19" s="3507"/>
      <c r="FVI19" s="3507"/>
      <c r="FVJ19" s="3507"/>
      <c r="FVK19" s="3507"/>
      <c r="FVL19" s="3507"/>
      <c r="FVM19" s="3507"/>
      <c r="FVN19" s="3507"/>
      <c r="FVO19" s="3507"/>
      <c r="FVP19" s="3507"/>
      <c r="FVQ19" s="3507"/>
      <c r="FVR19" s="3507"/>
      <c r="FVS19" s="3507"/>
      <c r="FVT19" s="3507"/>
      <c r="FVU19" s="3507"/>
      <c r="FVV19" s="3507"/>
      <c r="FVW19" s="3507"/>
      <c r="FVX19" s="3507"/>
      <c r="FVY19" s="3507"/>
      <c r="FVZ19" s="3507"/>
      <c r="FWA19" s="3507"/>
      <c r="FWB19" s="3507"/>
      <c r="FWC19" s="3507"/>
      <c r="FWD19" s="3507"/>
      <c r="FWE19" s="3507"/>
      <c r="FWF19" s="3507"/>
      <c r="FWG19" s="3507"/>
      <c r="FWH19" s="3507"/>
      <c r="FWI19" s="3507"/>
      <c r="FWJ19" s="3507"/>
      <c r="FWK19" s="3507"/>
      <c r="FWL19" s="3507"/>
      <c r="FWM19" s="3507"/>
      <c r="FWN19" s="3507"/>
      <c r="FWO19" s="3507"/>
      <c r="FWP19" s="3507"/>
      <c r="FWQ19" s="3507"/>
      <c r="FWR19" s="3507"/>
      <c r="FWS19" s="3507"/>
      <c r="FWT19" s="3507"/>
      <c r="FWU19" s="3507"/>
      <c r="FWV19" s="3507"/>
      <c r="FWW19" s="3507"/>
      <c r="FWX19" s="3507"/>
      <c r="FWY19" s="3507"/>
      <c r="FWZ19" s="3507"/>
      <c r="FXA19" s="3507"/>
      <c r="FXB19" s="3507"/>
      <c r="FXC19" s="3507"/>
      <c r="FXD19" s="3507"/>
      <c r="FXE19" s="3507"/>
      <c r="FXF19" s="3507"/>
      <c r="FXG19" s="3507"/>
      <c r="FXH19" s="3507"/>
      <c r="FXI19" s="3507"/>
      <c r="FXJ19" s="3507"/>
      <c r="FXK19" s="3507"/>
      <c r="FXL19" s="3507"/>
      <c r="FXM19" s="3507"/>
      <c r="FXN19" s="3507"/>
      <c r="FXO19" s="3507"/>
      <c r="FXP19" s="3507"/>
      <c r="FXQ19" s="3507"/>
      <c r="FXR19" s="3507"/>
      <c r="FXS19" s="3507"/>
      <c r="FXT19" s="3507"/>
      <c r="FXU19" s="3507"/>
      <c r="FXV19" s="3507"/>
      <c r="FXW19" s="3507"/>
      <c r="FXX19" s="3507"/>
      <c r="FXY19" s="3507"/>
      <c r="FXZ19" s="3507"/>
      <c r="FYA19" s="3507"/>
      <c r="FYB19" s="3507"/>
      <c r="FYC19" s="3507"/>
      <c r="FYD19" s="3507"/>
      <c r="FYE19" s="3507"/>
      <c r="FYF19" s="3507"/>
      <c r="FYG19" s="3507"/>
      <c r="FYH19" s="3507"/>
      <c r="FYI19" s="3507"/>
      <c r="FYJ19" s="3507"/>
      <c r="FYK19" s="3507"/>
      <c r="FYL19" s="3507"/>
      <c r="FYM19" s="3507"/>
      <c r="FYN19" s="3507"/>
      <c r="FYO19" s="3507"/>
      <c r="FYP19" s="3507"/>
      <c r="FYQ19" s="3507"/>
      <c r="FYR19" s="3507"/>
      <c r="FYS19" s="3507"/>
      <c r="FYT19" s="3507"/>
      <c r="FYU19" s="3507"/>
      <c r="FYV19" s="3507"/>
      <c r="FYW19" s="3507"/>
      <c r="FYX19" s="3507"/>
      <c r="FYY19" s="3507"/>
      <c r="FYZ19" s="3507"/>
      <c r="FZA19" s="3507"/>
      <c r="FZB19" s="3507"/>
      <c r="FZC19" s="3507"/>
      <c r="FZD19" s="3507"/>
      <c r="FZE19" s="3507"/>
      <c r="FZF19" s="3507"/>
      <c r="FZG19" s="3507"/>
      <c r="FZH19" s="3507"/>
      <c r="FZI19" s="3507"/>
      <c r="FZJ19" s="3507"/>
      <c r="FZK19" s="3507"/>
      <c r="FZL19" s="3507"/>
      <c r="FZM19" s="3507"/>
      <c r="FZN19" s="3507"/>
      <c r="FZO19" s="3507"/>
      <c r="FZP19" s="3507"/>
      <c r="FZQ19" s="3507"/>
      <c r="FZR19" s="3507"/>
      <c r="FZS19" s="3507"/>
      <c r="FZT19" s="3507"/>
      <c r="FZU19" s="3507"/>
      <c r="FZV19" s="3507"/>
      <c r="FZW19" s="3507"/>
      <c r="FZX19" s="3507"/>
      <c r="FZY19" s="3507"/>
      <c r="FZZ19" s="3507"/>
      <c r="GAA19" s="3507"/>
      <c r="GAB19" s="3507"/>
      <c r="GAC19" s="3507"/>
      <c r="GAD19" s="3507"/>
      <c r="GAE19" s="3507"/>
      <c r="GAF19" s="3507"/>
      <c r="GAG19" s="3507"/>
      <c r="GAH19" s="3507"/>
      <c r="GAI19" s="3507"/>
      <c r="GAJ19" s="3507"/>
      <c r="GAK19" s="3507"/>
      <c r="GAL19" s="3507"/>
      <c r="GAM19" s="3507"/>
      <c r="GAN19" s="3507"/>
      <c r="GAO19" s="3507"/>
      <c r="GAP19" s="3507"/>
      <c r="GAQ19" s="3507"/>
      <c r="GAR19" s="3507"/>
      <c r="GAS19" s="3507"/>
      <c r="GAT19" s="3507"/>
      <c r="GAU19" s="3507"/>
      <c r="GAV19" s="3507"/>
      <c r="GAW19" s="3507"/>
      <c r="GAX19" s="3507"/>
      <c r="GAY19" s="3507"/>
      <c r="GAZ19" s="3507"/>
      <c r="GBA19" s="3507"/>
      <c r="GBB19" s="3507"/>
      <c r="GBC19" s="3507"/>
      <c r="GBD19" s="3507"/>
      <c r="GBE19" s="3507"/>
      <c r="GBF19" s="3507"/>
      <c r="GBG19" s="3507"/>
      <c r="GBH19" s="3507"/>
      <c r="GBI19" s="3507"/>
      <c r="GBJ19" s="3507"/>
      <c r="GBK19" s="3507"/>
      <c r="GBL19" s="3507"/>
      <c r="GBM19" s="3507"/>
      <c r="GBN19" s="3507"/>
      <c r="GBO19" s="3507"/>
      <c r="GBP19" s="3507"/>
      <c r="GBQ19" s="3507"/>
      <c r="GBR19" s="3507"/>
      <c r="GBS19" s="3507"/>
      <c r="GBT19" s="3507"/>
      <c r="GBU19" s="3507"/>
      <c r="GBV19" s="3507"/>
      <c r="GBW19" s="3507"/>
      <c r="GBX19" s="3507"/>
      <c r="GBY19" s="3507"/>
      <c r="GBZ19" s="3507"/>
      <c r="GCA19" s="3507"/>
      <c r="GCB19" s="3507"/>
      <c r="GCC19" s="3507"/>
      <c r="GCD19" s="3507"/>
      <c r="GCE19" s="3507"/>
      <c r="GCF19" s="3507"/>
      <c r="GCG19" s="3507"/>
      <c r="GCH19" s="3507"/>
      <c r="GCI19" s="3507"/>
      <c r="GCJ19" s="3507"/>
      <c r="GCK19" s="3507"/>
      <c r="GCL19" s="3507"/>
      <c r="GCM19" s="3507"/>
      <c r="GCN19" s="3507"/>
      <c r="GCO19" s="3507"/>
      <c r="GCP19" s="3507"/>
      <c r="GCQ19" s="3507"/>
      <c r="GCR19" s="3507"/>
      <c r="GCS19" s="3507"/>
      <c r="GCT19" s="3507"/>
      <c r="GCU19" s="3507"/>
      <c r="GCV19" s="3507"/>
      <c r="GCW19" s="3507"/>
      <c r="GCX19" s="3507"/>
      <c r="GCY19" s="3507"/>
      <c r="GCZ19" s="3507"/>
      <c r="GDA19" s="3507"/>
      <c r="GDB19" s="3507"/>
      <c r="GDC19" s="3507"/>
      <c r="GDD19" s="3507"/>
      <c r="GDE19" s="3507"/>
      <c r="GDF19" s="3507"/>
      <c r="GDG19" s="3507"/>
      <c r="GDH19" s="3507"/>
      <c r="GDI19" s="3507"/>
      <c r="GDJ19" s="3507"/>
      <c r="GDK19" s="3507"/>
      <c r="GDL19" s="3507"/>
      <c r="GDM19" s="3507"/>
      <c r="GDN19" s="3507"/>
      <c r="GDO19" s="3507"/>
      <c r="GDP19" s="3507"/>
      <c r="GDQ19" s="3507"/>
      <c r="GDR19" s="3507"/>
      <c r="GDS19" s="3507"/>
      <c r="GDT19" s="3507"/>
      <c r="GDU19" s="3507"/>
      <c r="GDV19" s="3507"/>
      <c r="GDW19" s="3507"/>
      <c r="GDX19" s="3507"/>
      <c r="GDY19" s="3507"/>
      <c r="GDZ19" s="3507"/>
      <c r="GEA19" s="3507"/>
      <c r="GEB19" s="3507"/>
      <c r="GEC19" s="3507"/>
      <c r="GED19" s="3507"/>
      <c r="GEE19" s="3507"/>
      <c r="GEF19" s="3507"/>
      <c r="GEG19" s="3507"/>
      <c r="GEH19" s="3507"/>
      <c r="GEI19" s="3507"/>
      <c r="GEJ19" s="3507"/>
      <c r="GEK19" s="3507"/>
      <c r="GEL19" s="3507"/>
      <c r="GEM19" s="3507"/>
      <c r="GEN19" s="3507"/>
      <c r="GEO19" s="3507"/>
      <c r="GEP19" s="3507"/>
      <c r="GEQ19" s="3507"/>
      <c r="GER19" s="3507"/>
      <c r="GES19" s="3507"/>
      <c r="GET19" s="3507"/>
      <c r="GEU19" s="3507"/>
      <c r="GEV19" s="3507"/>
      <c r="GEW19" s="3507"/>
      <c r="GEX19" s="3507"/>
      <c r="GEY19" s="3507"/>
      <c r="GEZ19" s="3507"/>
      <c r="GFA19" s="3507"/>
      <c r="GFB19" s="3507"/>
      <c r="GFC19" s="3507"/>
      <c r="GFD19" s="3507"/>
      <c r="GFE19" s="3507"/>
      <c r="GFF19" s="3507"/>
      <c r="GFG19" s="3507"/>
      <c r="GFH19" s="3507"/>
      <c r="GFI19" s="3507"/>
      <c r="GFJ19" s="3507"/>
      <c r="GFK19" s="3507"/>
      <c r="GFL19" s="3507"/>
      <c r="GFM19" s="3507"/>
      <c r="GFN19" s="3507"/>
      <c r="GFO19" s="3507"/>
      <c r="GFP19" s="3507"/>
      <c r="GFQ19" s="3507"/>
      <c r="GFR19" s="3507"/>
      <c r="GFS19" s="3507"/>
      <c r="GFT19" s="3507"/>
      <c r="GFU19" s="3507"/>
      <c r="GFV19" s="3507"/>
      <c r="GFW19" s="3507"/>
      <c r="GFX19" s="3507"/>
      <c r="GFY19" s="3507"/>
      <c r="GFZ19" s="3507"/>
      <c r="GGA19" s="3507"/>
      <c r="GGB19" s="3507"/>
      <c r="GGC19" s="3507"/>
      <c r="GGD19" s="3507"/>
      <c r="GGE19" s="3507"/>
      <c r="GGF19" s="3507"/>
      <c r="GGG19" s="3507"/>
      <c r="GGH19" s="3507"/>
      <c r="GGI19" s="3507"/>
      <c r="GGJ19" s="3507"/>
      <c r="GGK19" s="3507"/>
      <c r="GGL19" s="3507"/>
      <c r="GGM19" s="3507"/>
      <c r="GGN19" s="3507"/>
      <c r="GGO19" s="3507"/>
      <c r="GGP19" s="3507"/>
      <c r="GGQ19" s="3507"/>
      <c r="GGR19" s="3507"/>
      <c r="GGS19" s="3507"/>
      <c r="GGT19" s="3507"/>
      <c r="GGU19" s="3507"/>
      <c r="GGV19" s="3507"/>
      <c r="GGW19" s="3507"/>
      <c r="GGX19" s="3507"/>
      <c r="GGY19" s="3507"/>
      <c r="GGZ19" s="3507"/>
      <c r="GHA19" s="3507"/>
      <c r="GHB19" s="3507"/>
      <c r="GHC19" s="3507"/>
      <c r="GHD19" s="3507"/>
      <c r="GHE19" s="3507"/>
      <c r="GHF19" s="3507"/>
      <c r="GHG19" s="3507"/>
      <c r="GHH19" s="3507"/>
      <c r="GHI19" s="3507"/>
      <c r="GHJ19" s="3507"/>
      <c r="GHK19" s="3507"/>
      <c r="GHL19" s="3507"/>
      <c r="GHM19" s="3507"/>
      <c r="GHN19" s="3507"/>
      <c r="GHO19" s="3507"/>
      <c r="GHP19" s="3507"/>
      <c r="GHQ19" s="3507"/>
      <c r="GHR19" s="3507"/>
      <c r="GHS19" s="3507"/>
      <c r="GHT19" s="3507"/>
      <c r="GHU19" s="3507"/>
      <c r="GHV19" s="3507"/>
      <c r="GHW19" s="3507"/>
      <c r="GHX19" s="3507"/>
      <c r="GHY19" s="3507"/>
      <c r="GHZ19" s="3507"/>
      <c r="GIA19" s="3507"/>
      <c r="GIB19" s="3507"/>
      <c r="GIC19" s="3507"/>
      <c r="GID19" s="3507"/>
      <c r="GIE19" s="3507"/>
      <c r="GIF19" s="3507"/>
      <c r="GIG19" s="3507"/>
      <c r="GIH19" s="3507"/>
      <c r="GII19" s="3507"/>
      <c r="GIJ19" s="3507"/>
      <c r="GIK19" s="3507"/>
      <c r="GIL19" s="3507"/>
      <c r="GIM19" s="3507"/>
      <c r="GIN19" s="3507"/>
      <c r="GIO19" s="3507"/>
      <c r="GIP19" s="3507"/>
      <c r="GIQ19" s="3507"/>
      <c r="GIR19" s="3507"/>
      <c r="GIS19" s="3507"/>
      <c r="GIT19" s="3507"/>
      <c r="GIU19" s="3507"/>
      <c r="GIV19" s="3507"/>
      <c r="GIW19" s="3507"/>
      <c r="GIX19" s="3507"/>
      <c r="GIY19" s="3507"/>
      <c r="GIZ19" s="3507"/>
      <c r="GJA19" s="3507"/>
      <c r="GJB19" s="3507"/>
      <c r="GJC19" s="3507"/>
      <c r="GJD19" s="3507"/>
      <c r="GJE19" s="3507"/>
      <c r="GJF19" s="3507"/>
      <c r="GJG19" s="3507"/>
      <c r="GJH19" s="3507"/>
      <c r="GJI19" s="3507"/>
      <c r="GJJ19" s="3507"/>
      <c r="GJK19" s="3507"/>
      <c r="GJL19" s="3507"/>
      <c r="GJM19" s="3507"/>
      <c r="GJN19" s="3507"/>
      <c r="GJO19" s="3507"/>
      <c r="GJP19" s="3507"/>
      <c r="GJQ19" s="3507"/>
      <c r="GJR19" s="3507"/>
      <c r="GJS19" s="3507"/>
      <c r="GJT19" s="3507"/>
      <c r="GJU19" s="3507"/>
      <c r="GJV19" s="3507"/>
      <c r="GJW19" s="3507"/>
      <c r="GJX19" s="3507"/>
      <c r="GJY19" s="3507"/>
      <c r="GJZ19" s="3507"/>
      <c r="GKA19" s="3507"/>
      <c r="GKB19" s="3507"/>
      <c r="GKC19" s="3507"/>
      <c r="GKD19" s="3507"/>
      <c r="GKE19" s="3507"/>
      <c r="GKF19" s="3507"/>
      <c r="GKG19" s="3507"/>
      <c r="GKH19" s="3507"/>
      <c r="GKI19" s="3507"/>
      <c r="GKJ19" s="3507"/>
      <c r="GKK19" s="3507"/>
      <c r="GKL19" s="3507"/>
      <c r="GKM19" s="3507"/>
      <c r="GKN19" s="3507"/>
      <c r="GKO19" s="3507"/>
      <c r="GKP19" s="3507"/>
      <c r="GKQ19" s="3507"/>
      <c r="GKR19" s="3507"/>
      <c r="GKS19" s="3507"/>
      <c r="GKT19" s="3507"/>
      <c r="GKU19" s="3507"/>
      <c r="GKV19" s="3507"/>
      <c r="GKW19" s="3507"/>
      <c r="GKX19" s="3507"/>
      <c r="GKY19" s="3507"/>
      <c r="GKZ19" s="3507"/>
      <c r="GLA19" s="3507"/>
      <c r="GLB19" s="3507"/>
      <c r="GLC19" s="3507"/>
      <c r="GLD19" s="3507"/>
      <c r="GLE19" s="3507"/>
      <c r="GLF19" s="3507"/>
      <c r="GLG19" s="3507"/>
      <c r="GLH19" s="3507"/>
      <c r="GLI19" s="3507"/>
      <c r="GLJ19" s="3507"/>
      <c r="GLK19" s="3507"/>
      <c r="GLL19" s="3507"/>
      <c r="GLM19" s="3507"/>
      <c r="GLN19" s="3507"/>
      <c r="GLO19" s="3507"/>
      <c r="GLP19" s="3507"/>
      <c r="GLQ19" s="3507"/>
      <c r="GLR19" s="3507"/>
      <c r="GLS19" s="3507"/>
      <c r="GLT19" s="3507"/>
      <c r="GLU19" s="3507"/>
      <c r="GLV19" s="3507"/>
      <c r="GLW19" s="3507"/>
      <c r="GLX19" s="3507"/>
      <c r="GLY19" s="3507"/>
      <c r="GLZ19" s="3507"/>
      <c r="GMA19" s="3507"/>
      <c r="GMB19" s="3507"/>
      <c r="GMC19" s="3507"/>
      <c r="GMD19" s="3507"/>
      <c r="GME19" s="3507"/>
      <c r="GMF19" s="3507"/>
      <c r="GMG19" s="3507"/>
      <c r="GMH19" s="3507"/>
      <c r="GMI19" s="3507"/>
      <c r="GMJ19" s="3507"/>
      <c r="GMK19" s="3507"/>
      <c r="GML19" s="3507"/>
      <c r="GMM19" s="3507"/>
      <c r="GMN19" s="3507"/>
      <c r="GMO19" s="3507"/>
      <c r="GMP19" s="3507"/>
      <c r="GMQ19" s="3507"/>
      <c r="GMR19" s="3507"/>
      <c r="GMS19" s="3507"/>
      <c r="GMT19" s="3507"/>
      <c r="GMU19" s="3507"/>
      <c r="GMV19" s="3507"/>
      <c r="GMW19" s="3507"/>
      <c r="GMX19" s="3507"/>
      <c r="GMY19" s="3507"/>
      <c r="GMZ19" s="3507"/>
      <c r="GNA19" s="3507"/>
      <c r="GNB19" s="3507"/>
      <c r="GNC19" s="3507"/>
      <c r="GND19" s="3507"/>
      <c r="GNE19" s="3507"/>
      <c r="GNF19" s="3507"/>
      <c r="GNG19" s="3507"/>
      <c r="GNH19" s="3507"/>
      <c r="GNI19" s="3507"/>
      <c r="GNJ19" s="3507"/>
      <c r="GNK19" s="3507"/>
      <c r="GNL19" s="3507"/>
      <c r="GNM19" s="3507"/>
      <c r="GNN19" s="3507"/>
      <c r="GNO19" s="3507"/>
      <c r="GNP19" s="3507"/>
      <c r="GNQ19" s="3507"/>
      <c r="GNR19" s="3507"/>
      <c r="GNS19" s="3507"/>
      <c r="GNT19" s="3507"/>
      <c r="GNU19" s="3507"/>
      <c r="GNV19" s="3507"/>
      <c r="GNW19" s="3507"/>
      <c r="GNX19" s="3507"/>
      <c r="GNY19" s="3507"/>
      <c r="GNZ19" s="3507"/>
      <c r="GOA19" s="3507"/>
      <c r="GOB19" s="3507"/>
      <c r="GOC19" s="3507"/>
      <c r="GOD19" s="3507"/>
      <c r="GOE19" s="3507"/>
      <c r="GOF19" s="3507"/>
      <c r="GOG19" s="3507"/>
      <c r="GOH19" s="3507"/>
      <c r="GOI19" s="3507"/>
      <c r="GOJ19" s="3507"/>
      <c r="GOK19" s="3507"/>
      <c r="GOL19" s="3507"/>
      <c r="GOM19" s="3507"/>
      <c r="GON19" s="3507"/>
      <c r="GOO19" s="3507"/>
      <c r="GOP19" s="3507"/>
      <c r="GOQ19" s="3507"/>
      <c r="GOR19" s="3507"/>
      <c r="GOS19" s="3507"/>
      <c r="GOT19" s="3507"/>
      <c r="GOU19" s="3507"/>
      <c r="GOV19" s="3507"/>
      <c r="GOW19" s="3507"/>
      <c r="GOX19" s="3507"/>
      <c r="GOY19" s="3507"/>
      <c r="GOZ19" s="3507"/>
      <c r="GPA19" s="3507"/>
      <c r="GPB19" s="3507"/>
      <c r="GPC19" s="3507"/>
      <c r="GPD19" s="3507"/>
      <c r="GPE19" s="3507"/>
      <c r="GPF19" s="3507"/>
      <c r="GPG19" s="3507"/>
      <c r="GPH19" s="3507"/>
      <c r="GPI19" s="3507"/>
      <c r="GPJ19" s="3507"/>
      <c r="GPK19" s="3507"/>
      <c r="GPL19" s="3507"/>
      <c r="GPM19" s="3507"/>
      <c r="GPN19" s="3507"/>
      <c r="GPO19" s="3507"/>
      <c r="GPP19" s="3507"/>
      <c r="GPQ19" s="3507"/>
      <c r="GPR19" s="3507"/>
      <c r="GPS19" s="3507"/>
      <c r="GPT19" s="3507"/>
      <c r="GPU19" s="3507"/>
      <c r="GPV19" s="3507"/>
      <c r="GPW19" s="3507"/>
      <c r="GPX19" s="3507"/>
      <c r="GPY19" s="3507"/>
      <c r="GPZ19" s="3507"/>
      <c r="GQA19" s="3507"/>
      <c r="GQB19" s="3507"/>
      <c r="GQC19" s="3507"/>
      <c r="GQD19" s="3507"/>
      <c r="GQE19" s="3507"/>
      <c r="GQF19" s="3507"/>
      <c r="GQG19" s="3507"/>
      <c r="GQH19" s="3507"/>
      <c r="GQI19" s="3507"/>
      <c r="GQJ19" s="3507"/>
      <c r="GQK19" s="3507"/>
      <c r="GQL19" s="3507"/>
      <c r="GQM19" s="3507"/>
      <c r="GQN19" s="3507"/>
      <c r="GQO19" s="3507"/>
      <c r="GQP19" s="3507"/>
      <c r="GQQ19" s="3507"/>
      <c r="GQR19" s="3507"/>
      <c r="GQS19" s="3507"/>
      <c r="GQT19" s="3507"/>
      <c r="GQU19" s="3507"/>
      <c r="GQV19" s="3507"/>
      <c r="GQW19" s="3507"/>
      <c r="GQX19" s="3507"/>
      <c r="GQY19" s="3507"/>
      <c r="GQZ19" s="3507"/>
      <c r="GRA19" s="3507"/>
      <c r="GRB19" s="3507"/>
      <c r="GRC19" s="3507"/>
      <c r="GRD19" s="3507"/>
      <c r="GRE19" s="3507"/>
      <c r="GRF19" s="3507"/>
      <c r="GRG19" s="3507"/>
      <c r="GRH19" s="3507"/>
      <c r="GRI19" s="3507"/>
      <c r="GRJ19" s="3507"/>
      <c r="GRK19" s="3507"/>
      <c r="GRL19" s="3507"/>
      <c r="GRM19" s="3507"/>
      <c r="GRN19" s="3507"/>
      <c r="GRO19" s="3507"/>
      <c r="GRP19" s="3507"/>
      <c r="GRQ19" s="3507"/>
      <c r="GRR19" s="3507"/>
      <c r="GRS19" s="3507"/>
      <c r="GRT19" s="3507"/>
      <c r="GRU19" s="3507"/>
      <c r="GRV19" s="3507"/>
      <c r="GRW19" s="3507"/>
      <c r="GRX19" s="3507"/>
      <c r="GRY19" s="3507"/>
      <c r="GRZ19" s="3507"/>
      <c r="GSA19" s="3507"/>
      <c r="GSB19" s="3507"/>
      <c r="GSC19" s="3507"/>
      <c r="GSD19" s="3507"/>
      <c r="GSE19" s="3507"/>
      <c r="GSF19" s="3507"/>
      <c r="GSG19" s="3507"/>
      <c r="GSH19" s="3507"/>
      <c r="GSI19" s="3507"/>
      <c r="GSJ19" s="3507"/>
      <c r="GSK19" s="3507"/>
      <c r="GSL19" s="3507"/>
      <c r="GSM19" s="3507"/>
      <c r="GSN19" s="3507"/>
      <c r="GSO19" s="3507"/>
      <c r="GSP19" s="3507"/>
      <c r="GSQ19" s="3507"/>
      <c r="GSR19" s="3507"/>
      <c r="GSS19" s="3507"/>
      <c r="GST19" s="3507"/>
      <c r="GSU19" s="3507"/>
      <c r="GSV19" s="3507"/>
      <c r="GSW19" s="3507"/>
      <c r="GSX19" s="3507"/>
      <c r="GSY19" s="3507"/>
      <c r="GSZ19" s="3507"/>
      <c r="GTA19" s="3507"/>
      <c r="GTB19" s="3507"/>
      <c r="GTC19" s="3507"/>
      <c r="GTD19" s="3507"/>
      <c r="GTE19" s="3507"/>
      <c r="GTF19" s="3507"/>
      <c r="GTG19" s="3507"/>
      <c r="GTH19" s="3507"/>
      <c r="GTI19" s="3507"/>
      <c r="GTJ19" s="3507"/>
      <c r="GTK19" s="3507"/>
      <c r="GTL19" s="3507"/>
      <c r="GTM19" s="3507"/>
      <c r="GTN19" s="3507"/>
      <c r="GTO19" s="3507"/>
      <c r="GTP19" s="3507"/>
      <c r="GTQ19" s="3507"/>
      <c r="GTR19" s="3507"/>
      <c r="GTS19" s="3507"/>
      <c r="GTT19" s="3507"/>
      <c r="GTU19" s="3507"/>
      <c r="GTV19" s="3507"/>
      <c r="GTW19" s="3507"/>
      <c r="GTX19" s="3507"/>
      <c r="GTY19" s="3507"/>
      <c r="GTZ19" s="3507"/>
      <c r="GUA19" s="3507"/>
      <c r="GUB19" s="3507"/>
      <c r="GUC19" s="3507"/>
      <c r="GUD19" s="3507"/>
      <c r="GUE19" s="3507"/>
      <c r="GUF19" s="3507"/>
      <c r="GUG19" s="3507"/>
      <c r="GUH19" s="3507"/>
      <c r="GUI19" s="3507"/>
      <c r="GUJ19" s="3507"/>
      <c r="GUK19" s="3507"/>
      <c r="GUL19" s="3507"/>
      <c r="GUM19" s="3507"/>
      <c r="GUN19" s="3507"/>
      <c r="GUO19" s="3507"/>
      <c r="GUP19" s="3507"/>
      <c r="GUQ19" s="3507"/>
      <c r="GUR19" s="3507"/>
      <c r="GUS19" s="3507"/>
      <c r="GUT19" s="3507"/>
      <c r="GUU19" s="3507"/>
      <c r="GUV19" s="3507"/>
      <c r="GUW19" s="3507"/>
      <c r="GUX19" s="3507"/>
      <c r="GUY19" s="3507"/>
      <c r="GUZ19" s="3507"/>
      <c r="GVA19" s="3507"/>
      <c r="GVB19" s="3507"/>
      <c r="GVC19" s="3507"/>
      <c r="GVD19" s="3507"/>
      <c r="GVE19" s="3507"/>
      <c r="GVF19" s="3507"/>
      <c r="GVG19" s="3507"/>
      <c r="GVH19" s="3507"/>
      <c r="GVI19" s="3507"/>
      <c r="GVJ19" s="3507"/>
      <c r="GVK19" s="3507"/>
      <c r="GVL19" s="3507"/>
      <c r="GVM19" s="3507"/>
      <c r="GVN19" s="3507"/>
      <c r="GVO19" s="3507"/>
      <c r="GVP19" s="3507"/>
      <c r="GVQ19" s="3507"/>
      <c r="GVR19" s="3507"/>
      <c r="GVS19" s="3507"/>
      <c r="GVT19" s="3507"/>
      <c r="GVU19" s="3507"/>
      <c r="GVV19" s="3507"/>
      <c r="GVW19" s="3507"/>
      <c r="GVX19" s="3507"/>
      <c r="GVY19" s="3507"/>
      <c r="GVZ19" s="3507"/>
      <c r="GWA19" s="3507"/>
      <c r="GWB19" s="3507"/>
      <c r="GWC19" s="3507"/>
      <c r="GWD19" s="3507"/>
      <c r="GWE19" s="3507"/>
      <c r="GWF19" s="3507"/>
      <c r="GWG19" s="3507"/>
      <c r="GWH19" s="3507"/>
      <c r="GWI19" s="3507"/>
      <c r="GWJ19" s="3507"/>
      <c r="GWK19" s="3507"/>
      <c r="GWL19" s="3507"/>
      <c r="GWM19" s="3507"/>
      <c r="GWN19" s="3507"/>
      <c r="GWO19" s="3507"/>
      <c r="GWP19" s="3507"/>
      <c r="GWQ19" s="3507"/>
      <c r="GWR19" s="3507"/>
      <c r="GWS19" s="3507"/>
      <c r="GWT19" s="3507"/>
      <c r="GWU19" s="3507"/>
      <c r="GWV19" s="3507"/>
      <c r="GWW19" s="3507"/>
      <c r="GWX19" s="3507"/>
      <c r="GWY19" s="3507"/>
      <c r="GWZ19" s="3507"/>
      <c r="GXA19" s="3507"/>
      <c r="GXB19" s="3507"/>
      <c r="GXC19" s="3507"/>
      <c r="GXD19" s="3507"/>
      <c r="GXE19" s="3507"/>
      <c r="GXF19" s="3507"/>
      <c r="GXG19" s="3507"/>
      <c r="GXH19" s="3507"/>
      <c r="GXI19" s="3507"/>
      <c r="GXJ19" s="3507"/>
      <c r="GXK19" s="3507"/>
      <c r="GXL19" s="3507"/>
      <c r="GXM19" s="3507"/>
      <c r="GXN19" s="3507"/>
      <c r="GXO19" s="3507"/>
      <c r="GXP19" s="3507"/>
      <c r="GXQ19" s="3507"/>
      <c r="GXR19" s="3507"/>
      <c r="GXS19" s="3507"/>
      <c r="GXT19" s="3507"/>
      <c r="GXU19" s="3507"/>
      <c r="GXV19" s="3507"/>
      <c r="GXW19" s="3507"/>
      <c r="GXX19" s="3507"/>
      <c r="GXY19" s="3507"/>
      <c r="GXZ19" s="3507"/>
      <c r="GYA19" s="3507"/>
      <c r="GYB19" s="3507"/>
      <c r="GYC19" s="3507"/>
      <c r="GYD19" s="3507"/>
      <c r="GYE19" s="3507"/>
      <c r="GYF19" s="3507"/>
      <c r="GYG19" s="3507"/>
      <c r="GYH19" s="3507"/>
      <c r="GYI19" s="3507"/>
      <c r="GYJ19" s="3507"/>
      <c r="GYK19" s="3507"/>
      <c r="GYL19" s="3507"/>
      <c r="GYM19" s="3507"/>
      <c r="GYN19" s="3507"/>
      <c r="GYO19" s="3507"/>
      <c r="GYP19" s="3507"/>
      <c r="GYQ19" s="3507"/>
      <c r="GYR19" s="3507"/>
      <c r="GYS19" s="3507"/>
      <c r="GYT19" s="3507"/>
      <c r="GYU19" s="3507"/>
      <c r="GYV19" s="3507"/>
      <c r="GYW19" s="3507"/>
      <c r="GYX19" s="3507"/>
      <c r="GYY19" s="3507"/>
      <c r="GYZ19" s="3507"/>
      <c r="GZA19" s="3507"/>
      <c r="GZB19" s="3507"/>
      <c r="GZC19" s="3507"/>
      <c r="GZD19" s="3507"/>
      <c r="GZE19" s="3507"/>
      <c r="GZF19" s="3507"/>
      <c r="GZG19" s="3507"/>
      <c r="GZH19" s="3507"/>
      <c r="GZI19" s="3507"/>
      <c r="GZJ19" s="3507"/>
      <c r="GZK19" s="3507"/>
      <c r="GZL19" s="3507"/>
      <c r="GZM19" s="3507"/>
      <c r="GZN19" s="3507"/>
      <c r="GZO19" s="3507"/>
      <c r="GZP19" s="3507"/>
      <c r="GZQ19" s="3507"/>
      <c r="GZR19" s="3507"/>
      <c r="GZS19" s="3507"/>
      <c r="GZT19" s="3507"/>
      <c r="GZU19" s="3507"/>
      <c r="GZV19" s="3507"/>
      <c r="GZW19" s="3507"/>
      <c r="GZX19" s="3507"/>
      <c r="GZY19" s="3507"/>
      <c r="GZZ19" s="3507"/>
      <c r="HAA19" s="3507"/>
      <c r="HAB19" s="3507"/>
      <c r="HAC19" s="3507"/>
      <c r="HAD19" s="3507"/>
      <c r="HAE19" s="3507"/>
      <c r="HAF19" s="3507"/>
      <c r="HAG19" s="3507"/>
      <c r="HAH19" s="3507"/>
      <c r="HAI19" s="3507"/>
      <c r="HAJ19" s="3507"/>
      <c r="HAK19" s="3507"/>
      <c r="HAL19" s="3507"/>
      <c r="HAM19" s="3507"/>
      <c r="HAN19" s="3507"/>
      <c r="HAO19" s="3507"/>
      <c r="HAP19" s="3507"/>
      <c r="HAQ19" s="3507"/>
      <c r="HAR19" s="3507"/>
      <c r="HAS19" s="3507"/>
      <c r="HAT19" s="3507"/>
      <c r="HAU19" s="3507"/>
      <c r="HAV19" s="3507"/>
      <c r="HAW19" s="3507"/>
      <c r="HAX19" s="3507"/>
      <c r="HAY19" s="3507"/>
      <c r="HAZ19" s="3507"/>
      <c r="HBA19" s="3507"/>
      <c r="HBB19" s="3507"/>
      <c r="HBC19" s="3507"/>
      <c r="HBD19" s="3507"/>
      <c r="HBE19" s="3507"/>
      <c r="HBF19" s="3507"/>
      <c r="HBG19" s="3507"/>
      <c r="HBH19" s="3507"/>
      <c r="HBI19" s="3507"/>
      <c r="HBJ19" s="3507"/>
      <c r="HBK19" s="3507"/>
      <c r="HBL19" s="3507"/>
      <c r="HBM19" s="3507"/>
      <c r="HBN19" s="3507"/>
      <c r="HBO19" s="3507"/>
      <c r="HBP19" s="3507"/>
      <c r="HBQ19" s="3507"/>
      <c r="HBR19" s="3507"/>
      <c r="HBS19" s="3507"/>
      <c r="HBT19" s="3507"/>
      <c r="HBU19" s="3507"/>
      <c r="HBV19" s="3507"/>
      <c r="HBW19" s="3507"/>
      <c r="HBX19" s="3507"/>
      <c r="HBY19" s="3507"/>
      <c r="HBZ19" s="3507"/>
      <c r="HCA19" s="3507"/>
      <c r="HCB19" s="3507"/>
      <c r="HCC19" s="3507"/>
      <c r="HCD19" s="3507"/>
      <c r="HCE19" s="3507"/>
      <c r="HCF19" s="3507"/>
      <c r="HCG19" s="3507"/>
      <c r="HCH19" s="3507"/>
      <c r="HCI19" s="3507"/>
      <c r="HCJ19" s="3507"/>
      <c r="HCK19" s="3507"/>
      <c r="HCL19" s="3507"/>
      <c r="HCM19" s="3507"/>
      <c r="HCN19" s="3507"/>
      <c r="HCO19" s="3507"/>
      <c r="HCP19" s="3507"/>
      <c r="HCQ19" s="3507"/>
      <c r="HCR19" s="3507"/>
      <c r="HCS19" s="3507"/>
      <c r="HCT19" s="3507"/>
      <c r="HCU19" s="3507"/>
      <c r="HCV19" s="3507"/>
      <c r="HCW19" s="3507"/>
      <c r="HCX19" s="3507"/>
      <c r="HCY19" s="3507"/>
      <c r="HCZ19" s="3507"/>
      <c r="HDA19" s="3507"/>
      <c r="HDB19" s="3507"/>
      <c r="HDC19" s="3507"/>
      <c r="HDD19" s="3507"/>
      <c r="HDE19" s="3507"/>
      <c r="HDF19" s="3507"/>
      <c r="HDG19" s="3507"/>
      <c r="HDH19" s="3507"/>
      <c r="HDI19" s="3507"/>
      <c r="HDJ19" s="3507"/>
      <c r="HDK19" s="3507"/>
      <c r="HDL19" s="3507"/>
      <c r="HDM19" s="3507"/>
      <c r="HDN19" s="3507"/>
      <c r="HDO19" s="3507"/>
      <c r="HDP19" s="3507"/>
      <c r="HDQ19" s="3507"/>
      <c r="HDR19" s="3507"/>
      <c r="HDS19" s="3507"/>
      <c r="HDT19" s="3507"/>
      <c r="HDU19" s="3507"/>
      <c r="HDV19" s="3507"/>
      <c r="HDW19" s="3507"/>
      <c r="HDX19" s="3507"/>
      <c r="HDY19" s="3507"/>
      <c r="HDZ19" s="3507"/>
      <c r="HEA19" s="3507"/>
      <c r="HEB19" s="3507"/>
      <c r="HEC19" s="3507"/>
      <c r="HED19" s="3507"/>
      <c r="HEE19" s="3507"/>
      <c r="HEF19" s="3507"/>
      <c r="HEG19" s="3507"/>
      <c r="HEH19" s="3507"/>
      <c r="HEI19" s="3507"/>
      <c r="HEJ19" s="3507"/>
      <c r="HEK19" s="3507"/>
      <c r="HEL19" s="3507"/>
      <c r="HEM19" s="3507"/>
      <c r="HEN19" s="3507"/>
      <c r="HEO19" s="3507"/>
      <c r="HEP19" s="3507"/>
      <c r="HEQ19" s="3507"/>
      <c r="HER19" s="3507"/>
      <c r="HES19" s="3507"/>
      <c r="HET19" s="3507"/>
      <c r="HEU19" s="3507"/>
      <c r="HEV19" s="3507"/>
      <c r="HEW19" s="3507"/>
      <c r="HEX19" s="3507"/>
      <c r="HEY19" s="3507"/>
      <c r="HEZ19" s="3507"/>
      <c r="HFA19" s="3507"/>
      <c r="HFB19" s="3507"/>
      <c r="HFC19" s="3507"/>
      <c r="HFD19" s="3507"/>
      <c r="HFE19" s="3507"/>
      <c r="HFF19" s="3507"/>
      <c r="HFG19" s="3507"/>
      <c r="HFH19" s="3507"/>
      <c r="HFI19" s="3507"/>
      <c r="HFJ19" s="3507"/>
      <c r="HFK19" s="3507"/>
      <c r="HFL19" s="3507"/>
      <c r="HFM19" s="3507"/>
      <c r="HFN19" s="3507"/>
      <c r="HFO19" s="3507"/>
      <c r="HFP19" s="3507"/>
      <c r="HFQ19" s="3507"/>
      <c r="HFR19" s="3507"/>
      <c r="HFS19" s="3507"/>
      <c r="HFT19" s="3507"/>
      <c r="HFU19" s="3507"/>
      <c r="HFV19" s="3507"/>
      <c r="HFW19" s="3507"/>
      <c r="HFX19" s="3507"/>
      <c r="HFY19" s="3507"/>
      <c r="HFZ19" s="3507"/>
      <c r="HGA19" s="3507"/>
      <c r="HGB19" s="3507"/>
      <c r="HGC19" s="3507"/>
      <c r="HGD19" s="3507"/>
      <c r="HGE19" s="3507"/>
      <c r="HGF19" s="3507"/>
      <c r="HGG19" s="3507"/>
      <c r="HGH19" s="3507"/>
      <c r="HGI19" s="3507"/>
      <c r="HGJ19" s="3507"/>
      <c r="HGK19" s="3507"/>
      <c r="HGL19" s="3507"/>
      <c r="HGM19" s="3507"/>
      <c r="HGN19" s="3507"/>
      <c r="HGO19" s="3507"/>
      <c r="HGP19" s="3507"/>
      <c r="HGQ19" s="3507"/>
      <c r="HGR19" s="3507"/>
      <c r="HGS19" s="3507"/>
      <c r="HGT19" s="3507"/>
      <c r="HGU19" s="3507"/>
      <c r="HGV19" s="3507"/>
      <c r="HGW19" s="3507"/>
      <c r="HGX19" s="3507"/>
      <c r="HGY19" s="3507"/>
      <c r="HGZ19" s="3507"/>
      <c r="HHA19" s="3507"/>
      <c r="HHB19" s="3507"/>
      <c r="HHC19" s="3507"/>
      <c r="HHD19" s="3507"/>
      <c r="HHE19" s="3507"/>
      <c r="HHF19" s="3507"/>
      <c r="HHG19" s="3507"/>
      <c r="HHH19" s="3507"/>
      <c r="HHI19" s="3507"/>
      <c r="HHJ19" s="3507"/>
      <c r="HHK19" s="3507"/>
      <c r="HHL19" s="3507"/>
      <c r="HHM19" s="3507"/>
      <c r="HHN19" s="3507"/>
      <c r="HHO19" s="3507"/>
      <c r="HHP19" s="3507"/>
      <c r="HHQ19" s="3507"/>
      <c r="HHR19" s="3507"/>
      <c r="HHS19" s="3507"/>
      <c r="HHT19" s="3507"/>
      <c r="HHU19" s="3507"/>
      <c r="HHV19" s="3507"/>
      <c r="HHW19" s="3507"/>
      <c r="HHX19" s="3507"/>
      <c r="HHY19" s="3507"/>
      <c r="HHZ19" s="3507"/>
      <c r="HIA19" s="3507"/>
      <c r="HIB19" s="3507"/>
      <c r="HIC19" s="3507"/>
      <c r="HID19" s="3507"/>
      <c r="HIE19" s="3507"/>
      <c r="HIF19" s="3507"/>
      <c r="HIG19" s="3507"/>
      <c r="HIH19" s="3507"/>
      <c r="HII19" s="3507"/>
      <c r="HIJ19" s="3507"/>
      <c r="HIK19" s="3507"/>
      <c r="HIL19" s="3507"/>
      <c r="HIM19" s="3507"/>
      <c r="HIN19" s="3507"/>
      <c r="HIO19" s="3507"/>
      <c r="HIP19" s="3507"/>
      <c r="HIQ19" s="3507"/>
      <c r="HIR19" s="3507"/>
      <c r="HIS19" s="3507"/>
      <c r="HIT19" s="3507"/>
      <c r="HIU19" s="3507"/>
      <c r="HIV19" s="3507"/>
      <c r="HIW19" s="3507"/>
      <c r="HIX19" s="3507"/>
      <c r="HIY19" s="3507"/>
      <c r="HIZ19" s="3507"/>
      <c r="HJA19" s="3507"/>
      <c r="HJB19" s="3507"/>
      <c r="HJC19" s="3507"/>
      <c r="HJD19" s="3507"/>
      <c r="HJE19" s="3507"/>
      <c r="HJF19" s="3507"/>
      <c r="HJG19" s="3507"/>
      <c r="HJH19" s="3507"/>
      <c r="HJI19" s="3507"/>
      <c r="HJJ19" s="3507"/>
      <c r="HJK19" s="3507"/>
      <c r="HJL19" s="3507"/>
      <c r="HJM19" s="3507"/>
      <c r="HJN19" s="3507"/>
      <c r="HJO19" s="3507"/>
      <c r="HJP19" s="3507"/>
      <c r="HJQ19" s="3507"/>
      <c r="HJR19" s="3507"/>
      <c r="HJS19" s="3507"/>
      <c r="HJT19" s="3507"/>
      <c r="HJU19" s="3507"/>
      <c r="HJV19" s="3507"/>
      <c r="HJW19" s="3507"/>
      <c r="HJX19" s="3507"/>
      <c r="HJY19" s="3507"/>
      <c r="HJZ19" s="3507"/>
      <c r="HKA19" s="3507"/>
      <c r="HKB19" s="3507"/>
      <c r="HKC19" s="3507"/>
      <c r="HKD19" s="3507"/>
      <c r="HKE19" s="3507"/>
      <c r="HKF19" s="3507"/>
      <c r="HKG19" s="3507"/>
      <c r="HKH19" s="3507"/>
      <c r="HKI19" s="3507"/>
      <c r="HKJ19" s="3507"/>
      <c r="HKK19" s="3507"/>
      <c r="HKL19" s="3507"/>
      <c r="HKM19" s="3507"/>
      <c r="HKN19" s="3507"/>
      <c r="HKO19" s="3507"/>
      <c r="HKP19" s="3507"/>
      <c r="HKQ19" s="3507"/>
      <c r="HKR19" s="3507"/>
      <c r="HKS19" s="3507"/>
      <c r="HKT19" s="3507"/>
      <c r="HKU19" s="3507"/>
      <c r="HKV19" s="3507"/>
      <c r="HKW19" s="3507"/>
      <c r="HKX19" s="3507"/>
      <c r="HKY19" s="3507"/>
      <c r="HKZ19" s="3507"/>
      <c r="HLA19" s="3507"/>
      <c r="HLB19" s="3507"/>
      <c r="HLC19" s="3507"/>
      <c r="HLD19" s="3507"/>
      <c r="HLE19" s="3507"/>
      <c r="HLF19" s="3507"/>
      <c r="HLG19" s="3507"/>
      <c r="HLH19" s="3507"/>
      <c r="HLI19" s="3507"/>
      <c r="HLJ19" s="3507"/>
      <c r="HLK19" s="3507"/>
      <c r="HLL19" s="3507"/>
      <c r="HLM19" s="3507"/>
      <c r="HLN19" s="3507"/>
      <c r="HLO19" s="3507"/>
      <c r="HLP19" s="3507"/>
      <c r="HLQ19" s="3507"/>
      <c r="HLR19" s="3507"/>
      <c r="HLS19" s="3507"/>
      <c r="HLT19" s="3507"/>
      <c r="HLU19" s="3507"/>
      <c r="HLV19" s="3507"/>
      <c r="HLW19" s="3507"/>
      <c r="HLX19" s="3507"/>
      <c r="HLY19" s="3507"/>
      <c r="HLZ19" s="3507"/>
      <c r="HMA19" s="3507"/>
      <c r="HMB19" s="3507"/>
      <c r="HMC19" s="3507"/>
      <c r="HMD19" s="3507"/>
      <c r="HME19" s="3507"/>
      <c r="HMF19" s="3507"/>
      <c r="HMG19" s="3507"/>
      <c r="HMH19" s="3507"/>
      <c r="HMI19" s="3507"/>
      <c r="HMJ19" s="3507"/>
      <c r="HMK19" s="3507"/>
      <c r="HML19" s="3507"/>
      <c r="HMM19" s="3507"/>
      <c r="HMN19" s="3507"/>
      <c r="HMO19" s="3507"/>
      <c r="HMP19" s="3507"/>
      <c r="HMQ19" s="3507"/>
      <c r="HMR19" s="3507"/>
      <c r="HMS19" s="3507"/>
      <c r="HMT19" s="3507"/>
      <c r="HMU19" s="3507"/>
      <c r="HMV19" s="3507"/>
      <c r="HMW19" s="3507"/>
      <c r="HMX19" s="3507"/>
      <c r="HMY19" s="3507"/>
      <c r="HMZ19" s="3507"/>
      <c r="HNA19" s="3507"/>
      <c r="HNB19" s="3507"/>
      <c r="HNC19" s="3507"/>
      <c r="HND19" s="3507"/>
      <c r="HNE19" s="3507"/>
      <c r="HNF19" s="3507"/>
      <c r="HNG19" s="3507"/>
      <c r="HNH19" s="3507"/>
      <c r="HNI19" s="3507"/>
      <c r="HNJ19" s="3507"/>
      <c r="HNK19" s="3507"/>
      <c r="HNL19" s="3507"/>
      <c r="HNM19" s="3507"/>
      <c r="HNN19" s="3507"/>
      <c r="HNO19" s="3507"/>
      <c r="HNP19" s="3507"/>
      <c r="HNQ19" s="3507"/>
      <c r="HNR19" s="3507"/>
      <c r="HNS19" s="3507"/>
      <c r="HNT19" s="3507"/>
      <c r="HNU19" s="3507"/>
      <c r="HNV19" s="3507"/>
      <c r="HNW19" s="3507"/>
      <c r="HNX19" s="3507"/>
      <c r="HNY19" s="3507"/>
      <c r="HNZ19" s="3507"/>
      <c r="HOA19" s="3507"/>
      <c r="HOB19" s="3507"/>
      <c r="HOC19" s="3507"/>
      <c r="HOD19" s="3507"/>
      <c r="HOE19" s="3507"/>
      <c r="HOF19" s="3507"/>
      <c r="HOG19" s="3507"/>
      <c r="HOH19" s="3507"/>
      <c r="HOI19" s="3507"/>
      <c r="HOJ19" s="3507"/>
      <c r="HOK19" s="3507"/>
      <c r="HOL19" s="3507"/>
      <c r="HOM19" s="3507"/>
      <c r="HON19" s="3507"/>
      <c r="HOO19" s="3507"/>
      <c r="HOP19" s="3507"/>
      <c r="HOQ19" s="3507"/>
      <c r="HOR19" s="3507"/>
      <c r="HOS19" s="3507"/>
      <c r="HOT19" s="3507"/>
      <c r="HOU19" s="3507"/>
      <c r="HOV19" s="3507"/>
      <c r="HOW19" s="3507"/>
      <c r="HOX19" s="3507"/>
      <c r="HOY19" s="3507"/>
      <c r="HOZ19" s="3507"/>
      <c r="HPA19" s="3507"/>
      <c r="HPB19" s="3507"/>
      <c r="HPC19" s="3507"/>
      <c r="HPD19" s="3507"/>
      <c r="HPE19" s="3507"/>
      <c r="HPF19" s="3507"/>
      <c r="HPG19" s="3507"/>
      <c r="HPH19" s="3507"/>
      <c r="HPI19" s="3507"/>
      <c r="HPJ19" s="3507"/>
      <c r="HPK19" s="3507"/>
      <c r="HPL19" s="3507"/>
      <c r="HPM19" s="3507"/>
      <c r="HPN19" s="3507"/>
      <c r="HPO19" s="3507"/>
      <c r="HPP19" s="3507"/>
      <c r="HPQ19" s="3507"/>
      <c r="HPR19" s="3507"/>
      <c r="HPS19" s="3507"/>
      <c r="HPT19" s="3507"/>
      <c r="HPU19" s="3507"/>
      <c r="HPV19" s="3507"/>
      <c r="HPW19" s="3507"/>
      <c r="HPX19" s="3507"/>
      <c r="HPY19" s="3507"/>
      <c r="HPZ19" s="3507"/>
      <c r="HQA19" s="3507"/>
      <c r="HQB19" s="3507"/>
      <c r="HQC19" s="3507"/>
      <c r="HQD19" s="3507"/>
      <c r="HQE19" s="3507"/>
      <c r="HQF19" s="3507"/>
      <c r="HQG19" s="3507"/>
      <c r="HQH19" s="3507"/>
      <c r="HQI19" s="3507"/>
      <c r="HQJ19" s="3507"/>
      <c r="HQK19" s="3507"/>
      <c r="HQL19" s="3507"/>
      <c r="HQM19" s="3507"/>
      <c r="HQN19" s="3507"/>
      <c r="HQO19" s="3507"/>
      <c r="HQP19" s="3507"/>
      <c r="HQQ19" s="3507"/>
      <c r="HQR19" s="3507"/>
      <c r="HQS19" s="3507"/>
      <c r="HQT19" s="3507"/>
      <c r="HQU19" s="3507"/>
      <c r="HQV19" s="3507"/>
      <c r="HQW19" s="3507"/>
      <c r="HQX19" s="3507"/>
      <c r="HQY19" s="3507"/>
      <c r="HQZ19" s="3507"/>
      <c r="HRA19" s="3507"/>
      <c r="HRB19" s="3507"/>
      <c r="HRC19" s="3507"/>
      <c r="HRD19" s="3507"/>
      <c r="HRE19" s="3507"/>
      <c r="HRF19" s="3507"/>
      <c r="HRG19" s="3507"/>
      <c r="HRH19" s="3507"/>
      <c r="HRI19" s="3507"/>
      <c r="HRJ19" s="3507"/>
      <c r="HRK19" s="3507"/>
      <c r="HRL19" s="3507"/>
      <c r="HRM19" s="3507"/>
      <c r="HRN19" s="3507"/>
      <c r="HRO19" s="3507"/>
      <c r="HRP19" s="3507"/>
      <c r="HRQ19" s="3507"/>
      <c r="HRR19" s="3507"/>
      <c r="HRS19" s="3507"/>
      <c r="HRT19" s="3507"/>
      <c r="HRU19" s="3507"/>
      <c r="HRV19" s="3507"/>
      <c r="HRW19" s="3507"/>
      <c r="HRX19" s="3507"/>
      <c r="HRY19" s="3507"/>
      <c r="HRZ19" s="3507"/>
      <c r="HSA19" s="3507"/>
      <c r="HSB19" s="3507"/>
      <c r="HSC19" s="3507"/>
      <c r="HSD19" s="3507"/>
      <c r="HSE19" s="3507"/>
      <c r="HSF19" s="3507"/>
      <c r="HSG19" s="3507"/>
      <c r="HSH19" s="3507"/>
      <c r="HSI19" s="3507"/>
      <c r="HSJ19" s="3507"/>
      <c r="HSK19" s="3507"/>
      <c r="HSL19" s="3507"/>
      <c r="HSM19" s="3507"/>
      <c r="HSN19" s="3507"/>
      <c r="HSO19" s="3507"/>
      <c r="HSP19" s="3507"/>
      <c r="HSQ19" s="3507"/>
      <c r="HSR19" s="3507"/>
      <c r="HSS19" s="3507"/>
      <c r="HST19" s="3507"/>
      <c r="HSU19" s="3507"/>
      <c r="HSV19" s="3507"/>
      <c r="HSW19" s="3507"/>
      <c r="HSX19" s="3507"/>
      <c r="HSY19" s="3507"/>
      <c r="HSZ19" s="3507"/>
      <c r="HTA19" s="3507"/>
      <c r="HTB19" s="3507"/>
      <c r="HTC19" s="3507"/>
      <c r="HTD19" s="3507"/>
      <c r="HTE19" s="3507"/>
      <c r="HTF19" s="3507"/>
      <c r="HTG19" s="3507"/>
      <c r="HTH19" s="3507"/>
      <c r="HTI19" s="3507"/>
      <c r="HTJ19" s="3507"/>
      <c r="HTK19" s="3507"/>
      <c r="HTL19" s="3507"/>
      <c r="HTM19" s="3507"/>
      <c r="HTN19" s="3507"/>
      <c r="HTO19" s="3507"/>
      <c r="HTP19" s="3507"/>
      <c r="HTQ19" s="3507"/>
      <c r="HTR19" s="3507"/>
      <c r="HTS19" s="3507"/>
      <c r="HTT19" s="3507"/>
      <c r="HTU19" s="3507"/>
      <c r="HTV19" s="3507"/>
      <c r="HTW19" s="3507"/>
      <c r="HTX19" s="3507"/>
      <c r="HTY19" s="3507"/>
      <c r="HTZ19" s="3507"/>
      <c r="HUA19" s="3507"/>
      <c r="HUB19" s="3507"/>
      <c r="HUC19" s="3507"/>
      <c r="HUD19" s="3507"/>
      <c r="HUE19" s="3507"/>
      <c r="HUF19" s="3507"/>
      <c r="HUG19" s="3507"/>
      <c r="HUH19" s="3507"/>
      <c r="HUI19" s="3507"/>
      <c r="HUJ19" s="3507"/>
      <c r="HUK19" s="3507"/>
      <c r="HUL19" s="3507"/>
      <c r="HUM19" s="3507"/>
      <c r="HUN19" s="3507"/>
      <c r="HUO19" s="3507"/>
      <c r="HUP19" s="3507"/>
      <c r="HUQ19" s="3507"/>
      <c r="HUR19" s="3507"/>
      <c r="HUS19" s="3507"/>
      <c r="HUT19" s="3507"/>
      <c r="HUU19" s="3507"/>
      <c r="HUV19" s="3507"/>
      <c r="HUW19" s="3507"/>
      <c r="HUX19" s="3507"/>
      <c r="HUY19" s="3507"/>
      <c r="HUZ19" s="3507"/>
      <c r="HVA19" s="3507"/>
      <c r="HVB19" s="3507"/>
      <c r="HVC19" s="3507"/>
      <c r="HVD19" s="3507"/>
      <c r="HVE19" s="3507"/>
      <c r="HVF19" s="3507"/>
      <c r="HVG19" s="3507"/>
      <c r="HVH19" s="3507"/>
      <c r="HVI19" s="3507"/>
      <c r="HVJ19" s="3507"/>
      <c r="HVK19" s="3507"/>
      <c r="HVL19" s="3507"/>
      <c r="HVM19" s="3507"/>
      <c r="HVN19" s="3507"/>
      <c r="HVO19" s="3507"/>
      <c r="HVP19" s="3507"/>
      <c r="HVQ19" s="3507"/>
      <c r="HVR19" s="3507"/>
      <c r="HVS19" s="3507"/>
      <c r="HVT19" s="3507"/>
      <c r="HVU19" s="3507"/>
      <c r="HVV19" s="3507"/>
      <c r="HVW19" s="3507"/>
      <c r="HVX19" s="3507"/>
      <c r="HVY19" s="3507"/>
      <c r="HVZ19" s="3507"/>
      <c r="HWA19" s="3507"/>
      <c r="HWB19" s="3507"/>
      <c r="HWC19" s="3507"/>
      <c r="HWD19" s="3507"/>
      <c r="HWE19" s="3507"/>
      <c r="HWF19" s="3507"/>
      <c r="HWG19" s="3507"/>
      <c r="HWH19" s="3507"/>
      <c r="HWI19" s="3507"/>
      <c r="HWJ19" s="3507"/>
      <c r="HWK19" s="3507"/>
      <c r="HWL19" s="3507"/>
      <c r="HWM19" s="3507"/>
      <c r="HWN19" s="3507"/>
      <c r="HWO19" s="3507"/>
      <c r="HWP19" s="3507"/>
      <c r="HWQ19" s="3507"/>
      <c r="HWR19" s="3507"/>
      <c r="HWS19" s="3507"/>
      <c r="HWT19" s="3507"/>
      <c r="HWU19" s="3507"/>
      <c r="HWV19" s="3507"/>
      <c r="HWW19" s="3507"/>
      <c r="HWX19" s="3507"/>
      <c r="HWY19" s="3507"/>
      <c r="HWZ19" s="3507"/>
      <c r="HXA19" s="3507"/>
      <c r="HXB19" s="3507"/>
      <c r="HXC19" s="3507"/>
      <c r="HXD19" s="3507"/>
      <c r="HXE19" s="3507"/>
      <c r="HXF19" s="3507"/>
      <c r="HXG19" s="3507"/>
      <c r="HXH19" s="3507"/>
      <c r="HXI19" s="3507"/>
      <c r="HXJ19" s="3507"/>
      <c r="HXK19" s="3507"/>
      <c r="HXL19" s="3507"/>
      <c r="HXM19" s="3507"/>
      <c r="HXN19" s="3507"/>
      <c r="HXO19" s="3507"/>
      <c r="HXP19" s="3507"/>
      <c r="HXQ19" s="3507"/>
      <c r="HXR19" s="3507"/>
      <c r="HXS19" s="3507"/>
      <c r="HXT19" s="3507"/>
      <c r="HXU19" s="3507"/>
      <c r="HXV19" s="3507"/>
      <c r="HXW19" s="3507"/>
      <c r="HXX19" s="3507"/>
      <c r="HXY19" s="3507"/>
      <c r="HXZ19" s="3507"/>
      <c r="HYA19" s="3507"/>
      <c r="HYB19" s="3507"/>
      <c r="HYC19" s="3507"/>
      <c r="HYD19" s="3507"/>
      <c r="HYE19" s="3507"/>
      <c r="HYF19" s="3507"/>
      <c r="HYG19" s="3507"/>
      <c r="HYH19" s="3507"/>
      <c r="HYI19" s="3507"/>
      <c r="HYJ19" s="3507"/>
      <c r="HYK19" s="3507"/>
      <c r="HYL19" s="3507"/>
      <c r="HYM19" s="3507"/>
      <c r="HYN19" s="3507"/>
      <c r="HYO19" s="3507"/>
      <c r="HYP19" s="3507"/>
      <c r="HYQ19" s="3507"/>
      <c r="HYR19" s="3507"/>
      <c r="HYS19" s="3507"/>
      <c r="HYT19" s="3507"/>
      <c r="HYU19" s="3507"/>
      <c r="HYV19" s="3507"/>
      <c r="HYW19" s="3507"/>
      <c r="HYX19" s="3507"/>
      <c r="HYY19" s="3507"/>
      <c r="HYZ19" s="3507"/>
      <c r="HZA19" s="3507"/>
      <c r="HZB19" s="3507"/>
      <c r="HZC19" s="3507"/>
      <c r="HZD19" s="3507"/>
      <c r="HZE19" s="3507"/>
      <c r="HZF19" s="3507"/>
      <c r="HZG19" s="3507"/>
      <c r="HZH19" s="3507"/>
      <c r="HZI19" s="3507"/>
      <c r="HZJ19" s="3507"/>
      <c r="HZK19" s="3507"/>
      <c r="HZL19" s="3507"/>
      <c r="HZM19" s="3507"/>
      <c r="HZN19" s="3507"/>
      <c r="HZO19" s="3507"/>
      <c r="HZP19" s="3507"/>
      <c r="HZQ19" s="3507"/>
      <c r="HZR19" s="3507"/>
      <c r="HZS19" s="3507"/>
      <c r="HZT19" s="3507"/>
      <c r="HZU19" s="3507"/>
      <c r="HZV19" s="3507"/>
      <c r="HZW19" s="3507"/>
      <c r="HZX19" s="3507"/>
      <c r="HZY19" s="3507"/>
      <c r="HZZ19" s="3507"/>
      <c r="IAA19" s="3507"/>
      <c r="IAB19" s="3507"/>
      <c r="IAC19" s="3507"/>
      <c r="IAD19" s="3507"/>
      <c r="IAE19" s="3507"/>
      <c r="IAF19" s="3507"/>
      <c r="IAG19" s="3507"/>
      <c r="IAH19" s="3507"/>
      <c r="IAI19" s="3507"/>
      <c r="IAJ19" s="3507"/>
      <c r="IAK19" s="3507"/>
      <c r="IAL19" s="3507"/>
      <c r="IAM19" s="3507"/>
      <c r="IAN19" s="3507"/>
      <c r="IAO19" s="3507"/>
      <c r="IAP19" s="3507"/>
      <c r="IAQ19" s="3507"/>
      <c r="IAR19" s="3507"/>
      <c r="IAS19" s="3507"/>
      <c r="IAT19" s="3507"/>
      <c r="IAU19" s="3507"/>
      <c r="IAV19" s="3507"/>
      <c r="IAW19" s="3507"/>
      <c r="IAX19" s="3507"/>
      <c r="IAY19" s="3507"/>
      <c r="IAZ19" s="3507"/>
      <c r="IBA19" s="3507"/>
      <c r="IBB19" s="3507"/>
      <c r="IBC19" s="3507"/>
      <c r="IBD19" s="3507"/>
      <c r="IBE19" s="3507"/>
      <c r="IBF19" s="3507"/>
      <c r="IBG19" s="3507"/>
      <c r="IBH19" s="3507"/>
      <c r="IBI19" s="3507"/>
      <c r="IBJ19" s="3507"/>
      <c r="IBK19" s="3507"/>
      <c r="IBL19" s="3507"/>
      <c r="IBM19" s="3507"/>
      <c r="IBN19" s="3507"/>
      <c r="IBO19" s="3507"/>
      <c r="IBP19" s="3507"/>
      <c r="IBQ19" s="3507"/>
      <c r="IBR19" s="3507"/>
      <c r="IBS19" s="3507"/>
      <c r="IBT19" s="3507"/>
      <c r="IBU19" s="3507"/>
      <c r="IBV19" s="3507"/>
      <c r="IBW19" s="3507"/>
      <c r="IBX19" s="3507"/>
      <c r="IBY19" s="3507"/>
      <c r="IBZ19" s="3507"/>
      <c r="ICA19" s="3507"/>
      <c r="ICB19" s="3507"/>
      <c r="ICC19" s="3507"/>
      <c r="ICD19" s="3507"/>
      <c r="ICE19" s="3507"/>
      <c r="ICF19" s="3507"/>
      <c r="ICG19" s="3507"/>
      <c r="ICH19" s="3507"/>
      <c r="ICI19" s="3507"/>
      <c r="ICJ19" s="3507"/>
      <c r="ICK19" s="3507"/>
      <c r="ICL19" s="3507"/>
      <c r="ICM19" s="3507"/>
      <c r="ICN19" s="3507"/>
      <c r="ICO19" s="3507"/>
      <c r="ICP19" s="3507"/>
      <c r="ICQ19" s="3507"/>
      <c r="ICR19" s="3507"/>
      <c r="ICS19" s="3507"/>
      <c r="ICT19" s="3507"/>
      <c r="ICU19" s="3507"/>
      <c r="ICV19" s="3507"/>
      <c r="ICW19" s="3507"/>
      <c r="ICX19" s="3507"/>
      <c r="ICY19" s="3507"/>
      <c r="ICZ19" s="3507"/>
      <c r="IDA19" s="3507"/>
      <c r="IDB19" s="3507"/>
      <c r="IDC19" s="3507"/>
      <c r="IDD19" s="3507"/>
      <c r="IDE19" s="3507"/>
      <c r="IDF19" s="3507"/>
      <c r="IDG19" s="3507"/>
      <c r="IDH19" s="3507"/>
      <c r="IDI19" s="3507"/>
      <c r="IDJ19" s="3507"/>
      <c r="IDK19" s="3507"/>
      <c r="IDL19" s="3507"/>
      <c r="IDM19" s="3507"/>
      <c r="IDN19" s="3507"/>
      <c r="IDO19" s="3507"/>
      <c r="IDP19" s="3507"/>
      <c r="IDQ19" s="3507"/>
      <c r="IDR19" s="3507"/>
      <c r="IDS19" s="3507"/>
      <c r="IDT19" s="3507"/>
      <c r="IDU19" s="3507"/>
      <c r="IDV19" s="3507"/>
      <c r="IDW19" s="3507"/>
      <c r="IDX19" s="3507"/>
      <c r="IDY19" s="3507"/>
      <c r="IDZ19" s="3507"/>
      <c r="IEA19" s="3507"/>
      <c r="IEB19" s="3507"/>
      <c r="IEC19" s="3507"/>
      <c r="IED19" s="3507"/>
      <c r="IEE19" s="3507"/>
      <c r="IEF19" s="3507"/>
      <c r="IEG19" s="3507"/>
      <c r="IEH19" s="3507"/>
      <c r="IEI19" s="3507"/>
      <c r="IEJ19" s="3507"/>
      <c r="IEK19" s="3507"/>
      <c r="IEL19" s="3507"/>
      <c r="IEM19" s="3507"/>
      <c r="IEN19" s="3507"/>
      <c r="IEO19" s="3507"/>
      <c r="IEP19" s="3507"/>
      <c r="IEQ19" s="3507"/>
      <c r="IER19" s="3507"/>
      <c r="IES19" s="3507"/>
      <c r="IET19" s="3507"/>
      <c r="IEU19" s="3507"/>
      <c r="IEV19" s="3507"/>
      <c r="IEW19" s="3507"/>
      <c r="IEX19" s="3507"/>
      <c r="IEY19" s="3507"/>
      <c r="IEZ19" s="3507"/>
      <c r="IFA19" s="3507"/>
      <c r="IFB19" s="3507"/>
      <c r="IFC19" s="3507"/>
      <c r="IFD19" s="3507"/>
      <c r="IFE19" s="3507"/>
      <c r="IFF19" s="3507"/>
      <c r="IFG19" s="3507"/>
      <c r="IFH19" s="3507"/>
      <c r="IFI19" s="3507"/>
      <c r="IFJ19" s="3507"/>
      <c r="IFK19" s="3507"/>
      <c r="IFL19" s="3507"/>
      <c r="IFM19" s="3507"/>
      <c r="IFN19" s="3507"/>
      <c r="IFO19" s="3507"/>
      <c r="IFP19" s="3507"/>
      <c r="IFQ19" s="3507"/>
      <c r="IFR19" s="3507"/>
      <c r="IFS19" s="3507"/>
      <c r="IFT19" s="3507"/>
      <c r="IFU19" s="3507"/>
      <c r="IFV19" s="3507"/>
      <c r="IFW19" s="3507"/>
      <c r="IFX19" s="3507"/>
      <c r="IFY19" s="3507"/>
      <c r="IFZ19" s="3507"/>
      <c r="IGA19" s="3507"/>
      <c r="IGB19" s="3507"/>
      <c r="IGC19" s="3507"/>
      <c r="IGD19" s="3507"/>
      <c r="IGE19" s="3507"/>
      <c r="IGF19" s="3507"/>
      <c r="IGG19" s="3507"/>
      <c r="IGH19" s="3507"/>
      <c r="IGI19" s="3507"/>
      <c r="IGJ19" s="3507"/>
      <c r="IGK19" s="3507"/>
      <c r="IGL19" s="3507"/>
      <c r="IGM19" s="3507"/>
      <c r="IGN19" s="3507"/>
      <c r="IGO19" s="3507"/>
      <c r="IGP19" s="3507"/>
      <c r="IGQ19" s="3507"/>
      <c r="IGR19" s="3507"/>
      <c r="IGS19" s="3507"/>
      <c r="IGT19" s="3507"/>
      <c r="IGU19" s="3507"/>
      <c r="IGV19" s="3507"/>
      <c r="IGW19" s="3507"/>
      <c r="IGX19" s="3507"/>
      <c r="IGY19" s="3507"/>
      <c r="IGZ19" s="3507"/>
      <c r="IHA19" s="3507"/>
      <c r="IHB19" s="3507"/>
      <c r="IHC19" s="3507"/>
      <c r="IHD19" s="3507"/>
      <c r="IHE19" s="3507"/>
      <c r="IHF19" s="3507"/>
      <c r="IHG19" s="3507"/>
      <c r="IHH19" s="3507"/>
      <c r="IHI19" s="3507"/>
      <c r="IHJ19" s="3507"/>
      <c r="IHK19" s="3507"/>
      <c r="IHL19" s="3507"/>
      <c r="IHM19" s="3507"/>
      <c r="IHN19" s="3507"/>
      <c r="IHO19" s="3507"/>
      <c r="IHP19" s="3507"/>
      <c r="IHQ19" s="3507"/>
      <c r="IHR19" s="3507"/>
      <c r="IHS19" s="3507"/>
      <c r="IHT19" s="3507"/>
      <c r="IHU19" s="3507"/>
      <c r="IHV19" s="3507"/>
      <c r="IHW19" s="3507"/>
      <c r="IHX19" s="3507"/>
      <c r="IHY19" s="3507"/>
      <c r="IHZ19" s="3507"/>
      <c r="IIA19" s="3507"/>
      <c r="IIB19" s="3507"/>
      <c r="IIC19" s="3507"/>
      <c r="IID19" s="3507"/>
      <c r="IIE19" s="3507"/>
      <c r="IIF19" s="3507"/>
      <c r="IIG19" s="3507"/>
      <c r="IIH19" s="3507"/>
      <c r="III19" s="3507"/>
      <c r="IIJ19" s="3507"/>
      <c r="IIK19" s="3507"/>
      <c r="IIL19" s="3507"/>
      <c r="IIM19" s="3507"/>
      <c r="IIN19" s="3507"/>
      <c r="IIO19" s="3507"/>
      <c r="IIP19" s="3507"/>
      <c r="IIQ19" s="3507"/>
      <c r="IIR19" s="3507"/>
      <c r="IIS19" s="3507"/>
      <c r="IIT19" s="3507"/>
      <c r="IIU19" s="3507"/>
      <c r="IIV19" s="3507"/>
      <c r="IIW19" s="3507"/>
      <c r="IIX19" s="3507"/>
      <c r="IIY19" s="3507"/>
      <c r="IIZ19" s="3507"/>
      <c r="IJA19" s="3507"/>
      <c r="IJB19" s="3507"/>
      <c r="IJC19" s="3507"/>
      <c r="IJD19" s="3507"/>
      <c r="IJE19" s="3507"/>
      <c r="IJF19" s="3507"/>
      <c r="IJG19" s="3507"/>
      <c r="IJH19" s="3507"/>
      <c r="IJI19" s="3507"/>
      <c r="IJJ19" s="3507"/>
      <c r="IJK19" s="3507"/>
      <c r="IJL19" s="3507"/>
      <c r="IJM19" s="3507"/>
      <c r="IJN19" s="3507"/>
      <c r="IJO19" s="3507"/>
      <c r="IJP19" s="3507"/>
      <c r="IJQ19" s="3507"/>
      <c r="IJR19" s="3507"/>
      <c r="IJS19" s="3507"/>
      <c r="IJT19" s="3507"/>
      <c r="IJU19" s="3507"/>
      <c r="IJV19" s="3507"/>
      <c r="IJW19" s="3507"/>
      <c r="IJX19" s="3507"/>
      <c r="IJY19" s="3507"/>
      <c r="IJZ19" s="3507"/>
      <c r="IKA19" s="3507"/>
      <c r="IKB19" s="3507"/>
      <c r="IKC19" s="3507"/>
      <c r="IKD19" s="3507"/>
      <c r="IKE19" s="3507"/>
      <c r="IKF19" s="3507"/>
      <c r="IKG19" s="3507"/>
      <c r="IKH19" s="3507"/>
      <c r="IKI19" s="3507"/>
      <c r="IKJ19" s="3507"/>
      <c r="IKK19" s="3507"/>
      <c r="IKL19" s="3507"/>
      <c r="IKM19" s="3507"/>
      <c r="IKN19" s="3507"/>
      <c r="IKO19" s="3507"/>
      <c r="IKP19" s="3507"/>
      <c r="IKQ19" s="3507"/>
      <c r="IKR19" s="3507"/>
      <c r="IKS19" s="3507"/>
      <c r="IKT19" s="3507"/>
      <c r="IKU19" s="3507"/>
      <c r="IKV19" s="3507"/>
      <c r="IKW19" s="3507"/>
      <c r="IKX19" s="3507"/>
      <c r="IKY19" s="3507"/>
      <c r="IKZ19" s="3507"/>
      <c r="ILA19" s="3507"/>
      <c r="ILB19" s="3507"/>
      <c r="ILC19" s="3507"/>
      <c r="ILD19" s="3507"/>
      <c r="ILE19" s="3507"/>
      <c r="ILF19" s="3507"/>
      <c r="ILG19" s="3507"/>
      <c r="ILH19" s="3507"/>
      <c r="ILI19" s="3507"/>
      <c r="ILJ19" s="3507"/>
      <c r="ILK19" s="3507"/>
      <c r="ILL19" s="3507"/>
      <c r="ILM19" s="3507"/>
      <c r="ILN19" s="3507"/>
      <c r="ILO19" s="3507"/>
      <c r="ILP19" s="3507"/>
      <c r="ILQ19" s="3507"/>
      <c r="ILR19" s="3507"/>
      <c r="ILS19" s="3507"/>
      <c r="ILT19" s="3507"/>
      <c r="ILU19" s="3507"/>
      <c r="ILV19" s="3507"/>
      <c r="ILW19" s="3507"/>
      <c r="ILX19" s="3507"/>
      <c r="ILY19" s="3507"/>
      <c r="ILZ19" s="3507"/>
      <c r="IMA19" s="3507"/>
      <c r="IMB19" s="3507"/>
      <c r="IMC19" s="3507"/>
      <c r="IMD19" s="3507"/>
      <c r="IME19" s="3507"/>
      <c r="IMF19" s="3507"/>
      <c r="IMG19" s="3507"/>
      <c r="IMH19" s="3507"/>
      <c r="IMI19" s="3507"/>
      <c r="IMJ19" s="3507"/>
      <c r="IMK19" s="3507"/>
      <c r="IML19" s="3507"/>
      <c r="IMM19" s="3507"/>
      <c r="IMN19" s="3507"/>
      <c r="IMO19" s="3507"/>
      <c r="IMP19" s="3507"/>
      <c r="IMQ19" s="3507"/>
      <c r="IMR19" s="3507"/>
      <c r="IMS19" s="3507"/>
      <c r="IMT19" s="3507"/>
      <c r="IMU19" s="3507"/>
      <c r="IMV19" s="3507"/>
      <c r="IMW19" s="3507"/>
      <c r="IMX19" s="3507"/>
      <c r="IMY19" s="3507"/>
      <c r="IMZ19" s="3507"/>
      <c r="INA19" s="3507"/>
      <c r="INB19" s="3507"/>
      <c r="INC19" s="3507"/>
      <c r="IND19" s="3507"/>
      <c r="INE19" s="3507"/>
      <c r="INF19" s="3507"/>
      <c r="ING19" s="3507"/>
      <c r="INH19" s="3507"/>
      <c r="INI19" s="3507"/>
      <c r="INJ19" s="3507"/>
      <c r="INK19" s="3507"/>
      <c r="INL19" s="3507"/>
      <c r="INM19" s="3507"/>
      <c r="INN19" s="3507"/>
      <c r="INO19" s="3507"/>
      <c r="INP19" s="3507"/>
      <c r="INQ19" s="3507"/>
      <c r="INR19" s="3507"/>
      <c r="INS19" s="3507"/>
      <c r="INT19" s="3507"/>
      <c r="INU19" s="3507"/>
      <c r="INV19" s="3507"/>
      <c r="INW19" s="3507"/>
      <c r="INX19" s="3507"/>
      <c r="INY19" s="3507"/>
      <c r="INZ19" s="3507"/>
      <c r="IOA19" s="3507"/>
      <c r="IOB19" s="3507"/>
      <c r="IOC19" s="3507"/>
      <c r="IOD19" s="3507"/>
      <c r="IOE19" s="3507"/>
      <c r="IOF19" s="3507"/>
      <c r="IOG19" s="3507"/>
      <c r="IOH19" s="3507"/>
      <c r="IOI19" s="3507"/>
      <c r="IOJ19" s="3507"/>
      <c r="IOK19" s="3507"/>
      <c r="IOL19" s="3507"/>
      <c r="IOM19" s="3507"/>
      <c r="ION19" s="3507"/>
      <c r="IOO19" s="3507"/>
      <c r="IOP19" s="3507"/>
      <c r="IOQ19" s="3507"/>
      <c r="IOR19" s="3507"/>
      <c r="IOS19" s="3507"/>
      <c r="IOT19" s="3507"/>
      <c r="IOU19" s="3507"/>
      <c r="IOV19" s="3507"/>
      <c r="IOW19" s="3507"/>
      <c r="IOX19" s="3507"/>
      <c r="IOY19" s="3507"/>
      <c r="IOZ19" s="3507"/>
      <c r="IPA19" s="3507"/>
      <c r="IPB19" s="3507"/>
      <c r="IPC19" s="3507"/>
      <c r="IPD19" s="3507"/>
      <c r="IPE19" s="3507"/>
      <c r="IPF19" s="3507"/>
      <c r="IPG19" s="3507"/>
      <c r="IPH19" s="3507"/>
      <c r="IPI19" s="3507"/>
      <c r="IPJ19" s="3507"/>
      <c r="IPK19" s="3507"/>
      <c r="IPL19" s="3507"/>
      <c r="IPM19" s="3507"/>
      <c r="IPN19" s="3507"/>
      <c r="IPO19" s="3507"/>
      <c r="IPP19" s="3507"/>
      <c r="IPQ19" s="3507"/>
      <c r="IPR19" s="3507"/>
      <c r="IPS19" s="3507"/>
      <c r="IPT19" s="3507"/>
      <c r="IPU19" s="3507"/>
      <c r="IPV19" s="3507"/>
      <c r="IPW19" s="3507"/>
      <c r="IPX19" s="3507"/>
      <c r="IPY19" s="3507"/>
      <c r="IPZ19" s="3507"/>
      <c r="IQA19" s="3507"/>
      <c r="IQB19" s="3507"/>
      <c r="IQC19" s="3507"/>
      <c r="IQD19" s="3507"/>
      <c r="IQE19" s="3507"/>
      <c r="IQF19" s="3507"/>
      <c r="IQG19" s="3507"/>
      <c r="IQH19" s="3507"/>
      <c r="IQI19" s="3507"/>
      <c r="IQJ19" s="3507"/>
      <c r="IQK19" s="3507"/>
      <c r="IQL19" s="3507"/>
      <c r="IQM19" s="3507"/>
      <c r="IQN19" s="3507"/>
      <c r="IQO19" s="3507"/>
      <c r="IQP19" s="3507"/>
      <c r="IQQ19" s="3507"/>
      <c r="IQR19" s="3507"/>
      <c r="IQS19" s="3507"/>
      <c r="IQT19" s="3507"/>
      <c r="IQU19" s="3507"/>
      <c r="IQV19" s="3507"/>
      <c r="IQW19" s="3507"/>
      <c r="IQX19" s="3507"/>
      <c r="IQY19" s="3507"/>
      <c r="IQZ19" s="3507"/>
      <c r="IRA19" s="3507"/>
      <c r="IRB19" s="3507"/>
      <c r="IRC19" s="3507"/>
      <c r="IRD19" s="3507"/>
      <c r="IRE19" s="3507"/>
      <c r="IRF19" s="3507"/>
      <c r="IRG19" s="3507"/>
      <c r="IRH19" s="3507"/>
      <c r="IRI19" s="3507"/>
      <c r="IRJ19" s="3507"/>
      <c r="IRK19" s="3507"/>
      <c r="IRL19" s="3507"/>
      <c r="IRM19" s="3507"/>
      <c r="IRN19" s="3507"/>
      <c r="IRO19" s="3507"/>
      <c r="IRP19" s="3507"/>
      <c r="IRQ19" s="3507"/>
      <c r="IRR19" s="3507"/>
      <c r="IRS19" s="3507"/>
      <c r="IRT19" s="3507"/>
      <c r="IRU19" s="3507"/>
      <c r="IRV19" s="3507"/>
      <c r="IRW19" s="3507"/>
      <c r="IRX19" s="3507"/>
      <c r="IRY19" s="3507"/>
      <c r="IRZ19" s="3507"/>
      <c r="ISA19" s="3507"/>
      <c r="ISB19" s="3507"/>
      <c r="ISC19" s="3507"/>
      <c r="ISD19" s="3507"/>
      <c r="ISE19" s="3507"/>
      <c r="ISF19" s="3507"/>
      <c r="ISG19" s="3507"/>
      <c r="ISH19" s="3507"/>
      <c r="ISI19" s="3507"/>
      <c r="ISJ19" s="3507"/>
      <c r="ISK19" s="3507"/>
      <c r="ISL19" s="3507"/>
      <c r="ISM19" s="3507"/>
      <c r="ISN19" s="3507"/>
      <c r="ISO19" s="3507"/>
      <c r="ISP19" s="3507"/>
      <c r="ISQ19" s="3507"/>
      <c r="ISR19" s="3507"/>
      <c r="ISS19" s="3507"/>
      <c r="IST19" s="3507"/>
      <c r="ISU19" s="3507"/>
      <c r="ISV19" s="3507"/>
      <c r="ISW19" s="3507"/>
      <c r="ISX19" s="3507"/>
      <c r="ISY19" s="3507"/>
      <c r="ISZ19" s="3507"/>
      <c r="ITA19" s="3507"/>
      <c r="ITB19" s="3507"/>
      <c r="ITC19" s="3507"/>
      <c r="ITD19" s="3507"/>
      <c r="ITE19" s="3507"/>
      <c r="ITF19" s="3507"/>
      <c r="ITG19" s="3507"/>
      <c r="ITH19" s="3507"/>
      <c r="ITI19" s="3507"/>
      <c r="ITJ19" s="3507"/>
      <c r="ITK19" s="3507"/>
      <c r="ITL19" s="3507"/>
      <c r="ITM19" s="3507"/>
      <c r="ITN19" s="3507"/>
      <c r="ITO19" s="3507"/>
      <c r="ITP19" s="3507"/>
      <c r="ITQ19" s="3507"/>
      <c r="ITR19" s="3507"/>
      <c r="ITS19" s="3507"/>
      <c r="ITT19" s="3507"/>
      <c r="ITU19" s="3507"/>
      <c r="ITV19" s="3507"/>
      <c r="ITW19" s="3507"/>
      <c r="ITX19" s="3507"/>
      <c r="ITY19" s="3507"/>
      <c r="ITZ19" s="3507"/>
      <c r="IUA19" s="3507"/>
      <c r="IUB19" s="3507"/>
      <c r="IUC19" s="3507"/>
      <c r="IUD19" s="3507"/>
      <c r="IUE19" s="3507"/>
      <c r="IUF19" s="3507"/>
      <c r="IUG19" s="3507"/>
      <c r="IUH19" s="3507"/>
      <c r="IUI19" s="3507"/>
      <c r="IUJ19" s="3507"/>
      <c r="IUK19" s="3507"/>
      <c r="IUL19" s="3507"/>
      <c r="IUM19" s="3507"/>
      <c r="IUN19" s="3507"/>
      <c r="IUO19" s="3507"/>
      <c r="IUP19" s="3507"/>
      <c r="IUQ19" s="3507"/>
      <c r="IUR19" s="3507"/>
      <c r="IUS19" s="3507"/>
      <c r="IUT19" s="3507"/>
      <c r="IUU19" s="3507"/>
      <c r="IUV19" s="3507"/>
      <c r="IUW19" s="3507"/>
      <c r="IUX19" s="3507"/>
      <c r="IUY19" s="3507"/>
      <c r="IUZ19" s="3507"/>
      <c r="IVA19" s="3507"/>
      <c r="IVB19" s="3507"/>
      <c r="IVC19" s="3507"/>
      <c r="IVD19" s="3507"/>
      <c r="IVE19" s="3507"/>
      <c r="IVF19" s="3507"/>
      <c r="IVG19" s="3507"/>
      <c r="IVH19" s="3507"/>
      <c r="IVI19" s="3507"/>
      <c r="IVJ19" s="3507"/>
      <c r="IVK19" s="3507"/>
      <c r="IVL19" s="3507"/>
      <c r="IVM19" s="3507"/>
      <c r="IVN19" s="3507"/>
      <c r="IVO19" s="3507"/>
      <c r="IVP19" s="3507"/>
      <c r="IVQ19" s="3507"/>
      <c r="IVR19" s="3507"/>
      <c r="IVS19" s="3507"/>
      <c r="IVT19" s="3507"/>
      <c r="IVU19" s="3507"/>
      <c r="IVV19" s="3507"/>
      <c r="IVW19" s="3507"/>
      <c r="IVX19" s="3507"/>
      <c r="IVY19" s="3507"/>
      <c r="IVZ19" s="3507"/>
      <c r="IWA19" s="3507"/>
      <c r="IWB19" s="3507"/>
      <c r="IWC19" s="3507"/>
      <c r="IWD19" s="3507"/>
      <c r="IWE19" s="3507"/>
      <c r="IWF19" s="3507"/>
      <c r="IWG19" s="3507"/>
      <c r="IWH19" s="3507"/>
      <c r="IWI19" s="3507"/>
      <c r="IWJ19" s="3507"/>
      <c r="IWK19" s="3507"/>
      <c r="IWL19" s="3507"/>
      <c r="IWM19" s="3507"/>
      <c r="IWN19" s="3507"/>
      <c r="IWO19" s="3507"/>
      <c r="IWP19" s="3507"/>
      <c r="IWQ19" s="3507"/>
      <c r="IWR19" s="3507"/>
      <c r="IWS19" s="3507"/>
      <c r="IWT19" s="3507"/>
      <c r="IWU19" s="3507"/>
      <c r="IWV19" s="3507"/>
      <c r="IWW19" s="3507"/>
      <c r="IWX19" s="3507"/>
      <c r="IWY19" s="3507"/>
      <c r="IWZ19" s="3507"/>
      <c r="IXA19" s="3507"/>
      <c r="IXB19" s="3507"/>
      <c r="IXC19" s="3507"/>
      <c r="IXD19" s="3507"/>
      <c r="IXE19" s="3507"/>
      <c r="IXF19" s="3507"/>
      <c r="IXG19" s="3507"/>
      <c r="IXH19" s="3507"/>
      <c r="IXI19" s="3507"/>
      <c r="IXJ19" s="3507"/>
      <c r="IXK19" s="3507"/>
      <c r="IXL19" s="3507"/>
      <c r="IXM19" s="3507"/>
      <c r="IXN19" s="3507"/>
      <c r="IXO19" s="3507"/>
      <c r="IXP19" s="3507"/>
      <c r="IXQ19" s="3507"/>
      <c r="IXR19" s="3507"/>
      <c r="IXS19" s="3507"/>
      <c r="IXT19" s="3507"/>
      <c r="IXU19" s="3507"/>
      <c r="IXV19" s="3507"/>
      <c r="IXW19" s="3507"/>
      <c r="IXX19" s="3507"/>
      <c r="IXY19" s="3507"/>
      <c r="IXZ19" s="3507"/>
      <c r="IYA19" s="3507"/>
      <c r="IYB19" s="3507"/>
      <c r="IYC19" s="3507"/>
      <c r="IYD19" s="3507"/>
      <c r="IYE19" s="3507"/>
      <c r="IYF19" s="3507"/>
      <c r="IYG19" s="3507"/>
      <c r="IYH19" s="3507"/>
      <c r="IYI19" s="3507"/>
      <c r="IYJ19" s="3507"/>
      <c r="IYK19" s="3507"/>
      <c r="IYL19" s="3507"/>
      <c r="IYM19" s="3507"/>
      <c r="IYN19" s="3507"/>
      <c r="IYO19" s="3507"/>
      <c r="IYP19" s="3507"/>
      <c r="IYQ19" s="3507"/>
      <c r="IYR19" s="3507"/>
      <c r="IYS19" s="3507"/>
      <c r="IYT19" s="3507"/>
      <c r="IYU19" s="3507"/>
      <c r="IYV19" s="3507"/>
      <c r="IYW19" s="3507"/>
      <c r="IYX19" s="3507"/>
      <c r="IYY19" s="3507"/>
      <c r="IYZ19" s="3507"/>
      <c r="IZA19" s="3507"/>
      <c r="IZB19" s="3507"/>
      <c r="IZC19" s="3507"/>
      <c r="IZD19" s="3507"/>
      <c r="IZE19" s="3507"/>
      <c r="IZF19" s="3507"/>
      <c r="IZG19" s="3507"/>
      <c r="IZH19" s="3507"/>
      <c r="IZI19" s="3507"/>
      <c r="IZJ19" s="3507"/>
      <c r="IZK19" s="3507"/>
      <c r="IZL19" s="3507"/>
      <c r="IZM19" s="3507"/>
      <c r="IZN19" s="3507"/>
      <c r="IZO19" s="3507"/>
      <c r="IZP19" s="3507"/>
      <c r="IZQ19" s="3507"/>
      <c r="IZR19" s="3507"/>
      <c r="IZS19" s="3507"/>
      <c r="IZT19" s="3507"/>
      <c r="IZU19" s="3507"/>
      <c r="IZV19" s="3507"/>
      <c r="IZW19" s="3507"/>
      <c r="IZX19" s="3507"/>
      <c r="IZY19" s="3507"/>
      <c r="IZZ19" s="3507"/>
      <c r="JAA19" s="3507"/>
      <c r="JAB19" s="3507"/>
      <c r="JAC19" s="3507"/>
      <c r="JAD19" s="3507"/>
      <c r="JAE19" s="3507"/>
      <c r="JAF19" s="3507"/>
      <c r="JAG19" s="3507"/>
      <c r="JAH19" s="3507"/>
      <c r="JAI19" s="3507"/>
      <c r="JAJ19" s="3507"/>
      <c r="JAK19" s="3507"/>
      <c r="JAL19" s="3507"/>
      <c r="JAM19" s="3507"/>
      <c r="JAN19" s="3507"/>
      <c r="JAO19" s="3507"/>
      <c r="JAP19" s="3507"/>
      <c r="JAQ19" s="3507"/>
      <c r="JAR19" s="3507"/>
      <c r="JAS19" s="3507"/>
      <c r="JAT19" s="3507"/>
      <c r="JAU19" s="3507"/>
      <c r="JAV19" s="3507"/>
      <c r="JAW19" s="3507"/>
      <c r="JAX19" s="3507"/>
      <c r="JAY19" s="3507"/>
      <c r="JAZ19" s="3507"/>
      <c r="JBA19" s="3507"/>
      <c r="JBB19" s="3507"/>
      <c r="JBC19" s="3507"/>
      <c r="JBD19" s="3507"/>
      <c r="JBE19" s="3507"/>
      <c r="JBF19" s="3507"/>
      <c r="JBG19" s="3507"/>
      <c r="JBH19" s="3507"/>
      <c r="JBI19" s="3507"/>
      <c r="JBJ19" s="3507"/>
      <c r="JBK19" s="3507"/>
      <c r="JBL19" s="3507"/>
      <c r="JBM19" s="3507"/>
      <c r="JBN19" s="3507"/>
      <c r="JBO19" s="3507"/>
      <c r="JBP19" s="3507"/>
      <c r="JBQ19" s="3507"/>
      <c r="JBR19" s="3507"/>
      <c r="JBS19" s="3507"/>
      <c r="JBT19" s="3507"/>
      <c r="JBU19" s="3507"/>
      <c r="JBV19" s="3507"/>
      <c r="JBW19" s="3507"/>
      <c r="JBX19" s="3507"/>
      <c r="JBY19" s="3507"/>
      <c r="JBZ19" s="3507"/>
      <c r="JCA19" s="3507"/>
      <c r="JCB19" s="3507"/>
      <c r="JCC19" s="3507"/>
      <c r="JCD19" s="3507"/>
      <c r="JCE19" s="3507"/>
      <c r="JCF19" s="3507"/>
      <c r="JCG19" s="3507"/>
      <c r="JCH19" s="3507"/>
      <c r="JCI19" s="3507"/>
      <c r="JCJ19" s="3507"/>
      <c r="JCK19" s="3507"/>
      <c r="JCL19" s="3507"/>
      <c r="JCM19" s="3507"/>
      <c r="JCN19" s="3507"/>
      <c r="JCO19" s="3507"/>
      <c r="JCP19" s="3507"/>
      <c r="JCQ19" s="3507"/>
      <c r="JCR19" s="3507"/>
      <c r="JCS19" s="3507"/>
      <c r="JCT19" s="3507"/>
      <c r="JCU19" s="3507"/>
      <c r="JCV19" s="3507"/>
      <c r="JCW19" s="3507"/>
      <c r="JCX19" s="3507"/>
      <c r="JCY19" s="3507"/>
      <c r="JCZ19" s="3507"/>
      <c r="JDA19" s="3507"/>
      <c r="JDB19" s="3507"/>
      <c r="JDC19" s="3507"/>
      <c r="JDD19" s="3507"/>
      <c r="JDE19" s="3507"/>
      <c r="JDF19" s="3507"/>
      <c r="JDG19" s="3507"/>
      <c r="JDH19" s="3507"/>
      <c r="JDI19" s="3507"/>
      <c r="JDJ19" s="3507"/>
      <c r="JDK19" s="3507"/>
      <c r="JDL19" s="3507"/>
      <c r="JDM19" s="3507"/>
      <c r="JDN19" s="3507"/>
      <c r="JDO19" s="3507"/>
      <c r="JDP19" s="3507"/>
      <c r="JDQ19" s="3507"/>
      <c r="JDR19" s="3507"/>
      <c r="JDS19" s="3507"/>
      <c r="JDT19" s="3507"/>
      <c r="JDU19" s="3507"/>
      <c r="JDV19" s="3507"/>
      <c r="JDW19" s="3507"/>
      <c r="JDX19" s="3507"/>
      <c r="JDY19" s="3507"/>
      <c r="JDZ19" s="3507"/>
      <c r="JEA19" s="3507"/>
      <c r="JEB19" s="3507"/>
      <c r="JEC19" s="3507"/>
      <c r="JED19" s="3507"/>
      <c r="JEE19" s="3507"/>
      <c r="JEF19" s="3507"/>
      <c r="JEG19" s="3507"/>
      <c r="JEH19" s="3507"/>
      <c r="JEI19" s="3507"/>
      <c r="JEJ19" s="3507"/>
      <c r="JEK19" s="3507"/>
      <c r="JEL19" s="3507"/>
      <c r="JEM19" s="3507"/>
      <c r="JEN19" s="3507"/>
      <c r="JEO19" s="3507"/>
      <c r="JEP19" s="3507"/>
      <c r="JEQ19" s="3507"/>
      <c r="JER19" s="3507"/>
      <c r="JES19" s="3507"/>
      <c r="JET19" s="3507"/>
      <c r="JEU19" s="3507"/>
      <c r="JEV19" s="3507"/>
      <c r="JEW19" s="3507"/>
      <c r="JEX19" s="3507"/>
      <c r="JEY19" s="3507"/>
      <c r="JEZ19" s="3507"/>
      <c r="JFA19" s="3507"/>
      <c r="JFB19" s="3507"/>
      <c r="JFC19" s="3507"/>
      <c r="JFD19" s="3507"/>
      <c r="JFE19" s="3507"/>
      <c r="JFF19" s="3507"/>
      <c r="JFG19" s="3507"/>
      <c r="JFH19" s="3507"/>
      <c r="JFI19" s="3507"/>
      <c r="JFJ19" s="3507"/>
      <c r="JFK19" s="3507"/>
      <c r="JFL19" s="3507"/>
      <c r="JFM19" s="3507"/>
      <c r="JFN19" s="3507"/>
      <c r="JFO19" s="3507"/>
      <c r="JFP19" s="3507"/>
      <c r="JFQ19" s="3507"/>
      <c r="JFR19" s="3507"/>
      <c r="JFS19" s="3507"/>
      <c r="JFT19" s="3507"/>
      <c r="JFU19" s="3507"/>
      <c r="JFV19" s="3507"/>
      <c r="JFW19" s="3507"/>
      <c r="JFX19" s="3507"/>
      <c r="JFY19" s="3507"/>
      <c r="JFZ19" s="3507"/>
      <c r="JGA19" s="3507"/>
      <c r="JGB19" s="3507"/>
      <c r="JGC19" s="3507"/>
      <c r="JGD19" s="3507"/>
      <c r="JGE19" s="3507"/>
      <c r="JGF19" s="3507"/>
      <c r="JGG19" s="3507"/>
      <c r="JGH19" s="3507"/>
      <c r="JGI19" s="3507"/>
      <c r="JGJ19" s="3507"/>
      <c r="JGK19" s="3507"/>
      <c r="JGL19" s="3507"/>
      <c r="JGM19" s="3507"/>
      <c r="JGN19" s="3507"/>
      <c r="JGO19" s="3507"/>
      <c r="JGP19" s="3507"/>
      <c r="JGQ19" s="3507"/>
      <c r="JGR19" s="3507"/>
      <c r="JGS19" s="3507"/>
      <c r="JGT19" s="3507"/>
      <c r="JGU19" s="3507"/>
      <c r="JGV19" s="3507"/>
      <c r="JGW19" s="3507"/>
      <c r="JGX19" s="3507"/>
      <c r="JGY19" s="3507"/>
      <c r="JGZ19" s="3507"/>
      <c r="JHA19" s="3507"/>
      <c r="JHB19" s="3507"/>
      <c r="JHC19" s="3507"/>
      <c r="JHD19" s="3507"/>
      <c r="JHE19" s="3507"/>
      <c r="JHF19" s="3507"/>
      <c r="JHG19" s="3507"/>
      <c r="JHH19" s="3507"/>
      <c r="JHI19" s="3507"/>
      <c r="JHJ19" s="3507"/>
      <c r="JHK19" s="3507"/>
      <c r="JHL19" s="3507"/>
      <c r="JHM19" s="3507"/>
      <c r="JHN19" s="3507"/>
      <c r="JHO19" s="3507"/>
      <c r="JHP19" s="3507"/>
      <c r="JHQ19" s="3507"/>
      <c r="JHR19" s="3507"/>
      <c r="JHS19" s="3507"/>
      <c r="JHT19" s="3507"/>
      <c r="JHU19" s="3507"/>
      <c r="JHV19" s="3507"/>
      <c r="JHW19" s="3507"/>
      <c r="JHX19" s="3507"/>
      <c r="JHY19" s="3507"/>
      <c r="JHZ19" s="3507"/>
      <c r="JIA19" s="3507"/>
      <c r="JIB19" s="3507"/>
      <c r="JIC19" s="3507"/>
      <c r="JID19" s="3507"/>
      <c r="JIE19" s="3507"/>
      <c r="JIF19" s="3507"/>
      <c r="JIG19" s="3507"/>
      <c r="JIH19" s="3507"/>
      <c r="JII19" s="3507"/>
      <c r="JIJ19" s="3507"/>
      <c r="JIK19" s="3507"/>
      <c r="JIL19" s="3507"/>
      <c r="JIM19" s="3507"/>
      <c r="JIN19" s="3507"/>
      <c r="JIO19" s="3507"/>
      <c r="JIP19" s="3507"/>
      <c r="JIQ19" s="3507"/>
      <c r="JIR19" s="3507"/>
      <c r="JIS19" s="3507"/>
      <c r="JIT19" s="3507"/>
      <c r="JIU19" s="3507"/>
      <c r="JIV19" s="3507"/>
      <c r="JIW19" s="3507"/>
      <c r="JIX19" s="3507"/>
      <c r="JIY19" s="3507"/>
      <c r="JIZ19" s="3507"/>
      <c r="JJA19" s="3507"/>
      <c r="JJB19" s="3507"/>
      <c r="JJC19" s="3507"/>
      <c r="JJD19" s="3507"/>
      <c r="JJE19" s="3507"/>
      <c r="JJF19" s="3507"/>
      <c r="JJG19" s="3507"/>
      <c r="JJH19" s="3507"/>
      <c r="JJI19" s="3507"/>
      <c r="JJJ19" s="3507"/>
      <c r="JJK19" s="3507"/>
      <c r="JJL19" s="3507"/>
      <c r="JJM19" s="3507"/>
      <c r="JJN19" s="3507"/>
      <c r="JJO19" s="3507"/>
      <c r="JJP19" s="3507"/>
      <c r="JJQ19" s="3507"/>
      <c r="JJR19" s="3507"/>
      <c r="JJS19" s="3507"/>
      <c r="JJT19" s="3507"/>
      <c r="JJU19" s="3507"/>
      <c r="JJV19" s="3507"/>
      <c r="JJW19" s="3507"/>
      <c r="JJX19" s="3507"/>
      <c r="JJY19" s="3507"/>
      <c r="JJZ19" s="3507"/>
      <c r="JKA19" s="3507"/>
      <c r="JKB19" s="3507"/>
      <c r="JKC19" s="3507"/>
      <c r="JKD19" s="3507"/>
      <c r="JKE19" s="3507"/>
      <c r="JKF19" s="3507"/>
      <c r="JKG19" s="3507"/>
      <c r="JKH19" s="3507"/>
      <c r="JKI19" s="3507"/>
      <c r="JKJ19" s="3507"/>
      <c r="JKK19" s="3507"/>
      <c r="JKL19" s="3507"/>
      <c r="JKM19" s="3507"/>
      <c r="JKN19" s="3507"/>
      <c r="JKO19" s="3507"/>
      <c r="JKP19" s="3507"/>
      <c r="JKQ19" s="3507"/>
      <c r="JKR19" s="3507"/>
      <c r="JKS19" s="3507"/>
      <c r="JKT19" s="3507"/>
      <c r="JKU19" s="3507"/>
      <c r="JKV19" s="3507"/>
      <c r="JKW19" s="3507"/>
      <c r="JKX19" s="3507"/>
      <c r="JKY19" s="3507"/>
      <c r="JKZ19" s="3507"/>
      <c r="JLA19" s="3507"/>
      <c r="JLB19" s="3507"/>
      <c r="JLC19" s="3507"/>
      <c r="JLD19" s="3507"/>
      <c r="JLE19" s="3507"/>
      <c r="JLF19" s="3507"/>
      <c r="JLG19" s="3507"/>
      <c r="JLH19" s="3507"/>
      <c r="JLI19" s="3507"/>
      <c r="JLJ19" s="3507"/>
      <c r="JLK19" s="3507"/>
      <c r="JLL19" s="3507"/>
      <c r="JLM19" s="3507"/>
      <c r="JLN19" s="3507"/>
      <c r="JLO19" s="3507"/>
      <c r="JLP19" s="3507"/>
      <c r="JLQ19" s="3507"/>
      <c r="JLR19" s="3507"/>
      <c r="JLS19" s="3507"/>
      <c r="JLT19" s="3507"/>
      <c r="JLU19" s="3507"/>
      <c r="JLV19" s="3507"/>
      <c r="JLW19" s="3507"/>
      <c r="JLX19" s="3507"/>
      <c r="JLY19" s="3507"/>
      <c r="JLZ19" s="3507"/>
      <c r="JMA19" s="3507"/>
      <c r="JMB19" s="3507"/>
      <c r="JMC19" s="3507"/>
      <c r="JMD19" s="3507"/>
      <c r="JME19" s="3507"/>
      <c r="JMF19" s="3507"/>
      <c r="JMG19" s="3507"/>
      <c r="JMH19" s="3507"/>
      <c r="JMI19" s="3507"/>
      <c r="JMJ19" s="3507"/>
      <c r="JMK19" s="3507"/>
      <c r="JML19" s="3507"/>
      <c r="JMM19" s="3507"/>
      <c r="JMN19" s="3507"/>
      <c r="JMO19" s="3507"/>
      <c r="JMP19" s="3507"/>
      <c r="JMQ19" s="3507"/>
      <c r="JMR19" s="3507"/>
      <c r="JMS19" s="3507"/>
      <c r="JMT19" s="3507"/>
      <c r="JMU19" s="3507"/>
      <c r="JMV19" s="3507"/>
      <c r="JMW19" s="3507"/>
      <c r="JMX19" s="3507"/>
      <c r="JMY19" s="3507"/>
      <c r="JMZ19" s="3507"/>
      <c r="JNA19" s="3507"/>
      <c r="JNB19" s="3507"/>
      <c r="JNC19" s="3507"/>
      <c r="JND19" s="3507"/>
      <c r="JNE19" s="3507"/>
      <c r="JNF19" s="3507"/>
      <c r="JNG19" s="3507"/>
      <c r="JNH19" s="3507"/>
      <c r="JNI19" s="3507"/>
      <c r="JNJ19" s="3507"/>
      <c r="JNK19" s="3507"/>
      <c r="JNL19" s="3507"/>
      <c r="JNM19" s="3507"/>
      <c r="JNN19" s="3507"/>
      <c r="JNO19" s="3507"/>
      <c r="JNP19" s="3507"/>
      <c r="JNQ19" s="3507"/>
      <c r="JNR19" s="3507"/>
      <c r="JNS19" s="3507"/>
      <c r="JNT19" s="3507"/>
      <c r="JNU19" s="3507"/>
      <c r="JNV19" s="3507"/>
      <c r="JNW19" s="3507"/>
      <c r="JNX19" s="3507"/>
      <c r="JNY19" s="3507"/>
      <c r="JNZ19" s="3507"/>
      <c r="JOA19" s="3507"/>
      <c r="JOB19" s="3507"/>
      <c r="JOC19" s="3507"/>
      <c r="JOD19" s="3507"/>
      <c r="JOE19" s="3507"/>
      <c r="JOF19" s="3507"/>
      <c r="JOG19" s="3507"/>
      <c r="JOH19" s="3507"/>
      <c r="JOI19" s="3507"/>
      <c r="JOJ19" s="3507"/>
      <c r="JOK19" s="3507"/>
      <c r="JOL19" s="3507"/>
      <c r="JOM19" s="3507"/>
      <c r="JON19" s="3507"/>
      <c r="JOO19" s="3507"/>
      <c r="JOP19" s="3507"/>
      <c r="JOQ19" s="3507"/>
      <c r="JOR19" s="3507"/>
      <c r="JOS19" s="3507"/>
      <c r="JOT19" s="3507"/>
      <c r="JOU19" s="3507"/>
      <c r="JOV19" s="3507"/>
      <c r="JOW19" s="3507"/>
      <c r="JOX19" s="3507"/>
      <c r="JOY19" s="3507"/>
      <c r="JOZ19" s="3507"/>
      <c r="JPA19" s="3507"/>
      <c r="JPB19" s="3507"/>
      <c r="JPC19" s="3507"/>
      <c r="JPD19" s="3507"/>
      <c r="JPE19" s="3507"/>
      <c r="JPF19" s="3507"/>
      <c r="JPG19" s="3507"/>
      <c r="JPH19" s="3507"/>
      <c r="JPI19" s="3507"/>
      <c r="JPJ19" s="3507"/>
      <c r="JPK19" s="3507"/>
      <c r="JPL19" s="3507"/>
      <c r="JPM19" s="3507"/>
      <c r="JPN19" s="3507"/>
      <c r="JPO19" s="3507"/>
      <c r="JPP19" s="3507"/>
      <c r="JPQ19" s="3507"/>
      <c r="JPR19" s="3507"/>
      <c r="JPS19" s="3507"/>
      <c r="JPT19" s="3507"/>
      <c r="JPU19" s="3507"/>
      <c r="JPV19" s="3507"/>
      <c r="JPW19" s="3507"/>
      <c r="JPX19" s="3507"/>
      <c r="JPY19" s="3507"/>
      <c r="JPZ19" s="3507"/>
      <c r="JQA19" s="3507"/>
      <c r="JQB19" s="3507"/>
      <c r="JQC19" s="3507"/>
      <c r="JQD19" s="3507"/>
      <c r="JQE19" s="3507"/>
      <c r="JQF19" s="3507"/>
      <c r="JQG19" s="3507"/>
      <c r="JQH19" s="3507"/>
      <c r="JQI19" s="3507"/>
      <c r="JQJ19" s="3507"/>
      <c r="JQK19" s="3507"/>
      <c r="JQL19" s="3507"/>
      <c r="JQM19" s="3507"/>
      <c r="JQN19" s="3507"/>
      <c r="JQO19" s="3507"/>
      <c r="JQP19" s="3507"/>
      <c r="JQQ19" s="3507"/>
      <c r="JQR19" s="3507"/>
      <c r="JQS19" s="3507"/>
      <c r="JQT19" s="3507"/>
      <c r="JQU19" s="3507"/>
      <c r="JQV19" s="3507"/>
      <c r="JQW19" s="3507"/>
      <c r="JQX19" s="3507"/>
      <c r="JQY19" s="3507"/>
      <c r="JQZ19" s="3507"/>
      <c r="JRA19" s="3507"/>
      <c r="JRB19" s="3507"/>
      <c r="JRC19" s="3507"/>
      <c r="JRD19" s="3507"/>
      <c r="JRE19" s="3507"/>
      <c r="JRF19" s="3507"/>
      <c r="JRG19" s="3507"/>
      <c r="JRH19" s="3507"/>
      <c r="JRI19" s="3507"/>
      <c r="JRJ19" s="3507"/>
      <c r="JRK19" s="3507"/>
      <c r="JRL19" s="3507"/>
      <c r="JRM19" s="3507"/>
      <c r="JRN19" s="3507"/>
      <c r="JRO19" s="3507"/>
      <c r="JRP19" s="3507"/>
      <c r="JRQ19" s="3507"/>
      <c r="JRR19" s="3507"/>
      <c r="JRS19" s="3507"/>
      <c r="JRT19" s="3507"/>
      <c r="JRU19" s="3507"/>
      <c r="JRV19" s="3507"/>
      <c r="JRW19" s="3507"/>
      <c r="JRX19" s="3507"/>
      <c r="JRY19" s="3507"/>
      <c r="JRZ19" s="3507"/>
      <c r="JSA19" s="3507"/>
      <c r="JSB19" s="3507"/>
      <c r="JSC19" s="3507"/>
      <c r="JSD19" s="3507"/>
      <c r="JSE19" s="3507"/>
      <c r="JSF19" s="3507"/>
      <c r="JSG19" s="3507"/>
      <c r="JSH19" s="3507"/>
      <c r="JSI19" s="3507"/>
      <c r="JSJ19" s="3507"/>
      <c r="JSK19" s="3507"/>
      <c r="JSL19" s="3507"/>
      <c r="JSM19" s="3507"/>
      <c r="JSN19" s="3507"/>
      <c r="JSO19" s="3507"/>
      <c r="JSP19" s="3507"/>
      <c r="JSQ19" s="3507"/>
      <c r="JSR19" s="3507"/>
      <c r="JSS19" s="3507"/>
      <c r="JST19" s="3507"/>
      <c r="JSU19" s="3507"/>
      <c r="JSV19" s="3507"/>
      <c r="JSW19" s="3507"/>
      <c r="JSX19" s="3507"/>
      <c r="JSY19" s="3507"/>
      <c r="JSZ19" s="3507"/>
      <c r="JTA19" s="3507"/>
      <c r="JTB19" s="3507"/>
      <c r="JTC19" s="3507"/>
      <c r="JTD19" s="3507"/>
      <c r="JTE19" s="3507"/>
      <c r="JTF19" s="3507"/>
      <c r="JTG19" s="3507"/>
      <c r="JTH19" s="3507"/>
      <c r="JTI19" s="3507"/>
      <c r="JTJ19" s="3507"/>
      <c r="JTK19" s="3507"/>
      <c r="JTL19" s="3507"/>
      <c r="JTM19" s="3507"/>
      <c r="JTN19" s="3507"/>
      <c r="JTO19" s="3507"/>
      <c r="JTP19" s="3507"/>
      <c r="JTQ19" s="3507"/>
      <c r="JTR19" s="3507"/>
      <c r="JTS19" s="3507"/>
      <c r="JTT19" s="3507"/>
      <c r="JTU19" s="3507"/>
      <c r="JTV19" s="3507"/>
      <c r="JTW19" s="3507"/>
      <c r="JTX19" s="3507"/>
      <c r="JTY19" s="3507"/>
      <c r="JTZ19" s="3507"/>
      <c r="JUA19" s="3507"/>
      <c r="JUB19" s="3507"/>
      <c r="JUC19" s="3507"/>
      <c r="JUD19" s="3507"/>
      <c r="JUE19" s="3507"/>
      <c r="JUF19" s="3507"/>
      <c r="JUG19" s="3507"/>
      <c r="JUH19" s="3507"/>
      <c r="JUI19" s="3507"/>
      <c r="JUJ19" s="3507"/>
      <c r="JUK19" s="3507"/>
      <c r="JUL19" s="3507"/>
      <c r="JUM19" s="3507"/>
      <c r="JUN19" s="3507"/>
      <c r="JUO19" s="3507"/>
      <c r="JUP19" s="3507"/>
      <c r="JUQ19" s="3507"/>
      <c r="JUR19" s="3507"/>
      <c r="JUS19" s="3507"/>
      <c r="JUT19" s="3507"/>
      <c r="JUU19" s="3507"/>
      <c r="JUV19" s="3507"/>
      <c r="JUW19" s="3507"/>
      <c r="JUX19" s="3507"/>
      <c r="JUY19" s="3507"/>
      <c r="JUZ19" s="3507"/>
      <c r="JVA19" s="3507"/>
      <c r="JVB19" s="3507"/>
      <c r="JVC19" s="3507"/>
      <c r="JVD19" s="3507"/>
      <c r="JVE19" s="3507"/>
      <c r="JVF19" s="3507"/>
      <c r="JVG19" s="3507"/>
      <c r="JVH19" s="3507"/>
      <c r="JVI19" s="3507"/>
      <c r="JVJ19" s="3507"/>
      <c r="JVK19" s="3507"/>
      <c r="JVL19" s="3507"/>
      <c r="JVM19" s="3507"/>
      <c r="JVN19" s="3507"/>
      <c r="JVO19" s="3507"/>
      <c r="JVP19" s="3507"/>
      <c r="JVQ19" s="3507"/>
      <c r="JVR19" s="3507"/>
      <c r="JVS19" s="3507"/>
      <c r="JVT19" s="3507"/>
      <c r="JVU19" s="3507"/>
      <c r="JVV19" s="3507"/>
      <c r="JVW19" s="3507"/>
      <c r="JVX19" s="3507"/>
      <c r="JVY19" s="3507"/>
      <c r="JVZ19" s="3507"/>
      <c r="JWA19" s="3507"/>
      <c r="JWB19" s="3507"/>
      <c r="JWC19" s="3507"/>
      <c r="JWD19" s="3507"/>
      <c r="JWE19" s="3507"/>
      <c r="JWF19" s="3507"/>
      <c r="JWG19" s="3507"/>
      <c r="JWH19" s="3507"/>
      <c r="JWI19" s="3507"/>
      <c r="JWJ19" s="3507"/>
      <c r="JWK19" s="3507"/>
      <c r="JWL19" s="3507"/>
      <c r="JWM19" s="3507"/>
      <c r="JWN19" s="3507"/>
      <c r="JWO19" s="3507"/>
      <c r="JWP19" s="3507"/>
      <c r="JWQ19" s="3507"/>
      <c r="JWR19" s="3507"/>
      <c r="JWS19" s="3507"/>
      <c r="JWT19" s="3507"/>
      <c r="JWU19" s="3507"/>
      <c r="JWV19" s="3507"/>
      <c r="JWW19" s="3507"/>
      <c r="JWX19" s="3507"/>
      <c r="JWY19" s="3507"/>
      <c r="JWZ19" s="3507"/>
      <c r="JXA19" s="3507"/>
      <c r="JXB19" s="3507"/>
      <c r="JXC19" s="3507"/>
      <c r="JXD19" s="3507"/>
      <c r="JXE19" s="3507"/>
      <c r="JXF19" s="3507"/>
      <c r="JXG19" s="3507"/>
      <c r="JXH19" s="3507"/>
      <c r="JXI19" s="3507"/>
      <c r="JXJ19" s="3507"/>
      <c r="JXK19" s="3507"/>
      <c r="JXL19" s="3507"/>
      <c r="JXM19" s="3507"/>
      <c r="JXN19" s="3507"/>
      <c r="JXO19" s="3507"/>
      <c r="JXP19" s="3507"/>
      <c r="JXQ19" s="3507"/>
      <c r="JXR19" s="3507"/>
      <c r="JXS19" s="3507"/>
      <c r="JXT19" s="3507"/>
      <c r="JXU19" s="3507"/>
      <c r="JXV19" s="3507"/>
      <c r="JXW19" s="3507"/>
      <c r="JXX19" s="3507"/>
      <c r="JXY19" s="3507"/>
      <c r="JXZ19" s="3507"/>
      <c r="JYA19" s="3507"/>
      <c r="JYB19" s="3507"/>
      <c r="JYC19" s="3507"/>
      <c r="JYD19" s="3507"/>
      <c r="JYE19" s="3507"/>
      <c r="JYF19" s="3507"/>
      <c r="JYG19" s="3507"/>
      <c r="JYH19" s="3507"/>
      <c r="JYI19" s="3507"/>
      <c r="JYJ19" s="3507"/>
      <c r="JYK19" s="3507"/>
      <c r="JYL19" s="3507"/>
      <c r="JYM19" s="3507"/>
      <c r="JYN19" s="3507"/>
      <c r="JYO19" s="3507"/>
      <c r="JYP19" s="3507"/>
      <c r="JYQ19" s="3507"/>
      <c r="JYR19" s="3507"/>
      <c r="JYS19" s="3507"/>
      <c r="JYT19" s="3507"/>
      <c r="JYU19" s="3507"/>
      <c r="JYV19" s="3507"/>
      <c r="JYW19" s="3507"/>
      <c r="JYX19" s="3507"/>
      <c r="JYY19" s="3507"/>
      <c r="JYZ19" s="3507"/>
      <c r="JZA19" s="3507"/>
      <c r="JZB19" s="3507"/>
      <c r="JZC19" s="3507"/>
      <c r="JZD19" s="3507"/>
      <c r="JZE19" s="3507"/>
      <c r="JZF19" s="3507"/>
      <c r="JZG19" s="3507"/>
      <c r="JZH19" s="3507"/>
      <c r="JZI19" s="3507"/>
      <c r="JZJ19" s="3507"/>
      <c r="JZK19" s="3507"/>
      <c r="JZL19" s="3507"/>
      <c r="JZM19" s="3507"/>
      <c r="JZN19" s="3507"/>
      <c r="JZO19" s="3507"/>
      <c r="JZP19" s="3507"/>
      <c r="JZQ19" s="3507"/>
      <c r="JZR19" s="3507"/>
      <c r="JZS19" s="3507"/>
      <c r="JZT19" s="3507"/>
      <c r="JZU19" s="3507"/>
      <c r="JZV19" s="3507"/>
      <c r="JZW19" s="3507"/>
      <c r="JZX19" s="3507"/>
      <c r="JZY19" s="3507"/>
      <c r="JZZ19" s="3507"/>
      <c r="KAA19" s="3507"/>
      <c r="KAB19" s="3507"/>
      <c r="KAC19" s="3507"/>
      <c r="KAD19" s="3507"/>
      <c r="KAE19" s="3507"/>
      <c r="KAF19" s="3507"/>
      <c r="KAG19" s="3507"/>
      <c r="KAH19" s="3507"/>
      <c r="KAI19" s="3507"/>
      <c r="KAJ19" s="3507"/>
      <c r="KAK19" s="3507"/>
      <c r="KAL19" s="3507"/>
      <c r="KAM19" s="3507"/>
      <c r="KAN19" s="3507"/>
      <c r="KAO19" s="3507"/>
      <c r="KAP19" s="3507"/>
      <c r="KAQ19" s="3507"/>
      <c r="KAR19" s="3507"/>
      <c r="KAS19" s="3507"/>
      <c r="KAT19" s="3507"/>
      <c r="KAU19" s="3507"/>
      <c r="KAV19" s="3507"/>
      <c r="KAW19" s="3507"/>
      <c r="KAX19" s="3507"/>
      <c r="KAY19" s="3507"/>
      <c r="KAZ19" s="3507"/>
      <c r="KBA19" s="3507"/>
      <c r="KBB19" s="3507"/>
      <c r="KBC19" s="3507"/>
      <c r="KBD19" s="3507"/>
      <c r="KBE19" s="3507"/>
      <c r="KBF19" s="3507"/>
      <c r="KBG19" s="3507"/>
      <c r="KBH19" s="3507"/>
      <c r="KBI19" s="3507"/>
      <c r="KBJ19" s="3507"/>
      <c r="KBK19" s="3507"/>
      <c r="KBL19" s="3507"/>
      <c r="KBM19" s="3507"/>
      <c r="KBN19" s="3507"/>
      <c r="KBO19" s="3507"/>
      <c r="KBP19" s="3507"/>
      <c r="KBQ19" s="3507"/>
      <c r="KBR19" s="3507"/>
      <c r="KBS19" s="3507"/>
      <c r="KBT19" s="3507"/>
      <c r="KBU19" s="3507"/>
      <c r="KBV19" s="3507"/>
      <c r="KBW19" s="3507"/>
      <c r="KBX19" s="3507"/>
      <c r="KBY19" s="3507"/>
      <c r="KBZ19" s="3507"/>
      <c r="KCA19" s="3507"/>
      <c r="KCB19" s="3507"/>
      <c r="KCC19" s="3507"/>
      <c r="KCD19" s="3507"/>
      <c r="KCE19" s="3507"/>
      <c r="KCF19" s="3507"/>
      <c r="KCG19" s="3507"/>
      <c r="KCH19" s="3507"/>
      <c r="KCI19" s="3507"/>
      <c r="KCJ19" s="3507"/>
      <c r="KCK19" s="3507"/>
      <c r="KCL19" s="3507"/>
      <c r="KCM19" s="3507"/>
      <c r="KCN19" s="3507"/>
      <c r="KCO19" s="3507"/>
      <c r="KCP19" s="3507"/>
      <c r="KCQ19" s="3507"/>
      <c r="KCR19" s="3507"/>
      <c r="KCS19" s="3507"/>
      <c r="KCT19" s="3507"/>
      <c r="KCU19" s="3507"/>
      <c r="KCV19" s="3507"/>
      <c r="KCW19" s="3507"/>
      <c r="KCX19" s="3507"/>
      <c r="KCY19" s="3507"/>
      <c r="KCZ19" s="3507"/>
      <c r="KDA19" s="3507"/>
      <c r="KDB19" s="3507"/>
      <c r="KDC19" s="3507"/>
      <c r="KDD19" s="3507"/>
      <c r="KDE19" s="3507"/>
      <c r="KDF19" s="3507"/>
      <c r="KDG19" s="3507"/>
      <c r="KDH19" s="3507"/>
      <c r="KDI19" s="3507"/>
      <c r="KDJ19" s="3507"/>
      <c r="KDK19" s="3507"/>
      <c r="KDL19" s="3507"/>
      <c r="KDM19" s="3507"/>
      <c r="KDN19" s="3507"/>
      <c r="KDO19" s="3507"/>
      <c r="KDP19" s="3507"/>
      <c r="KDQ19" s="3507"/>
      <c r="KDR19" s="3507"/>
      <c r="KDS19" s="3507"/>
      <c r="KDT19" s="3507"/>
      <c r="KDU19" s="3507"/>
      <c r="KDV19" s="3507"/>
      <c r="KDW19" s="3507"/>
      <c r="KDX19" s="3507"/>
      <c r="KDY19" s="3507"/>
      <c r="KDZ19" s="3507"/>
      <c r="KEA19" s="3507"/>
      <c r="KEB19" s="3507"/>
      <c r="KEC19" s="3507"/>
      <c r="KED19" s="3507"/>
      <c r="KEE19" s="3507"/>
      <c r="KEF19" s="3507"/>
      <c r="KEG19" s="3507"/>
      <c r="KEH19" s="3507"/>
      <c r="KEI19" s="3507"/>
      <c r="KEJ19" s="3507"/>
      <c r="KEK19" s="3507"/>
      <c r="KEL19" s="3507"/>
      <c r="KEM19" s="3507"/>
      <c r="KEN19" s="3507"/>
      <c r="KEO19" s="3507"/>
      <c r="KEP19" s="3507"/>
      <c r="KEQ19" s="3507"/>
      <c r="KER19" s="3507"/>
      <c r="KES19" s="3507"/>
      <c r="KET19" s="3507"/>
      <c r="KEU19" s="3507"/>
      <c r="KEV19" s="3507"/>
      <c r="KEW19" s="3507"/>
      <c r="KEX19" s="3507"/>
      <c r="KEY19" s="3507"/>
      <c r="KEZ19" s="3507"/>
      <c r="KFA19" s="3507"/>
      <c r="KFB19" s="3507"/>
      <c r="KFC19" s="3507"/>
      <c r="KFD19" s="3507"/>
      <c r="KFE19" s="3507"/>
      <c r="KFF19" s="3507"/>
      <c r="KFG19" s="3507"/>
      <c r="KFH19" s="3507"/>
      <c r="KFI19" s="3507"/>
      <c r="KFJ19" s="3507"/>
      <c r="KFK19" s="3507"/>
      <c r="KFL19" s="3507"/>
      <c r="KFM19" s="3507"/>
      <c r="KFN19" s="3507"/>
      <c r="KFO19" s="3507"/>
      <c r="KFP19" s="3507"/>
      <c r="KFQ19" s="3507"/>
      <c r="KFR19" s="3507"/>
      <c r="KFS19" s="3507"/>
      <c r="KFT19" s="3507"/>
      <c r="KFU19" s="3507"/>
      <c r="KFV19" s="3507"/>
      <c r="KFW19" s="3507"/>
      <c r="KFX19" s="3507"/>
      <c r="KFY19" s="3507"/>
      <c r="KFZ19" s="3507"/>
      <c r="KGA19" s="3507"/>
      <c r="KGB19" s="3507"/>
      <c r="KGC19" s="3507"/>
      <c r="KGD19" s="3507"/>
      <c r="KGE19" s="3507"/>
      <c r="KGF19" s="3507"/>
      <c r="KGG19" s="3507"/>
      <c r="KGH19" s="3507"/>
      <c r="KGI19" s="3507"/>
      <c r="KGJ19" s="3507"/>
      <c r="KGK19" s="3507"/>
      <c r="KGL19" s="3507"/>
      <c r="KGM19" s="3507"/>
      <c r="KGN19" s="3507"/>
      <c r="KGO19" s="3507"/>
      <c r="KGP19" s="3507"/>
      <c r="KGQ19" s="3507"/>
      <c r="KGR19" s="3507"/>
      <c r="KGS19" s="3507"/>
      <c r="KGT19" s="3507"/>
      <c r="KGU19" s="3507"/>
      <c r="KGV19" s="3507"/>
      <c r="KGW19" s="3507"/>
      <c r="KGX19" s="3507"/>
      <c r="KGY19" s="3507"/>
      <c r="KGZ19" s="3507"/>
      <c r="KHA19" s="3507"/>
      <c r="KHB19" s="3507"/>
      <c r="KHC19" s="3507"/>
      <c r="KHD19" s="3507"/>
      <c r="KHE19" s="3507"/>
      <c r="KHF19" s="3507"/>
      <c r="KHG19" s="3507"/>
      <c r="KHH19" s="3507"/>
      <c r="KHI19" s="3507"/>
      <c r="KHJ19" s="3507"/>
      <c r="KHK19" s="3507"/>
      <c r="KHL19" s="3507"/>
      <c r="KHM19" s="3507"/>
      <c r="KHN19" s="3507"/>
      <c r="KHO19" s="3507"/>
      <c r="KHP19" s="3507"/>
      <c r="KHQ19" s="3507"/>
      <c r="KHR19" s="3507"/>
      <c r="KHS19" s="3507"/>
      <c r="KHT19" s="3507"/>
      <c r="KHU19" s="3507"/>
      <c r="KHV19" s="3507"/>
      <c r="KHW19" s="3507"/>
      <c r="KHX19" s="3507"/>
      <c r="KHY19" s="3507"/>
      <c r="KHZ19" s="3507"/>
      <c r="KIA19" s="3507"/>
      <c r="KIB19" s="3507"/>
      <c r="KIC19" s="3507"/>
      <c r="KID19" s="3507"/>
      <c r="KIE19" s="3507"/>
      <c r="KIF19" s="3507"/>
      <c r="KIG19" s="3507"/>
      <c r="KIH19" s="3507"/>
      <c r="KII19" s="3507"/>
      <c r="KIJ19" s="3507"/>
      <c r="KIK19" s="3507"/>
      <c r="KIL19" s="3507"/>
      <c r="KIM19" s="3507"/>
      <c r="KIN19" s="3507"/>
      <c r="KIO19" s="3507"/>
      <c r="KIP19" s="3507"/>
      <c r="KIQ19" s="3507"/>
      <c r="KIR19" s="3507"/>
      <c r="KIS19" s="3507"/>
      <c r="KIT19" s="3507"/>
      <c r="KIU19" s="3507"/>
      <c r="KIV19" s="3507"/>
      <c r="KIW19" s="3507"/>
      <c r="KIX19" s="3507"/>
      <c r="KIY19" s="3507"/>
      <c r="KIZ19" s="3507"/>
      <c r="KJA19" s="3507"/>
      <c r="KJB19" s="3507"/>
      <c r="KJC19" s="3507"/>
      <c r="KJD19" s="3507"/>
      <c r="KJE19" s="3507"/>
      <c r="KJF19" s="3507"/>
      <c r="KJG19" s="3507"/>
      <c r="KJH19" s="3507"/>
      <c r="KJI19" s="3507"/>
      <c r="KJJ19" s="3507"/>
      <c r="KJK19" s="3507"/>
      <c r="KJL19" s="3507"/>
      <c r="KJM19" s="3507"/>
      <c r="KJN19" s="3507"/>
      <c r="KJO19" s="3507"/>
      <c r="KJP19" s="3507"/>
      <c r="KJQ19" s="3507"/>
      <c r="KJR19" s="3507"/>
      <c r="KJS19" s="3507"/>
      <c r="KJT19" s="3507"/>
      <c r="KJU19" s="3507"/>
      <c r="KJV19" s="3507"/>
      <c r="KJW19" s="3507"/>
      <c r="KJX19" s="3507"/>
      <c r="KJY19" s="3507"/>
      <c r="KJZ19" s="3507"/>
      <c r="KKA19" s="3507"/>
      <c r="KKB19" s="3507"/>
      <c r="KKC19" s="3507"/>
      <c r="KKD19" s="3507"/>
      <c r="KKE19" s="3507"/>
      <c r="KKF19" s="3507"/>
      <c r="KKG19" s="3507"/>
      <c r="KKH19" s="3507"/>
      <c r="KKI19" s="3507"/>
      <c r="KKJ19" s="3507"/>
      <c r="KKK19" s="3507"/>
      <c r="KKL19" s="3507"/>
      <c r="KKM19" s="3507"/>
      <c r="KKN19" s="3507"/>
      <c r="KKO19" s="3507"/>
      <c r="KKP19" s="3507"/>
      <c r="KKQ19" s="3507"/>
      <c r="KKR19" s="3507"/>
      <c r="KKS19" s="3507"/>
      <c r="KKT19" s="3507"/>
      <c r="KKU19" s="3507"/>
      <c r="KKV19" s="3507"/>
      <c r="KKW19" s="3507"/>
      <c r="KKX19" s="3507"/>
      <c r="KKY19" s="3507"/>
      <c r="KKZ19" s="3507"/>
      <c r="KLA19" s="3507"/>
      <c r="KLB19" s="3507"/>
      <c r="KLC19" s="3507"/>
      <c r="KLD19" s="3507"/>
      <c r="KLE19" s="3507"/>
      <c r="KLF19" s="3507"/>
      <c r="KLG19" s="3507"/>
      <c r="KLH19" s="3507"/>
      <c r="KLI19" s="3507"/>
      <c r="KLJ19" s="3507"/>
      <c r="KLK19" s="3507"/>
      <c r="KLL19" s="3507"/>
      <c r="KLM19" s="3507"/>
      <c r="KLN19" s="3507"/>
      <c r="KLO19" s="3507"/>
      <c r="KLP19" s="3507"/>
      <c r="KLQ19" s="3507"/>
      <c r="KLR19" s="3507"/>
      <c r="KLS19" s="3507"/>
      <c r="KLT19" s="3507"/>
      <c r="KLU19" s="3507"/>
      <c r="KLV19" s="3507"/>
      <c r="KLW19" s="3507"/>
      <c r="KLX19" s="3507"/>
      <c r="KLY19" s="3507"/>
      <c r="KLZ19" s="3507"/>
      <c r="KMA19" s="3507"/>
      <c r="KMB19" s="3507"/>
      <c r="KMC19" s="3507"/>
      <c r="KMD19" s="3507"/>
      <c r="KME19" s="3507"/>
      <c r="KMF19" s="3507"/>
      <c r="KMG19" s="3507"/>
      <c r="KMH19" s="3507"/>
      <c r="KMI19" s="3507"/>
      <c r="KMJ19" s="3507"/>
      <c r="KMK19" s="3507"/>
      <c r="KML19" s="3507"/>
      <c r="KMM19" s="3507"/>
      <c r="KMN19" s="3507"/>
      <c r="KMO19" s="3507"/>
      <c r="KMP19" s="3507"/>
      <c r="KMQ19" s="3507"/>
      <c r="KMR19" s="3507"/>
      <c r="KMS19" s="3507"/>
      <c r="KMT19" s="3507"/>
      <c r="KMU19" s="3507"/>
      <c r="KMV19" s="3507"/>
      <c r="KMW19" s="3507"/>
      <c r="KMX19" s="3507"/>
      <c r="KMY19" s="3507"/>
      <c r="KMZ19" s="3507"/>
      <c r="KNA19" s="3507"/>
      <c r="KNB19" s="3507"/>
      <c r="KNC19" s="3507"/>
      <c r="KND19" s="3507"/>
      <c r="KNE19" s="3507"/>
      <c r="KNF19" s="3507"/>
      <c r="KNG19" s="3507"/>
      <c r="KNH19" s="3507"/>
      <c r="KNI19" s="3507"/>
      <c r="KNJ19" s="3507"/>
      <c r="KNK19" s="3507"/>
      <c r="KNL19" s="3507"/>
      <c r="KNM19" s="3507"/>
      <c r="KNN19" s="3507"/>
      <c r="KNO19" s="3507"/>
      <c r="KNP19" s="3507"/>
      <c r="KNQ19" s="3507"/>
      <c r="KNR19" s="3507"/>
      <c r="KNS19" s="3507"/>
      <c r="KNT19" s="3507"/>
      <c r="KNU19" s="3507"/>
      <c r="KNV19" s="3507"/>
      <c r="KNW19" s="3507"/>
      <c r="KNX19" s="3507"/>
      <c r="KNY19" s="3507"/>
      <c r="KNZ19" s="3507"/>
      <c r="KOA19" s="3507"/>
      <c r="KOB19" s="3507"/>
      <c r="KOC19" s="3507"/>
      <c r="KOD19" s="3507"/>
      <c r="KOE19" s="3507"/>
      <c r="KOF19" s="3507"/>
      <c r="KOG19" s="3507"/>
      <c r="KOH19" s="3507"/>
      <c r="KOI19" s="3507"/>
      <c r="KOJ19" s="3507"/>
      <c r="KOK19" s="3507"/>
      <c r="KOL19" s="3507"/>
      <c r="KOM19" s="3507"/>
      <c r="KON19" s="3507"/>
      <c r="KOO19" s="3507"/>
      <c r="KOP19" s="3507"/>
      <c r="KOQ19" s="3507"/>
      <c r="KOR19" s="3507"/>
      <c r="KOS19" s="3507"/>
      <c r="KOT19" s="3507"/>
      <c r="KOU19" s="3507"/>
      <c r="KOV19" s="3507"/>
      <c r="KOW19" s="3507"/>
      <c r="KOX19" s="3507"/>
      <c r="KOY19" s="3507"/>
      <c r="KOZ19" s="3507"/>
      <c r="KPA19" s="3507"/>
      <c r="KPB19" s="3507"/>
      <c r="KPC19" s="3507"/>
      <c r="KPD19" s="3507"/>
      <c r="KPE19" s="3507"/>
      <c r="KPF19" s="3507"/>
      <c r="KPG19" s="3507"/>
      <c r="KPH19" s="3507"/>
      <c r="KPI19" s="3507"/>
      <c r="KPJ19" s="3507"/>
      <c r="KPK19" s="3507"/>
      <c r="KPL19" s="3507"/>
      <c r="KPM19" s="3507"/>
      <c r="KPN19" s="3507"/>
      <c r="KPO19" s="3507"/>
      <c r="KPP19" s="3507"/>
      <c r="KPQ19" s="3507"/>
      <c r="KPR19" s="3507"/>
      <c r="KPS19" s="3507"/>
      <c r="KPT19" s="3507"/>
      <c r="KPU19" s="3507"/>
      <c r="KPV19" s="3507"/>
      <c r="KPW19" s="3507"/>
      <c r="KPX19" s="3507"/>
      <c r="KPY19" s="3507"/>
      <c r="KPZ19" s="3507"/>
      <c r="KQA19" s="3507"/>
      <c r="KQB19" s="3507"/>
      <c r="KQC19" s="3507"/>
      <c r="KQD19" s="3507"/>
      <c r="KQE19" s="3507"/>
      <c r="KQF19" s="3507"/>
      <c r="KQG19" s="3507"/>
      <c r="KQH19" s="3507"/>
      <c r="KQI19" s="3507"/>
      <c r="KQJ19" s="3507"/>
      <c r="KQK19" s="3507"/>
      <c r="KQL19" s="3507"/>
      <c r="KQM19" s="3507"/>
      <c r="KQN19" s="3507"/>
      <c r="KQO19" s="3507"/>
      <c r="KQP19" s="3507"/>
      <c r="KQQ19" s="3507"/>
      <c r="KQR19" s="3507"/>
      <c r="KQS19" s="3507"/>
      <c r="KQT19" s="3507"/>
      <c r="KQU19" s="3507"/>
      <c r="KQV19" s="3507"/>
      <c r="KQW19" s="3507"/>
      <c r="KQX19" s="3507"/>
      <c r="KQY19" s="3507"/>
      <c r="KQZ19" s="3507"/>
      <c r="KRA19" s="3507"/>
      <c r="KRB19" s="3507"/>
      <c r="KRC19" s="3507"/>
      <c r="KRD19" s="3507"/>
      <c r="KRE19" s="3507"/>
      <c r="KRF19" s="3507"/>
      <c r="KRG19" s="3507"/>
      <c r="KRH19" s="3507"/>
      <c r="KRI19" s="3507"/>
      <c r="KRJ19" s="3507"/>
      <c r="KRK19" s="3507"/>
      <c r="KRL19" s="3507"/>
      <c r="KRM19" s="3507"/>
      <c r="KRN19" s="3507"/>
      <c r="KRO19" s="3507"/>
      <c r="KRP19" s="3507"/>
      <c r="KRQ19" s="3507"/>
      <c r="KRR19" s="3507"/>
      <c r="KRS19" s="3507"/>
      <c r="KRT19" s="3507"/>
      <c r="KRU19" s="3507"/>
      <c r="KRV19" s="3507"/>
      <c r="KRW19" s="3507"/>
      <c r="KRX19" s="3507"/>
      <c r="KRY19" s="3507"/>
      <c r="KRZ19" s="3507"/>
      <c r="KSA19" s="3507"/>
      <c r="KSB19" s="3507"/>
      <c r="KSC19" s="3507"/>
      <c r="KSD19" s="3507"/>
      <c r="KSE19" s="3507"/>
      <c r="KSF19" s="3507"/>
      <c r="KSG19" s="3507"/>
      <c r="KSH19" s="3507"/>
      <c r="KSI19" s="3507"/>
      <c r="KSJ19" s="3507"/>
      <c r="KSK19" s="3507"/>
      <c r="KSL19" s="3507"/>
      <c r="KSM19" s="3507"/>
      <c r="KSN19" s="3507"/>
      <c r="KSO19" s="3507"/>
      <c r="KSP19" s="3507"/>
      <c r="KSQ19" s="3507"/>
      <c r="KSR19" s="3507"/>
      <c r="KSS19" s="3507"/>
      <c r="KST19" s="3507"/>
      <c r="KSU19" s="3507"/>
      <c r="KSV19" s="3507"/>
      <c r="KSW19" s="3507"/>
      <c r="KSX19" s="3507"/>
      <c r="KSY19" s="3507"/>
      <c r="KSZ19" s="3507"/>
      <c r="KTA19" s="3507"/>
      <c r="KTB19" s="3507"/>
      <c r="KTC19" s="3507"/>
      <c r="KTD19" s="3507"/>
      <c r="KTE19" s="3507"/>
      <c r="KTF19" s="3507"/>
      <c r="KTG19" s="3507"/>
      <c r="KTH19" s="3507"/>
      <c r="KTI19" s="3507"/>
      <c r="KTJ19" s="3507"/>
      <c r="KTK19" s="3507"/>
      <c r="KTL19" s="3507"/>
      <c r="KTM19" s="3507"/>
      <c r="KTN19" s="3507"/>
      <c r="KTO19" s="3507"/>
      <c r="KTP19" s="3507"/>
      <c r="KTQ19" s="3507"/>
      <c r="KTR19" s="3507"/>
      <c r="KTS19" s="3507"/>
      <c r="KTT19" s="3507"/>
      <c r="KTU19" s="3507"/>
      <c r="KTV19" s="3507"/>
      <c r="KTW19" s="3507"/>
      <c r="KTX19" s="3507"/>
      <c r="KTY19" s="3507"/>
      <c r="KTZ19" s="3507"/>
      <c r="KUA19" s="3507"/>
      <c r="KUB19" s="3507"/>
      <c r="KUC19" s="3507"/>
      <c r="KUD19" s="3507"/>
      <c r="KUE19" s="3507"/>
      <c r="KUF19" s="3507"/>
      <c r="KUG19" s="3507"/>
      <c r="KUH19" s="3507"/>
      <c r="KUI19" s="3507"/>
      <c r="KUJ19" s="3507"/>
      <c r="KUK19" s="3507"/>
      <c r="KUL19" s="3507"/>
      <c r="KUM19" s="3507"/>
      <c r="KUN19" s="3507"/>
      <c r="KUO19" s="3507"/>
      <c r="KUP19" s="3507"/>
      <c r="KUQ19" s="3507"/>
      <c r="KUR19" s="3507"/>
      <c r="KUS19" s="3507"/>
      <c r="KUT19" s="3507"/>
      <c r="KUU19" s="3507"/>
      <c r="KUV19" s="3507"/>
      <c r="KUW19" s="3507"/>
      <c r="KUX19" s="3507"/>
      <c r="KUY19" s="3507"/>
      <c r="KUZ19" s="3507"/>
      <c r="KVA19" s="3507"/>
      <c r="KVB19" s="3507"/>
      <c r="KVC19" s="3507"/>
      <c r="KVD19" s="3507"/>
      <c r="KVE19" s="3507"/>
      <c r="KVF19" s="3507"/>
      <c r="KVG19" s="3507"/>
      <c r="KVH19" s="3507"/>
      <c r="KVI19" s="3507"/>
      <c r="KVJ19" s="3507"/>
      <c r="KVK19" s="3507"/>
      <c r="KVL19" s="3507"/>
      <c r="KVM19" s="3507"/>
      <c r="KVN19" s="3507"/>
      <c r="KVO19" s="3507"/>
      <c r="KVP19" s="3507"/>
      <c r="KVQ19" s="3507"/>
      <c r="KVR19" s="3507"/>
      <c r="KVS19" s="3507"/>
      <c r="KVT19" s="3507"/>
      <c r="KVU19" s="3507"/>
      <c r="KVV19" s="3507"/>
      <c r="KVW19" s="3507"/>
      <c r="KVX19" s="3507"/>
      <c r="KVY19" s="3507"/>
      <c r="KVZ19" s="3507"/>
      <c r="KWA19" s="3507"/>
      <c r="KWB19" s="3507"/>
      <c r="KWC19" s="3507"/>
      <c r="KWD19" s="3507"/>
      <c r="KWE19" s="3507"/>
      <c r="KWF19" s="3507"/>
      <c r="KWG19" s="3507"/>
      <c r="KWH19" s="3507"/>
      <c r="KWI19" s="3507"/>
      <c r="KWJ19" s="3507"/>
      <c r="KWK19" s="3507"/>
      <c r="KWL19" s="3507"/>
      <c r="KWM19" s="3507"/>
      <c r="KWN19" s="3507"/>
      <c r="KWO19" s="3507"/>
      <c r="KWP19" s="3507"/>
      <c r="KWQ19" s="3507"/>
      <c r="KWR19" s="3507"/>
      <c r="KWS19" s="3507"/>
      <c r="KWT19" s="3507"/>
      <c r="KWU19" s="3507"/>
      <c r="KWV19" s="3507"/>
      <c r="KWW19" s="3507"/>
      <c r="KWX19" s="3507"/>
      <c r="KWY19" s="3507"/>
      <c r="KWZ19" s="3507"/>
      <c r="KXA19" s="3507"/>
      <c r="KXB19" s="3507"/>
      <c r="KXC19" s="3507"/>
      <c r="KXD19" s="3507"/>
      <c r="KXE19" s="3507"/>
      <c r="KXF19" s="3507"/>
      <c r="KXG19" s="3507"/>
      <c r="KXH19" s="3507"/>
      <c r="KXI19" s="3507"/>
      <c r="KXJ19" s="3507"/>
      <c r="KXK19" s="3507"/>
      <c r="KXL19" s="3507"/>
      <c r="KXM19" s="3507"/>
      <c r="KXN19" s="3507"/>
      <c r="KXO19" s="3507"/>
      <c r="KXP19" s="3507"/>
      <c r="KXQ19" s="3507"/>
      <c r="KXR19" s="3507"/>
      <c r="KXS19" s="3507"/>
      <c r="KXT19" s="3507"/>
      <c r="KXU19" s="3507"/>
      <c r="KXV19" s="3507"/>
      <c r="KXW19" s="3507"/>
      <c r="KXX19" s="3507"/>
      <c r="KXY19" s="3507"/>
      <c r="KXZ19" s="3507"/>
      <c r="KYA19" s="3507"/>
      <c r="KYB19" s="3507"/>
      <c r="KYC19" s="3507"/>
      <c r="KYD19" s="3507"/>
      <c r="KYE19" s="3507"/>
      <c r="KYF19" s="3507"/>
      <c r="KYG19" s="3507"/>
      <c r="KYH19" s="3507"/>
      <c r="KYI19" s="3507"/>
      <c r="KYJ19" s="3507"/>
      <c r="KYK19" s="3507"/>
      <c r="KYL19" s="3507"/>
      <c r="KYM19" s="3507"/>
      <c r="KYN19" s="3507"/>
      <c r="KYO19" s="3507"/>
      <c r="KYP19" s="3507"/>
      <c r="KYQ19" s="3507"/>
      <c r="KYR19" s="3507"/>
      <c r="KYS19" s="3507"/>
      <c r="KYT19" s="3507"/>
      <c r="KYU19" s="3507"/>
      <c r="KYV19" s="3507"/>
      <c r="KYW19" s="3507"/>
      <c r="KYX19" s="3507"/>
      <c r="KYY19" s="3507"/>
      <c r="KYZ19" s="3507"/>
      <c r="KZA19" s="3507"/>
      <c r="KZB19" s="3507"/>
      <c r="KZC19" s="3507"/>
      <c r="KZD19" s="3507"/>
      <c r="KZE19" s="3507"/>
      <c r="KZF19" s="3507"/>
      <c r="KZG19" s="3507"/>
      <c r="KZH19" s="3507"/>
      <c r="KZI19" s="3507"/>
      <c r="KZJ19" s="3507"/>
      <c r="KZK19" s="3507"/>
      <c r="KZL19" s="3507"/>
      <c r="KZM19" s="3507"/>
      <c r="KZN19" s="3507"/>
      <c r="KZO19" s="3507"/>
      <c r="KZP19" s="3507"/>
      <c r="KZQ19" s="3507"/>
      <c r="KZR19" s="3507"/>
      <c r="KZS19" s="3507"/>
      <c r="KZT19" s="3507"/>
      <c r="KZU19" s="3507"/>
      <c r="KZV19" s="3507"/>
      <c r="KZW19" s="3507"/>
      <c r="KZX19" s="3507"/>
      <c r="KZY19" s="3507"/>
      <c r="KZZ19" s="3507"/>
      <c r="LAA19" s="3507"/>
      <c r="LAB19" s="3507"/>
      <c r="LAC19" s="3507"/>
      <c r="LAD19" s="3507"/>
      <c r="LAE19" s="3507"/>
      <c r="LAF19" s="3507"/>
      <c r="LAG19" s="3507"/>
      <c r="LAH19" s="3507"/>
      <c r="LAI19" s="3507"/>
      <c r="LAJ19" s="3507"/>
      <c r="LAK19" s="3507"/>
      <c r="LAL19" s="3507"/>
      <c r="LAM19" s="3507"/>
      <c r="LAN19" s="3507"/>
      <c r="LAO19" s="3507"/>
      <c r="LAP19" s="3507"/>
      <c r="LAQ19" s="3507"/>
      <c r="LAR19" s="3507"/>
      <c r="LAS19" s="3507"/>
      <c r="LAT19" s="3507"/>
      <c r="LAU19" s="3507"/>
      <c r="LAV19" s="3507"/>
      <c r="LAW19" s="3507"/>
      <c r="LAX19" s="3507"/>
      <c r="LAY19" s="3507"/>
      <c r="LAZ19" s="3507"/>
      <c r="LBA19" s="3507"/>
      <c r="LBB19" s="3507"/>
      <c r="LBC19" s="3507"/>
      <c r="LBD19" s="3507"/>
      <c r="LBE19" s="3507"/>
      <c r="LBF19" s="3507"/>
      <c r="LBG19" s="3507"/>
      <c r="LBH19" s="3507"/>
      <c r="LBI19" s="3507"/>
      <c r="LBJ19" s="3507"/>
      <c r="LBK19" s="3507"/>
      <c r="LBL19" s="3507"/>
      <c r="LBM19" s="3507"/>
      <c r="LBN19" s="3507"/>
      <c r="LBO19" s="3507"/>
      <c r="LBP19" s="3507"/>
      <c r="LBQ19" s="3507"/>
      <c r="LBR19" s="3507"/>
      <c r="LBS19" s="3507"/>
      <c r="LBT19" s="3507"/>
      <c r="LBU19" s="3507"/>
      <c r="LBV19" s="3507"/>
      <c r="LBW19" s="3507"/>
      <c r="LBX19" s="3507"/>
      <c r="LBY19" s="3507"/>
      <c r="LBZ19" s="3507"/>
      <c r="LCA19" s="3507"/>
      <c r="LCB19" s="3507"/>
      <c r="LCC19" s="3507"/>
      <c r="LCD19" s="3507"/>
      <c r="LCE19" s="3507"/>
      <c r="LCF19" s="3507"/>
      <c r="LCG19" s="3507"/>
      <c r="LCH19" s="3507"/>
      <c r="LCI19" s="3507"/>
      <c r="LCJ19" s="3507"/>
      <c r="LCK19" s="3507"/>
      <c r="LCL19" s="3507"/>
      <c r="LCM19" s="3507"/>
      <c r="LCN19" s="3507"/>
      <c r="LCO19" s="3507"/>
      <c r="LCP19" s="3507"/>
      <c r="LCQ19" s="3507"/>
      <c r="LCR19" s="3507"/>
      <c r="LCS19" s="3507"/>
      <c r="LCT19" s="3507"/>
      <c r="LCU19" s="3507"/>
      <c r="LCV19" s="3507"/>
      <c r="LCW19" s="3507"/>
      <c r="LCX19" s="3507"/>
      <c r="LCY19" s="3507"/>
      <c r="LCZ19" s="3507"/>
      <c r="LDA19" s="3507"/>
      <c r="LDB19" s="3507"/>
      <c r="LDC19" s="3507"/>
      <c r="LDD19" s="3507"/>
      <c r="LDE19" s="3507"/>
      <c r="LDF19" s="3507"/>
      <c r="LDG19" s="3507"/>
      <c r="LDH19" s="3507"/>
      <c r="LDI19" s="3507"/>
      <c r="LDJ19" s="3507"/>
      <c r="LDK19" s="3507"/>
      <c r="LDL19" s="3507"/>
      <c r="LDM19" s="3507"/>
      <c r="LDN19" s="3507"/>
      <c r="LDO19" s="3507"/>
      <c r="LDP19" s="3507"/>
      <c r="LDQ19" s="3507"/>
      <c r="LDR19" s="3507"/>
      <c r="LDS19" s="3507"/>
      <c r="LDT19" s="3507"/>
      <c r="LDU19" s="3507"/>
      <c r="LDV19" s="3507"/>
      <c r="LDW19" s="3507"/>
      <c r="LDX19" s="3507"/>
      <c r="LDY19" s="3507"/>
      <c r="LDZ19" s="3507"/>
      <c r="LEA19" s="3507"/>
      <c r="LEB19" s="3507"/>
      <c r="LEC19" s="3507"/>
      <c r="LED19" s="3507"/>
      <c r="LEE19" s="3507"/>
      <c r="LEF19" s="3507"/>
      <c r="LEG19" s="3507"/>
      <c r="LEH19" s="3507"/>
      <c r="LEI19" s="3507"/>
      <c r="LEJ19" s="3507"/>
      <c r="LEK19" s="3507"/>
      <c r="LEL19" s="3507"/>
      <c r="LEM19" s="3507"/>
      <c r="LEN19" s="3507"/>
      <c r="LEO19" s="3507"/>
      <c r="LEP19" s="3507"/>
      <c r="LEQ19" s="3507"/>
      <c r="LER19" s="3507"/>
      <c r="LES19" s="3507"/>
      <c r="LET19" s="3507"/>
      <c r="LEU19" s="3507"/>
      <c r="LEV19" s="3507"/>
      <c r="LEW19" s="3507"/>
      <c r="LEX19" s="3507"/>
      <c r="LEY19" s="3507"/>
      <c r="LEZ19" s="3507"/>
      <c r="LFA19" s="3507"/>
      <c r="LFB19" s="3507"/>
      <c r="LFC19" s="3507"/>
      <c r="LFD19" s="3507"/>
      <c r="LFE19" s="3507"/>
      <c r="LFF19" s="3507"/>
      <c r="LFG19" s="3507"/>
      <c r="LFH19" s="3507"/>
      <c r="LFI19" s="3507"/>
      <c r="LFJ19" s="3507"/>
      <c r="LFK19" s="3507"/>
      <c r="LFL19" s="3507"/>
      <c r="LFM19" s="3507"/>
      <c r="LFN19" s="3507"/>
      <c r="LFO19" s="3507"/>
      <c r="LFP19" s="3507"/>
      <c r="LFQ19" s="3507"/>
      <c r="LFR19" s="3507"/>
      <c r="LFS19" s="3507"/>
      <c r="LFT19" s="3507"/>
      <c r="LFU19" s="3507"/>
      <c r="LFV19" s="3507"/>
      <c r="LFW19" s="3507"/>
      <c r="LFX19" s="3507"/>
      <c r="LFY19" s="3507"/>
      <c r="LFZ19" s="3507"/>
      <c r="LGA19" s="3507"/>
      <c r="LGB19" s="3507"/>
      <c r="LGC19" s="3507"/>
      <c r="LGD19" s="3507"/>
      <c r="LGE19" s="3507"/>
      <c r="LGF19" s="3507"/>
      <c r="LGG19" s="3507"/>
      <c r="LGH19" s="3507"/>
      <c r="LGI19" s="3507"/>
      <c r="LGJ19" s="3507"/>
      <c r="LGK19" s="3507"/>
      <c r="LGL19" s="3507"/>
      <c r="LGM19" s="3507"/>
      <c r="LGN19" s="3507"/>
      <c r="LGO19" s="3507"/>
      <c r="LGP19" s="3507"/>
      <c r="LGQ19" s="3507"/>
      <c r="LGR19" s="3507"/>
      <c r="LGS19" s="3507"/>
      <c r="LGT19" s="3507"/>
      <c r="LGU19" s="3507"/>
      <c r="LGV19" s="3507"/>
      <c r="LGW19" s="3507"/>
      <c r="LGX19" s="3507"/>
      <c r="LGY19" s="3507"/>
      <c r="LGZ19" s="3507"/>
      <c r="LHA19" s="3507"/>
      <c r="LHB19" s="3507"/>
      <c r="LHC19" s="3507"/>
      <c r="LHD19" s="3507"/>
      <c r="LHE19" s="3507"/>
      <c r="LHF19" s="3507"/>
      <c r="LHG19" s="3507"/>
      <c r="LHH19" s="3507"/>
      <c r="LHI19" s="3507"/>
      <c r="LHJ19" s="3507"/>
      <c r="LHK19" s="3507"/>
      <c r="LHL19" s="3507"/>
      <c r="LHM19" s="3507"/>
      <c r="LHN19" s="3507"/>
      <c r="LHO19" s="3507"/>
      <c r="LHP19" s="3507"/>
      <c r="LHQ19" s="3507"/>
      <c r="LHR19" s="3507"/>
      <c r="LHS19" s="3507"/>
      <c r="LHT19" s="3507"/>
      <c r="LHU19" s="3507"/>
      <c r="LHV19" s="3507"/>
      <c r="LHW19" s="3507"/>
      <c r="LHX19" s="3507"/>
      <c r="LHY19" s="3507"/>
      <c r="LHZ19" s="3507"/>
      <c r="LIA19" s="3507"/>
      <c r="LIB19" s="3507"/>
      <c r="LIC19" s="3507"/>
      <c r="LID19" s="3507"/>
      <c r="LIE19" s="3507"/>
      <c r="LIF19" s="3507"/>
      <c r="LIG19" s="3507"/>
      <c r="LIH19" s="3507"/>
      <c r="LII19" s="3507"/>
      <c r="LIJ19" s="3507"/>
      <c r="LIK19" s="3507"/>
      <c r="LIL19" s="3507"/>
      <c r="LIM19" s="3507"/>
      <c r="LIN19" s="3507"/>
      <c r="LIO19" s="3507"/>
      <c r="LIP19" s="3507"/>
      <c r="LIQ19" s="3507"/>
      <c r="LIR19" s="3507"/>
      <c r="LIS19" s="3507"/>
      <c r="LIT19" s="3507"/>
      <c r="LIU19" s="3507"/>
      <c r="LIV19" s="3507"/>
      <c r="LIW19" s="3507"/>
      <c r="LIX19" s="3507"/>
      <c r="LIY19" s="3507"/>
      <c r="LIZ19" s="3507"/>
      <c r="LJA19" s="3507"/>
      <c r="LJB19" s="3507"/>
      <c r="LJC19" s="3507"/>
      <c r="LJD19" s="3507"/>
      <c r="LJE19" s="3507"/>
      <c r="LJF19" s="3507"/>
      <c r="LJG19" s="3507"/>
      <c r="LJH19" s="3507"/>
      <c r="LJI19" s="3507"/>
      <c r="LJJ19" s="3507"/>
      <c r="LJK19" s="3507"/>
      <c r="LJL19" s="3507"/>
      <c r="LJM19" s="3507"/>
      <c r="LJN19" s="3507"/>
      <c r="LJO19" s="3507"/>
      <c r="LJP19" s="3507"/>
      <c r="LJQ19" s="3507"/>
      <c r="LJR19" s="3507"/>
      <c r="LJS19" s="3507"/>
      <c r="LJT19" s="3507"/>
      <c r="LJU19" s="3507"/>
      <c r="LJV19" s="3507"/>
      <c r="LJW19" s="3507"/>
      <c r="LJX19" s="3507"/>
      <c r="LJY19" s="3507"/>
      <c r="LJZ19" s="3507"/>
      <c r="LKA19" s="3507"/>
      <c r="LKB19" s="3507"/>
      <c r="LKC19" s="3507"/>
      <c r="LKD19" s="3507"/>
      <c r="LKE19" s="3507"/>
      <c r="LKF19" s="3507"/>
      <c r="LKG19" s="3507"/>
      <c r="LKH19" s="3507"/>
      <c r="LKI19" s="3507"/>
      <c r="LKJ19" s="3507"/>
      <c r="LKK19" s="3507"/>
      <c r="LKL19" s="3507"/>
      <c r="LKM19" s="3507"/>
      <c r="LKN19" s="3507"/>
      <c r="LKO19" s="3507"/>
      <c r="LKP19" s="3507"/>
      <c r="LKQ19" s="3507"/>
      <c r="LKR19" s="3507"/>
      <c r="LKS19" s="3507"/>
      <c r="LKT19" s="3507"/>
      <c r="LKU19" s="3507"/>
      <c r="LKV19" s="3507"/>
      <c r="LKW19" s="3507"/>
      <c r="LKX19" s="3507"/>
      <c r="LKY19" s="3507"/>
      <c r="LKZ19" s="3507"/>
      <c r="LLA19" s="3507"/>
      <c r="LLB19" s="3507"/>
      <c r="LLC19" s="3507"/>
      <c r="LLD19" s="3507"/>
      <c r="LLE19" s="3507"/>
      <c r="LLF19" s="3507"/>
      <c r="LLG19" s="3507"/>
      <c r="LLH19" s="3507"/>
      <c r="LLI19" s="3507"/>
      <c r="LLJ19" s="3507"/>
      <c r="LLK19" s="3507"/>
      <c r="LLL19" s="3507"/>
      <c r="LLM19" s="3507"/>
      <c r="LLN19" s="3507"/>
      <c r="LLO19" s="3507"/>
      <c r="LLP19" s="3507"/>
      <c r="LLQ19" s="3507"/>
      <c r="LLR19" s="3507"/>
      <c r="LLS19" s="3507"/>
      <c r="LLT19" s="3507"/>
      <c r="LLU19" s="3507"/>
      <c r="LLV19" s="3507"/>
      <c r="LLW19" s="3507"/>
      <c r="LLX19" s="3507"/>
      <c r="LLY19" s="3507"/>
      <c r="LLZ19" s="3507"/>
      <c r="LMA19" s="3507"/>
      <c r="LMB19" s="3507"/>
      <c r="LMC19" s="3507"/>
      <c r="LMD19" s="3507"/>
      <c r="LME19" s="3507"/>
      <c r="LMF19" s="3507"/>
      <c r="LMG19" s="3507"/>
      <c r="LMH19" s="3507"/>
      <c r="LMI19" s="3507"/>
      <c r="LMJ19" s="3507"/>
      <c r="LMK19" s="3507"/>
      <c r="LML19" s="3507"/>
      <c r="LMM19" s="3507"/>
      <c r="LMN19" s="3507"/>
      <c r="LMO19" s="3507"/>
      <c r="LMP19" s="3507"/>
      <c r="LMQ19" s="3507"/>
      <c r="LMR19" s="3507"/>
      <c r="LMS19" s="3507"/>
      <c r="LMT19" s="3507"/>
      <c r="LMU19" s="3507"/>
      <c r="LMV19" s="3507"/>
      <c r="LMW19" s="3507"/>
      <c r="LMX19" s="3507"/>
      <c r="LMY19" s="3507"/>
      <c r="LMZ19" s="3507"/>
      <c r="LNA19" s="3507"/>
      <c r="LNB19" s="3507"/>
      <c r="LNC19" s="3507"/>
      <c r="LND19" s="3507"/>
      <c r="LNE19" s="3507"/>
      <c r="LNF19" s="3507"/>
      <c r="LNG19" s="3507"/>
      <c r="LNH19" s="3507"/>
      <c r="LNI19" s="3507"/>
      <c r="LNJ19" s="3507"/>
      <c r="LNK19" s="3507"/>
      <c r="LNL19" s="3507"/>
      <c r="LNM19" s="3507"/>
      <c r="LNN19" s="3507"/>
      <c r="LNO19" s="3507"/>
      <c r="LNP19" s="3507"/>
      <c r="LNQ19" s="3507"/>
      <c r="LNR19" s="3507"/>
      <c r="LNS19" s="3507"/>
      <c r="LNT19" s="3507"/>
      <c r="LNU19" s="3507"/>
      <c r="LNV19" s="3507"/>
      <c r="LNW19" s="3507"/>
      <c r="LNX19" s="3507"/>
      <c r="LNY19" s="3507"/>
      <c r="LNZ19" s="3507"/>
      <c r="LOA19" s="3507"/>
      <c r="LOB19" s="3507"/>
      <c r="LOC19" s="3507"/>
      <c r="LOD19" s="3507"/>
      <c r="LOE19" s="3507"/>
      <c r="LOF19" s="3507"/>
      <c r="LOG19" s="3507"/>
      <c r="LOH19" s="3507"/>
      <c r="LOI19" s="3507"/>
      <c r="LOJ19" s="3507"/>
      <c r="LOK19" s="3507"/>
      <c r="LOL19" s="3507"/>
      <c r="LOM19" s="3507"/>
      <c r="LON19" s="3507"/>
      <c r="LOO19" s="3507"/>
      <c r="LOP19" s="3507"/>
      <c r="LOQ19" s="3507"/>
      <c r="LOR19" s="3507"/>
      <c r="LOS19" s="3507"/>
      <c r="LOT19" s="3507"/>
      <c r="LOU19" s="3507"/>
      <c r="LOV19" s="3507"/>
      <c r="LOW19" s="3507"/>
      <c r="LOX19" s="3507"/>
      <c r="LOY19" s="3507"/>
      <c r="LOZ19" s="3507"/>
      <c r="LPA19" s="3507"/>
      <c r="LPB19" s="3507"/>
      <c r="LPC19" s="3507"/>
      <c r="LPD19" s="3507"/>
      <c r="LPE19" s="3507"/>
      <c r="LPF19" s="3507"/>
      <c r="LPG19" s="3507"/>
      <c r="LPH19" s="3507"/>
      <c r="LPI19" s="3507"/>
      <c r="LPJ19" s="3507"/>
      <c r="LPK19" s="3507"/>
      <c r="LPL19" s="3507"/>
      <c r="LPM19" s="3507"/>
      <c r="LPN19" s="3507"/>
      <c r="LPO19" s="3507"/>
      <c r="LPP19" s="3507"/>
      <c r="LPQ19" s="3507"/>
      <c r="LPR19" s="3507"/>
      <c r="LPS19" s="3507"/>
      <c r="LPT19" s="3507"/>
      <c r="LPU19" s="3507"/>
      <c r="LPV19" s="3507"/>
      <c r="LPW19" s="3507"/>
      <c r="LPX19" s="3507"/>
      <c r="LPY19" s="3507"/>
      <c r="LPZ19" s="3507"/>
      <c r="LQA19" s="3507"/>
      <c r="LQB19" s="3507"/>
      <c r="LQC19" s="3507"/>
      <c r="LQD19" s="3507"/>
      <c r="LQE19" s="3507"/>
      <c r="LQF19" s="3507"/>
      <c r="LQG19" s="3507"/>
      <c r="LQH19" s="3507"/>
      <c r="LQI19" s="3507"/>
      <c r="LQJ19" s="3507"/>
      <c r="LQK19" s="3507"/>
      <c r="LQL19" s="3507"/>
      <c r="LQM19" s="3507"/>
      <c r="LQN19" s="3507"/>
      <c r="LQO19" s="3507"/>
      <c r="LQP19" s="3507"/>
      <c r="LQQ19" s="3507"/>
      <c r="LQR19" s="3507"/>
      <c r="LQS19" s="3507"/>
      <c r="LQT19" s="3507"/>
      <c r="LQU19" s="3507"/>
      <c r="LQV19" s="3507"/>
      <c r="LQW19" s="3507"/>
      <c r="LQX19" s="3507"/>
      <c r="LQY19" s="3507"/>
      <c r="LQZ19" s="3507"/>
      <c r="LRA19" s="3507"/>
      <c r="LRB19" s="3507"/>
      <c r="LRC19" s="3507"/>
      <c r="LRD19" s="3507"/>
      <c r="LRE19" s="3507"/>
      <c r="LRF19" s="3507"/>
      <c r="LRG19" s="3507"/>
      <c r="LRH19" s="3507"/>
      <c r="LRI19" s="3507"/>
      <c r="LRJ19" s="3507"/>
      <c r="LRK19" s="3507"/>
      <c r="LRL19" s="3507"/>
      <c r="LRM19" s="3507"/>
      <c r="LRN19" s="3507"/>
      <c r="LRO19" s="3507"/>
      <c r="LRP19" s="3507"/>
      <c r="LRQ19" s="3507"/>
      <c r="LRR19" s="3507"/>
      <c r="LRS19" s="3507"/>
      <c r="LRT19" s="3507"/>
      <c r="LRU19" s="3507"/>
      <c r="LRV19" s="3507"/>
      <c r="LRW19" s="3507"/>
      <c r="LRX19" s="3507"/>
      <c r="LRY19" s="3507"/>
      <c r="LRZ19" s="3507"/>
      <c r="LSA19" s="3507"/>
      <c r="LSB19" s="3507"/>
      <c r="LSC19" s="3507"/>
      <c r="LSD19" s="3507"/>
      <c r="LSE19" s="3507"/>
      <c r="LSF19" s="3507"/>
      <c r="LSG19" s="3507"/>
      <c r="LSH19" s="3507"/>
      <c r="LSI19" s="3507"/>
      <c r="LSJ19" s="3507"/>
      <c r="LSK19" s="3507"/>
      <c r="LSL19" s="3507"/>
      <c r="LSM19" s="3507"/>
      <c r="LSN19" s="3507"/>
      <c r="LSO19" s="3507"/>
      <c r="LSP19" s="3507"/>
      <c r="LSQ19" s="3507"/>
      <c r="LSR19" s="3507"/>
      <c r="LSS19" s="3507"/>
      <c r="LST19" s="3507"/>
      <c r="LSU19" s="3507"/>
      <c r="LSV19" s="3507"/>
      <c r="LSW19" s="3507"/>
      <c r="LSX19" s="3507"/>
      <c r="LSY19" s="3507"/>
      <c r="LSZ19" s="3507"/>
      <c r="LTA19" s="3507"/>
      <c r="LTB19" s="3507"/>
      <c r="LTC19" s="3507"/>
      <c r="LTD19" s="3507"/>
      <c r="LTE19" s="3507"/>
      <c r="LTF19" s="3507"/>
      <c r="LTG19" s="3507"/>
      <c r="LTH19" s="3507"/>
      <c r="LTI19" s="3507"/>
      <c r="LTJ19" s="3507"/>
      <c r="LTK19" s="3507"/>
      <c r="LTL19" s="3507"/>
      <c r="LTM19" s="3507"/>
      <c r="LTN19" s="3507"/>
      <c r="LTO19" s="3507"/>
      <c r="LTP19" s="3507"/>
      <c r="LTQ19" s="3507"/>
      <c r="LTR19" s="3507"/>
      <c r="LTS19" s="3507"/>
      <c r="LTT19" s="3507"/>
      <c r="LTU19" s="3507"/>
      <c r="LTV19" s="3507"/>
      <c r="LTW19" s="3507"/>
      <c r="LTX19" s="3507"/>
      <c r="LTY19" s="3507"/>
      <c r="LTZ19" s="3507"/>
      <c r="LUA19" s="3507"/>
      <c r="LUB19" s="3507"/>
      <c r="LUC19" s="3507"/>
      <c r="LUD19" s="3507"/>
      <c r="LUE19" s="3507"/>
      <c r="LUF19" s="3507"/>
      <c r="LUG19" s="3507"/>
      <c r="LUH19" s="3507"/>
      <c r="LUI19" s="3507"/>
      <c r="LUJ19" s="3507"/>
      <c r="LUK19" s="3507"/>
      <c r="LUL19" s="3507"/>
      <c r="LUM19" s="3507"/>
      <c r="LUN19" s="3507"/>
      <c r="LUO19" s="3507"/>
      <c r="LUP19" s="3507"/>
      <c r="LUQ19" s="3507"/>
      <c r="LUR19" s="3507"/>
      <c r="LUS19" s="3507"/>
      <c r="LUT19" s="3507"/>
      <c r="LUU19" s="3507"/>
      <c r="LUV19" s="3507"/>
      <c r="LUW19" s="3507"/>
      <c r="LUX19" s="3507"/>
      <c r="LUY19" s="3507"/>
      <c r="LUZ19" s="3507"/>
      <c r="LVA19" s="3507"/>
      <c r="LVB19" s="3507"/>
      <c r="LVC19" s="3507"/>
      <c r="LVD19" s="3507"/>
      <c r="LVE19" s="3507"/>
      <c r="LVF19" s="3507"/>
      <c r="LVG19" s="3507"/>
      <c r="LVH19" s="3507"/>
      <c r="LVI19" s="3507"/>
      <c r="LVJ19" s="3507"/>
      <c r="LVK19" s="3507"/>
      <c r="LVL19" s="3507"/>
      <c r="LVM19" s="3507"/>
      <c r="LVN19" s="3507"/>
      <c r="LVO19" s="3507"/>
      <c r="LVP19" s="3507"/>
      <c r="LVQ19" s="3507"/>
      <c r="LVR19" s="3507"/>
      <c r="LVS19" s="3507"/>
      <c r="LVT19" s="3507"/>
      <c r="LVU19" s="3507"/>
      <c r="LVV19" s="3507"/>
      <c r="LVW19" s="3507"/>
      <c r="LVX19" s="3507"/>
      <c r="LVY19" s="3507"/>
      <c r="LVZ19" s="3507"/>
      <c r="LWA19" s="3507"/>
      <c r="LWB19" s="3507"/>
      <c r="LWC19" s="3507"/>
      <c r="LWD19" s="3507"/>
      <c r="LWE19" s="3507"/>
      <c r="LWF19" s="3507"/>
      <c r="LWG19" s="3507"/>
      <c r="LWH19" s="3507"/>
      <c r="LWI19" s="3507"/>
      <c r="LWJ19" s="3507"/>
      <c r="LWK19" s="3507"/>
      <c r="LWL19" s="3507"/>
      <c r="LWM19" s="3507"/>
      <c r="LWN19" s="3507"/>
      <c r="LWO19" s="3507"/>
      <c r="LWP19" s="3507"/>
      <c r="LWQ19" s="3507"/>
      <c r="LWR19" s="3507"/>
      <c r="LWS19" s="3507"/>
      <c r="LWT19" s="3507"/>
      <c r="LWU19" s="3507"/>
      <c r="LWV19" s="3507"/>
      <c r="LWW19" s="3507"/>
      <c r="LWX19" s="3507"/>
      <c r="LWY19" s="3507"/>
      <c r="LWZ19" s="3507"/>
      <c r="LXA19" s="3507"/>
      <c r="LXB19" s="3507"/>
      <c r="LXC19" s="3507"/>
      <c r="LXD19" s="3507"/>
      <c r="LXE19" s="3507"/>
      <c r="LXF19" s="3507"/>
      <c r="LXG19" s="3507"/>
      <c r="LXH19" s="3507"/>
      <c r="LXI19" s="3507"/>
      <c r="LXJ19" s="3507"/>
      <c r="LXK19" s="3507"/>
      <c r="LXL19" s="3507"/>
      <c r="LXM19" s="3507"/>
      <c r="LXN19" s="3507"/>
      <c r="LXO19" s="3507"/>
      <c r="LXP19" s="3507"/>
      <c r="LXQ19" s="3507"/>
      <c r="LXR19" s="3507"/>
      <c r="LXS19" s="3507"/>
      <c r="LXT19" s="3507"/>
      <c r="LXU19" s="3507"/>
      <c r="LXV19" s="3507"/>
      <c r="LXW19" s="3507"/>
      <c r="LXX19" s="3507"/>
      <c r="LXY19" s="3507"/>
      <c r="LXZ19" s="3507"/>
      <c r="LYA19" s="3507"/>
      <c r="LYB19" s="3507"/>
      <c r="LYC19" s="3507"/>
      <c r="LYD19" s="3507"/>
      <c r="LYE19" s="3507"/>
      <c r="LYF19" s="3507"/>
      <c r="LYG19" s="3507"/>
      <c r="LYH19" s="3507"/>
      <c r="LYI19" s="3507"/>
      <c r="LYJ19" s="3507"/>
      <c r="LYK19" s="3507"/>
      <c r="LYL19" s="3507"/>
      <c r="LYM19" s="3507"/>
      <c r="LYN19" s="3507"/>
      <c r="LYO19" s="3507"/>
      <c r="LYP19" s="3507"/>
      <c r="LYQ19" s="3507"/>
      <c r="LYR19" s="3507"/>
      <c r="LYS19" s="3507"/>
      <c r="LYT19" s="3507"/>
      <c r="LYU19" s="3507"/>
      <c r="LYV19" s="3507"/>
      <c r="LYW19" s="3507"/>
      <c r="LYX19" s="3507"/>
      <c r="LYY19" s="3507"/>
      <c r="LYZ19" s="3507"/>
      <c r="LZA19" s="3507"/>
      <c r="LZB19" s="3507"/>
      <c r="LZC19" s="3507"/>
      <c r="LZD19" s="3507"/>
      <c r="LZE19" s="3507"/>
      <c r="LZF19" s="3507"/>
      <c r="LZG19" s="3507"/>
      <c r="LZH19" s="3507"/>
      <c r="LZI19" s="3507"/>
      <c r="LZJ19" s="3507"/>
      <c r="LZK19" s="3507"/>
      <c r="LZL19" s="3507"/>
      <c r="LZM19" s="3507"/>
      <c r="LZN19" s="3507"/>
      <c r="LZO19" s="3507"/>
      <c r="LZP19" s="3507"/>
      <c r="LZQ19" s="3507"/>
      <c r="LZR19" s="3507"/>
      <c r="LZS19" s="3507"/>
      <c r="LZT19" s="3507"/>
      <c r="LZU19" s="3507"/>
      <c r="LZV19" s="3507"/>
      <c r="LZW19" s="3507"/>
      <c r="LZX19" s="3507"/>
      <c r="LZY19" s="3507"/>
      <c r="LZZ19" s="3507"/>
      <c r="MAA19" s="3507"/>
      <c r="MAB19" s="3507"/>
      <c r="MAC19" s="3507"/>
      <c r="MAD19" s="3507"/>
      <c r="MAE19" s="3507"/>
      <c r="MAF19" s="3507"/>
      <c r="MAG19" s="3507"/>
      <c r="MAH19" s="3507"/>
      <c r="MAI19" s="3507"/>
      <c r="MAJ19" s="3507"/>
      <c r="MAK19" s="3507"/>
      <c r="MAL19" s="3507"/>
      <c r="MAM19" s="3507"/>
      <c r="MAN19" s="3507"/>
      <c r="MAO19" s="3507"/>
      <c r="MAP19" s="3507"/>
      <c r="MAQ19" s="3507"/>
      <c r="MAR19" s="3507"/>
      <c r="MAS19" s="3507"/>
      <c r="MAT19" s="3507"/>
      <c r="MAU19" s="3507"/>
      <c r="MAV19" s="3507"/>
      <c r="MAW19" s="3507"/>
      <c r="MAX19" s="3507"/>
      <c r="MAY19" s="3507"/>
      <c r="MAZ19" s="3507"/>
      <c r="MBA19" s="3507"/>
      <c r="MBB19" s="3507"/>
      <c r="MBC19" s="3507"/>
      <c r="MBD19" s="3507"/>
      <c r="MBE19" s="3507"/>
      <c r="MBF19" s="3507"/>
      <c r="MBG19" s="3507"/>
      <c r="MBH19" s="3507"/>
      <c r="MBI19" s="3507"/>
      <c r="MBJ19" s="3507"/>
      <c r="MBK19" s="3507"/>
      <c r="MBL19" s="3507"/>
      <c r="MBM19" s="3507"/>
      <c r="MBN19" s="3507"/>
      <c r="MBO19" s="3507"/>
      <c r="MBP19" s="3507"/>
      <c r="MBQ19" s="3507"/>
      <c r="MBR19" s="3507"/>
      <c r="MBS19" s="3507"/>
      <c r="MBT19" s="3507"/>
      <c r="MBU19" s="3507"/>
      <c r="MBV19" s="3507"/>
      <c r="MBW19" s="3507"/>
      <c r="MBX19" s="3507"/>
      <c r="MBY19" s="3507"/>
      <c r="MBZ19" s="3507"/>
      <c r="MCA19" s="3507"/>
      <c r="MCB19" s="3507"/>
      <c r="MCC19" s="3507"/>
      <c r="MCD19" s="3507"/>
      <c r="MCE19" s="3507"/>
      <c r="MCF19" s="3507"/>
      <c r="MCG19" s="3507"/>
      <c r="MCH19" s="3507"/>
      <c r="MCI19" s="3507"/>
      <c r="MCJ19" s="3507"/>
      <c r="MCK19" s="3507"/>
      <c r="MCL19" s="3507"/>
      <c r="MCM19" s="3507"/>
      <c r="MCN19" s="3507"/>
      <c r="MCO19" s="3507"/>
      <c r="MCP19" s="3507"/>
      <c r="MCQ19" s="3507"/>
      <c r="MCR19" s="3507"/>
      <c r="MCS19" s="3507"/>
      <c r="MCT19" s="3507"/>
      <c r="MCU19" s="3507"/>
      <c r="MCV19" s="3507"/>
      <c r="MCW19" s="3507"/>
      <c r="MCX19" s="3507"/>
      <c r="MCY19" s="3507"/>
      <c r="MCZ19" s="3507"/>
      <c r="MDA19" s="3507"/>
      <c r="MDB19" s="3507"/>
      <c r="MDC19" s="3507"/>
      <c r="MDD19" s="3507"/>
      <c r="MDE19" s="3507"/>
      <c r="MDF19" s="3507"/>
      <c r="MDG19" s="3507"/>
      <c r="MDH19" s="3507"/>
      <c r="MDI19" s="3507"/>
      <c r="MDJ19" s="3507"/>
      <c r="MDK19" s="3507"/>
      <c r="MDL19" s="3507"/>
      <c r="MDM19" s="3507"/>
      <c r="MDN19" s="3507"/>
      <c r="MDO19" s="3507"/>
      <c r="MDP19" s="3507"/>
      <c r="MDQ19" s="3507"/>
      <c r="MDR19" s="3507"/>
      <c r="MDS19" s="3507"/>
      <c r="MDT19" s="3507"/>
      <c r="MDU19" s="3507"/>
      <c r="MDV19" s="3507"/>
      <c r="MDW19" s="3507"/>
      <c r="MDX19" s="3507"/>
      <c r="MDY19" s="3507"/>
      <c r="MDZ19" s="3507"/>
      <c r="MEA19" s="3507"/>
      <c r="MEB19" s="3507"/>
      <c r="MEC19" s="3507"/>
      <c r="MED19" s="3507"/>
      <c r="MEE19" s="3507"/>
      <c r="MEF19" s="3507"/>
      <c r="MEG19" s="3507"/>
      <c r="MEH19" s="3507"/>
      <c r="MEI19" s="3507"/>
      <c r="MEJ19" s="3507"/>
      <c r="MEK19" s="3507"/>
      <c r="MEL19" s="3507"/>
      <c r="MEM19" s="3507"/>
      <c r="MEN19" s="3507"/>
      <c r="MEO19" s="3507"/>
      <c r="MEP19" s="3507"/>
      <c r="MEQ19" s="3507"/>
      <c r="MER19" s="3507"/>
      <c r="MES19" s="3507"/>
      <c r="MET19" s="3507"/>
      <c r="MEU19" s="3507"/>
      <c r="MEV19" s="3507"/>
      <c r="MEW19" s="3507"/>
      <c r="MEX19" s="3507"/>
      <c r="MEY19" s="3507"/>
      <c r="MEZ19" s="3507"/>
      <c r="MFA19" s="3507"/>
      <c r="MFB19" s="3507"/>
      <c r="MFC19" s="3507"/>
      <c r="MFD19" s="3507"/>
      <c r="MFE19" s="3507"/>
      <c r="MFF19" s="3507"/>
      <c r="MFG19" s="3507"/>
      <c r="MFH19" s="3507"/>
      <c r="MFI19" s="3507"/>
      <c r="MFJ19" s="3507"/>
      <c r="MFK19" s="3507"/>
      <c r="MFL19" s="3507"/>
      <c r="MFM19" s="3507"/>
      <c r="MFN19" s="3507"/>
      <c r="MFO19" s="3507"/>
      <c r="MFP19" s="3507"/>
      <c r="MFQ19" s="3507"/>
      <c r="MFR19" s="3507"/>
      <c r="MFS19" s="3507"/>
      <c r="MFT19" s="3507"/>
      <c r="MFU19" s="3507"/>
      <c r="MFV19" s="3507"/>
      <c r="MFW19" s="3507"/>
      <c r="MFX19" s="3507"/>
      <c r="MFY19" s="3507"/>
      <c r="MFZ19" s="3507"/>
      <c r="MGA19" s="3507"/>
      <c r="MGB19" s="3507"/>
      <c r="MGC19" s="3507"/>
      <c r="MGD19" s="3507"/>
      <c r="MGE19" s="3507"/>
      <c r="MGF19" s="3507"/>
      <c r="MGG19" s="3507"/>
      <c r="MGH19" s="3507"/>
      <c r="MGI19" s="3507"/>
      <c r="MGJ19" s="3507"/>
      <c r="MGK19" s="3507"/>
      <c r="MGL19" s="3507"/>
      <c r="MGM19" s="3507"/>
      <c r="MGN19" s="3507"/>
      <c r="MGO19" s="3507"/>
      <c r="MGP19" s="3507"/>
      <c r="MGQ19" s="3507"/>
      <c r="MGR19" s="3507"/>
      <c r="MGS19" s="3507"/>
      <c r="MGT19" s="3507"/>
      <c r="MGU19" s="3507"/>
      <c r="MGV19" s="3507"/>
      <c r="MGW19" s="3507"/>
      <c r="MGX19" s="3507"/>
      <c r="MGY19" s="3507"/>
      <c r="MGZ19" s="3507"/>
      <c r="MHA19" s="3507"/>
      <c r="MHB19" s="3507"/>
      <c r="MHC19" s="3507"/>
      <c r="MHD19" s="3507"/>
      <c r="MHE19" s="3507"/>
      <c r="MHF19" s="3507"/>
      <c r="MHG19" s="3507"/>
      <c r="MHH19" s="3507"/>
      <c r="MHI19" s="3507"/>
      <c r="MHJ19" s="3507"/>
      <c r="MHK19" s="3507"/>
      <c r="MHL19" s="3507"/>
      <c r="MHM19" s="3507"/>
      <c r="MHN19" s="3507"/>
      <c r="MHO19" s="3507"/>
      <c r="MHP19" s="3507"/>
      <c r="MHQ19" s="3507"/>
      <c r="MHR19" s="3507"/>
      <c r="MHS19" s="3507"/>
      <c r="MHT19" s="3507"/>
      <c r="MHU19" s="3507"/>
      <c r="MHV19" s="3507"/>
      <c r="MHW19" s="3507"/>
      <c r="MHX19" s="3507"/>
      <c r="MHY19" s="3507"/>
      <c r="MHZ19" s="3507"/>
      <c r="MIA19" s="3507"/>
      <c r="MIB19" s="3507"/>
      <c r="MIC19" s="3507"/>
      <c r="MID19" s="3507"/>
      <c r="MIE19" s="3507"/>
      <c r="MIF19" s="3507"/>
      <c r="MIG19" s="3507"/>
      <c r="MIH19" s="3507"/>
      <c r="MII19" s="3507"/>
      <c r="MIJ19" s="3507"/>
      <c r="MIK19" s="3507"/>
      <c r="MIL19" s="3507"/>
      <c r="MIM19" s="3507"/>
      <c r="MIN19" s="3507"/>
      <c r="MIO19" s="3507"/>
      <c r="MIP19" s="3507"/>
      <c r="MIQ19" s="3507"/>
      <c r="MIR19" s="3507"/>
      <c r="MIS19" s="3507"/>
      <c r="MIT19" s="3507"/>
      <c r="MIU19" s="3507"/>
      <c r="MIV19" s="3507"/>
      <c r="MIW19" s="3507"/>
      <c r="MIX19" s="3507"/>
      <c r="MIY19" s="3507"/>
      <c r="MIZ19" s="3507"/>
      <c r="MJA19" s="3507"/>
      <c r="MJB19" s="3507"/>
      <c r="MJC19" s="3507"/>
      <c r="MJD19" s="3507"/>
      <c r="MJE19" s="3507"/>
      <c r="MJF19" s="3507"/>
      <c r="MJG19" s="3507"/>
      <c r="MJH19" s="3507"/>
      <c r="MJI19" s="3507"/>
      <c r="MJJ19" s="3507"/>
      <c r="MJK19" s="3507"/>
      <c r="MJL19" s="3507"/>
      <c r="MJM19" s="3507"/>
      <c r="MJN19" s="3507"/>
      <c r="MJO19" s="3507"/>
      <c r="MJP19" s="3507"/>
      <c r="MJQ19" s="3507"/>
      <c r="MJR19" s="3507"/>
      <c r="MJS19" s="3507"/>
      <c r="MJT19" s="3507"/>
      <c r="MJU19" s="3507"/>
      <c r="MJV19" s="3507"/>
      <c r="MJW19" s="3507"/>
      <c r="MJX19" s="3507"/>
      <c r="MJY19" s="3507"/>
      <c r="MJZ19" s="3507"/>
      <c r="MKA19" s="3507"/>
      <c r="MKB19" s="3507"/>
      <c r="MKC19" s="3507"/>
      <c r="MKD19" s="3507"/>
      <c r="MKE19" s="3507"/>
      <c r="MKF19" s="3507"/>
      <c r="MKG19" s="3507"/>
      <c r="MKH19" s="3507"/>
      <c r="MKI19" s="3507"/>
      <c r="MKJ19" s="3507"/>
      <c r="MKK19" s="3507"/>
      <c r="MKL19" s="3507"/>
      <c r="MKM19" s="3507"/>
      <c r="MKN19" s="3507"/>
      <c r="MKO19" s="3507"/>
      <c r="MKP19" s="3507"/>
      <c r="MKQ19" s="3507"/>
      <c r="MKR19" s="3507"/>
      <c r="MKS19" s="3507"/>
      <c r="MKT19" s="3507"/>
      <c r="MKU19" s="3507"/>
      <c r="MKV19" s="3507"/>
      <c r="MKW19" s="3507"/>
      <c r="MKX19" s="3507"/>
      <c r="MKY19" s="3507"/>
      <c r="MKZ19" s="3507"/>
      <c r="MLA19" s="3507"/>
      <c r="MLB19" s="3507"/>
      <c r="MLC19" s="3507"/>
      <c r="MLD19" s="3507"/>
      <c r="MLE19" s="3507"/>
      <c r="MLF19" s="3507"/>
      <c r="MLG19" s="3507"/>
      <c r="MLH19" s="3507"/>
      <c r="MLI19" s="3507"/>
      <c r="MLJ19" s="3507"/>
      <c r="MLK19" s="3507"/>
      <c r="MLL19" s="3507"/>
      <c r="MLM19" s="3507"/>
      <c r="MLN19" s="3507"/>
      <c r="MLO19" s="3507"/>
      <c r="MLP19" s="3507"/>
      <c r="MLQ19" s="3507"/>
      <c r="MLR19" s="3507"/>
      <c r="MLS19" s="3507"/>
      <c r="MLT19" s="3507"/>
      <c r="MLU19" s="3507"/>
      <c r="MLV19" s="3507"/>
      <c r="MLW19" s="3507"/>
      <c r="MLX19" s="3507"/>
      <c r="MLY19" s="3507"/>
      <c r="MLZ19" s="3507"/>
      <c r="MMA19" s="3507"/>
      <c r="MMB19" s="3507"/>
      <c r="MMC19" s="3507"/>
      <c r="MMD19" s="3507"/>
      <c r="MME19" s="3507"/>
      <c r="MMF19" s="3507"/>
      <c r="MMG19" s="3507"/>
      <c r="MMH19" s="3507"/>
      <c r="MMI19" s="3507"/>
      <c r="MMJ19" s="3507"/>
      <c r="MMK19" s="3507"/>
      <c r="MML19" s="3507"/>
      <c r="MMM19" s="3507"/>
      <c r="MMN19" s="3507"/>
      <c r="MMO19" s="3507"/>
      <c r="MMP19" s="3507"/>
      <c r="MMQ19" s="3507"/>
      <c r="MMR19" s="3507"/>
      <c r="MMS19" s="3507"/>
      <c r="MMT19" s="3507"/>
      <c r="MMU19" s="3507"/>
      <c r="MMV19" s="3507"/>
      <c r="MMW19" s="3507"/>
      <c r="MMX19" s="3507"/>
      <c r="MMY19" s="3507"/>
      <c r="MMZ19" s="3507"/>
      <c r="MNA19" s="3507"/>
      <c r="MNB19" s="3507"/>
      <c r="MNC19" s="3507"/>
      <c r="MND19" s="3507"/>
      <c r="MNE19" s="3507"/>
      <c r="MNF19" s="3507"/>
      <c r="MNG19" s="3507"/>
      <c r="MNH19" s="3507"/>
      <c r="MNI19" s="3507"/>
      <c r="MNJ19" s="3507"/>
      <c r="MNK19" s="3507"/>
      <c r="MNL19" s="3507"/>
      <c r="MNM19" s="3507"/>
      <c r="MNN19" s="3507"/>
      <c r="MNO19" s="3507"/>
      <c r="MNP19" s="3507"/>
      <c r="MNQ19" s="3507"/>
      <c r="MNR19" s="3507"/>
      <c r="MNS19" s="3507"/>
      <c r="MNT19" s="3507"/>
      <c r="MNU19" s="3507"/>
      <c r="MNV19" s="3507"/>
      <c r="MNW19" s="3507"/>
      <c r="MNX19" s="3507"/>
      <c r="MNY19" s="3507"/>
      <c r="MNZ19" s="3507"/>
      <c r="MOA19" s="3507"/>
      <c r="MOB19" s="3507"/>
      <c r="MOC19" s="3507"/>
      <c r="MOD19" s="3507"/>
      <c r="MOE19" s="3507"/>
      <c r="MOF19" s="3507"/>
      <c r="MOG19" s="3507"/>
      <c r="MOH19" s="3507"/>
      <c r="MOI19" s="3507"/>
      <c r="MOJ19" s="3507"/>
      <c r="MOK19" s="3507"/>
      <c r="MOL19" s="3507"/>
      <c r="MOM19" s="3507"/>
      <c r="MON19" s="3507"/>
      <c r="MOO19" s="3507"/>
      <c r="MOP19" s="3507"/>
      <c r="MOQ19" s="3507"/>
      <c r="MOR19" s="3507"/>
      <c r="MOS19" s="3507"/>
      <c r="MOT19" s="3507"/>
      <c r="MOU19" s="3507"/>
      <c r="MOV19" s="3507"/>
      <c r="MOW19" s="3507"/>
      <c r="MOX19" s="3507"/>
      <c r="MOY19" s="3507"/>
      <c r="MOZ19" s="3507"/>
      <c r="MPA19" s="3507"/>
      <c r="MPB19" s="3507"/>
      <c r="MPC19" s="3507"/>
      <c r="MPD19" s="3507"/>
      <c r="MPE19" s="3507"/>
      <c r="MPF19" s="3507"/>
      <c r="MPG19" s="3507"/>
      <c r="MPH19" s="3507"/>
      <c r="MPI19" s="3507"/>
      <c r="MPJ19" s="3507"/>
      <c r="MPK19" s="3507"/>
      <c r="MPL19" s="3507"/>
      <c r="MPM19" s="3507"/>
      <c r="MPN19" s="3507"/>
      <c r="MPO19" s="3507"/>
      <c r="MPP19" s="3507"/>
      <c r="MPQ19" s="3507"/>
      <c r="MPR19" s="3507"/>
      <c r="MPS19" s="3507"/>
      <c r="MPT19" s="3507"/>
      <c r="MPU19" s="3507"/>
      <c r="MPV19" s="3507"/>
      <c r="MPW19" s="3507"/>
      <c r="MPX19" s="3507"/>
      <c r="MPY19" s="3507"/>
      <c r="MPZ19" s="3507"/>
      <c r="MQA19" s="3507"/>
      <c r="MQB19" s="3507"/>
      <c r="MQC19" s="3507"/>
      <c r="MQD19" s="3507"/>
      <c r="MQE19" s="3507"/>
      <c r="MQF19" s="3507"/>
      <c r="MQG19" s="3507"/>
      <c r="MQH19" s="3507"/>
      <c r="MQI19" s="3507"/>
      <c r="MQJ19" s="3507"/>
      <c r="MQK19" s="3507"/>
      <c r="MQL19" s="3507"/>
      <c r="MQM19" s="3507"/>
      <c r="MQN19" s="3507"/>
      <c r="MQO19" s="3507"/>
      <c r="MQP19" s="3507"/>
      <c r="MQQ19" s="3507"/>
      <c r="MQR19" s="3507"/>
      <c r="MQS19" s="3507"/>
      <c r="MQT19" s="3507"/>
      <c r="MQU19" s="3507"/>
      <c r="MQV19" s="3507"/>
      <c r="MQW19" s="3507"/>
      <c r="MQX19" s="3507"/>
      <c r="MQY19" s="3507"/>
      <c r="MQZ19" s="3507"/>
      <c r="MRA19" s="3507"/>
      <c r="MRB19" s="3507"/>
      <c r="MRC19" s="3507"/>
      <c r="MRD19" s="3507"/>
      <c r="MRE19" s="3507"/>
      <c r="MRF19" s="3507"/>
      <c r="MRG19" s="3507"/>
      <c r="MRH19" s="3507"/>
      <c r="MRI19" s="3507"/>
      <c r="MRJ19" s="3507"/>
      <c r="MRK19" s="3507"/>
      <c r="MRL19" s="3507"/>
      <c r="MRM19" s="3507"/>
      <c r="MRN19" s="3507"/>
      <c r="MRO19" s="3507"/>
      <c r="MRP19" s="3507"/>
      <c r="MRQ19" s="3507"/>
      <c r="MRR19" s="3507"/>
      <c r="MRS19" s="3507"/>
      <c r="MRT19" s="3507"/>
      <c r="MRU19" s="3507"/>
      <c r="MRV19" s="3507"/>
      <c r="MRW19" s="3507"/>
      <c r="MRX19" s="3507"/>
      <c r="MRY19" s="3507"/>
      <c r="MRZ19" s="3507"/>
      <c r="MSA19" s="3507"/>
      <c r="MSB19" s="3507"/>
      <c r="MSC19" s="3507"/>
      <c r="MSD19" s="3507"/>
      <c r="MSE19" s="3507"/>
      <c r="MSF19" s="3507"/>
      <c r="MSG19" s="3507"/>
      <c r="MSH19" s="3507"/>
      <c r="MSI19" s="3507"/>
      <c r="MSJ19" s="3507"/>
      <c r="MSK19" s="3507"/>
      <c r="MSL19" s="3507"/>
      <c r="MSM19" s="3507"/>
      <c r="MSN19" s="3507"/>
      <c r="MSO19" s="3507"/>
      <c r="MSP19" s="3507"/>
      <c r="MSQ19" s="3507"/>
      <c r="MSR19" s="3507"/>
      <c r="MSS19" s="3507"/>
      <c r="MST19" s="3507"/>
      <c r="MSU19" s="3507"/>
      <c r="MSV19" s="3507"/>
      <c r="MSW19" s="3507"/>
      <c r="MSX19" s="3507"/>
      <c r="MSY19" s="3507"/>
      <c r="MSZ19" s="3507"/>
      <c r="MTA19" s="3507"/>
      <c r="MTB19" s="3507"/>
      <c r="MTC19" s="3507"/>
      <c r="MTD19" s="3507"/>
      <c r="MTE19" s="3507"/>
      <c r="MTF19" s="3507"/>
      <c r="MTG19" s="3507"/>
      <c r="MTH19" s="3507"/>
      <c r="MTI19" s="3507"/>
      <c r="MTJ19" s="3507"/>
      <c r="MTK19" s="3507"/>
      <c r="MTL19" s="3507"/>
      <c r="MTM19" s="3507"/>
      <c r="MTN19" s="3507"/>
      <c r="MTO19" s="3507"/>
      <c r="MTP19" s="3507"/>
      <c r="MTQ19" s="3507"/>
      <c r="MTR19" s="3507"/>
      <c r="MTS19" s="3507"/>
      <c r="MTT19" s="3507"/>
      <c r="MTU19" s="3507"/>
      <c r="MTV19" s="3507"/>
      <c r="MTW19" s="3507"/>
      <c r="MTX19" s="3507"/>
      <c r="MTY19" s="3507"/>
      <c r="MTZ19" s="3507"/>
      <c r="MUA19" s="3507"/>
      <c r="MUB19" s="3507"/>
      <c r="MUC19" s="3507"/>
      <c r="MUD19" s="3507"/>
      <c r="MUE19" s="3507"/>
      <c r="MUF19" s="3507"/>
      <c r="MUG19" s="3507"/>
      <c r="MUH19" s="3507"/>
      <c r="MUI19" s="3507"/>
      <c r="MUJ19" s="3507"/>
      <c r="MUK19" s="3507"/>
      <c r="MUL19" s="3507"/>
      <c r="MUM19" s="3507"/>
      <c r="MUN19" s="3507"/>
      <c r="MUO19" s="3507"/>
      <c r="MUP19" s="3507"/>
      <c r="MUQ19" s="3507"/>
      <c r="MUR19" s="3507"/>
      <c r="MUS19" s="3507"/>
      <c r="MUT19" s="3507"/>
      <c r="MUU19" s="3507"/>
      <c r="MUV19" s="3507"/>
      <c r="MUW19" s="3507"/>
      <c r="MUX19" s="3507"/>
      <c r="MUY19" s="3507"/>
      <c r="MUZ19" s="3507"/>
      <c r="MVA19" s="3507"/>
      <c r="MVB19" s="3507"/>
      <c r="MVC19" s="3507"/>
      <c r="MVD19" s="3507"/>
      <c r="MVE19" s="3507"/>
      <c r="MVF19" s="3507"/>
      <c r="MVG19" s="3507"/>
      <c r="MVH19" s="3507"/>
      <c r="MVI19" s="3507"/>
      <c r="MVJ19" s="3507"/>
      <c r="MVK19" s="3507"/>
      <c r="MVL19" s="3507"/>
      <c r="MVM19" s="3507"/>
      <c r="MVN19" s="3507"/>
      <c r="MVO19" s="3507"/>
      <c r="MVP19" s="3507"/>
      <c r="MVQ19" s="3507"/>
      <c r="MVR19" s="3507"/>
      <c r="MVS19" s="3507"/>
      <c r="MVT19" s="3507"/>
      <c r="MVU19" s="3507"/>
      <c r="MVV19" s="3507"/>
      <c r="MVW19" s="3507"/>
      <c r="MVX19" s="3507"/>
      <c r="MVY19" s="3507"/>
      <c r="MVZ19" s="3507"/>
      <c r="MWA19" s="3507"/>
      <c r="MWB19" s="3507"/>
      <c r="MWC19" s="3507"/>
      <c r="MWD19" s="3507"/>
      <c r="MWE19" s="3507"/>
      <c r="MWF19" s="3507"/>
      <c r="MWG19" s="3507"/>
      <c r="MWH19" s="3507"/>
      <c r="MWI19" s="3507"/>
      <c r="MWJ19" s="3507"/>
      <c r="MWK19" s="3507"/>
      <c r="MWL19" s="3507"/>
      <c r="MWM19" s="3507"/>
      <c r="MWN19" s="3507"/>
      <c r="MWO19" s="3507"/>
      <c r="MWP19" s="3507"/>
      <c r="MWQ19" s="3507"/>
      <c r="MWR19" s="3507"/>
      <c r="MWS19" s="3507"/>
      <c r="MWT19" s="3507"/>
      <c r="MWU19" s="3507"/>
      <c r="MWV19" s="3507"/>
      <c r="MWW19" s="3507"/>
      <c r="MWX19" s="3507"/>
      <c r="MWY19" s="3507"/>
      <c r="MWZ19" s="3507"/>
      <c r="MXA19" s="3507"/>
      <c r="MXB19" s="3507"/>
      <c r="MXC19" s="3507"/>
      <c r="MXD19" s="3507"/>
      <c r="MXE19" s="3507"/>
      <c r="MXF19" s="3507"/>
      <c r="MXG19" s="3507"/>
      <c r="MXH19" s="3507"/>
      <c r="MXI19" s="3507"/>
      <c r="MXJ19" s="3507"/>
      <c r="MXK19" s="3507"/>
      <c r="MXL19" s="3507"/>
      <c r="MXM19" s="3507"/>
      <c r="MXN19" s="3507"/>
      <c r="MXO19" s="3507"/>
      <c r="MXP19" s="3507"/>
      <c r="MXQ19" s="3507"/>
      <c r="MXR19" s="3507"/>
      <c r="MXS19" s="3507"/>
      <c r="MXT19" s="3507"/>
      <c r="MXU19" s="3507"/>
      <c r="MXV19" s="3507"/>
      <c r="MXW19" s="3507"/>
      <c r="MXX19" s="3507"/>
      <c r="MXY19" s="3507"/>
      <c r="MXZ19" s="3507"/>
      <c r="MYA19" s="3507"/>
      <c r="MYB19" s="3507"/>
      <c r="MYC19" s="3507"/>
      <c r="MYD19" s="3507"/>
      <c r="MYE19" s="3507"/>
      <c r="MYF19" s="3507"/>
      <c r="MYG19" s="3507"/>
      <c r="MYH19" s="3507"/>
      <c r="MYI19" s="3507"/>
      <c r="MYJ19" s="3507"/>
      <c r="MYK19" s="3507"/>
      <c r="MYL19" s="3507"/>
      <c r="MYM19" s="3507"/>
      <c r="MYN19" s="3507"/>
      <c r="MYO19" s="3507"/>
      <c r="MYP19" s="3507"/>
      <c r="MYQ19" s="3507"/>
      <c r="MYR19" s="3507"/>
      <c r="MYS19" s="3507"/>
      <c r="MYT19" s="3507"/>
      <c r="MYU19" s="3507"/>
      <c r="MYV19" s="3507"/>
      <c r="MYW19" s="3507"/>
      <c r="MYX19" s="3507"/>
      <c r="MYY19" s="3507"/>
      <c r="MYZ19" s="3507"/>
      <c r="MZA19" s="3507"/>
      <c r="MZB19" s="3507"/>
      <c r="MZC19" s="3507"/>
      <c r="MZD19" s="3507"/>
      <c r="MZE19" s="3507"/>
      <c r="MZF19" s="3507"/>
      <c r="MZG19" s="3507"/>
      <c r="MZH19" s="3507"/>
      <c r="MZI19" s="3507"/>
      <c r="MZJ19" s="3507"/>
      <c r="MZK19" s="3507"/>
      <c r="MZL19" s="3507"/>
      <c r="MZM19" s="3507"/>
      <c r="MZN19" s="3507"/>
      <c r="MZO19" s="3507"/>
      <c r="MZP19" s="3507"/>
      <c r="MZQ19" s="3507"/>
      <c r="MZR19" s="3507"/>
      <c r="MZS19" s="3507"/>
      <c r="MZT19" s="3507"/>
      <c r="MZU19" s="3507"/>
      <c r="MZV19" s="3507"/>
      <c r="MZW19" s="3507"/>
      <c r="MZX19" s="3507"/>
      <c r="MZY19" s="3507"/>
      <c r="MZZ19" s="3507"/>
      <c r="NAA19" s="3507"/>
      <c r="NAB19" s="3507"/>
      <c r="NAC19" s="3507"/>
      <c r="NAD19" s="3507"/>
      <c r="NAE19" s="3507"/>
      <c r="NAF19" s="3507"/>
      <c r="NAG19" s="3507"/>
      <c r="NAH19" s="3507"/>
      <c r="NAI19" s="3507"/>
      <c r="NAJ19" s="3507"/>
      <c r="NAK19" s="3507"/>
      <c r="NAL19" s="3507"/>
      <c r="NAM19" s="3507"/>
      <c r="NAN19" s="3507"/>
      <c r="NAO19" s="3507"/>
      <c r="NAP19" s="3507"/>
      <c r="NAQ19" s="3507"/>
      <c r="NAR19" s="3507"/>
      <c r="NAS19" s="3507"/>
      <c r="NAT19" s="3507"/>
      <c r="NAU19" s="3507"/>
      <c r="NAV19" s="3507"/>
      <c r="NAW19" s="3507"/>
      <c r="NAX19" s="3507"/>
      <c r="NAY19" s="3507"/>
      <c r="NAZ19" s="3507"/>
      <c r="NBA19" s="3507"/>
      <c r="NBB19" s="3507"/>
      <c r="NBC19" s="3507"/>
      <c r="NBD19" s="3507"/>
      <c r="NBE19" s="3507"/>
      <c r="NBF19" s="3507"/>
      <c r="NBG19" s="3507"/>
      <c r="NBH19" s="3507"/>
      <c r="NBI19" s="3507"/>
      <c r="NBJ19" s="3507"/>
      <c r="NBK19" s="3507"/>
      <c r="NBL19" s="3507"/>
      <c r="NBM19" s="3507"/>
      <c r="NBN19" s="3507"/>
      <c r="NBO19" s="3507"/>
      <c r="NBP19" s="3507"/>
      <c r="NBQ19" s="3507"/>
      <c r="NBR19" s="3507"/>
      <c r="NBS19" s="3507"/>
      <c r="NBT19" s="3507"/>
      <c r="NBU19" s="3507"/>
      <c r="NBV19" s="3507"/>
      <c r="NBW19" s="3507"/>
      <c r="NBX19" s="3507"/>
      <c r="NBY19" s="3507"/>
      <c r="NBZ19" s="3507"/>
      <c r="NCA19" s="3507"/>
      <c r="NCB19" s="3507"/>
      <c r="NCC19" s="3507"/>
      <c r="NCD19" s="3507"/>
      <c r="NCE19" s="3507"/>
      <c r="NCF19" s="3507"/>
      <c r="NCG19" s="3507"/>
      <c r="NCH19" s="3507"/>
      <c r="NCI19" s="3507"/>
      <c r="NCJ19" s="3507"/>
      <c r="NCK19" s="3507"/>
      <c r="NCL19" s="3507"/>
      <c r="NCM19" s="3507"/>
      <c r="NCN19" s="3507"/>
      <c r="NCO19" s="3507"/>
      <c r="NCP19" s="3507"/>
      <c r="NCQ19" s="3507"/>
      <c r="NCR19" s="3507"/>
      <c r="NCS19" s="3507"/>
      <c r="NCT19" s="3507"/>
      <c r="NCU19" s="3507"/>
      <c r="NCV19" s="3507"/>
      <c r="NCW19" s="3507"/>
      <c r="NCX19" s="3507"/>
      <c r="NCY19" s="3507"/>
      <c r="NCZ19" s="3507"/>
      <c r="NDA19" s="3507"/>
      <c r="NDB19" s="3507"/>
      <c r="NDC19" s="3507"/>
      <c r="NDD19" s="3507"/>
      <c r="NDE19" s="3507"/>
      <c r="NDF19" s="3507"/>
      <c r="NDG19" s="3507"/>
      <c r="NDH19" s="3507"/>
      <c r="NDI19" s="3507"/>
      <c r="NDJ19" s="3507"/>
      <c r="NDK19" s="3507"/>
      <c r="NDL19" s="3507"/>
      <c r="NDM19" s="3507"/>
      <c r="NDN19" s="3507"/>
      <c r="NDO19" s="3507"/>
      <c r="NDP19" s="3507"/>
      <c r="NDQ19" s="3507"/>
      <c r="NDR19" s="3507"/>
      <c r="NDS19" s="3507"/>
      <c r="NDT19" s="3507"/>
      <c r="NDU19" s="3507"/>
      <c r="NDV19" s="3507"/>
      <c r="NDW19" s="3507"/>
      <c r="NDX19" s="3507"/>
      <c r="NDY19" s="3507"/>
      <c r="NDZ19" s="3507"/>
      <c r="NEA19" s="3507"/>
      <c r="NEB19" s="3507"/>
      <c r="NEC19" s="3507"/>
      <c r="NED19" s="3507"/>
      <c r="NEE19" s="3507"/>
      <c r="NEF19" s="3507"/>
      <c r="NEG19" s="3507"/>
      <c r="NEH19" s="3507"/>
      <c r="NEI19" s="3507"/>
      <c r="NEJ19" s="3507"/>
      <c r="NEK19" s="3507"/>
      <c r="NEL19" s="3507"/>
      <c r="NEM19" s="3507"/>
      <c r="NEN19" s="3507"/>
      <c r="NEO19" s="3507"/>
      <c r="NEP19" s="3507"/>
      <c r="NEQ19" s="3507"/>
      <c r="NER19" s="3507"/>
      <c r="NES19" s="3507"/>
      <c r="NET19" s="3507"/>
      <c r="NEU19" s="3507"/>
      <c r="NEV19" s="3507"/>
      <c r="NEW19" s="3507"/>
      <c r="NEX19" s="3507"/>
      <c r="NEY19" s="3507"/>
      <c r="NEZ19" s="3507"/>
      <c r="NFA19" s="3507"/>
      <c r="NFB19" s="3507"/>
      <c r="NFC19" s="3507"/>
      <c r="NFD19" s="3507"/>
      <c r="NFE19" s="3507"/>
      <c r="NFF19" s="3507"/>
      <c r="NFG19" s="3507"/>
      <c r="NFH19" s="3507"/>
      <c r="NFI19" s="3507"/>
      <c r="NFJ19" s="3507"/>
      <c r="NFK19" s="3507"/>
      <c r="NFL19" s="3507"/>
      <c r="NFM19" s="3507"/>
      <c r="NFN19" s="3507"/>
      <c r="NFO19" s="3507"/>
      <c r="NFP19" s="3507"/>
      <c r="NFQ19" s="3507"/>
      <c r="NFR19" s="3507"/>
      <c r="NFS19" s="3507"/>
      <c r="NFT19" s="3507"/>
      <c r="NFU19" s="3507"/>
      <c r="NFV19" s="3507"/>
      <c r="NFW19" s="3507"/>
      <c r="NFX19" s="3507"/>
      <c r="NFY19" s="3507"/>
      <c r="NFZ19" s="3507"/>
      <c r="NGA19" s="3507"/>
      <c r="NGB19" s="3507"/>
      <c r="NGC19" s="3507"/>
      <c r="NGD19" s="3507"/>
      <c r="NGE19" s="3507"/>
      <c r="NGF19" s="3507"/>
      <c r="NGG19" s="3507"/>
      <c r="NGH19" s="3507"/>
      <c r="NGI19" s="3507"/>
      <c r="NGJ19" s="3507"/>
      <c r="NGK19" s="3507"/>
      <c r="NGL19" s="3507"/>
      <c r="NGM19" s="3507"/>
      <c r="NGN19" s="3507"/>
      <c r="NGO19" s="3507"/>
      <c r="NGP19" s="3507"/>
      <c r="NGQ19" s="3507"/>
      <c r="NGR19" s="3507"/>
      <c r="NGS19" s="3507"/>
      <c r="NGT19" s="3507"/>
      <c r="NGU19" s="3507"/>
      <c r="NGV19" s="3507"/>
      <c r="NGW19" s="3507"/>
      <c r="NGX19" s="3507"/>
      <c r="NGY19" s="3507"/>
      <c r="NGZ19" s="3507"/>
      <c r="NHA19" s="3507"/>
      <c r="NHB19" s="3507"/>
      <c r="NHC19" s="3507"/>
      <c r="NHD19" s="3507"/>
      <c r="NHE19" s="3507"/>
      <c r="NHF19" s="3507"/>
      <c r="NHG19" s="3507"/>
      <c r="NHH19" s="3507"/>
      <c r="NHI19" s="3507"/>
      <c r="NHJ19" s="3507"/>
      <c r="NHK19" s="3507"/>
      <c r="NHL19" s="3507"/>
      <c r="NHM19" s="3507"/>
      <c r="NHN19" s="3507"/>
      <c r="NHO19" s="3507"/>
      <c r="NHP19" s="3507"/>
      <c r="NHQ19" s="3507"/>
      <c r="NHR19" s="3507"/>
      <c r="NHS19" s="3507"/>
      <c r="NHT19" s="3507"/>
      <c r="NHU19" s="3507"/>
      <c r="NHV19" s="3507"/>
      <c r="NHW19" s="3507"/>
      <c r="NHX19" s="3507"/>
      <c r="NHY19" s="3507"/>
      <c r="NHZ19" s="3507"/>
      <c r="NIA19" s="3507"/>
      <c r="NIB19" s="3507"/>
      <c r="NIC19" s="3507"/>
      <c r="NID19" s="3507"/>
      <c r="NIE19" s="3507"/>
      <c r="NIF19" s="3507"/>
      <c r="NIG19" s="3507"/>
      <c r="NIH19" s="3507"/>
      <c r="NII19" s="3507"/>
      <c r="NIJ19" s="3507"/>
      <c r="NIK19" s="3507"/>
      <c r="NIL19" s="3507"/>
      <c r="NIM19" s="3507"/>
      <c r="NIN19" s="3507"/>
      <c r="NIO19" s="3507"/>
      <c r="NIP19" s="3507"/>
      <c r="NIQ19" s="3507"/>
      <c r="NIR19" s="3507"/>
      <c r="NIS19" s="3507"/>
      <c r="NIT19" s="3507"/>
      <c r="NIU19" s="3507"/>
      <c r="NIV19" s="3507"/>
      <c r="NIW19" s="3507"/>
      <c r="NIX19" s="3507"/>
      <c r="NIY19" s="3507"/>
      <c r="NIZ19" s="3507"/>
      <c r="NJA19" s="3507"/>
      <c r="NJB19" s="3507"/>
      <c r="NJC19" s="3507"/>
      <c r="NJD19" s="3507"/>
      <c r="NJE19" s="3507"/>
      <c r="NJF19" s="3507"/>
      <c r="NJG19" s="3507"/>
      <c r="NJH19" s="3507"/>
      <c r="NJI19" s="3507"/>
      <c r="NJJ19" s="3507"/>
      <c r="NJK19" s="3507"/>
      <c r="NJL19" s="3507"/>
      <c r="NJM19" s="3507"/>
      <c r="NJN19" s="3507"/>
      <c r="NJO19" s="3507"/>
      <c r="NJP19" s="3507"/>
      <c r="NJQ19" s="3507"/>
      <c r="NJR19" s="3507"/>
      <c r="NJS19" s="3507"/>
      <c r="NJT19" s="3507"/>
      <c r="NJU19" s="3507"/>
      <c r="NJV19" s="3507"/>
      <c r="NJW19" s="3507"/>
      <c r="NJX19" s="3507"/>
      <c r="NJY19" s="3507"/>
      <c r="NJZ19" s="3507"/>
      <c r="NKA19" s="3507"/>
      <c r="NKB19" s="3507"/>
      <c r="NKC19" s="3507"/>
      <c r="NKD19" s="3507"/>
      <c r="NKE19" s="3507"/>
      <c r="NKF19" s="3507"/>
      <c r="NKG19" s="3507"/>
      <c r="NKH19" s="3507"/>
      <c r="NKI19" s="3507"/>
      <c r="NKJ19" s="3507"/>
      <c r="NKK19" s="3507"/>
      <c r="NKL19" s="3507"/>
      <c r="NKM19" s="3507"/>
      <c r="NKN19" s="3507"/>
      <c r="NKO19" s="3507"/>
      <c r="NKP19" s="3507"/>
      <c r="NKQ19" s="3507"/>
      <c r="NKR19" s="3507"/>
      <c r="NKS19" s="3507"/>
      <c r="NKT19" s="3507"/>
      <c r="NKU19" s="3507"/>
      <c r="NKV19" s="3507"/>
      <c r="NKW19" s="3507"/>
      <c r="NKX19" s="3507"/>
      <c r="NKY19" s="3507"/>
      <c r="NKZ19" s="3507"/>
      <c r="NLA19" s="3507"/>
      <c r="NLB19" s="3507"/>
      <c r="NLC19" s="3507"/>
      <c r="NLD19" s="3507"/>
      <c r="NLE19" s="3507"/>
      <c r="NLF19" s="3507"/>
      <c r="NLG19" s="3507"/>
      <c r="NLH19" s="3507"/>
      <c r="NLI19" s="3507"/>
      <c r="NLJ19" s="3507"/>
      <c r="NLK19" s="3507"/>
      <c r="NLL19" s="3507"/>
      <c r="NLM19" s="3507"/>
      <c r="NLN19" s="3507"/>
      <c r="NLO19" s="3507"/>
      <c r="NLP19" s="3507"/>
      <c r="NLQ19" s="3507"/>
      <c r="NLR19" s="3507"/>
      <c r="NLS19" s="3507"/>
      <c r="NLT19" s="3507"/>
      <c r="NLU19" s="3507"/>
      <c r="NLV19" s="3507"/>
      <c r="NLW19" s="3507"/>
      <c r="NLX19" s="3507"/>
      <c r="NLY19" s="3507"/>
      <c r="NLZ19" s="3507"/>
      <c r="NMA19" s="3507"/>
      <c r="NMB19" s="3507"/>
      <c r="NMC19" s="3507"/>
      <c r="NMD19" s="3507"/>
      <c r="NME19" s="3507"/>
      <c r="NMF19" s="3507"/>
      <c r="NMG19" s="3507"/>
      <c r="NMH19" s="3507"/>
      <c r="NMI19" s="3507"/>
      <c r="NMJ19" s="3507"/>
      <c r="NMK19" s="3507"/>
      <c r="NML19" s="3507"/>
      <c r="NMM19" s="3507"/>
      <c r="NMN19" s="3507"/>
      <c r="NMO19" s="3507"/>
      <c r="NMP19" s="3507"/>
      <c r="NMQ19" s="3507"/>
      <c r="NMR19" s="3507"/>
      <c r="NMS19" s="3507"/>
      <c r="NMT19" s="3507"/>
      <c r="NMU19" s="3507"/>
      <c r="NMV19" s="3507"/>
      <c r="NMW19" s="3507"/>
      <c r="NMX19" s="3507"/>
      <c r="NMY19" s="3507"/>
      <c r="NMZ19" s="3507"/>
      <c r="NNA19" s="3507"/>
      <c r="NNB19" s="3507"/>
      <c r="NNC19" s="3507"/>
      <c r="NND19" s="3507"/>
      <c r="NNE19" s="3507"/>
      <c r="NNF19" s="3507"/>
      <c r="NNG19" s="3507"/>
      <c r="NNH19" s="3507"/>
      <c r="NNI19" s="3507"/>
      <c r="NNJ19" s="3507"/>
      <c r="NNK19" s="3507"/>
      <c r="NNL19" s="3507"/>
      <c r="NNM19" s="3507"/>
      <c r="NNN19" s="3507"/>
      <c r="NNO19" s="3507"/>
      <c r="NNP19" s="3507"/>
      <c r="NNQ19" s="3507"/>
      <c r="NNR19" s="3507"/>
      <c r="NNS19" s="3507"/>
      <c r="NNT19" s="3507"/>
      <c r="NNU19" s="3507"/>
      <c r="NNV19" s="3507"/>
      <c r="NNW19" s="3507"/>
      <c r="NNX19" s="3507"/>
      <c r="NNY19" s="3507"/>
      <c r="NNZ19" s="3507"/>
      <c r="NOA19" s="3507"/>
      <c r="NOB19" s="3507"/>
      <c r="NOC19" s="3507"/>
      <c r="NOD19" s="3507"/>
      <c r="NOE19" s="3507"/>
      <c r="NOF19" s="3507"/>
      <c r="NOG19" s="3507"/>
      <c r="NOH19" s="3507"/>
      <c r="NOI19" s="3507"/>
      <c r="NOJ19" s="3507"/>
      <c r="NOK19" s="3507"/>
      <c r="NOL19" s="3507"/>
      <c r="NOM19" s="3507"/>
      <c r="NON19" s="3507"/>
      <c r="NOO19" s="3507"/>
      <c r="NOP19" s="3507"/>
      <c r="NOQ19" s="3507"/>
      <c r="NOR19" s="3507"/>
      <c r="NOS19" s="3507"/>
      <c r="NOT19" s="3507"/>
      <c r="NOU19" s="3507"/>
      <c r="NOV19" s="3507"/>
      <c r="NOW19" s="3507"/>
      <c r="NOX19" s="3507"/>
      <c r="NOY19" s="3507"/>
      <c r="NOZ19" s="3507"/>
      <c r="NPA19" s="3507"/>
      <c r="NPB19" s="3507"/>
      <c r="NPC19" s="3507"/>
      <c r="NPD19" s="3507"/>
      <c r="NPE19" s="3507"/>
      <c r="NPF19" s="3507"/>
      <c r="NPG19" s="3507"/>
      <c r="NPH19" s="3507"/>
      <c r="NPI19" s="3507"/>
      <c r="NPJ19" s="3507"/>
      <c r="NPK19" s="3507"/>
      <c r="NPL19" s="3507"/>
      <c r="NPM19" s="3507"/>
      <c r="NPN19" s="3507"/>
      <c r="NPO19" s="3507"/>
      <c r="NPP19" s="3507"/>
      <c r="NPQ19" s="3507"/>
      <c r="NPR19" s="3507"/>
      <c r="NPS19" s="3507"/>
      <c r="NPT19" s="3507"/>
      <c r="NPU19" s="3507"/>
      <c r="NPV19" s="3507"/>
      <c r="NPW19" s="3507"/>
      <c r="NPX19" s="3507"/>
      <c r="NPY19" s="3507"/>
      <c r="NPZ19" s="3507"/>
      <c r="NQA19" s="3507"/>
      <c r="NQB19" s="3507"/>
      <c r="NQC19" s="3507"/>
      <c r="NQD19" s="3507"/>
      <c r="NQE19" s="3507"/>
      <c r="NQF19" s="3507"/>
      <c r="NQG19" s="3507"/>
      <c r="NQH19" s="3507"/>
      <c r="NQI19" s="3507"/>
      <c r="NQJ19" s="3507"/>
      <c r="NQK19" s="3507"/>
      <c r="NQL19" s="3507"/>
      <c r="NQM19" s="3507"/>
      <c r="NQN19" s="3507"/>
      <c r="NQO19" s="3507"/>
      <c r="NQP19" s="3507"/>
      <c r="NQQ19" s="3507"/>
      <c r="NQR19" s="3507"/>
      <c r="NQS19" s="3507"/>
      <c r="NQT19" s="3507"/>
      <c r="NQU19" s="3507"/>
      <c r="NQV19" s="3507"/>
      <c r="NQW19" s="3507"/>
      <c r="NQX19" s="3507"/>
      <c r="NQY19" s="3507"/>
      <c r="NQZ19" s="3507"/>
      <c r="NRA19" s="3507"/>
      <c r="NRB19" s="3507"/>
      <c r="NRC19" s="3507"/>
      <c r="NRD19" s="3507"/>
      <c r="NRE19" s="3507"/>
      <c r="NRF19" s="3507"/>
      <c r="NRG19" s="3507"/>
      <c r="NRH19" s="3507"/>
      <c r="NRI19" s="3507"/>
      <c r="NRJ19" s="3507"/>
      <c r="NRK19" s="3507"/>
      <c r="NRL19" s="3507"/>
      <c r="NRM19" s="3507"/>
      <c r="NRN19" s="3507"/>
      <c r="NRO19" s="3507"/>
      <c r="NRP19" s="3507"/>
      <c r="NRQ19" s="3507"/>
      <c r="NRR19" s="3507"/>
      <c r="NRS19" s="3507"/>
      <c r="NRT19" s="3507"/>
      <c r="NRU19" s="3507"/>
      <c r="NRV19" s="3507"/>
      <c r="NRW19" s="3507"/>
      <c r="NRX19" s="3507"/>
      <c r="NRY19" s="3507"/>
      <c r="NRZ19" s="3507"/>
      <c r="NSA19" s="3507"/>
      <c r="NSB19" s="3507"/>
      <c r="NSC19" s="3507"/>
      <c r="NSD19" s="3507"/>
      <c r="NSE19" s="3507"/>
      <c r="NSF19" s="3507"/>
      <c r="NSG19" s="3507"/>
      <c r="NSH19" s="3507"/>
      <c r="NSI19" s="3507"/>
      <c r="NSJ19" s="3507"/>
      <c r="NSK19" s="3507"/>
      <c r="NSL19" s="3507"/>
      <c r="NSM19" s="3507"/>
      <c r="NSN19" s="3507"/>
      <c r="NSO19" s="3507"/>
      <c r="NSP19" s="3507"/>
      <c r="NSQ19" s="3507"/>
      <c r="NSR19" s="3507"/>
      <c r="NSS19" s="3507"/>
      <c r="NST19" s="3507"/>
      <c r="NSU19" s="3507"/>
      <c r="NSV19" s="3507"/>
      <c r="NSW19" s="3507"/>
      <c r="NSX19" s="3507"/>
      <c r="NSY19" s="3507"/>
      <c r="NSZ19" s="3507"/>
      <c r="NTA19" s="3507"/>
      <c r="NTB19" s="3507"/>
      <c r="NTC19" s="3507"/>
      <c r="NTD19" s="3507"/>
      <c r="NTE19" s="3507"/>
      <c r="NTF19" s="3507"/>
      <c r="NTG19" s="3507"/>
      <c r="NTH19" s="3507"/>
      <c r="NTI19" s="3507"/>
      <c r="NTJ19" s="3507"/>
      <c r="NTK19" s="3507"/>
      <c r="NTL19" s="3507"/>
      <c r="NTM19" s="3507"/>
      <c r="NTN19" s="3507"/>
      <c r="NTO19" s="3507"/>
      <c r="NTP19" s="3507"/>
      <c r="NTQ19" s="3507"/>
      <c r="NTR19" s="3507"/>
      <c r="NTS19" s="3507"/>
      <c r="NTT19" s="3507"/>
      <c r="NTU19" s="3507"/>
      <c r="NTV19" s="3507"/>
      <c r="NTW19" s="3507"/>
      <c r="NTX19" s="3507"/>
      <c r="NTY19" s="3507"/>
      <c r="NTZ19" s="3507"/>
      <c r="NUA19" s="3507"/>
      <c r="NUB19" s="3507"/>
      <c r="NUC19" s="3507"/>
      <c r="NUD19" s="3507"/>
      <c r="NUE19" s="3507"/>
      <c r="NUF19" s="3507"/>
      <c r="NUG19" s="3507"/>
      <c r="NUH19" s="3507"/>
      <c r="NUI19" s="3507"/>
      <c r="NUJ19" s="3507"/>
      <c r="NUK19" s="3507"/>
      <c r="NUL19" s="3507"/>
      <c r="NUM19" s="3507"/>
      <c r="NUN19" s="3507"/>
      <c r="NUO19" s="3507"/>
      <c r="NUP19" s="3507"/>
      <c r="NUQ19" s="3507"/>
      <c r="NUR19" s="3507"/>
      <c r="NUS19" s="3507"/>
      <c r="NUT19" s="3507"/>
      <c r="NUU19" s="3507"/>
      <c r="NUV19" s="3507"/>
      <c r="NUW19" s="3507"/>
      <c r="NUX19" s="3507"/>
      <c r="NUY19" s="3507"/>
      <c r="NUZ19" s="3507"/>
      <c r="NVA19" s="3507"/>
      <c r="NVB19" s="3507"/>
      <c r="NVC19" s="3507"/>
      <c r="NVD19" s="3507"/>
      <c r="NVE19" s="3507"/>
      <c r="NVF19" s="3507"/>
      <c r="NVG19" s="3507"/>
      <c r="NVH19" s="3507"/>
      <c r="NVI19" s="3507"/>
      <c r="NVJ19" s="3507"/>
      <c r="NVK19" s="3507"/>
      <c r="NVL19" s="3507"/>
      <c r="NVM19" s="3507"/>
      <c r="NVN19" s="3507"/>
      <c r="NVO19" s="3507"/>
      <c r="NVP19" s="3507"/>
      <c r="NVQ19" s="3507"/>
      <c r="NVR19" s="3507"/>
      <c r="NVS19" s="3507"/>
      <c r="NVT19" s="3507"/>
      <c r="NVU19" s="3507"/>
      <c r="NVV19" s="3507"/>
      <c r="NVW19" s="3507"/>
      <c r="NVX19" s="3507"/>
      <c r="NVY19" s="3507"/>
      <c r="NVZ19" s="3507"/>
      <c r="NWA19" s="3507"/>
      <c r="NWB19" s="3507"/>
      <c r="NWC19" s="3507"/>
      <c r="NWD19" s="3507"/>
      <c r="NWE19" s="3507"/>
      <c r="NWF19" s="3507"/>
      <c r="NWG19" s="3507"/>
      <c r="NWH19" s="3507"/>
      <c r="NWI19" s="3507"/>
      <c r="NWJ19" s="3507"/>
      <c r="NWK19" s="3507"/>
      <c r="NWL19" s="3507"/>
      <c r="NWM19" s="3507"/>
      <c r="NWN19" s="3507"/>
      <c r="NWO19" s="3507"/>
      <c r="NWP19" s="3507"/>
      <c r="NWQ19" s="3507"/>
      <c r="NWR19" s="3507"/>
      <c r="NWS19" s="3507"/>
      <c r="NWT19" s="3507"/>
      <c r="NWU19" s="3507"/>
      <c r="NWV19" s="3507"/>
      <c r="NWW19" s="3507"/>
      <c r="NWX19" s="3507"/>
      <c r="NWY19" s="3507"/>
      <c r="NWZ19" s="3507"/>
      <c r="NXA19" s="3507"/>
      <c r="NXB19" s="3507"/>
      <c r="NXC19" s="3507"/>
      <c r="NXD19" s="3507"/>
      <c r="NXE19" s="3507"/>
      <c r="NXF19" s="3507"/>
      <c r="NXG19" s="3507"/>
      <c r="NXH19" s="3507"/>
      <c r="NXI19" s="3507"/>
      <c r="NXJ19" s="3507"/>
      <c r="NXK19" s="3507"/>
      <c r="NXL19" s="3507"/>
      <c r="NXM19" s="3507"/>
      <c r="NXN19" s="3507"/>
      <c r="NXO19" s="3507"/>
      <c r="NXP19" s="3507"/>
      <c r="NXQ19" s="3507"/>
      <c r="NXR19" s="3507"/>
      <c r="NXS19" s="3507"/>
      <c r="NXT19" s="3507"/>
      <c r="NXU19" s="3507"/>
      <c r="NXV19" s="3507"/>
      <c r="NXW19" s="3507"/>
      <c r="NXX19" s="3507"/>
      <c r="NXY19" s="3507"/>
      <c r="NXZ19" s="3507"/>
      <c r="NYA19" s="3507"/>
      <c r="NYB19" s="3507"/>
      <c r="NYC19" s="3507"/>
      <c r="NYD19" s="3507"/>
      <c r="NYE19" s="3507"/>
      <c r="NYF19" s="3507"/>
      <c r="NYG19" s="3507"/>
      <c r="NYH19" s="3507"/>
      <c r="NYI19" s="3507"/>
      <c r="NYJ19" s="3507"/>
      <c r="NYK19" s="3507"/>
      <c r="NYL19" s="3507"/>
      <c r="NYM19" s="3507"/>
      <c r="NYN19" s="3507"/>
      <c r="NYO19" s="3507"/>
      <c r="NYP19" s="3507"/>
      <c r="NYQ19" s="3507"/>
      <c r="NYR19" s="3507"/>
      <c r="NYS19" s="3507"/>
      <c r="NYT19" s="3507"/>
      <c r="NYU19" s="3507"/>
      <c r="NYV19" s="3507"/>
      <c r="NYW19" s="3507"/>
      <c r="NYX19" s="3507"/>
      <c r="NYY19" s="3507"/>
      <c r="NYZ19" s="3507"/>
      <c r="NZA19" s="3507"/>
      <c r="NZB19" s="3507"/>
      <c r="NZC19" s="3507"/>
      <c r="NZD19" s="3507"/>
      <c r="NZE19" s="3507"/>
      <c r="NZF19" s="3507"/>
      <c r="NZG19" s="3507"/>
      <c r="NZH19" s="3507"/>
      <c r="NZI19" s="3507"/>
      <c r="NZJ19" s="3507"/>
      <c r="NZK19" s="3507"/>
      <c r="NZL19" s="3507"/>
      <c r="NZM19" s="3507"/>
      <c r="NZN19" s="3507"/>
      <c r="NZO19" s="3507"/>
      <c r="NZP19" s="3507"/>
      <c r="NZQ19" s="3507"/>
      <c r="NZR19" s="3507"/>
      <c r="NZS19" s="3507"/>
      <c r="NZT19" s="3507"/>
      <c r="NZU19" s="3507"/>
      <c r="NZV19" s="3507"/>
      <c r="NZW19" s="3507"/>
      <c r="NZX19" s="3507"/>
      <c r="NZY19" s="3507"/>
      <c r="NZZ19" s="3507"/>
      <c r="OAA19" s="3507"/>
      <c r="OAB19" s="3507"/>
      <c r="OAC19" s="3507"/>
      <c r="OAD19" s="3507"/>
      <c r="OAE19" s="3507"/>
      <c r="OAF19" s="3507"/>
      <c r="OAG19" s="3507"/>
      <c r="OAH19" s="3507"/>
      <c r="OAI19" s="3507"/>
      <c r="OAJ19" s="3507"/>
      <c r="OAK19" s="3507"/>
      <c r="OAL19" s="3507"/>
      <c r="OAM19" s="3507"/>
      <c r="OAN19" s="3507"/>
      <c r="OAO19" s="3507"/>
      <c r="OAP19" s="3507"/>
      <c r="OAQ19" s="3507"/>
      <c r="OAR19" s="3507"/>
      <c r="OAS19" s="3507"/>
      <c r="OAT19" s="3507"/>
      <c r="OAU19" s="3507"/>
      <c r="OAV19" s="3507"/>
      <c r="OAW19" s="3507"/>
      <c r="OAX19" s="3507"/>
      <c r="OAY19" s="3507"/>
      <c r="OAZ19" s="3507"/>
      <c r="OBA19" s="3507"/>
      <c r="OBB19" s="3507"/>
      <c r="OBC19" s="3507"/>
      <c r="OBD19" s="3507"/>
      <c r="OBE19" s="3507"/>
      <c r="OBF19" s="3507"/>
      <c r="OBG19" s="3507"/>
      <c r="OBH19" s="3507"/>
      <c r="OBI19" s="3507"/>
      <c r="OBJ19" s="3507"/>
      <c r="OBK19" s="3507"/>
      <c r="OBL19" s="3507"/>
      <c r="OBM19" s="3507"/>
      <c r="OBN19" s="3507"/>
      <c r="OBO19" s="3507"/>
      <c r="OBP19" s="3507"/>
      <c r="OBQ19" s="3507"/>
      <c r="OBR19" s="3507"/>
      <c r="OBS19" s="3507"/>
      <c r="OBT19" s="3507"/>
      <c r="OBU19" s="3507"/>
      <c r="OBV19" s="3507"/>
      <c r="OBW19" s="3507"/>
      <c r="OBX19" s="3507"/>
      <c r="OBY19" s="3507"/>
      <c r="OBZ19" s="3507"/>
      <c r="OCA19" s="3507"/>
      <c r="OCB19" s="3507"/>
      <c r="OCC19" s="3507"/>
      <c r="OCD19" s="3507"/>
      <c r="OCE19" s="3507"/>
      <c r="OCF19" s="3507"/>
      <c r="OCG19" s="3507"/>
      <c r="OCH19" s="3507"/>
      <c r="OCI19" s="3507"/>
      <c r="OCJ19" s="3507"/>
      <c r="OCK19" s="3507"/>
      <c r="OCL19" s="3507"/>
      <c r="OCM19" s="3507"/>
      <c r="OCN19" s="3507"/>
      <c r="OCO19" s="3507"/>
      <c r="OCP19" s="3507"/>
      <c r="OCQ19" s="3507"/>
      <c r="OCR19" s="3507"/>
      <c r="OCS19" s="3507"/>
      <c r="OCT19" s="3507"/>
      <c r="OCU19" s="3507"/>
      <c r="OCV19" s="3507"/>
      <c r="OCW19" s="3507"/>
      <c r="OCX19" s="3507"/>
      <c r="OCY19" s="3507"/>
      <c r="OCZ19" s="3507"/>
      <c r="ODA19" s="3507"/>
      <c r="ODB19" s="3507"/>
      <c r="ODC19" s="3507"/>
      <c r="ODD19" s="3507"/>
      <c r="ODE19" s="3507"/>
      <c r="ODF19" s="3507"/>
      <c r="ODG19" s="3507"/>
      <c r="ODH19" s="3507"/>
      <c r="ODI19" s="3507"/>
      <c r="ODJ19" s="3507"/>
      <c r="ODK19" s="3507"/>
      <c r="ODL19" s="3507"/>
      <c r="ODM19" s="3507"/>
      <c r="ODN19" s="3507"/>
      <c r="ODO19" s="3507"/>
      <c r="ODP19" s="3507"/>
      <c r="ODQ19" s="3507"/>
      <c r="ODR19" s="3507"/>
      <c r="ODS19" s="3507"/>
      <c r="ODT19" s="3507"/>
      <c r="ODU19" s="3507"/>
      <c r="ODV19" s="3507"/>
      <c r="ODW19" s="3507"/>
      <c r="ODX19" s="3507"/>
      <c r="ODY19" s="3507"/>
      <c r="ODZ19" s="3507"/>
      <c r="OEA19" s="3507"/>
      <c r="OEB19" s="3507"/>
      <c r="OEC19" s="3507"/>
      <c r="OED19" s="3507"/>
      <c r="OEE19" s="3507"/>
      <c r="OEF19" s="3507"/>
      <c r="OEG19" s="3507"/>
      <c r="OEH19" s="3507"/>
      <c r="OEI19" s="3507"/>
      <c r="OEJ19" s="3507"/>
      <c r="OEK19" s="3507"/>
      <c r="OEL19" s="3507"/>
      <c r="OEM19" s="3507"/>
      <c r="OEN19" s="3507"/>
      <c r="OEO19" s="3507"/>
      <c r="OEP19" s="3507"/>
      <c r="OEQ19" s="3507"/>
      <c r="OER19" s="3507"/>
      <c r="OES19" s="3507"/>
      <c r="OET19" s="3507"/>
      <c r="OEU19" s="3507"/>
      <c r="OEV19" s="3507"/>
      <c r="OEW19" s="3507"/>
      <c r="OEX19" s="3507"/>
      <c r="OEY19" s="3507"/>
      <c r="OEZ19" s="3507"/>
      <c r="OFA19" s="3507"/>
      <c r="OFB19" s="3507"/>
      <c r="OFC19" s="3507"/>
      <c r="OFD19" s="3507"/>
      <c r="OFE19" s="3507"/>
      <c r="OFF19" s="3507"/>
      <c r="OFG19" s="3507"/>
      <c r="OFH19" s="3507"/>
      <c r="OFI19" s="3507"/>
      <c r="OFJ19" s="3507"/>
      <c r="OFK19" s="3507"/>
      <c r="OFL19" s="3507"/>
      <c r="OFM19" s="3507"/>
      <c r="OFN19" s="3507"/>
      <c r="OFO19" s="3507"/>
      <c r="OFP19" s="3507"/>
      <c r="OFQ19" s="3507"/>
      <c r="OFR19" s="3507"/>
      <c r="OFS19" s="3507"/>
      <c r="OFT19" s="3507"/>
      <c r="OFU19" s="3507"/>
      <c r="OFV19" s="3507"/>
      <c r="OFW19" s="3507"/>
      <c r="OFX19" s="3507"/>
      <c r="OFY19" s="3507"/>
      <c r="OFZ19" s="3507"/>
      <c r="OGA19" s="3507"/>
      <c r="OGB19" s="3507"/>
      <c r="OGC19" s="3507"/>
      <c r="OGD19" s="3507"/>
      <c r="OGE19" s="3507"/>
      <c r="OGF19" s="3507"/>
      <c r="OGG19" s="3507"/>
      <c r="OGH19" s="3507"/>
      <c r="OGI19" s="3507"/>
      <c r="OGJ19" s="3507"/>
      <c r="OGK19" s="3507"/>
      <c r="OGL19" s="3507"/>
      <c r="OGM19" s="3507"/>
      <c r="OGN19" s="3507"/>
      <c r="OGO19" s="3507"/>
      <c r="OGP19" s="3507"/>
      <c r="OGQ19" s="3507"/>
      <c r="OGR19" s="3507"/>
      <c r="OGS19" s="3507"/>
      <c r="OGT19" s="3507"/>
      <c r="OGU19" s="3507"/>
      <c r="OGV19" s="3507"/>
      <c r="OGW19" s="3507"/>
      <c r="OGX19" s="3507"/>
      <c r="OGY19" s="3507"/>
      <c r="OGZ19" s="3507"/>
      <c r="OHA19" s="3507"/>
      <c r="OHB19" s="3507"/>
      <c r="OHC19" s="3507"/>
      <c r="OHD19" s="3507"/>
      <c r="OHE19" s="3507"/>
      <c r="OHF19" s="3507"/>
      <c r="OHG19" s="3507"/>
      <c r="OHH19" s="3507"/>
      <c r="OHI19" s="3507"/>
      <c r="OHJ19" s="3507"/>
      <c r="OHK19" s="3507"/>
      <c r="OHL19" s="3507"/>
      <c r="OHM19" s="3507"/>
      <c r="OHN19" s="3507"/>
      <c r="OHO19" s="3507"/>
      <c r="OHP19" s="3507"/>
      <c r="OHQ19" s="3507"/>
      <c r="OHR19" s="3507"/>
      <c r="OHS19" s="3507"/>
      <c r="OHT19" s="3507"/>
      <c r="OHU19" s="3507"/>
      <c r="OHV19" s="3507"/>
      <c r="OHW19" s="3507"/>
      <c r="OHX19" s="3507"/>
      <c r="OHY19" s="3507"/>
      <c r="OHZ19" s="3507"/>
      <c r="OIA19" s="3507"/>
      <c r="OIB19" s="3507"/>
      <c r="OIC19" s="3507"/>
      <c r="OID19" s="3507"/>
      <c r="OIE19" s="3507"/>
      <c r="OIF19" s="3507"/>
      <c r="OIG19" s="3507"/>
      <c r="OIH19" s="3507"/>
      <c r="OII19" s="3507"/>
      <c r="OIJ19" s="3507"/>
      <c r="OIK19" s="3507"/>
      <c r="OIL19" s="3507"/>
      <c r="OIM19" s="3507"/>
      <c r="OIN19" s="3507"/>
      <c r="OIO19" s="3507"/>
      <c r="OIP19" s="3507"/>
      <c r="OIQ19" s="3507"/>
      <c r="OIR19" s="3507"/>
      <c r="OIS19" s="3507"/>
      <c r="OIT19" s="3507"/>
      <c r="OIU19" s="3507"/>
      <c r="OIV19" s="3507"/>
      <c r="OIW19" s="3507"/>
      <c r="OIX19" s="3507"/>
      <c r="OIY19" s="3507"/>
      <c r="OIZ19" s="3507"/>
      <c r="OJA19" s="3507"/>
      <c r="OJB19" s="3507"/>
      <c r="OJC19" s="3507"/>
      <c r="OJD19" s="3507"/>
      <c r="OJE19" s="3507"/>
      <c r="OJF19" s="3507"/>
      <c r="OJG19" s="3507"/>
      <c r="OJH19" s="3507"/>
      <c r="OJI19" s="3507"/>
      <c r="OJJ19" s="3507"/>
      <c r="OJK19" s="3507"/>
      <c r="OJL19" s="3507"/>
      <c r="OJM19" s="3507"/>
      <c r="OJN19" s="3507"/>
      <c r="OJO19" s="3507"/>
      <c r="OJP19" s="3507"/>
      <c r="OJQ19" s="3507"/>
      <c r="OJR19" s="3507"/>
      <c r="OJS19" s="3507"/>
      <c r="OJT19" s="3507"/>
      <c r="OJU19" s="3507"/>
      <c r="OJV19" s="3507"/>
      <c r="OJW19" s="3507"/>
      <c r="OJX19" s="3507"/>
      <c r="OJY19" s="3507"/>
      <c r="OJZ19" s="3507"/>
      <c r="OKA19" s="3507"/>
      <c r="OKB19" s="3507"/>
      <c r="OKC19" s="3507"/>
      <c r="OKD19" s="3507"/>
      <c r="OKE19" s="3507"/>
      <c r="OKF19" s="3507"/>
      <c r="OKG19" s="3507"/>
      <c r="OKH19" s="3507"/>
      <c r="OKI19" s="3507"/>
      <c r="OKJ19" s="3507"/>
      <c r="OKK19" s="3507"/>
      <c r="OKL19" s="3507"/>
      <c r="OKM19" s="3507"/>
      <c r="OKN19" s="3507"/>
      <c r="OKO19" s="3507"/>
      <c r="OKP19" s="3507"/>
      <c r="OKQ19" s="3507"/>
      <c r="OKR19" s="3507"/>
      <c r="OKS19" s="3507"/>
      <c r="OKT19" s="3507"/>
      <c r="OKU19" s="3507"/>
      <c r="OKV19" s="3507"/>
      <c r="OKW19" s="3507"/>
      <c r="OKX19" s="3507"/>
      <c r="OKY19" s="3507"/>
      <c r="OKZ19" s="3507"/>
      <c r="OLA19" s="3507"/>
      <c r="OLB19" s="3507"/>
      <c r="OLC19" s="3507"/>
      <c r="OLD19" s="3507"/>
      <c r="OLE19" s="3507"/>
      <c r="OLF19" s="3507"/>
      <c r="OLG19" s="3507"/>
      <c r="OLH19" s="3507"/>
      <c r="OLI19" s="3507"/>
      <c r="OLJ19" s="3507"/>
      <c r="OLK19" s="3507"/>
      <c r="OLL19" s="3507"/>
      <c r="OLM19" s="3507"/>
      <c r="OLN19" s="3507"/>
      <c r="OLO19" s="3507"/>
      <c r="OLP19" s="3507"/>
      <c r="OLQ19" s="3507"/>
      <c r="OLR19" s="3507"/>
      <c r="OLS19" s="3507"/>
      <c r="OLT19" s="3507"/>
      <c r="OLU19" s="3507"/>
      <c r="OLV19" s="3507"/>
      <c r="OLW19" s="3507"/>
      <c r="OLX19" s="3507"/>
      <c r="OLY19" s="3507"/>
      <c r="OLZ19" s="3507"/>
      <c r="OMA19" s="3507"/>
      <c r="OMB19" s="3507"/>
      <c r="OMC19" s="3507"/>
      <c r="OMD19" s="3507"/>
      <c r="OME19" s="3507"/>
      <c r="OMF19" s="3507"/>
      <c r="OMG19" s="3507"/>
      <c r="OMH19" s="3507"/>
      <c r="OMI19" s="3507"/>
      <c r="OMJ19" s="3507"/>
      <c r="OMK19" s="3507"/>
      <c r="OML19" s="3507"/>
      <c r="OMM19" s="3507"/>
      <c r="OMN19" s="3507"/>
      <c r="OMO19" s="3507"/>
      <c r="OMP19" s="3507"/>
      <c r="OMQ19" s="3507"/>
      <c r="OMR19" s="3507"/>
      <c r="OMS19" s="3507"/>
      <c r="OMT19" s="3507"/>
      <c r="OMU19" s="3507"/>
      <c r="OMV19" s="3507"/>
      <c r="OMW19" s="3507"/>
      <c r="OMX19" s="3507"/>
      <c r="OMY19" s="3507"/>
      <c r="OMZ19" s="3507"/>
      <c r="ONA19" s="3507"/>
      <c r="ONB19" s="3507"/>
      <c r="ONC19" s="3507"/>
      <c r="OND19" s="3507"/>
      <c r="ONE19" s="3507"/>
      <c r="ONF19" s="3507"/>
      <c r="ONG19" s="3507"/>
      <c r="ONH19" s="3507"/>
      <c r="ONI19" s="3507"/>
      <c r="ONJ19" s="3507"/>
      <c r="ONK19" s="3507"/>
      <c r="ONL19" s="3507"/>
      <c r="ONM19" s="3507"/>
      <c r="ONN19" s="3507"/>
      <c r="ONO19" s="3507"/>
      <c r="ONP19" s="3507"/>
      <c r="ONQ19" s="3507"/>
      <c r="ONR19" s="3507"/>
      <c r="ONS19" s="3507"/>
      <c r="ONT19" s="3507"/>
      <c r="ONU19" s="3507"/>
      <c r="ONV19" s="3507"/>
      <c r="ONW19" s="3507"/>
      <c r="ONX19" s="3507"/>
      <c r="ONY19" s="3507"/>
      <c r="ONZ19" s="3507"/>
      <c r="OOA19" s="3507"/>
      <c r="OOB19" s="3507"/>
      <c r="OOC19" s="3507"/>
      <c r="OOD19" s="3507"/>
      <c r="OOE19" s="3507"/>
      <c r="OOF19" s="3507"/>
      <c r="OOG19" s="3507"/>
      <c r="OOH19" s="3507"/>
      <c r="OOI19" s="3507"/>
      <c r="OOJ19" s="3507"/>
      <c r="OOK19" s="3507"/>
      <c r="OOL19" s="3507"/>
      <c r="OOM19" s="3507"/>
      <c r="OON19" s="3507"/>
      <c r="OOO19" s="3507"/>
      <c r="OOP19" s="3507"/>
      <c r="OOQ19" s="3507"/>
      <c r="OOR19" s="3507"/>
      <c r="OOS19" s="3507"/>
      <c r="OOT19" s="3507"/>
      <c r="OOU19" s="3507"/>
      <c r="OOV19" s="3507"/>
      <c r="OOW19" s="3507"/>
      <c r="OOX19" s="3507"/>
      <c r="OOY19" s="3507"/>
      <c r="OOZ19" s="3507"/>
      <c r="OPA19" s="3507"/>
      <c r="OPB19" s="3507"/>
      <c r="OPC19" s="3507"/>
      <c r="OPD19" s="3507"/>
      <c r="OPE19" s="3507"/>
      <c r="OPF19" s="3507"/>
      <c r="OPG19" s="3507"/>
      <c r="OPH19" s="3507"/>
      <c r="OPI19" s="3507"/>
      <c r="OPJ19" s="3507"/>
      <c r="OPK19" s="3507"/>
      <c r="OPL19" s="3507"/>
      <c r="OPM19" s="3507"/>
      <c r="OPN19" s="3507"/>
      <c r="OPO19" s="3507"/>
      <c r="OPP19" s="3507"/>
      <c r="OPQ19" s="3507"/>
      <c r="OPR19" s="3507"/>
      <c r="OPS19" s="3507"/>
      <c r="OPT19" s="3507"/>
      <c r="OPU19" s="3507"/>
      <c r="OPV19" s="3507"/>
      <c r="OPW19" s="3507"/>
      <c r="OPX19" s="3507"/>
      <c r="OPY19" s="3507"/>
      <c r="OPZ19" s="3507"/>
      <c r="OQA19" s="3507"/>
      <c r="OQB19" s="3507"/>
      <c r="OQC19" s="3507"/>
      <c r="OQD19" s="3507"/>
      <c r="OQE19" s="3507"/>
      <c r="OQF19" s="3507"/>
      <c r="OQG19" s="3507"/>
      <c r="OQH19" s="3507"/>
      <c r="OQI19" s="3507"/>
      <c r="OQJ19" s="3507"/>
      <c r="OQK19" s="3507"/>
      <c r="OQL19" s="3507"/>
      <c r="OQM19" s="3507"/>
      <c r="OQN19" s="3507"/>
      <c r="OQO19" s="3507"/>
      <c r="OQP19" s="3507"/>
      <c r="OQQ19" s="3507"/>
      <c r="OQR19" s="3507"/>
      <c r="OQS19" s="3507"/>
      <c r="OQT19" s="3507"/>
      <c r="OQU19" s="3507"/>
      <c r="OQV19" s="3507"/>
      <c r="OQW19" s="3507"/>
      <c r="OQX19" s="3507"/>
      <c r="OQY19" s="3507"/>
      <c r="OQZ19" s="3507"/>
      <c r="ORA19" s="3507"/>
      <c r="ORB19" s="3507"/>
      <c r="ORC19" s="3507"/>
      <c r="ORD19" s="3507"/>
      <c r="ORE19" s="3507"/>
      <c r="ORF19" s="3507"/>
      <c r="ORG19" s="3507"/>
      <c r="ORH19" s="3507"/>
      <c r="ORI19" s="3507"/>
      <c r="ORJ19" s="3507"/>
      <c r="ORK19" s="3507"/>
      <c r="ORL19" s="3507"/>
      <c r="ORM19" s="3507"/>
      <c r="ORN19" s="3507"/>
      <c r="ORO19" s="3507"/>
      <c r="ORP19" s="3507"/>
      <c r="ORQ19" s="3507"/>
      <c r="ORR19" s="3507"/>
      <c r="ORS19" s="3507"/>
      <c r="ORT19" s="3507"/>
      <c r="ORU19" s="3507"/>
      <c r="ORV19" s="3507"/>
      <c r="ORW19" s="3507"/>
      <c r="ORX19" s="3507"/>
      <c r="ORY19" s="3507"/>
      <c r="ORZ19" s="3507"/>
      <c r="OSA19" s="3507"/>
      <c r="OSB19" s="3507"/>
      <c r="OSC19" s="3507"/>
      <c r="OSD19" s="3507"/>
      <c r="OSE19" s="3507"/>
      <c r="OSF19" s="3507"/>
      <c r="OSG19" s="3507"/>
      <c r="OSH19" s="3507"/>
      <c r="OSI19" s="3507"/>
      <c r="OSJ19" s="3507"/>
      <c r="OSK19" s="3507"/>
      <c r="OSL19" s="3507"/>
      <c r="OSM19" s="3507"/>
      <c r="OSN19" s="3507"/>
      <c r="OSO19" s="3507"/>
      <c r="OSP19" s="3507"/>
      <c r="OSQ19" s="3507"/>
      <c r="OSR19" s="3507"/>
      <c r="OSS19" s="3507"/>
      <c r="OST19" s="3507"/>
      <c r="OSU19" s="3507"/>
      <c r="OSV19" s="3507"/>
      <c r="OSW19" s="3507"/>
      <c r="OSX19" s="3507"/>
      <c r="OSY19" s="3507"/>
      <c r="OSZ19" s="3507"/>
      <c r="OTA19" s="3507"/>
      <c r="OTB19" s="3507"/>
      <c r="OTC19" s="3507"/>
      <c r="OTD19" s="3507"/>
      <c r="OTE19" s="3507"/>
      <c r="OTF19" s="3507"/>
      <c r="OTG19" s="3507"/>
      <c r="OTH19" s="3507"/>
      <c r="OTI19" s="3507"/>
      <c r="OTJ19" s="3507"/>
      <c r="OTK19" s="3507"/>
      <c r="OTL19" s="3507"/>
      <c r="OTM19" s="3507"/>
      <c r="OTN19" s="3507"/>
      <c r="OTO19" s="3507"/>
      <c r="OTP19" s="3507"/>
      <c r="OTQ19" s="3507"/>
      <c r="OTR19" s="3507"/>
      <c r="OTS19" s="3507"/>
      <c r="OTT19" s="3507"/>
      <c r="OTU19" s="3507"/>
      <c r="OTV19" s="3507"/>
      <c r="OTW19" s="3507"/>
      <c r="OTX19" s="3507"/>
      <c r="OTY19" s="3507"/>
      <c r="OTZ19" s="3507"/>
      <c r="OUA19" s="3507"/>
      <c r="OUB19" s="3507"/>
      <c r="OUC19" s="3507"/>
      <c r="OUD19" s="3507"/>
      <c r="OUE19" s="3507"/>
      <c r="OUF19" s="3507"/>
      <c r="OUG19" s="3507"/>
      <c r="OUH19" s="3507"/>
      <c r="OUI19" s="3507"/>
      <c r="OUJ19" s="3507"/>
      <c r="OUK19" s="3507"/>
      <c r="OUL19" s="3507"/>
      <c r="OUM19" s="3507"/>
      <c r="OUN19" s="3507"/>
      <c r="OUO19" s="3507"/>
      <c r="OUP19" s="3507"/>
      <c r="OUQ19" s="3507"/>
      <c r="OUR19" s="3507"/>
      <c r="OUS19" s="3507"/>
      <c r="OUT19" s="3507"/>
      <c r="OUU19" s="3507"/>
      <c r="OUV19" s="3507"/>
      <c r="OUW19" s="3507"/>
      <c r="OUX19" s="3507"/>
      <c r="OUY19" s="3507"/>
      <c r="OUZ19" s="3507"/>
      <c r="OVA19" s="3507"/>
      <c r="OVB19" s="3507"/>
      <c r="OVC19" s="3507"/>
      <c r="OVD19" s="3507"/>
      <c r="OVE19" s="3507"/>
      <c r="OVF19" s="3507"/>
      <c r="OVG19" s="3507"/>
      <c r="OVH19" s="3507"/>
      <c r="OVI19" s="3507"/>
      <c r="OVJ19" s="3507"/>
      <c r="OVK19" s="3507"/>
      <c r="OVL19" s="3507"/>
      <c r="OVM19" s="3507"/>
      <c r="OVN19" s="3507"/>
      <c r="OVO19" s="3507"/>
      <c r="OVP19" s="3507"/>
      <c r="OVQ19" s="3507"/>
      <c r="OVR19" s="3507"/>
      <c r="OVS19" s="3507"/>
      <c r="OVT19" s="3507"/>
      <c r="OVU19" s="3507"/>
      <c r="OVV19" s="3507"/>
      <c r="OVW19" s="3507"/>
      <c r="OVX19" s="3507"/>
      <c r="OVY19" s="3507"/>
      <c r="OVZ19" s="3507"/>
      <c r="OWA19" s="3507"/>
      <c r="OWB19" s="3507"/>
      <c r="OWC19" s="3507"/>
      <c r="OWD19" s="3507"/>
      <c r="OWE19" s="3507"/>
      <c r="OWF19" s="3507"/>
      <c r="OWG19" s="3507"/>
      <c r="OWH19" s="3507"/>
      <c r="OWI19" s="3507"/>
      <c r="OWJ19" s="3507"/>
      <c r="OWK19" s="3507"/>
      <c r="OWL19" s="3507"/>
      <c r="OWM19" s="3507"/>
      <c r="OWN19" s="3507"/>
      <c r="OWO19" s="3507"/>
      <c r="OWP19" s="3507"/>
      <c r="OWQ19" s="3507"/>
      <c r="OWR19" s="3507"/>
      <c r="OWS19" s="3507"/>
      <c r="OWT19" s="3507"/>
      <c r="OWU19" s="3507"/>
      <c r="OWV19" s="3507"/>
      <c r="OWW19" s="3507"/>
      <c r="OWX19" s="3507"/>
      <c r="OWY19" s="3507"/>
      <c r="OWZ19" s="3507"/>
      <c r="OXA19" s="3507"/>
      <c r="OXB19" s="3507"/>
      <c r="OXC19" s="3507"/>
      <c r="OXD19" s="3507"/>
      <c r="OXE19" s="3507"/>
      <c r="OXF19" s="3507"/>
      <c r="OXG19" s="3507"/>
      <c r="OXH19" s="3507"/>
      <c r="OXI19" s="3507"/>
      <c r="OXJ19" s="3507"/>
      <c r="OXK19" s="3507"/>
      <c r="OXL19" s="3507"/>
      <c r="OXM19" s="3507"/>
      <c r="OXN19" s="3507"/>
      <c r="OXO19" s="3507"/>
      <c r="OXP19" s="3507"/>
      <c r="OXQ19" s="3507"/>
      <c r="OXR19" s="3507"/>
      <c r="OXS19" s="3507"/>
      <c r="OXT19" s="3507"/>
      <c r="OXU19" s="3507"/>
      <c r="OXV19" s="3507"/>
      <c r="OXW19" s="3507"/>
      <c r="OXX19" s="3507"/>
      <c r="OXY19" s="3507"/>
      <c r="OXZ19" s="3507"/>
      <c r="OYA19" s="3507"/>
      <c r="OYB19" s="3507"/>
      <c r="OYC19" s="3507"/>
      <c r="OYD19" s="3507"/>
      <c r="OYE19" s="3507"/>
      <c r="OYF19" s="3507"/>
      <c r="OYG19" s="3507"/>
      <c r="OYH19" s="3507"/>
      <c r="OYI19" s="3507"/>
      <c r="OYJ19" s="3507"/>
      <c r="OYK19" s="3507"/>
      <c r="OYL19" s="3507"/>
      <c r="OYM19" s="3507"/>
      <c r="OYN19" s="3507"/>
      <c r="OYO19" s="3507"/>
      <c r="OYP19" s="3507"/>
      <c r="OYQ19" s="3507"/>
      <c r="OYR19" s="3507"/>
      <c r="OYS19" s="3507"/>
      <c r="OYT19" s="3507"/>
      <c r="OYU19" s="3507"/>
      <c r="OYV19" s="3507"/>
      <c r="OYW19" s="3507"/>
      <c r="OYX19" s="3507"/>
      <c r="OYY19" s="3507"/>
      <c r="OYZ19" s="3507"/>
      <c r="OZA19" s="3507"/>
      <c r="OZB19" s="3507"/>
      <c r="OZC19" s="3507"/>
      <c r="OZD19" s="3507"/>
      <c r="OZE19" s="3507"/>
      <c r="OZF19" s="3507"/>
      <c r="OZG19" s="3507"/>
      <c r="OZH19" s="3507"/>
      <c r="OZI19" s="3507"/>
      <c r="OZJ19" s="3507"/>
      <c r="OZK19" s="3507"/>
      <c r="OZL19" s="3507"/>
      <c r="OZM19" s="3507"/>
      <c r="OZN19" s="3507"/>
      <c r="OZO19" s="3507"/>
      <c r="OZP19" s="3507"/>
      <c r="OZQ19" s="3507"/>
      <c r="OZR19" s="3507"/>
      <c r="OZS19" s="3507"/>
      <c r="OZT19" s="3507"/>
      <c r="OZU19" s="3507"/>
      <c r="OZV19" s="3507"/>
      <c r="OZW19" s="3507"/>
      <c r="OZX19" s="3507"/>
      <c r="OZY19" s="3507"/>
      <c r="OZZ19" s="3507"/>
      <c r="PAA19" s="3507"/>
      <c r="PAB19" s="3507"/>
      <c r="PAC19" s="3507"/>
      <c r="PAD19" s="3507"/>
      <c r="PAE19" s="3507"/>
      <c r="PAF19" s="3507"/>
      <c r="PAG19" s="3507"/>
      <c r="PAH19" s="3507"/>
      <c r="PAI19" s="3507"/>
      <c r="PAJ19" s="3507"/>
      <c r="PAK19" s="3507"/>
      <c r="PAL19" s="3507"/>
      <c r="PAM19" s="3507"/>
      <c r="PAN19" s="3507"/>
      <c r="PAO19" s="3507"/>
      <c r="PAP19" s="3507"/>
      <c r="PAQ19" s="3507"/>
      <c r="PAR19" s="3507"/>
      <c r="PAS19" s="3507"/>
      <c r="PAT19" s="3507"/>
      <c r="PAU19" s="3507"/>
      <c r="PAV19" s="3507"/>
      <c r="PAW19" s="3507"/>
      <c r="PAX19" s="3507"/>
      <c r="PAY19" s="3507"/>
      <c r="PAZ19" s="3507"/>
      <c r="PBA19" s="3507"/>
      <c r="PBB19" s="3507"/>
      <c r="PBC19" s="3507"/>
      <c r="PBD19" s="3507"/>
      <c r="PBE19" s="3507"/>
      <c r="PBF19" s="3507"/>
      <c r="PBG19" s="3507"/>
      <c r="PBH19" s="3507"/>
      <c r="PBI19" s="3507"/>
      <c r="PBJ19" s="3507"/>
      <c r="PBK19" s="3507"/>
      <c r="PBL19" s="3507"/>
      <c r="PBM19" s="3507"/>
      <c r="PBN19" s="3507"/>
      <c r="PBO19" s="3507"/>
      <c r="PBP19" s="3507"/>
      <c r="PBQ19" s="3507"/>
      <c r="PBR19" s="3507"/>
      <c r="PBS19" s="3507"/>
      <c r="PBT19" s="3507"/>
      <c r="PBU19" s="3507"/>
      <c r="PBV19" s="3507"/>
      <c r="PBW19" s="3507"/>
      <c r="PBX19" s="3507"/>
      <c r="PBY19" s="3507"/>
      <c r="PBZ19" s="3507"/>
      <c r="PCA19" s="3507"/>
      <c r="PCB19" s="3507"/>
      <c r="PCC19" s="3507"/>
      <c r="PCD19" s="3507"/>
      <c r="PCE19" s="3507"/>
      <c r="PCF19" s="3507"/>
      <c r="PCG19" s="3507"/>
      <c r="PCH19" s="3507"/>
      <c r="PCI19" s="3507"/>
      <c r="PCJ19" s="3507"/>
      <c r="PCK19" s="3507"/>
      <c r="PCL19" s="3507"/>
      <c r="PCM19" s="3507"/>
      <c r="PCN19" s="3507"/>
      <c r="PCO19" s="3507"/>
      <c r="PCP19" s="3507"/>
      <c r="PCQ19" s="3507"/>
      <c r="PCR19" s="3507"/>
      <c r="PCS19" s="3507"/>
      <c r="PCT19" s="3507"/>
      <c r="PCU19" s="3507"/>
      <c r="PCV19" s="3507"/>
      <c r="PCW19" s="3507"/>
      <c r="PCX19" s="3507"/>
      <c r="PCY19" s="3507"/>
      <c r="PCZ19" s="3507"/>
      <c r="PDA19" s="3507"/>
      <c r="PDB19" s="3507"/>
      <c r="PDC19" s="3507"/>
      <c r="PDD19" s="3507"/>
      <c r="PDE19" s="3507"/>
      <c r="PDF19" s="3507"/>
      <c r="PDG19" s="3507"/>
      <c r="PDH19" s="3507"/>
      <c r="PDI19" s="3507"/>
      <c r="PDJ19" s="3507"/>
      <c r="PDK19" s="3507"/>
      <c r="PDL19" s="3507"/>
      <c r="PDM19" s="3507"/>
      <c r="PDN19" s="3507"/>
      <c r="PDO19" s="3507"/>
      <c r="PDP19" s="3507"/>
      <c r="PDQ19" s="3507"/>
      <c r="PDR19" s="3507"/>
      <c r="PDS19" s="3507"/>
      <c r="PDT19" s="3507"/>
      <c r="PDU19" s="3507"/>
      <c r="PDV19" s="3507"/>
      <c r="PDW19" s="3507"/>
      <c r="PDX19" s="3507"/>
      <c r="PDY19" s="3507"/>
      <c r="PDZ19" s="3507"/>
      <c r="PEA19" s="3507"/>
      <c r="PEB19" s="3507"/>
      <c r="PEC19" s="3507"/>
      <c r="PED19" s="3507"/>
      <c r="PEE19" s="3507"/>
      <c r="PEF19" s="3507"/>
      <c r="PEG19" s="3507"/>
      <c r="PEH19" s="3507"/>
      <c r="PEI19" s="3507"/>
      <c r="PEJ19" s="3507"/>
      <c r="PEK19" s="3507"/>
      <c r="PEL19" s="3507"/>
      <c r="PEM19" s="3507"/>
      <c r="PEN19" s="3507"/>
      <c r="PEO19" s="3507"/>
      <c r="PEP19" s="3507"/>
      <c r="PEQ19" s="3507"/>
      <c r="PER19" s="3507"/>
      <c r="PES19" s="3507"/>
      <c r="PET19" s="3507"/>
      <c r="PEU19" s="3507"/>
      <c r="PEV19" s="3507"/>
      <c r="PEW19" s="3507"/>
      <c r="PEX19" s="3507"/>
      <c r="PEY19" s="3507"/>
      <c r="PEZ19" s="3507"/>
      <c r="PFA19" s="3507"/>
      <c r="PFB19" s="3507"/>
      <c r="PFC19" s="3507"/>
      <c r="PFD19" s="3507"/>
      <c r="PFE19" s="3507"/>
      <c r="PFF19" s="3507"/>
      <c r="PFG19" s="3507"/>
      <c r="PFH19" s="3507"/>
      <c r="PFI19" s="3507"/>
      <c r="PFJ19" s="3507"/>
      <c r="PFK19" s="3507"/>
      <c r="PFL19" s="3507"/>
      <c r="PFM19" s="3507"/>
      <c r="PFN19" s="3507"/>
      <c r="PFO19" s="3507"/>
      <c r="PFP19" s="3507"/>
      <c r="PFQ19" s="3507"/>
      <c r="PFR19" s="3507"/>
      <c r="PFS19" s="3507"/>
      <c r="PFT19" s="3507"/>
      <c r="PFU19" s="3507"/>
      <c r="PFV19" s="3507"/>
      <c r="PFW19" s="3507"/>
      <c r="PFX19" s="3507"/>
      <c r="PFY19" s="3507"/>
      <c r="PFZ19" s="3507"/>
      <c r="PGA19" s="3507"/>
      <c r="PGB19" s="3507"/>
      <c r="PGC19" s="3507"/>
      <c r="PGD19" s="3507"/>
      <c r="PGE19" s="3507"/>
      <c r="PGF19" s="3507"/>
      <c r="PGG19" s="3507"/>
      <c r="PGH19" s="3507"/>
      <c r="PGI19" s="3507"/>
      <c r="PGJ19" s="3507"/>
      <c r="PGK19" s="3507"/>
      <c r="PGL19" s="3507"/>
      <c r="PGM19" s="3507"/>
      <c r="PGN19" s="3507"/>
      <c r="PGO19" s="3507"/>
      <c r="PGP19" s="3507"/>
      <c r="PGQ19" s="3507"/>
      <c r="PGR19" s="3507"/>
      <c r="PGS19" s="3507"/>
      <c r="PGT19" s="3507"/>
      <c r="PGU19" s="3507"/>
      <c r="PGV19" s="3507"/>
      <c r="PGW19" s="3507"/>
      <c r="PGX19" s="3507"/>
      <c r="PGY19" s="3507"/>
      <c r="PGZ19" s="3507"/>
      <c r="PHA19" s="3507"/>
      <c r="PHB19" s="3507"/>
      <c r="PHC19" s="3507"/>
      <c r="PHD19" s="3507"/>
      <c r="PHE19" s="3507"/>
      <c r="PHF19" s="3507"/>
      <c r="PHG19" s="3507"/>
      <c r="PHH19" s="3507"/>
      <c r="PHI19" s="3507"/>
      <c r="PHJ19" s="3507"/>
      <c r="PHK19" s="3507"/>
      <c r="PHL19" s="3507"/>
      <c r="PHM19" s="3507"/>
      <c r="PHN19" s="3507"/>
      <c r="PHO19" s="3507"/>
      <c r="PHP19" s="3507"/>
      <c r="PHQ19" s="3507"/>
      <c r="PHR19" s="3507"/>
      <c r="PHS19" s="3507"/>
      <c r="PHT19" s="3507"/>
      <c r="PHU19" s="3507"/>
      <c r="PHV19" s="3507"/>
      <c r="PHW19" s="3507"/>
      <c r="PHX19" s="3507"/>
      <c r="PHY19" s="3507"/>
      <c r="PHZ19" s="3507"/>
      <c r="PIA19" s="3507"/>
      <c r="PIB19" s="3507"/>
      <c r="PIC19" s="3507"/>
      <c r="PID19" s="3507"/>
      <c r="PIE19" s="3507"/>
      <c r="PIF19" s="3507"/>
      <c r="PIG19" s="3507"/>
      <c r="PIH19" s="3507"/>
      <c r="PII19" s="3507"/>
      <c r="PIJ19" s="3507"/>
      <c r="PIK19" s="3507"/>
      <c r="PIL19" s="3507"/>
      <c r="PIM19" s="3507"/>
      <c r="PIN19" s="3507"/>
      <c r="PIO19" s="3507"/>
      <c r="PIP19" s="3507"/>
      <c r="PIQ19" s="3507"/>
      <c r="PIR19" s="3507"/>
      <c r="PIS19" s="3507"/>
      <c r="PIT19" s="3507"/>
      <c r="PIU19" s="3507"/>
      <c r="PIV19" s="3507"/>
      <c r="PIW19" s="3507"/>
      <c r="PIX19" s="3507"/>
      <c r="PIY19" s="3507"/>
      <c r="PIZ19" s="3507"/>
      <c r="PJA19" s="3507"/>
      <c r="PJB19" s="3507"/>
      <c r="PJC19" s="3507"/>
      <c r="PJD19" s="3507"/>
      <c r="PJE19" s="3507"/>
      <c r="PJF19" s="3507"/>
      <c r="PJG19" s="3507"/>
      <c r="PJH19" s="3507"/>
      <c r="PJI19" s="3507"/>
      <c r="PJJ19" s="3507"/>
      <c r="PJK19" s="3507"/>
      <c r="PJL19" s="3507"/>
      <c r="PJM19" s="3507"/>
      <c r="PJN19" s="3507"/>
      <c r="PJO19" s="3507"/>
      <c r="PJP19" s="3507"/>
      <c r="PJQ19" s="3507"/>
      <c r="PJR19" s="3507"/>
      <c r="PJS19" s="3507"/>
      <c r="PJT19" s="3507"/>
      <c r="PJU19" s="3507"/>
      <c r="PJV19" s="3507"/>
      <c r="PJW19" s="3507"/>
      <c r="PJX19" s="3507"/>
      <c r="PJY19" s="3507"/>
      <c r="PJZ19" s="3507"/>
      <c r="PKA19" s="3507"/>
      <c r="PKB19" s="3507"/>
      <c r="PKC19" s="3507"/>
      <c r="PKD19" s="3507"/>
      <c r="PKE19" s="3507"/>
      <c r="PKF19" s="3507"/>
      <c r="PKG19" s="3507"/>
      <c r="PKH19" s="3507"/>
      <c r="PKI19" s="3507"/>
      <c r="PKJ19" s="3507"/>
      <c r="PKK19" s="3507"/>
      <c r="PKL19" s="3507"/>
      <c r="PKM19" s="3507"/>
      <c r="PKN19" s="3507"/>
      <c r="PKO19" s="3507"/>
      <c r="PKP19" s="3507"/>
      <c r="PKQ19" s="3507"/>
      <c r="PKR19" s="3507"/>
      <c r="PKS19" s="3507"/>
      <c r="PKT19" s="3507"/>
      <c r="PKU19" s="3507"/>
      <c r="PKV19" s="3507"/>
      <c r="PKW19" s="3507"/>
      <c r="PKX19" s="3507"/>
      <c r="PKY19" s="3507"/>
      <c r="PKZ19" s="3507"/>
      <c r="PLA19" s="3507"/>
      <c r="PLB19" s="3507"/>
      <c r="PLC19" s="3507"/>
      <c r="PLD19" s="3507"/>
      <c r="PLE19" s="3507"/>
      <c r="PLF19" s="3507"/>
      <c r="PLG19" s="3507"/>
      <c r="PLH19" s="3507"/>
      <c r="PLI19" s="3507"/>
      <c r="PLJ19" s="3507"/>
      <c r="PLK19" s="3507"/>
      <c r="PLL19" s="3507"/>
      <c r="PLM19" s="3507"/>
      <c r="PLN19" s="3507"/>
      <c r="PLO19" s="3507"/>
      <c r="PLP19" s="3507"/>
      <c r="PLQ19" s="3507"/>
      <c r="PLR19" s="3507"/>
      <c r="PLS19" s="3507"/>
      <c r="PLT19" s="3507"/>
      <c r="PLU19" s="3507"/>
      <c r="PLV19" s="3507"/>
      <c r="PLW19" s="3507"/>
      <c r="PLX19" s="3507"/>
      <c r="PLY19" s="3507"/>
      <c r="PLZ19" s="3507"/>
      <c r="PMA19" s="3507"/>
      <c r="PMB19" s="3507"/>
      <c r="PMC19" s="3507"/>
      <c r="PMD19" s="3507"/>
      <c r="PME19" s="3507"/>
      <c r="PMF19" s="3507"/>
      <c r="PMG19" s="3507"/>
      <c r="PMH19" s="3507"/>
      <c r="PMI19" s="3507"/>
      <c r="PMJ19" s="3507"/>
      <c r="PMK19" s="3507"/>
      <c r="PML19" s="3507"/>
      <c r="PMM19" s="3507"/>
      <c r="PMN19" s="3507"/>
      <c r="PMO19" s="3507"/>
      <c r="PMP19" s="3507"/>
      <c r="PMQ19" s="3507"/>
      <c r="PMR19" s="3507"/>
      <c r="PMS19" s="3507"/>
      <c r="PMT19" s="3507"/>
      <c r="PMU19" s="3507"/>
      <c r="PMV19" s="3507"/>
      <c r="PMW19" s="3507"/>
      <c r="PMX19" s="3507"/>
      <c r="PMY19" s="3507"/>
      <c r="PMZ19" s="3507"/>
      <c r="PNA19" s="3507"/>
      <c r="PNB19" s="3507"/>
      <c r="PNC19" s="3507"/>
      <c r="PND19" s="3507"/>
      <c r="PNE19" s="3507"/>
      <c r="PNF19" s="3507"/>
      <c r="PNG19" s="3507"/>
      <c r="PNH19" s="3507"/>
      <c r="PNI19" s="3507"/>
      <c r="PNJ19" s="3507"/>
      <c r="PNK19" s="3507"/>
      <c r="PNL19" s="3507"/>
      <c r="PNM19" s="3507"/>
      <c r="PNN19" s="3507"/>
      <c r="PNO19" s="3507"/>
      <c r="PNP19" s="3507"/>
      <c r="PNQ19" s="3507"/>
      <c r="PNR19" s="3507"/>
      <c r="PNS19" s="3507"/>
      <c r="PNT19" s="3507"/>
      <c r="PNU19" s="3507"/>
      <c r="PNV19" s="3507"/>
      <c r="PNW19" s="3507"/>
      <c r="PNX19" s="3507"/>
      <c r="PNY19" s="3507"/>
      <c r="PNZ19" s="3507"/>
      <c r="POA19" s="3507"/>
      <c r="POB19" s="3507"/>
      <c r="POC19" s="3507"/>
      <c r="POD19" s="3507"/>
      <c r="POE19" s="3507"/>
      <c r="POF19" s="3507"/>
      <c r="POG19" s="3507"/>
      <c r="POH19" s="3507"/>
      <c r="POI19" s="3507"/>
      <c r="POJ19" s="3507"/>
      <c r="POK19" s="3507"/>
      <c r="POL19" s="3507"/>
      <c r="POM19" s="3507"/>
      <c r="PON19" s="3507"/>
      <c r="POO19" s="3507"/>
      <c r="POP19" s="3507"/>
      <c r="POQ19" s="3507"/>
      <c r="POR19" s="3507"/>
      <c r="POS19" s="3507"/>
      <c r="POT19" s="3507"/>
      <c r="POU19" s="3507"/>
      <c r="POV19" s="3507"/>
      <c r="POW19" s="3507"/>
      <c r="POX19" s="3507"/>
      <c r="POY19" s="3507"/>
      <c r="POZ19" s="3507"/>
      <c r="PPA19" s="3507"/>
      <c r="PPB19" s="3507"/>
      <c r="PPC19" s="3507"/>
      <c r="PPD19" s="3507"/>
      <c r="PPE19" s="3507"/>
      <c r="PPF19" s="3507"/>
      <c r="PPG19" s="3507"/>
      <c r="PPH19" s="3507"/>
      <c r="PPI19" s="3507"/>
      <c r="PPJ19" s="3507"/>
      <c r="PPK19" s="3507"/>
      <c r="PPL19" s="3507"/>
      <c r="PPM19" s="3507"/>
      <c r="PPN19" s="3507"/>
      <c r="PPO19" s="3507"/>
      <c r="PPP19" s="3507"/>
      <c r="PPQ19" s="3507"/>
      <c r="PPR19" s="3507"/>
      <c r="PPS19" s="3507"/>
      <c r="PPT19" s="3507"/>
      <c r="PPU19" s="3507"/>
      <c r="PPV19" s="3507"/>
      <c r="PPW19" s="3507"/>
      <c r="PPX19" s="3507"/>
      <c r="PPY19" s="3507"/>
      <c r="PPZ19" s="3507"/>
      <c r="PQA19" s="3507"/>
      <c r="PQB19" s="3507"/>
      <c r="PQC19" s="3507"/>
      <c r="PQD19" s="3507"/>
      <c r="PQE19" s="3507"/>
      <c r="PQF19" s="3507"/>
      <c r="PQG19" s="3507"/>
      <c r="PQH19" s="3507"/>
      <c r="PQI19" s="3507"/>
      <c r="PQJ19" s="3507"/>
      <c r="PQK19" s="3507"/>
      <c r="PQL19" s="3507"/>
      <c r="PQM19" s="3507"/>
      <c r="PQN19" s="3507"/>
      <c r="PQO19" s="3507"/>
      <c r="PQP19" s="3507"/>
      <c r="PQQ19" s="3507"/>
      <c r="PQR19" s="3507"/>
      <c r="PQS19" s="3507"/>
      <c r="PQT19" s="3507"/>
      <c r="PQU19" s="3507"/>
      <c r="PQV19" s="3507"/>
      <c r="PQW19" s="3507"/>
      <c r="PQX19" s="3507"/>
      <c r="PQY19" s="3507"/>
      <c r="PQZ19" s="3507"/>
      <c r="PRA19" s="3507"/>
      <c r="PRB19" s="3507"/>
      <c r="PRC19" s="3507"/>
      <c r="PRD19" s="3507"/>
      <c r="PRE19" s="3507"/>
      <c r="PRF19" s="3507"/>
      <c r="PRG19" s="3507"/>
      <c r="PRH19" s="3507"/>
      <c r="PRI19" s="3507"/>
      <c r="PRJ19" s="3507"/>
      <c r="PRK19" s="3507"/>
      <c r="PRL19" s="3507"/>
      <c r="PRM19" s="3507"/>
      <c r="PRN19" s="3507"/>
      <c r="PRO19" s="3507"/>
      <c r="PRP19" s="3507"/>
      <c r="PRQ19" s="3507"/>
      <c r="PRR19" s="3507"/>
      <c r="PRS19" s="3507"/>
      <c r="PRT19" s="3507"/>
      <c r="PRU19" s="3507"/>
      <c r="PRV19" s="3507"/>
      <c r="PRW19" s="3507"/>
      <c r="PRX19" s="3507"/>
      <c r="PRY19" s="3507"/>
      <c r="PRZ19" s="3507"/>
      <c r="PSA19" s="3507"/>
      <c r="PSB19" s="3507"/>
      <c r="PSC19" s="3507"/>
      <c r="PSD19" s="3507"/>
      <c r="PSE19" s="3507"/>
      <c r="PSF19" s="3507"/>
      <c r="PSG19" s="3507"/>
      <c r="PSH19" s="3507"/>
      <c r="PSI19" s="3507"/>
      <c r="PSJ19" s="3507"/>
      <c r="PSK19" s="3507"/>
      <c r="PSL19" s="3507"/>
      <c r="PSM19" s="3507"/>
      <c r="PSN19" s="3507"/>
      <c r="PSO19" s="3507"/>
      <c r="PSP19" s="3507"/>
      <c r="PSQ19" s="3507"/>
      <c r="PSR19" s="3507"/>
      <c r="PSS19" s="3507"/>
      <c r="PST19" s="3507"/>
      <c r="PSU19" s="3507"/>
      <c r="PSV19" s="3507"/>
      <c r="PSW19" s="3507"/>
      <c r="PSX19" s="3507"/>
      <c r="PSY19" s="3507"/>
      <c r="PSZ19" s="3507"/>
      <c r="PTA19" s="3507"/>
      <c r="PTB19" s="3507"/>
      <c r="PTC19" s="3507"/>
      <c r="PTD19" s="3507"/>
      <c r="PTE19" s="3507"/>
      <c r="PTF19" s="3507"/>
      <c r="PTG19" s="3507"/>
      <c r="PTH19" s="3507"/>
      <c r="PTI19" s="3507"/>
      <c r="PTJ19" s="3507"/>
      <c r="PTK19" s="3507"/>
      <c r="PTL19" s="3507"/>
      <c r="PTM19" s="3507"/>
      <c r="PTN19" s="3507"/>
      <c r="PTO19" s="3507"/>
      <c r="PTP19" s="3507"/>
      <c r="PTQ19" s="3507"/>
      <c r="PTR19" s="3507"/>
      <c r="PTS19" s="3507"/>
      <c r="PTT19" s="3507"/>
      <c r="PTU19" s="3507"/>
      <c r="PTV19" s="3507"/>
      <c r="PTW19" s="3507"/>
      <c r="PTX19" s="3507"/>
      <c r="PTY19" s="3507"/>
      <c r="PTZ19" s="3507"/>
      <c r="PUA19" s="3507"/>
      <c r="PUB19" s="3507"/>
      <c r="PUC19" s="3507"/>
      <c r="PUD19" s="3507"/>
      <c r="PUE19" s="3507"/>
      <c r="PUF19" s="3507"/>
      <c r="PUG19" s="3507"/>
      <c r="PUH19" s="3507"/>
      <c r="PUI19" s="3507"/>
      <c r="PUJ19" s="3507"/>
      <c r="PUK19" s="3507"/>
      <c r="PUL19" s="3507"/>
      <c r="PUM19" s="3507"/>
      <c r="PUN19" s="3507"/>
      <c r="PUO19" s="3507"/>
      <c r="PUP19" s="3507"/>
      <c r="PUQ19" s="3507"/>
      <c r="PUR19" s="3507"/>
      <c r="PUS19" s="3507"/>
      <c r="PUT19" s="3507"/>
      <c r="PUU19" s="3507"/>
      <c r="PUV19" s="3507"/>
      <c r="PUW19" s="3507"/>
      <c r="PUX19" s="3507"/>
      <c r="PUY19" s="3507"/>
      <c r="PUZ19" s="3507"/>
      <c r="PVA19" s="3507"/>
      <c r="PVB19" s="3507"/>
      <c r="PVC19" s="3507"/>
      <c r="PVD19" s="3507"/>
      <c r="PVE19" s="3507"/>
      <c r="PVF19" s="3507"/>
      <c r="PVG19" s="3507"/>
      <c r="PVH19" s="3507"/>
      <c r="PVI19" s="3507"/>
      <c r="PVJ19" s="3507"/>
      <c r="PVK19" s="3507"/>
      <c r="PVL19" s="3507"/>
      <c r="PVM19" s="3507"/>
      <c r="PVN19" s="3507"/>
      <c r="PVO19" s="3507"/>
      <c r="PVP19" s="3507"/>
      <c r="PVQ19" s="3507"/>
      <c r="PVR19" s="3507"/>
      <c r="PVS19" s="3507"/>
      <c r="PVT19" s="3507"/>
      <c r="PVU19" s="3507"/>
      <c r="PVV19" s="3507"/>
      <c r="PVW19" s="3507"/>
      <c r="PVX19" s="3507"/>
      <c r="PVY19" s="3507"/>
      <c r="PVZ19" s="3507"/>
      <c r="PWA19" s="3507"/>
      <c r="PWB19" s="3507"/>
      <c r="PWC19" s="3507"/>
      <c r="PWD19" s="3507"/>
      <c r="PWE19" s="3507"/>
      <c r="PWF19" s="3507"/>
      <c r="PWG19" s="3507"/>
      <c r="PWH19" s="3507"/>
      <c r="PWI19" s="3507"/>
      <c r="PWJ19" s="3507"/>
      <c r="PWK19" s="3507"/>
      <c r="PWL19" s="3507"/>
      <c r="PWM19" s="3507"/>
      <c r="PWN19" s="3507"/>
      <c r="PWO19" s="3507"/>
      <c r="PWP19" s="3507"/>
      <c r="PWQ19" s="3507"/>
      <c r="PWR19" s="3507"/>
      <c r="PWS19" s="3507"/>
      <c r="PWT19" s="3507"/>
      <c r="PWU19" s="3507"/>
      <c r="PWV19" s="3507"/>
      <c r="PWW19" s="3507"/>
      <c r="PWX19" s="3507"/>
      <c r="PWY19" s="3507"/>
      <c r="PWZ19" s="3507"/>
      <c r="PXA19" s="3507"/>
      <c r="PXB19" s="3507"/>
      <c r="PXC19" s="3507"/>
      <c r="PXD19" s="3507"/>
      <c r="PXE19" s="3507"/>
      <c r="PXF19" s="3507"/>
      <c r="PXG19" s="3507"/>
      <c r="PXH19" s="3507"/>
      <c r="PXI19" s="3507"/>
      <c r="PXJ19" s="3507"/>
      <c r="PXK19" s="3507"/>
      <c r="PXL19" s="3507"/>
      <c r="PXM19" s="3507"/>
      <c r="PXN19" s="3507"/>
      <c r="PXO19" s="3507"/>
      <c r="PXP19" s="3507"/>
      <c r="PXQ19" s="3507"/>
      <c r="PXR19" s="3507"/>
      <c r="PXS19" s="3507"/>
      <c r="PXT19" s="3507"/>
      <c r="PXU19" s="3507"/>
      <c r="PXV19" s="3507"/>
      <c r="PXW19" s="3507"/>
      <c r="PXX19" s="3507"/>
      <c r="PXY19" s="3507"/>
      <c r="PXZ19" s="3507"/>
      <c r="PYA19" s="3507"/>
      <c r="PYB19" s="3507"/>
      <c r="PYC19" s="3507"/>
      <c r="PYD19" s="3507"/>
      <c r="PYE19" s="3507"/>
      <c r="PYF19" s="3507"/>
      <c r="PYG19" s="3507"/>
      <c r="PYH19" s="3507"/>
      <c r="PYI19" s="3507"/>
      <c r="PYJ19" s="3507"/>
      <c r="PYK19" s="3507"/>
      <c r="PYL19" s="3507"/>
      <c r="PYM19" s="3507"/>
      <c r="PYN19" s="3507"/>
      <c r="PYO19" s="3507"/>
      <c r="PYP19" s="3507"/>
      <c r="PYQ19" s="3507"/>
      <c r="PYR19" s="3507"/>
      <c r="PYS19" s="3507"/>
      <c r="PYT19" s="3507"/>
      <c r="PYU19" s="3507"/>
      <c r="PYV19" s="3507"/>
      <c r="PYW19" s="3507"/>
      <c r="PYX19" s="3507"/>
      <c r="PYY19" s="3507"/>
      <c r="PYZ19" s="3507"/>
      <c r="PZA19" s="3507"/>
      <c r="PZB19" s="3507"/>
      <c r="PZC19" s="3507"/>
      <c r="PZD19" s="3507"/>
      <c r="PZE19" s="3507"/>
      <c r="PZF19" s="3507"/>
      <c r="PZG19" s="3507"/>
      <c r="PZH19" s="3507"/>
      <c r="PZI19" s="3507"/>
      <c r="PZJ19" s="3507"/>
      <c r="PZK19" s="3507"/>
      <c r="PZL19" s="3507"/>
      <c r="PZM19" s="3507"/>
      <c r="PZN19" s="3507"/>
      <c r="PZO19" s="3507"/>
      <c r="PZP19" s="3507"/>
      <c r="PZQ19" s="3507"/>
      <c r="PZR19" s="3507"/>
      <c r="PZS19" s="3507"/>
      <c r="PZT19" s="3507"/>
      <c r="PZU19" s="3507"/>
      <c r="PZV19" s="3507"/>
      <c r="PZW19" s="3507"/>
      <c r="PZX19" s="3507"/>
      <c r="PZY19" s="3507"/>
      <c r="PZZ19" s="3507"/>
      <c r="QAA19" s="3507"/>
      <c r="QAB19" s="3507"/>
      <c r="QAC19" s="3507"/>
      <c r="QAD19" s="3507"/>
      <c r="QAE19" s="3507"/>
      <c r="QAF19" s="3507"/>
      <c r="QAG19" s="3507"/>
      <c r="QAH19" s="3507"/>
      <c r="QAI19" s="3507"/>
      <c r="QAJ19" s="3507"/>
      <c r="QAK19" s="3507"/>
      <c r="QAL19" s="3507"/>
      <c r="QAM19" s="3507"/>
      <c r="QAN19" s="3507"/>
      <c r="QAO19" s="3507"/>
      <c r="QAP19" s="3507"/>
      <c r="QAQ19" s="3507"/>
      <c r="QAR19" s="3507"/>
      <c r="QAS19" s="3507"/>
      <c r="QAT19" s="3507"/>
      <c r="QAU19" s="3507"/>
      <c r="QAV19" s="3507"/>
      <c r="QAW19" s="3507"/>
      <c r="QAX19" s="3507"/>
      <c r="QAY19" s="3507"/>
      <c r="QAZ19" s="3507"/>
      <c r="QBA19" s="3507"/>
      <c r="QBB19" s="3507"/>
      <c r="QBC19" s="3507"/>
      <c r="QBD19" s="3507"/>
      <c r="QBE19" s="3507"/>
      <c r="QBF19" s="3507"/>
      <c r="QBG19" s="3507"/>
      <c r="QBH19" s="3507"/>
      <c r="QBI19" s="3507"/>
      <c r="QBJ19" s="3507"/>
      <c r="QBK19" s="3507"/>
      <c r="QBL19" s="3507"/>
      <c r="QBM19" s="3507"/>
      <c r="QBN19" s="3507"/>
      <c r="QBO19" s="3507"/>
      <c r="QBP19" s="3507"/>
      <c r="QBQ19" s="3507"/>
      <c r="QBR19" s="3507"/>
      <c r="QBS19" s="3507"/>
      <c r="QBT19" s="3507"/>
      <c r="QBU19" s="3507"/>
      <c r="QBV19" s="3507"/>
      <c r="QBW19" s="3507"/>
      <c r="QBX19" s="3507"/>
      <c r="QBY19" s="3507"/>
      <c r="QBZ19" s="3507"/>
      <c r="QCA19" s="3507"/>
      <c r="QCB19" s="3507"/>
      <c r="QCC19" s="3507"/>
      <c r="QCD19" s="3507"/>
      <c r="QCE19" s="3507"/>
      <c r="QCF19" s="3507"/>
      <c r="QCG19" s="3507"/>
      <c r="QCH19" s="3507"/>
      <c r="QCI19" s="3507"/>
      <c r="QCJ19" s="3507"/>
      <c r="QCK19" s="3507"/>
      <c r="QCL19" s="3507"/>
      <c r="QCM19" s="3507"/>
      <c r="QCN19" s="3507"/>
      <c r="QCO19" s="3507"/>
      <c r="QCP19" s="3507"/>
      <c r="QCQ19" s="3507"/>
      <c r="QCR19" s="3507"/>
      <c r="QCS19" s="3507"/>
      <c r="QCT19" s="3507"/>
      <c r="QCU19" s="3507"/>
      <c r="QCV19" s="3507"/>
      <c r="QCW19" s="3507"/>
      <c r="QCX19" s="3507"/>
      <c r="QCY19" s="3507"/>
      <c r="QCZ19" s="3507"/>
      <c r="QDA19" s="3507"/>
      <c r="QDB19" s="3507"/>
      <c r="QDC19" s="3507"/>
      <c r="QDD19" s="3507"/>
      <c r="QDE19" s="3507"/>
      <c r="QDF19" s="3507"/>
      <c r="QDG19" s="3507"/>
      <c r="QDH19" s="3507"/>
      <c r="QDI19" s="3507"/>
      <c r="QDJ19" s="3507"/>
      <c r="QDK19" s="3507"/>
      <c r="QDL19" s="3507"/>
      <c r="QDM19" s="3507"/>
      <c r="QDN19" s="3507"/>
      <c r="QDO19" s="3507"/>
      <c r="QDP19" s="3507"/>
      <c r="QDQ19" s="3507"/>
      <c r="QDR19" s="3507"/>
      <c r="QDS19" s="3507"/>
      <c r="QDT19" s="3507"/>
      <c r="QDU19" s="3507"/>
      <c r="QDV19" s="3507"/>
      <c r="QDW19" s="3507"/>
      <c r="QDX19" s="3507"/>
      <c r="QDY19" s="3507"/>
      <c r="QDZ19" s="3507"/>
      <c r="QEA19" s="3507"/>
      <c r="QEB19" s="3507"/>
      <c r="QEC19" s="3507"/>
      <c r="QED19" s="3507"/>
      <c r="QEE19" s="3507"/>
      <c r="QEF19" s="3507"/>
      <c r="QEG19" s="3507"/>
      <c r="QEH19" s="3507"/>
      <c r="QEI19" s="3507"/>
      <c r="QEJ19" s="3507"/>
      <c r="QEK19" s="3507"/>
      <c r="QEL19" s="3507"/>
      <c r="QEM19" s="3507"/>
      <c r="QEN19" s="3507"/>
      <c r="QEO19" s="3507"/>
      <c r="QEP19" s="3507"/>
      <c r="QEQ19" s="3507"/>
      <c r="QER19" s="3507"/>
      <c r="QES19" s="3507"/>
      <c r="QET19" s="3507"/>
      <c r="QEU19" s="3507"/>
      <c r="QEV19" s="3507"/>
      <c r="QEW19" s="3507"/>
      <c r="QEX19" s="3507"/>
      <c r="QEY19" s="3507"/>
      <c r="QEZ19" s="3507"/>
      <c r="QFA19" s="3507"/>
      <c r="QFB19" s="3507"/>
      <c r="QFC19" s="3507"/>
      <c r="QFD19" s="3507"/>
      <c r="QFE19" s="3507"/>
      <c r="QFF19" s="3507"/>
      <c r="QFG19" s="3507"/>
      <c r="QFH19" s="3507"/>
      <c r="QFI19" s="3507"/>
      <c r="QFJ19" s="3507"/>
      <c r="QFK19" s="3507"/>
      <c r="QFL19" s="3507"/>
      <c r="QFM19" s="3507"/>
      <c r="QFN19" s="3507"/>
      <c r="QFO19" s="3507"/>
      <c r="QFP19" s="3507"/>
      <c r="QFQ19" s="3507"/>
      <c r="QFR19" s="3507"/>
      <c r="QFS19" s="3507"/>
      <c r="QFT19" s="3507"/>
      <c r="QFU19" s="3507"/>
      <c r="QFV19" s="3507"/>
      <c r="QFW19" s="3507"/>
      <c r="QFX19" s="3507"/>
      <c r="QFY19" s="3507"/>
      <c r="QFZ19" s="3507"/>
      <c r="QGA19" s="3507"/>
      <c r="QGB19" s="3507"/>
      <c r="QGC19" s="3507"/>
      <c r="QGD19" s="3507"/>
      <c r="QGE19" s="3507"/>
      <c r="QGF19" s="3507"/>
      <c r="QGG19" s="3507"/>
      <c r="QGH19" s="3507"/>
      <c r="QGI19" s="3507"/>
      <c r="QGJ19" s="3507"/>
      <c r="QGK19" s="3507"/>
      <c r="QGL19" s="3507"/>
      <c r="QGM19" s="3507"/>
      <c r="QGN19" s="3507"/>
      <c r="QGO19" s="3507"/>
      <c r="QGP19" s="3507"/>
      <c r="QGQ19" s="3507"/>
      <c r="QGR19" s="3507"/>
      <c r="QGS19" s="3507"/>
      <c r="QGT19" s="3507"/>
      <c r="QGU19" s="3507"/>
      <c r="QGV19" s="3507"/>
      <c r="QGW19" s="3507"/>
      <c r="QGX19" s="3507"/>
      <c r="QGY19" s="3507"/>
      <c r="QGZ19" s="3507"/>
      <c r="QHA19" s="3507"/>
      <c r="QHB19" s="3507"/>
      <c r="QHC19" s="3507"/>
      <c r="QHD19" s="3507"/>
      <c r="QHE19" s="3507"/>
      <c r="QHF19" s="3507"/>
      <c r="QHG19" s="3507"/>
      <c r="QHH19" s="3507"/>
      <c r="QHI19" s="3507"/>
      <c r="QHJ19" s="3507"/>
      <c r="QHK19" s="3507"/>
      <c r="QHL19" s="3507"/>
      <c r="QHM19" s="3507"/>
      <c r="QHN19" s="3507"/>
      <c r="QHO19" s="3507"/>
      <c r="QHP19" s="3507"/>
      <c r="QHQ19" s="3507"/>
      <c r="QHR19" s="3507"/>
      <c r="QHS19" s="3507"/>
      <c r="QHT19" s="3507"/>
      <c r="QHU19" s="3507"/>
      <c r="QHV19" s="3507"/>
      <c r="QHW19" s="3507"/>
      <c r="QHX19" s="3507"/>
      <c r="QHY19" s="3507"/>
      <c r="QHZ19" s="3507"/>
      <c r="QIA19" s="3507"/>
      <c r="QIB19" s="3507"/>
      <c r="QIC19" s="3507"/>
      <c r="QID19" s="3507"/>
      <c r="QIE19" s="3507"/>
      <c r="QIF19" s="3507"/>
      <c r="QIG19" s="3507"/>
      <c r="QIH19" s="3507"/>
      <c r="QII19" s="3507"/>
      <c r="QIJ19" s="3507"/>
      <c r="QIK19" s="3507"/>
      <c r="QIL19" s="3507"/>
      <c r="QIM19" s="3507"/>
      <c r="QIN19" s="3507"/>
      <c r="QIO19" s="3507"/>
      <c r="QIP19" s="3507"/>
      <c r="QIQ19" s="3507"/>
      <c r="QIR19" s="3507"/>
      <c r="QIS19" s="3507"/>
      <c r="QIT19" s="3507"/>
      <c r="QIU19" s="3507"/>
      <c r="QIV19" s="3507"/>
      <c r="QIW19" s="3507"/>
      <c r="QIX19" s="3507"/>
      <c r="QIY19" s="3507"/>
      <c r="QIZ19" s="3507"/>
      <c r="QJA19" s="3507"/>
      <c r="QJB19" s="3507"/>
      <c r="QJC19" s="3507"/>
      <c r="QJD19" s="3507"/>
      <c r="QJE19" s="3507"/>
      <c r="QJF19" s="3507"/>
      <c r="QJG19" s="3507"/>
      <c r="QJH19" s="3507"/>
      <c r="QJI19" s="3507"/>
      <c r="QJJ19" s="3507"/>
      <c r="QJK19" s="3507"/>
      <c r="QJL19" s="3507"/>
      <c r="QJM19" s="3507"/>
      <c r="QJN19" s="3507"/>
      <c r="QJO19" s="3507"/>
      <c r="QJP19" s="3507"/>
      <c r="QJQ19" s="3507"/>
      <c r="QJR19" s="3507"/>
      <c r="QJS19" s="3507"/>
      <c r="QJT19" s="3507"/>
      <c r="QJU19" s="3507"/>
      <c r="QJV19" s="3507"/>
      <c r="QJW19" s="3507"/>
      <c r="QJX19" s="3507"/>
      <c r="QJY19" s="3507"/>
      <c r="QJZ19" s="3507"/>
      <c r="QKA19" s="3507"/>
      <c r="QKB19" s="3507"/>
      <c r="QKC19" s="3507"/>
      <c r="QKD19" s="3507"/>
      <c r="QKE19" s="3507"/>
      <c r="QKF19" s="3507"/>
      <c r="QKG19" s="3507"/>
      <c r="QKH19" s="3507"/>
      <c r="QKI19" s="3507"/>
      <c r="QKJ19" s="3507"/>
      <c r="QKK19" s="3507"/>
      <c r="QKL19" s="3507"/>
      <c r="QKM19" s="3507"/>
      <c r="QKN19" s="3507"/>
      <c r="QKO19" s="3507"/>
      <c r="QKP19" s="3507"/>
      <c r="QKQ19" s="3507"/>
      <c r="QKR19" s="3507"/>
      <c r="QKS19" s="3507"/>
      <c r="QKT19" s="3507"/>
      <c r="QKU19" s="3507"/>
      <c r="QKV19" s="3507"/>
      <c r="QKW19" s="3507"/>
      <c r="QKX19" s="3507"/>
      <c r="QKY19" s="3507"/>
      <c r="QKZ19" s="3507"/>
      <c r="QLA19" s="3507"/>
      <c r="QLB19" s="3507"/>
      <c r="QLC19" s="3507"/>
      <c r="QLD19" s="3507"/>
      <c r="QLE19" s="3507"/>
      <c r="QLF19" s="3507"/>
      <c r="QLG19" s="3507"/>
      <c r="QLH19" s="3507"/>
      <c r="QLI19" s="3507"/>
      <c r="QLJ19" s="3507"/>
      <c r="QLK19" s="3507"/>
      <c r="QLL19" s="3507"/>
      <c r="QLM19" s="3507"/>
      <c r="QLN19" s="3507"/>
      <c r="QLO19" s="3507"/>
      <c r="QLP19" s="3507"/>
      <c r="QLQ19" s="3507"/>
      <c r="QLR19" s="3507"/>
      <c r="QLS19" s="3507"/>
      <c r="QLT19" s="3507"/>
      <c r="QLU19" s="3507"/>
      <c r="QLV19" s="3507"/>
      <c r="QLW19" s="3507"/>
      <c r="QLX19" s="3507"/>
      <c r="QLY19" s="3507"/>
      <c r="QLZ19" s="3507"/>
      <c r="QMA19" s="3507"/>
      <c r="QMB19" s="3507"/>
      <c r="QMC19" s="3507"/>
      <c r="QMD19" s="3507"/>
      <c r="QME19" s="3507"/>
      <c r="QMF19" s="3507"/>
      <c r="QMG19" s="3507"/>
      <c r="QMH19" s="3507"/>
      <c r="QMI19" s="3507"/>
      <c r="QMJ19" s="3507"/>
      <c r="QMK19" s="3507"/>
      <c r="QML19" s="3507"/>
      <c r="QMM19" s="3507"/>
      <c r="QMN19" s="3507"/>
      <c r="QMO19" s="3507"/>
      <c r="QMP19" s="3507"/>
      <c r="QMQ19" s="3507"/>
      <c r="QMR19" s="3507"/>
      <c r="QMS19" s="3507"/>
      <c r="QMT19" s="3507"/>
      <c r="QMU19" s="3507"/>
      <c r="QMV19" s="3507"/>
      <c r="QMW19" s="3507"/>
      <c r="QMX19" s="3507"/>
      <c r="QMY19" s="3507"/>
      <c r="QMZ19" s="3507"/>
      <c r="QNA19" s="3507"/>
      <c r="QNB19" s="3507"/>
      <c r="QNC19" s="3507"/>
      <c r="QND19" s="3507"/>
      <c r="QNE19" s="3507"/>
      <c r="QNF19" s="3507"/>
      <c r="QNG19" s="3507"/>
      <c r="QNH19" s="3507"/>
      <c r="QNI19" s="3507"/>
      <c r="QNJ19" s="3507"/>
      <c r="QNK19" s="3507"/>
      <c r="QNL19" s="3507"/>
      <c r="QNM19" s="3507"/>
      <c r="QNN19" s="3507"/>
      <c r="QNO19" s="3507"/>
      <c r="QNP19" s="3507"/>
      <c r="QNQ19" s="3507"/>
      <c r="QNR19" s="3507"/>
      <c r="QNS19" s="3507"/>
      <c r="QNT19" s="3507"/>
      <c r="QNU19" s="3507"/>
      <c r="QNV19" s="3507"/>
      <c r="QNW19" s="3507"/>
      <c r="QNX19" s="3507"/>
      <c r="QNY19" s="3507"/>
      <c r="QNZ19" s="3507"/>
      <c r="QOA19" s="3507"/>
      <c r="QOB19" s="3507"/>
      <c r="QOC19" s="3507"/>
      <c r="QOD19" s="3507"/>
      <c r="QOE19" s="3507"/>
      <c r="QOF19" s="3507"/>
      <c r="QOG19" s="3507"/>
      <c r="QOH19" s="3507"/>
      <c r="QOI19" s="3507"/>
      <c r="QOJ19" s="3507"/>
      <c r="QOK19" s="3507"/>
      <c r="QOL19" s="3507"/>
      <c r="QOM19" s="3507"/>
      <c r="QON19" s="3507"/>
      <c r="QOO19" s="3507"/>
      <c r="QOP19" s="3507"/>
      <c r="QOQ19" s="3507"/>
      <c r="QOR19" s="3507"/>
      <c r="QOS19" s="3507"/>
      <c r="QOT19" s="3507"/>
      <c r="QOU19" s="3507"/>
      <c r="QOV19" s="3507"/>
      <c r="QOW19" s="3507"/>
      <c r="QOX19" s="3507"/>
      <c r="QOY19" s="3507"/>
      <c r="QOZ19" s="3507"/>
      <c r="QPA19" s="3507"/>
      <c r="QPB19" s="3507"/>
      <c r="QPC19" s="3507"/>
      <c r="QPD19" s="3507"/>
      <c r="QPE19" s="3507"/>
      <c r="QPF19" s="3507"/>
      <c r="QPG19" s="3507"/>
      <c r="QPH19" s="3507"/>
      <c r="QPI19" s="3507"/>
      <c r="QPJ19" s="3507"/>
      <c r="QPK19" s="3507"/>
      <c r="QPL19" s="3507"/>
      <c r="QPM19" s="3507"/>
      <c r="QPN19" s="3507"/>
      <c r="QPO19" s="3507"/>
      <c r="QPP19" s="3507"/>
      <c r="QPQ19" s="3507"/>
      <c r="QPR19" s="3507"/>
      <c r="QPS19" s="3507"/>
      <c r="QPT19" s="3507"/>
      <c r="QPU19" s="3507"/>
      <c r="QPV19" s="3507"/>
      <c r="QPW19" s="3507"/>
      <c r="QPX19" s="3507"/>
      <c r="QPY19" s="3507"/>
      <c r="QPZ19" s="3507"/>
      <c r="QQA19" s="3507"/>
      <c r="QQB19" s="3507"/>
      <c r="QQC19" s="3507"/>
      <c r="QQD19" s="3507"/>
      <c r="QQE19" s="3507"/>
      <c r="QQF19" s="3507"/>
      <c r="QQG19" s="3507"/>
      <c r="QQH19" s="3507"/>
      <c r="QQI19" s="3507"/>
      <c r="QQJ19" s="3507"/>
      <c r="QQK19" s="3507"/>
      <c r="QQL19" s="3507"/>
      <c r="QQM19" s="3507"/>
      <c r="QQN19" s="3507"/>
      <c r="QQO19" s="3507"/>
      <c r="QQP19" s="3507"/>
      <c r="QQQ19" s="3507"/>
      <c r="QQR19" s="3507"/>
      <c r="QQS19" s="3507"/>
      <c r="QQT19" s="3507"/>
      <c r="QQU19" s="3507"/>
      <c r="QQV19" s="3507"/>
      <c r="QQW19" s="3507"/>
      <c r="QQX19" s="3507"/>
      <c r="QQY19" s="3507"/>
      <c r="QQZ19" s="3507"/>
      <c r="QRA19" s="3507"/>
      <c r="QRB19" s="3507"/>
      <c r="QRC19" s="3507"/>
      <c r="QRD19" s="3507"/>
      <c r="QRE19" s="3507"/>
      <c r="QRF19" s="3507"/>
      <c r="QRG19" s="3507"/>
      <c r="QRH19" s="3507"/>
      <c r="QRI19" s="3507"/>
      <c r="QRJ19" s="3507"/>
      <c r="QRK19" s="3507"/>
      <c r="QRL19" s="3507"/>
      <c r="QRM19" s="3507"/>
      <c r="QRN19" s="3507"/>
      <c r="QRO19" s="3507"/>
      <c r="QRP19" s="3507"/>
      <c r="QRQ19" s="3507"/>
      <c r="QRR19" s="3507"/>
      <c r="QRS19" s="3507"/>
      <c r="QRT19" s="3507"/>
      <c r="QRU19" s="3507"/>
      <c r="QRV19" s="3507"/>
      <c r="QRW19" s="3507"/>
      <c r="QRX19" s="3507"/>
      <c r="QRY19" s="3507"/>
      <c r="QRZ19" s="3507"/>
      <c r="QSA19" s="3507"/>
      <c r="QSB19" s="3507"/>
      <c r="QSC19" s="3507"/>
      <c r="QSD19" s="3507"/>
      <c r="QSE19" s="3507"/>
      <c r="QSF19" s="3507"/>
      <c r="QSG19" s="3507"/>
      <c r="QSH19" s="3507"/>
      <c r="QSI19" s="3507"/>
      <c r="QSJ19" s="3507"/>
      <c r="QSK19" s="3507"/>
      <c r="QSL19" s="3507"/>
      <c r="QSM19" s="3507"/>
      <c r="QSN19" s="3507"/>
      <c r="QSO19" s="3507"/>
      <c r="QSP19" s="3507"/>
      <c r="QSQ19" s="3507"/>
      <c r="QSR19" s="3507"/>
      <c r="QSS19" s="3507"/>
      <c r="QST19" s="3507"/>
      <c r="QSU19" s="3507"/>
      <c r="QSV19" s="3507"/>
      <c r="QSW19" s="3507"/>
      <c r="QSX19" s="3507"/>
      <c r="QSY19" s="3507"/>
      <c r="QSZ19" s="3507"/>
      <c r="QTA19" s="3507"/>
      <c r="QTB19" s="3507"/>
      <c r="QTC19" s="3507"/>
      <c r="QTD19" s="3507"/>
      <c r="QTE19" s="3507"/>
      <c r="QTF19" s="3507"/>
      <c r="QTG19" s="3507"/>
      <c r="QTH19" s="3507"/>
      <c r="QTI19" s="3507"/>
      <c r="QTJ19" s="3507"/>
      <c r="QTK19" s="3507"/>
      <c r="QTL19" s="3507"/>
      <c r="QTM19" s="3507"/>
      <c r="QTN19" s="3507"/>
      <c r="QTO19" s="3507"/>
      <c r="QTP19" s="3507"/>
      <c r="QTQ19" s="3507"/>
      <c r="QTR19" s="3507"/>
      <c r="QTS19" s="3507"/>
      <c r="QTT19" s="3507"/>
      <c r="QTU19" s="3507"/>
      <c r="QTV19" s="3507"/>
      <c r="QTW19" s="3507"/>
      <c r="QTX19" s="3507"/>
      <c r="QTY19" s="3507"/>
      <c r="QTZ19" s="3507"/>
      <c r="QUA19" s="3507"/>
      <c r="QUB19" s="3507"/>
      <c r="QUC19" s="3507"/>
      <c r="QUD19" s="3507"/>
      <c r="QUE19" s="3507"/>
      <c r="QUF19" s="3507"/>
      <c r="QUG19" s="3507"/>
      <c r="QUH19" s="3507"/>
      <c r="QUI19" s="3507"/>
      <c r="QUJ19" s="3507"/>
      <c r="QUK19" s="3507"/>
      <c r="QUL19" s="3507"/>
      <c r="QUM19" s="3507"/>
      <c r="QUN19" s="3507"/>
      <c r="QUO19" s="3507"/>
      <c r="QUP19" s="3507"/>
      <c r="QUQ19" s="3507"/>
      <c r="QUR19" s="3507"/>
      <c r="QUS19" s="3507"/>
      <c r="QUT19" s="3507"/>
      <c r="QUU19" s="3507"/>
      <c r="QUV19" s="3507"/>
      <c r="QUW19" s="3507"/>
      <c r="QUX19" s="3507"/>
      <c r="QUY19" s="3507"/>
      <c r="QUZ19" s="3507"/>
      <c r="QVA19" s="3507"/>
      <c r="QVB19" s="3507"/>
      <c r="QVC19" s="3507"/>
      <c r="QVD19" s="3507"/>
      <c r="QVE19" s="3507"/>
      <c r="QVF19" s="3507"/>
      <c r="QVG19" s="3507"/>
      <c r="QVH19" s="3507"/>
      <c r="QVI19" s="3507"/>
      <c r="QVJ19" s="3507"/>
      <c r="QVK19" s="3507"/>
      <c r="QVL19" s="3507"/>
      <c r="QVM19" s="3507"/>
      <c r="QVN19" s="3507"/>
      <c r="QVO19" s="3507"/>
      <c r="QVP19" s="3507"/>
      <c r="QVQ19" s="3507"/>
      <c r="QVR19" s="3507"/>
      <c r="QVS19" s="3507"/>
      <c r="QVT19" s="3507"/>
      <c r="QVU19" s="3507"/>
      <c r="QVV19" s="3507"/>
      <c r="QVW19" s="3507"/>
      <c r="QVX19" s="3507"/>
      <c r="QVY19" s="3507"/>
      <c r="QVZ19" s="3507"/>
      <c r="QWA19" s="3507"/>
      <c r="QWB19" s="3507"/>
      <c r="QWC19" s="3507"/>
      <c r="QWD19" s="3507"/>
      <c r="QWE19" s="3507"/>
      <c r="QWF19" s="3507"/>
      <c r="QWG19" s="3507"/>
      <c r="QWH19" s="3507"/>
      <c r="QWI19" s="3507"/>
      <c r="QWJ19" s="3507"/>
      <c r="QWK19" s="3507"/>
      <c r="QWL19" s="3507"/>
      <c r="QWM19" s="3507"/>
      <c r="QWN19" s="3507"/>
      <c r="QWO19" s="3507"/>
      <c r="QWP19" s="3507"/>
      <c r="QWQ19" s="3507"/>
      <c r="QWR19" s="3507"/>
      <c r="QWS19" s="3507"/>
      <c r="QWT19" s="3507"/>
      <c r="QWU19" s="3507"/>
      <c r="QWV19" s="3507"/>
      <c r="QWW19" s="3507"/>
      <c r="QWX19" s="3507"/>
      <c r="QWY19" s="3507"/>
      <c r="QWZ19" s="3507"/>
      <c r="QXA19" s="3507"/>
      <c r="QXB19" s="3507"/>
      <c r="QXC19" s="3507"/>
      <c r="QXD19" s="3507"/>
      <c r="QXE19" s="3507"/>
      <c r="QXF19" s="3507"/>
      <c r="QXG19" s="3507"/>
      <c r="QXH19" s="3507"/>
      <c r="QXI19" s="3507"/>
      <c r="QXJ19" s="3507"/>
      <c r="QXK19" s="3507"/>
      <c r="QXL19" s="3507"/>
      <c r="QXM19" s="3507"/>
      <c r="QXN19" s="3507"/>
      <c r="QXO19" s="3507"/>
      <c r="QXP19" s="3507"/>
      <c r="QXQ19" s="3507"/>
      <c r="QXR19" s="3507"/>
      <c r="QXS19" s="3507"/>
      <c r="QXT19" s="3507"/>
      <c r="QXU19" s="3507"/>
      <c r="QXV19" s="3507"/>
      <c r="QXW19" s="3507"/>
      <c r="QXX19" s="3507"/>
      <c r="QXY19" s="3507"/>
      <c r="QXZ19" s="3507"/>
      <c r="QYA19" s="3507"/>
      <c r="QYB19" s="3507"/>
      <c r="QYC19" s="3507"/>
      <c r="QYD19" s="3507"/>
      <c r="QYE19" s="3507"/>
      <c r="QYF19" s="3507"/>
      <c r="QYG19" s="3507"/>
      <c r="QYH19" s="3507"/>
      <c r="QYI19" s="3507"/>
      <c r="QYJ19" s="3507"/>
      <c r="QYK19" s="3507"/>
      <c r="QYL19" s="3507"/>
      <c r="QYM19" s="3507"/>
      <c r="QYN19" s="3507"/>
      <c r="QYO19" s="3507"/>
      <c r="QYP19" s="3507"/>
      <c r="QYQ19" s="3507"/>
      <c r="QYR19" s="3507"/>
      <c r="QYS19" s="3507"/>
      <c r="QYT19" s="3507"/>
      <c r="QYU19" s="3507"/>
      <c r="QYV19" s="3507"/>
      <c r="QYW19" s="3507"/>
      <c r="QYX19" s="3507"/>
      <c r="QYY19" s="3507"/>
      <c r="QYZ19" s="3507"/>
      <c r="QZA19" s="3507"/>
      <c r="QZB19" s="3507"/>
      <c r="QZC19" s="3507"/>
      <c r="QZD19" s="3507"/>
      <c r="QZE19" s="3507"/>
      <c r="QZF19" s="3507"/>
      <c r="QZG19" s="3507"/>
      <c r="QZH19" s="3507"/>
      <c r="QZI19" s="3507"/>
      <c r="QZJ19" s="3507"/>
      <c r="QZK19" s="3507"/>
      <c r="QZL19" s="3507"/>
      <c r="QZM19" s="3507"/>
      <c r="QZN19" s="3507"/>
      <c r="QZO19" s="3507"/>
      <c r="QZP19" s="3507"/>
      <c r="QZQ19" s="3507"/>
      <c r="QZR19" s="3507"/>
      <c r="QZS19" s="3507"/>
      <c r="QZT19" s="3507"/>
      <c r="QZU19" s="3507"/>
      <c r="QZV19" s="3507"/>
      <c r="QZW19" s="3507"/>
      <c r="QZX19" s="3507"/>
      <c r="QZY19" s="3507"/>
      <c r="QZZ19" s="3507"/>
      <c r="RAA19" s="3507"/>
      <c r="RAB19" s="3507"/>
      <c r="RAC19" s="3507"/>
      <c r="RAD19" s="3507"/>
      <c r="RAE19" s="3507"/>
      <c r="RAF19" s="3507"/>
      <c r="RAG19" s="3507"/>
      <c r="RAH19" s="3507"/>
      <c r="RAI19" s="3507"/>
      <c r="RAJ19" s="3507"/>
      <c r="RAK19" s="3507"/>
      <c r="RAL19" s="3507"/>
      <c r="RAM19" s="3507"/>
      <c r="RAN19" s="3507"/>
      <c r="RAO19" s="3507"/>
      <c r="RAP19" s="3507"/>
      <c r="RAQ19" s="3507"/>
      <c r="RAR19" s="3507"/>
      <c r="RAS19" s="3507"/>
      <c r="RAT19" s="3507"/>
      <c r="RAU19" s="3507"/>
      <c r="RAV19" s="3507"/>
      <c r="RAW19" s="3507"/>
      <c r="RAX19" s="3507"/>
      <c r="RAY19" s="3507"/>
      <c r="RAZ19" s="3507"/>
      <c r="RBA19" s="3507"/>
      <c r="RBB19" s="3507"/>
      <c r="RBC19" s="3507"/>
      <c r="RBD19" s="3507"/>
      <c r="RBE19" s="3507"/>
      <c r="RBF19" s="3507"/>
      <c r="RBG19" s="3507"/>
      <c r="RBH19" s="3507"/>
      <c r="RBI19" s="3507"/>
      <c r="RBJ19" s="3507"/>
      <c r="RBK19" s="3507"/>
      <c r="RBL19" s="3507"/>
      <c r="RBM19" s="3507"/>
      <c r="RBN19" s="3507"/>
      <c r="RBO19" s="3507"/>
      <c r="RBP19" s="3507"/>
      <c r="RBQ19" s="3507"/>
      <c r="RBR19" s="3507"/>
      <c r="RBS19" s="3507"/>
      <c r="RBT19" s="3507"/>
      <c r="RBU19" s="3507"/>
      <c r="RBV19" s="3507"/>
      <c r="RBW19" s="3507"/>
      <c r="RBX19" s="3507"/>
      <c r="RBY19" s="3507"/>
      <c r="RBZ19" s="3507"/>
      <c r="RCA19" s="3507"/>
      <c r="RCB19" s="3507"/>
      <c r="RCC19" s="3507"/>
      <c r="RCD19" s="3507"/>
      <c r="RCE19" s="3507"/>
      <c r="RCF19" s="3507"/>
      <c r="RCG19" s="3507"/>
      <c r="RCH19" s="3507"/>
      <c r="RCI19" s="3507"/>
      <c r="RCJ19" s="3507"/>
      <c r="RCK19" s="3507"/>
      <c r="RCL19" s="3507"/>
      <c r="RCM19" s="3507"/>
      <c r="RCN19" s="3507"/>
      <c r="RCO19" s="3507"/>
      <c r="RCP19" s="3507"/>
      <c r="RCQ19" s="3507"/>
      <c r="RCR19" s="3507"/>
      <c r="RCS19" s="3507"/>
      <c r="RCT19" s="3507"/>
      <c r="RCU19" s="3507"/>
      <c r="RCV19" s="3507"/>
      <c r="RCW19" s="3507"/>
      <c r="RCX19" s="3507"/>
      <c r="RCY19" s="3507"/>
      <c r="RCZ19" s="3507"/>
      <c r="RDA19" s="3507"/>
      <c r="RDB19" s="3507"/>
      <c r="RDC19" s="3507"/>
      <c r="RDD19" s="3507"/>
      <c r="RDE19" s="3507"/>
      <c r="RDF19" s="3507"/>
      <c r="RDG19" s="3507"/>
      <c r="RDH19" s="3507"/>
      <c r="RDI19" s="3507"/>
      <c r="RDJ19" s="3507"/>
      <c r="RDK19" s="3507"/>
      <c r="RDL19" s="3507"/>
      <c r="RDM19" s="3507"/>
      <c r="RDN19" s="3507"/>
      <c r="RDO19" s="3507"/>
      <c r="RDP19" s="3507"/>
      <c r="RDQ19" s="3507"/>
      <c r="RDR19" s="3507"/>
      <c r="RDS19" s="3507"/>
      <c r="RDT19" s="3507"/>
      <c r="RDU19" s="3507"/>
      <c r="RDV19" s="3507"/>
      <c r="RDW19" s="3507"/>
      <c r="RDX19" s="3507"/>
      <c r="RDY19" s="3507"/>
      <c r="RDZ19" s="3507"/>
      <c r="REA19" s="3507"/>
      <c r="REB19" s="3507"/>
      <c r="REC19" s="3507"/>
      <c r="RED19" s="3507"/>
      <c r="REE19" s="3507"/>
      <c r="REF19" s="3507"/>
      <c r="REG19" s="3507"/>
      <c r="REH19" s="3507"/>
      <c r="REI19" s="3507"/>
      <c r="REJ19" s="3507"/>
      <c r="REK19" s="3507"/>
      <c r="REL19" s="3507"/>
      <c r="REM19" s="3507"/>
      <c r="REN19" s="3507"/>
      <c r="REO19" s="3507"/>
      <c r="REP19" s="3507"/>
      <c r="REQ19" s="3507"/>
      <c r="RER19" s="3507"/>
      <c r="RES19" s="3507"/>
      <c r="RET19" s="3507"/>
      <c r="REU19" s="3507"/>
      <c r="REV19" s="3507"/>
      <c r="REW19" s="3507"/>
      <c r="REX19" s="3507"/>
      <c r="REY19" s="3507"/>
      <c r="REZ19" s="3507"/>
      <c r="RFA19" s="3507"/>
      <c r="RFB19" s="3507"/>
      <c r="RFC19" s="3507"/>
      <c r="RFD19" s="3507"/>
      <c r="RFE19" s="3507"/>
      <c r="RFF19" s="3507"/>
      <c r="RFG19" s="3507"/>
      <c r="RFH19" s="3507"/>
      <c r="RFI19" s="3507"/>
      <c r="RFJ19" s="3507"/>
      <c r="RFK19" s="3507"/>
      <c r="RFL19" s="3507"/>
      <c r="RFM19" s="3507"/>
      <c r="RFN19" s="3507"/>
      <c r="RFO19" s="3507"/>
      <c r="RFP19" s="3507"/>
      <c r="RFQ19" s="3507"/>
      <c r="RFR19" s="3507"/>
      <c r="RFS19" s="3507"/>
      <c r="RFT19" s="3507"/>
      <c r="RFU19" s="3507"/>
      <c r="RFV19" s="3507"/>
      <c r="RFW19" s="3507"/>
      <c r="RFX19" s="3507"/>
      <c r="RFY19" s="3507"/>
      <c r="RFZ19" s="3507"/>
      <c r="RGA19" s="3507"/>
      <c r="RGB19" s="3507"/>
      <c r="RGC19" s="3507"/>
      <c r="RGD19" s="3507"/>
      <c r="RGE19" s="3507"/>
      <c r="RGF19" s="3507"/>
      <c r="RGG19" s="3507"/>
      <c r="RGH19" s="3507"/>
      <c r="RGI19" s="3507"/>
      <c r="RGJ19" s="3507"/>
      <c r="RGK19" s="3507"/>
      <c r="RGL19" s="3507"/>
      <c r="RGM19" s="3507"/>
      <c r="RGN19" s="3507"/>
      <c r="RGO19" s="3507"/>
      <c r="RGP19" s="3507"/>
      <c r="RGQ19" s="3507"/>
      <c r="RGR19" s="3507"/>
      <c r="RGS19" s="3507"/>
      <c r="RGT19" s="3507"/>
      <c r="RGU19" s="3507"/>
      <c r="RGV19" s="3507"/>
      <c r="RGW19" s="3507"/>
      <c r="RGX19" s="3507"/>
      <c r="RGY19" s="3507"/>
      <c r="RGZ19" s="3507"/>
      <c r="RHA19" s="3507"/>
      <c r="RHB19" s="3507"/>
      <c r="RHC19" s="3507"/>
      <c r="RHD19" s="3507"/>
      <c r="RHE19" s="3507"/>
      <c r="RHF19" s="3507"/>
      <c r="RHG19" s="3507"/>
      <c r="RHH19" s="3507"/>
      <c r="RHI19" s="3507"/>
      <c r="RHJ19" s="3507"/>
      <c r="RHK19" s="3507"/>
      <c r="RHL19" s="3507"/>
      <c r="RHM19" s="3507"/>
      <c r="RHN19" s="3507"/>
      <c r="RHO19" s="3507"/>
      <c r="RHP19" s="3507"/>
      <c r="RHQ19" s="3507"/>
      <c r="RHR19" s="3507"/>
      <c r="RHS19" s="3507"/>
      <c r="RHT19" s="3507"/>
      <c r="RHU19" s="3507"/>
      <c r="RHV19" s="3507"/>
      <c r="RHW19" s="3507"/>
      <c r="RHX19" s="3507"/>
      <c r="RHY19" s="3507"/>
      <c r="RHZ19" s="3507"/>
      <c r="RIA19" s="3507"/>
      <c r="RIB19" s="3507"/>
      <c r="RIC19" s="3507"/>
      <c r="RID19" s="3507"/>
      <c r="RIE19" s="3507"/>
      <c r="RIF19" s="3507"/>
      <c r="RIG19" s="3507"/>
      <c r="RIH19" s="3507"/>
      <c r="RII19" s="3507"/>
      <c r="RIJ19" s="3507"/>
      <c r="RIK19" s="3507"/>
      <c r="RIL19" s="3507"/>
      <c r="RIM19" s="3507"/>
      <c r="RIN19" s="3507"/>
      <c r="RIO19" s="3507"/>
      <c r="RIP19" s="3507"/>
      <c r="RIQ19" s="3507"/>
      <c r="RIR19" s="3507"/>
      <c r="RIS19" s="3507"/>
      <c r="RIT19" s="3507"/>
      <c r="RIU19" s="3507"/>
      <c r="RIV19" s="3507"/>
      <c r="RIW19" s="3507"/>
      <c r="RIX19" s="3507"/>
      <c r="RIY19" s="3507"/>
      <c r="RIZ19" s="3507"/>
      <c r="RJA19" s="3507"/>
      <c r="RJB19" s="3507"/>
      <c r="RJC19" s="3507"/>
      <c r="RJD19" s="3507"/>
      <c r="RJE19" s="3507"/>
      <c r="RJF19" s="3507"/>
      <c r="RJG19" s="3507"/>
      <c r="RJH19" s="3507"/>
      <c r="RJI19" s="3507"/>
      <c r="RJJ19" s="3507"/>
      <c r="RJK19" s="3507"/>
      <c r="RJL19" s="3507"/>
      <c r="RJM19" s="3507"/>
      <c r="RJN19" s="3507"/>
      <c r="RJO19" s="3507"/>
      <c r="RJP19" s="3507"/>
      <c r="RJQ19" s="3507"/>
      <c r="RJR19" s="3507"/>
      <c r="RJS19" s="3507"/>
      <c r="RJT19" s="3507"/>
      <c r="RJU19" s="3507"/>
      <c r="RJV19" s="3507"/>
      <c r="RJW19" s="3507"/>
      <c r="RJX19" s="3507"/>
      <c r="RJY19" s="3507"/>
      <c r="RJZ19" s="3507"/>
      <c r="RKA19" s="3507"/>
      <c r="RKB19" s="3507"/>
      <c r="RKC19" s="3507"/>
      <c r="RKD19" s="3507"/>
      <c r="RKE19" s="3507"/>
      <c r="RKF19" s="3507"/>
      <c r="RKG19" s="3507"/>
      <c r="RKH19" s="3507"/>
      <c r="RKI19" s="3507"/>
      <c r="RKJ19" s="3507"/>
      <c r="RKK19" s="3507"/>
      <c r="RKL19" s="3507"/>
      <c r="RKM19" s="3507"/>
      <c r="RKN19" s="3507"/>
      <c r="RKO19" s="3507"/>
      <c r="RKP19" s="3507"/>
      <c r="RKQ19" s="3507"/>
      <c r="RKR19" s="3507"/>
      <c r="RKS19" s="3507"/>
      <c r="RKT19" s="3507"/>
      <c r="RKU19" s="3507"/>
      <c r="RKV19" s="3507"/>
      <c r="RKW19" s="3507"/>
      <c r="RKX19" s="3507"/>
      <c r="RKY19" s="3507"/>
      <c r="RKZ19" s="3507"/>
      <c r="RLA19" s="3507"/>
      <c r="RLB19" s="3507"/>
      <c r="RLC19" s="3507"/>
      <c r="RLD19" s="3507"/>
      <c r="RLE19" s="3507"/>
      <c r="RLF19" s="3507"/>
      <c r="RLG19" s="3507"/>
      <c r="RLH19" s="3507"/>
      <c r="RLI19" s="3507"/>
      <c r="RLJ19" s="3507"/>
      <c r="RLK19" s="3507"/>
      <c r="RLL19" s="3507"/>
      <c r="RLM19" s="3507"/>
      <c r="RLN19" s="3507"/>
      <c r="RLO19" s="3507"/>
      <c r="RLP19" s="3507"/>
      <c r="RLQ19" s="3507"/>
      <c r="RLR19" s="3507"/>
      <c r="RLS19" s="3507"/>
      <c r="RLT19" s="3507"/>
      <c r="RLU19" s="3507"/>
      <c r="RLV19" s="3507"/>
      <c r="RLW19" s="3507"/>
      <c r="RLX19" s="3507"/>
      <c r="RLY19" s="3507"/>
      <c r="RLZ19" s="3507"/>
      <c r="RMA19" s="3507"/>
      <c r="RMB19" s="3507"/>
      <c r="RMC19" s="3507"/>
      <c r="RMD19" s="3507"/>
      <c r="RME19" s="3507"/>
      <c r="RMF19" s="3507"/>
      <c r="RMG19" s="3507"/>
      <c r="RMH19" s="3507"/>
      <c r="RMI19" s="3507"/>
      <c r="RMJ19" s="3507"/>
      <c r="RMK19" s="3507"/>
      <c r="RML19" s="3507"/>
      <c r="RMM19" s="3507"/>
      <c r="RMN19" s="3507"/>
      <c r="RMO19" s="3507"/>
      <c r="RMP19" s="3507"/>
      <c r="RMQ19" s="3507"/>
      <c r="RMR19" s="3507"/>
      <c r="RMS19" s="3507"/>
      <c r="RMT19" s="3507"/>
      <c r="RMU19" s="3507"/>
      <c r="RMV19" s="3507"/>
      <c r="RMW19" s="3507"/>
      <c r="RMX19" s="3507"/>
      <c r="RMY19" s="3507"/>
      <c r="RMZ19" s="3507"/>
      <c r="RNA19" s="3507"/>
      <c r="RNB19" s="3507"/>
      <c r="RNC19" s="3507"/>
      <c r="RND19" s="3507"/>
      <c r="RNE19" s="3507"/>
      <c r="RNF19" s="3507"/>
      <c r="RNG19" s="3507"/>
      <c r="RNH19" s="3507"/>
      <c r="RNI19" s="3507"/>
      <c r="RNJ19" s="3507"/>
      <c r="RNK19" s="3507"/>
      <c r="RNL19" s="3507"/>
      <c r="RNM19" s="3507"/>
      <c r="RNN19" s="3507"/>
      <c r="RNO19" s="3507"/>
      <c r="RNP19" s="3507"/>
      <c r="RNQ19" s="3507"/>
      <c r="RNR19" s="3507"/>
      <c r="RNS19" s="3507"/>
      <c r="RNT19" s="3507"/>
      <c r="RNU19" s="3507"/>
      <c r="RNV19" s="3507"/>
      <c r="RNW19" s="3507"/>
      <c r="RNX19" s="3507"/>
      <c r="RNY19" s="3507"/>
      <c r="RNZ19" s="3507"/>
      <c r="ROA19" s="3507"/>
      <c r="ROB19" s="3507"/>
      <c r="ROC19" s="3507"/>
      <c r="ROD19" s="3507"/>
      <c r="ROE19" s="3507"/>
      <c r="ROF19" s="3507"/>
      <c r="ROG19" s="3507"/>
      <c r="ROH19" s="3507"/>
      <c r="ROI19" s="3507"/>
      <c r="ROJ19" s="3507"/>
      <c r="ROK19" s="3507"/>
      <c r="ROL19" s="3507"/>
      <c r="ROM19" s="3507"/>
      <c r="RON19" s="3507"/>
      <c r="ROO19" s="3507"/>
      <c r="ROP19" s="3507"/>
      <c r="ROQ19" s="3507"/>
      <c r="ROR19" s="3507"/>
      <c r="ROS19" s="3507"/>
      <c r="ROT19" s="3507"/>
      <c r="ROU19" s="3507"/>
      <c r="ROV19" s="3507"/>
      <c r="ROW19" s="3507"/>
      <c r="ROX19" s="3507"/>
      <c r="ROY19" s="3507"/>
      <c r="ROZ19" s="3507"/>
      <c r="RPA19" s="3507"/>
      <c r="RPB19" s="3507"/>
      <c r="RPC19" s="3507"/>
      <c r="RPD19" s="3507"/>
      <c r="RPE19" s="3507"/>
      <c r="RPF19" s="3507"/>
      <c r="RPG19" s="3507"/>
      <c r="RPH19" s="3507"/>
      <c r="RPI19" s="3507"/>
      <c r="RPJ19" s="3507"/>
      <c r="RPK19" s="3507"/>
      <c r="RPL19" s="3507"/>
      <c r="RPM19" s="3507"/>
      <c r="RPN19" s="3507"/>
      <c r="RPO19" s="3507"/>
      <c r="RPP19" s="3507"/>
      <c r="RPQ19" s="3507"/>
      <c r="RPR19" s="3507"/>
      <c r="RPS19" s="3507"/>
      <c r="RPT19" s="3507"/>
      <c r="RPU19" s="3507"/>
      <c r="RPV19" s="3507"/>
      <c r="RPW19" s="3507"/>
      <c r="RPX19" s="3507"/>
      <c r="RPY19" s="3507"/>
      <c r="RPZ19" s="3507"/>
      <c r="RQA19" s="3507"/>
      <c r="RQB19" s="3507"/>
      <c r="RQC19" s="3507"/>
      <c r="RQD19" s="3507"/>
      <c r="RQE19" s="3507"/>
      <c r="RQF19" s="3507"/>
      <c r="RQG19" s="3507"/>
      <c r="RQH19" s="3507"/>
      <c r="RQI19" s="3507"/>
      <c r="RQJ19" s="3507"/>
      <c r="RQK19" s="3507"/>
      <c r="RQL19" s="3507"/>
      <c r="RQM19" s="3507"/>
      <c r="RQN19" s="3507"/>
      <c r="RQO19" s="3507"/>
      <c r="RQP19" s="3507"/>
      <c r="RQQ19" s="3507"/>
      <c r="RQR19" s="3507"/>
      <c r="RQS19" s="3507"/>
      <c r="RQT19" s="3507"/>
      <c r="RQU19" s="3507"/>
      <c r="RQV19" s="3507"/>
      <c r="RQW19" s="3507"/>
      <c r="RQX19" s="3507"/>
      <c r="RQY19" s="3507"/>
      <c r="RQZ19" s="3507"/>
      <c r="RRA19" s="3507"/>
      <c r="RRB19" s="3507"/>
      <c r="RRC19" s="3507"/>
      <c r="RRD19" s="3507"/>
      <c r="RRE19" s="3507"/>
      <c r="RRF19" s="3507"/>
      <c r="RRG19" s="3507"/>
      <c r="RRH19" s="3507"/>
      <c r="RRI19" s="3507"/>
      <c r="RRJ19" s="3507"/>
      <c r="RRK19" s="3507"/>
      <c r="RRL19" s="3507"/>
      <c r="RRM19" s="3507"/>
      <c r="RRN19" s="3507"/>
      <c r="RRO19" s="3507"/>
      <c r="RRP19" s="3507"/>
      <c r="RRQ19" s="3507"/>
      <c r="RRR19" s="3507"/>
      <c r="RRS19" s="3507"/>
      <c r="RRT19" s="3507"/>
      <c r="RRU19" s="3507"/>
      <c r="RRV19" s="3507"/>
      <c r="RRW19" s="3507"/>
      <c r="RRX19" s="3507"/>
      <c r="RRY19" s="3507"/>
      <c r="RRZ19" s="3507"/>
      <c r="RSA19" s="3507"/>
      <c r="RSB19" s="3507"/>
      <c r="RSC19" s="3507"/>
      <c r="RSD19" s="3507"/>
      <c r="RSE19" s="3507"/>
      <c r="RSF19" s="3507"/>
      <c r="RSG19" s="3507"/>
      <c r="RSH19" s="3507"/>
      <c r="RSI19" s="3507"/>
      <c r="RSJ19" s="3507"/>
      <c r="RSK19" s="3507"/>
      <c r="RSL19" s="3507"/>
      <c r="RSM19" s="3507"/>
      <c r="RSN19" s="3507"/>
      <c r="RSO19" s="3507"/>
      <c r="RSP19" s="3507"/>
      <c r="RSQ19" s="3507"/>
      <c r="RSR19" s="3507"/>
      <c r="RSS19" s="3507"/>
      <c r="RST19" s="3507"/>
      <c r="RSU19" s="3507"/>
      <c r="RSV19" s="3507"/>
      <c r="RSW19" s="3507"/>
      <c r="RSX19" s="3507"/>
      <c r="RSY19" s="3507"/>
      <c r="RSZ19" s="3507"/>
      <c r="RTA19" s="3507"/>
      <c r="RTB19" s="3507"/>
      <c r="RTC19" s="3507"/>
      <c r="RTD19" s="3507"/>
      <c r="RTE19" s="3507"/>
      <c r="RTF19" s="3507"/>
      <c r="RTG19" s="3507"/>
      <c r="RTH19" s="3507"/>
      <c r="RTI19" s="3507"/>
      <c r="RTJ19" s="3507"/>
      <c r="RTK19" s="3507"/>
      <c r="RTL19" s="3507"/>
      <c r="RTM19" s="3507"/>
      <c r="RTN19" s="3507"/>
      <c r="RTO19" s="3507"/>
      <c r="RTP19" s="3507"/>
      <c r="RTQ19" s="3507"/>
      <c r="RTR19" s="3507"/>
      <c r="RTS19" s="3507"/>
      <c r="RTT19" s="3507"/>
      <c r="RTU19" s="3507"/>
      <c r="RTV19" s="3507"/>
      <c r="RTW19" s="3507"/>
      <c r="RTX19" s="3507"/>
      <c r="RTY19" s="3507"/>
      <c r="RTZ19" s="3507"/>
      <c r="RUA19" s="3507"/>
      <c r="RUB19" s="3507"/>
      <c r="RUC19" s="3507"/>
      <c r="RUD19" s="3507"/>
      <c r="RUE19" s="3507"/>
      <c r="RUF19" s="3507"/>
      <c r="RUG19" s="3507"/>
      <c r="RUH19" s="3507"/>
      <c r="RUI19" s="3507"/>
      <c r="RUJ19" s="3507"/>
      <c r="RUK19" s="3507"/>
      <c r="RUL19" s="3507"/>
      <c r="RUM19" s="3507"/>
      <c r="RUN19" s="3507"/>
      <c r="RUO19" s="3507"/>
      <c r="RUP19" s="3507"/>
      <c r="RUQ19" s="3507"/>
      <c r="RUR19" s="3507"/>
      <c r="RUS19" s="3507"/>
      <c r="RUT19" s="3507"/>
      <c r="RUU19" s="3507"/>
      <c r="RUV19" s="3507"/>
      <c r="RUW19" s="3507"/>
      <c r="RUX19" s="3507"/>
      <c r="RUY19" s="3507"/>
      <c r="RUZ19" s="3507"/>
      <c r="RVA19" s="3507"/>
      <c r="RVB19" s="3507"/>
      <c r="RVC19" s="3507"/>
      <c r="RVD19" s="3507"/>
      <c r="RVE19" s="3507"/>
      <c r="RVF19" s="3507"/>
      <c r="RVG19" s="3507"/>
      <c r="RVH19" s="3507"/>
      <c r="RVI19" s="3507"/>
      <c r="RVJ19" s="3507"/>
      <c r="RVK19" s="3507"/>
      <c r="RVL19" s="3507"/>
      <c r="RVM19" s="3507"/>
      <c r="RVN19" s="3507"/>
      <c r="RVO19" s="3507"/>
      <c r="RVP19" s="3507"/>
      <c r="RVQ19" s="3507"/>
      <c r="RVR19" s="3507"/>
      <c r="RVS19" s="3507"/>
      <c r="RVT19" s="3507"/>
      <c r="RVU19" s="3507"/>
      <c r="RVV19" s="3507"/>
      <c r="RVW19" s="3507"/>
      <c r="RVX19" s="3507"/>
      <c r="RVY19" s="3507"/>
      <c r="RVZ19" s="3507"/>
      <c r="RWA19" s="3507"/>
      <c r="RWB19" s="3507"/>
      <c r="RWC19" s="3507"/>
      <c r="RWD19" s="3507"/>
      <c r="RWE19" s="3507"/>
      <c r="RWF19" s="3507"/>
      <c r="RWG19" s="3507"/>
      <c r="RWH19" s="3507"/>
      <c r="RWI19" s="3507"/>
      <c r="RWJ19" s="3507"/>
      <c r="RWK19" s="3507"/>
      <c r="RWL19" s="3507"/>
      <c r="RWM19" s="3507"/>
      <c r="RWN19" s="3507"/>
      <c r="RWO19" s="3507"/>
      <c r="RWP19" s="3507"/>
      <c r="RWQ19" s="3507"/>
      <c r="RWR19" s="3507"/>
      <c r="RWS19" s="3507"/>
      <c r="RWT19" s="3507"/>
      <c r="RWU19" s="3507"/>
      <c r="RWV19" s="3507"/>
      <c r="RWW19" s="3507"/>
      <c r="RWX19" s="3507"/>
      <c r="RWY19" s="3507"/>
      <c r="RWZ19" s="3507"/>
      <c r="RXA19" s="3507"/>
      <c r="RXB19" s="3507"/>
      <c r="RXC19" s="3507"/>
      <c r="RXD19" s="3507"/>
      <c r="RXE19" s="3507"/>
      <c r="RXF19" s="3507"/>
      <c r="RXG19" s="3507"/>
      <c r="RXH19" s="3507"/>
      <c r="RXI19" s="3507"/>
      <c r="RXJ19" s="3507"/>
      <c r="RXK19" s="3507"/>
      <c r="RXL19" s="3507"/>
      <c r="RXM19" s="3507"/>
      <c r="RXN19" s="3507"/>
      <c r="RXO19" s="3507"/>
      <c r="RXP19" s="3507"/>
      <c r="RXQ19" s="3507"/>
      <c r="RXR19" s="3507"/>
      <c r="RXS19" s="3507"/>
      <c r="RXT19" s="3507"/>
      <c r="RXU19" s="3507"/>
      <c r="RXV19" s="3507"/>
      <c r="RXW19" s="3507"/>
      <c r="RXX19" s="3507"/>
      <c r="RXY19" s="3507"/>
      <c r="RXZ19" s="3507"/>
      <c r="RYA19" s="3507"/>
      <c r="RYB19" s="3507"/>
      <c r="RYC19" s="3507"/>
      <c r="RYD19" s="3507"/>
      <c r="RYE19" s="3507"/>
      <c r="RYF19" s="3507"/>
      <c r="RYG19" s="3507"/>
      <c r="RYH19" s="3507"/>
      <c r="RYI19" s="3507"/>
      <c r="RYJ19" s="3507"/>
      <c r="RYK19" s="3507"/>
      <c r="RYL19" s="3507"/>
      <c r="RYM19" s="3507"/>
      <c r="RYN19" s="3507"/>
      <c r="RYO19" s="3507"/>
      <c r="RYP19" s="3507"/>
      <c r="RYQ19" s="3507"/>
      <c r="RYR19" s="3507"/>
      <c r="RYS19" s="3507"/>
      <c r="RYT19" s="3507"/>
      <c r="RYU19" s="3507"/>
      <c r="RYV19" s="3507"/>
      <c r="RYW19" s="3507"/>
      <c r="RYX19" s="3507"/>
      <c r="RYY19" s="3507"/>
      <c r="RYZ19" s="3507"/>
      <c r="RZA19" s="3507"/>
      <c r="RZB19" s="3507"/>
      <c r="RZC19" s="3507"/>
      <c r="RZD19" s="3507"/>
      <c r="RZE19" s="3507"/>
      <c r="RZF19" s="3507"/>
      <c r="RZG19" s="3507"/>
      <c r="RZH19" s="3507"/>
      <c r="RZI19" s="3507"/>
      <c r="RZJ19" s="3507"/>
      <c r="RZK19" s="3507"/>
      <c r="RZL19" s="3507"/>
      <c r="RZM19" s="3507"/>
      <c r="RZN19" s="3507"/>
      <c r="RZO19" s="3507"/>
      <c r="RZP19" s="3507"/>
      <c r="RZQ19" s="3507"/>
      <c r="RZR19" s="3507"/>
      <c r="RZS19" s="3507"/>
      <c r="RZT19" s="3507"/>
      <c r="RZU19" s="3507"/>
      <c r="RZV19" s="3507"/>
      <c r="RZW19" s="3507"/>
      <c r="RZX19" s="3507"/>
      <c r="RZY19" s="3507"/>
      <c r="RZZ19" s="3507"/>
      <c r="SAA19" s="3507"/>
      <c r="SAB19" s="3507"/>
      <c r="SAC19" s="3507"/>
      <c r="SAD19" s="3507"/>
      <c r="SAE19" s="3507"/>
      <c r="SAF19" s="3507"/>
      <c r="SAG19" s="3507"/>
      <c r="SAH19" s="3507"/>
      <c r="SAI19" s="3507"/>
      <c r="SAJ19" s="3507"/>
      <c r="SAK19" s="3507"/>
      <c r="SAL19" s="3507"/>
      <c r="SAM19" s="3507"/>
      <c r="SAN19" s="3507"/>
      <c r="SAO19" s="3507"/>
      <c r="SAP19" s="3507"/>
      <c r="SAQ19" s="3507"/>
      <c r="SAR19" s="3507"/>
      <c r="SAS19" s="3507"/>
      <c r="SAT19" s="3507"/>
      <c r="SAU19" s="3507"/>
      <c r="SAV19" s="3507"/>
      <c r="SAW19" s="3507"/>
      <c r="SAX19" s="3507"/>
      <c r="SAY19" s="3507"/>
      <c r="SAZ19" s="3507"/>
      <c r="SBA19" s="3507"/>
      <c r="SBB19" s="3507"/>
      <c r="SBC19" s="3507"/>
      <c r="SBD19" s="3507"/>
      <c r="SBE19" s="3507"/>
      <c r="SBF19" s="3507"/>
      <c r="SBG19" s="3507"/>
      <c r="SBH19" s="3507"/>
      <c r="SBI19" s="3507"/>
      <c r="SBJ19" s="3507"/>
      <c r="SBK19" s="3507"/>
      <c r="SBL19" s="3507"/>
      <c r="SBM19" s="3507"/>
      <c r="SBN19" s="3507"/>
      <c r="SBO19" s="3507"/>
      <c r="SBP19" s="3507"/>
      <c r="SBQ19" s="3507"/>
      <c r="SBR19" s="3507"/>
      <c r="SBS19" s="3507"/>
      <c r="SBT19" s="3507"/>
      <c r="SBU19" s="3507"/>
      <c r="SBV19" s="3507"/>
      <c r="SBW19" s="3507"/>
      <c r="SBX19" s="3507"/>
      <c r="SBY19" s="3507"/>
      <c r="SBZ19" s="3507"/>
      <c r="SCA19" s="3507"/>
      <c r="SCB19" s="3507"/>
      <c r="SCC19" s="3507"/>
      <c r="SCD19" s="3507"/>
      <c r="SCE19" s="3507"/>
      <c r="SCF19" s="3507"/>
      <c r="SCG19" s="3507"/>
      <c r="SCH19" s="3507"/>
      <c r="SCI19" s="3507"/>
      <c r="SCJ19" s="3507"/>
      <c r="SCK19" s="3507"/>
      <c r="SCL19" s="3507"/>
      <c r="SCM19" s="3507"/>
      <c r="SCN19" s="3507"/>
      <c r="SCO19" s="3507"/>
      <c r="SCP19" s="3507"/>
      <c r="SCQ19" s="3507"/>
      <c r="SCR19" s="3507"/>
      <c r="SCS19" s="3507"/>
      <c r="SCT19" s="3507"/>
      <c r="SCU19" s="3507"/>
      <c r="SCV19" s="3507"/>
      <c r="SCW19" s="3507"/>
      <c r="SCX19" s="3507"/>
      <c r="SCY19" s="3507"/>
      <c r="SCZ19" s="3507"/>
      <c r="SDA19" s="3507"/>
      <c r="SDB19" s="3507"/>
      <c r="SDC19" s="3507"/>
      <c r="SDD19" s="3507"/>
      <c r="SDE19" s="3507"/>
      <c r="SDF19" s="3507"/>
      <c r="SDG19" s="3507"/>
      <c r="SDH19" s="3507"/>
      <c r="SDI19" s="3507"/>
      <c r="SDJ19" s="3507"/>
      <c r="SDK19" s="3507"/>
      <c r="SDL19" s="3507"/>
      <c r="SDM19" s="3507"/>
      <c r="SDN19" s="3507"/>
      <c r="SDO19" s="3507"/>
      <c r="SDP19" s="3507"/>
      <c r="SDQ19" s="3507"/>
      <c r="SDR19" s="3507"/>
      <c r="SDS19" s="3507"/>
      <c r="SDT19" s="3507"/>
      <c r="SDU19" s="3507"/>
      <c r="SDV19" s="3507"/>
      <c r="SDW19" s="3507"/>
      <c r="SDX19" s="3507"/>
      <c r="SDY19" s="3507"/>
      <c r="SDZ19" s="3507"/>
      <c r="SEA19" s="3507"/>
      <c r="SEB19" s="3507"/>
      <c r="SEC19" s="3507"/>
      <c r="SED19" s="3507"/>
      <c r="SEE19" s="3507"/>
      <c r="SEF19" s="3507"/>
      <c r="SEG19" s="3507"/>
      <c r="SEH19" s="3507"/>
      <c r="SEI19" s="3507"/>
      <c r="SEJ19" s="3507"/>
      <c r="SEK19" s="3507"/>
      <c r="SEL19" s="3507"/>
      <c r="SEM19" s="3507"/>
      <c r="SEN19" s="3507"/>
      <c r="SEO19" s="3507"/>
      <c r="SEP19" s="3507"/>
      <c r="SEQ19" s="3507"/>
      <c r="SER19" s="3507"/>
      <c r="SES19" s="3507"/>
      <c r="SET19" s="3507"/>
      <c r="SEU19" s="3507"/>
      <c r="SEV19" s="3507"/>
      <c r="SEW19" s="3507"/>
      <c r="SEX19" s="3507"/>
      <c r="SEY19" s="3507"/>
      <c r="SEZ19" s="3507"/>
      <c r="SFA19" s="3507"/>
      <c r="SFB19" s="3507"/>
      <c r="SFC19" s="3507"/>
      <c r="SFD19" s="3507"/>
      <c r="SFE19" s="3507"/>
      <c r="SFF19" s="3507"/>
      <c r="SFG19" s="3507"/>
      <c r="SFH19" s="3507"/>
      <c r="SFI19" s="3507"/>
      <c r="SFJ19" s="3507"/>
      <c r="SFK19" s="3507"/>
      <c r="SFL19" s="3507"/>
      <c r="SFM19" s="3507"/>
      <c r="SFN19" s="3507"/>
      <c r="SFO19" s="3507"/>
      <c r="SFP19" s="3507"/>
      <c r="SFQ19" s="3507"/>
      <c r="SFR19" s="3507"/>
      <c r="SFS19" s="3507"/>
      <c r="SFT19" s="3507"/>
      <c r="SFU19" s="3507"/>
      <c r="SFV19" s="3507"/>
      <c r="SFW19" s="3507"/>
      <c r="SFX19" s="3507"/>
      <c r="SFY19" s="3507"/>
      <c r="SFZ19" s="3507"/>
      <c r="SGA19" s="3507"/>
      <c r="SGB19" s="3507"/>
      <c r="SGC19" s="3507"/>
      <c r="SGD19" s="3507"/>
      <c r="SGE19" s="3507"/>
      <c r="SGF19" s="3507"/>
      <c r="SGG19" s="3507"/>
      <c r="SGH19" s="3507"/>
      <c r="SGI19" s="3507"/>
      <c r="SGJ19" s="3507"/>
      <c r="SGK19" s="3507"/>
      <c r="SGL19" s="3507"/>
      <c r="SGM19" s="3507"/>
      <c r="SGN19" s="3507"/>
      <c r="SGO19" s="3507"/>
      <c r="SGP19" s="3507"/>
      <c r="SGQ19" s="3507"/>
      <c r="SGR19" s="3507"/>
      <c r="SGS19" s="3507"/>
      <c r="SGT19" s="3507"/>
      <c r="SGU19" s="3507"/>
      <c r="SGV19" s="3507"/>
      <c r="SGW19" s="3507"/>
      <c r="SGX19" s="3507"/>
      <c r="SGY19" s="3507"/>
      <c r="SGZ19" s="3507"/>
      <c r="SHA19" s="3507"/>
      <c r="SHB19" s="3507"/>
      <c r="SHC19" s="3507"/>
      <c r="SHD19" s="3507"/>
      <c r="SHE19" s="3507"/>
      <c r="SHF19" s="3507"/>
      <c r="SHG19" s="3507"/>
      <c r="SHH19" s="3507"/>
      <c r="SHI19" s="3507"/>
      <c r="SHJ19" s="3507"/>
      <c r="SHK19" s="3507"/>
      <c r="SHL19" s="3507"/>
      <c r="SHM19" s="3507"/>
      <c r="SHN19" s="3507"/>
      <c r="SHO19" s="3507"/>
      <c r="SHP19" s="3507"/>
      <c r="SHQ19" s="3507"/>
      <c r="SHR19" s="3507"/>
      <c r="SHS19" s="3507"/>
      <c r="SHT19" s="3507"/>
      <c r="SHU19" s="3507"/>
      <c r="SHV19" s="3507"/>
      <c r="SHW19" s="3507"/>
      <c r="SHX19" s="3507"/>
      <c r="SHY19" s="3507"/>
      <c r="SHZ19" s="3507"/>
      <c r="SIA19" s="3507"/>
      <c r="SIB19" s="3507"/>
      <c r="SIC19" s="3507"/>
      <c r="SID19" s="3507"/>
      <c r="SIE19" s="3507"/>
      <c r="SIF19" s="3507"/>
      <c r="SIG19" s="3507"/>
      <c r="SIH19" s="3507"/>
      <c r="SII19" s="3507"/>
      <c r="SIJ19" s="3507"/>
      <c r="SIK19" s="3507"/>
      <c r="SIL19" s="3507"/>
      <c r="SIM19" s="3507"/>
      <c r="SIN19" s="3507"/>
      <c r="SIO19" s="3507"/>
      <c r="SIP19" s="3507"/>
      <c r="SIQ19" s="3507"/>
      <c r="SIR19" s="3507"/>
      <c r="SIS19" s="3507"/>
      <c r="SIT19" s="3507"/>
      <c r="SIU19" s="3507"/>
      <c r="SIV19" s="3507"/>
      <c r="SIW19" s="3507"/>
      <c r="SIX19" s="3507"/>
      <c r="SIY19" s="3507"/>
      <c r="SIZ19" s="3507"/>
      <c r="SJA19" s="3507"/>
      <c r="SJB19" s="3507"/>
      <c r="SJC19" s="3507"/>
      <c r="SJD19" s="3507"/>
      <c r="SJE19" s="3507"/>
      <c r="SJF19" s="3507"/>
      <c r="SJG19" s="3507"/>
      <c r="SJH19" s="3507"/>
      <c r="SJI19" s="3507"/>
      <c r="SJJ19" s="3507"/>
      <c r="SJK19" s="3507"/>
      <c r="SJL19" s="3507"/>
      <c r="SJM19" s="3507"/>
      <c r="SJN19" s="3507"/>
      <c r="SJO19" s="3507"/>
      <c r="SJP19" s="3507"/>
      <c r="SJQ19" s="3507"/>
      <c r="SJR19" s="3507"/>
      <c r="SJS19" s="3507"/>
      <c r="SJT19" s="3507"/>
      <c r="SJU19" s="3507"/>
      <c r="SJV19" s="3507"/>
      <c r="SJW19" s="3507"/>
      <c r="SJX19" s="3507"/>
      <c r="SJY19" s="3507"/>
      <c r="SJZ19" s="3507"/>
      <c r="SKA19" s="3507"/>
      <c r="SKB19" s="3507"/>
      <c r="SKC19" s="3507"/>
      <c r="SKD19" s="3507"/>
      <c r="SKE19" s="3507"/>
      <c r="SKF19" s="3507"/>
      <c r="SKG19" s="3507"/>
      <c r="SKH19" s="3507"/>
      <c r="SKI19" s="3507"/>
      <c r="SKJ19" s="3507"/>
      <c r="SKK19" s="3507"/>
      <c r="SKL19" s="3507"/>
      <c r="SKM19" s="3507"/>
      <c r="SKN19" s="3507"/>
      <c r="SKO19" s="3507"/>
      <c r="SKP19" s="3507"/>
      <c r="SKQ19" s="3507"/>
      <c r="SKR19" s="3507"/>
      <c r="SKS19" s="3507"/>
      <c r="SKT19" s="3507"/>
      <c r="SKU19" s="3507"/>
      <c r="SKV19" s="3507"/>
      <c r="SKW19" s="3507"/>
      <c r="SKX19" s="3507"/>
      <c r="SKY19" s="3507"/>
      <c r="SKZ19" s="3507"/>
      <c r="SLA19" s="3507"/>
      <c r="SLB19" s="3507"/>
      <c r="SLC19" s="3507"/>
      <c r="SLD19" s="3507"/>
      <c r="SLE19" s="3507"/>
      <c r="SLF19" s="3507"/>
      <c r="SLG19" s="3507"/>
      <c r="SLH19" s="3507"/>
      <c r="SLI19" s="3507"/>
      <c r="SLJ19" s="3507"/>
      <c r="SLK19" s="3507"/>
      <c r="SLL19" s="3507"/>
      <c r="SLM19" s="3507"/>
      <c r="SLN19" s="3507"/>
      <c r="SLO19" s="3507"/>
      <c r="SLP19" s="3507"/>
      <c r="SLQ19" s="3507"/>
      <c r="SLR19" s="3507"/>
      <c r="SLS19" s="3507"/>
      <c r="SLT19" s="3507"/>
      <c r="SLU19" s="3507"/>
      <c r="SLV19" s="3507"/>
      <c r="SLW19" s="3507"/>
      <c r="SLX19" s="3507"/>
      <c r="SLY19" s="3507"/>
      <c r="SLZ19" s="3507"/>
      <c r="SMA19" s="3507"/>
      <c r="SMB19" s="3507"/>
      <c r="SMC19" s="3507"/>
      <c r="SMD19" s="3507"/>
      <c r="SME19" s="3507"/>
      <c r="SMF19" s="3507"/>
      <c r="SMG19" s="3507"/>
      <c r="SMH19" s="3507"/>
      <c r="SMI19" s="3507"/>
      <c r="SMJ19" s="3507"/>
      <c r="SMK19" s="3507"/>
      <c r="SML19" s="3507"/>
      <c r="SMM19" s="3507"/>
      <c r="SMN19" s="3507"/>
      <c r="SMO19" s="3507"/>
      <c r="SMP19" s="3507"/>
      <c r="SMQ19" s="3507"/>
      <c r="SMR19" s="3507"/>
      <c r="SMS19" s="3507"/>
      <c r="SMT19" s="3507"/>
      <c r="SMU19" s="3507"/>
      <c r="SMV19" s="3507"/>
      <c r="SMW19" s="3507"/>
      <c r="SMX19" s="3507"/>
      <c r="SMY19" s="3507"/>
      <c r="SMZ19" s="3507"/>
      <c r="SNA19" s="3507"/>
      <c r="SNB19" s="3507"/>
      <c r="SNC19" s="3507"/>
      <c r="SND19" s="3507"/>
      <c r="SNE19" s="3507"/>
      <c r="SNF19" s="3507"/>
      <c r="SNG19" s="3507"/>
      <c r="SNH19" s="3507"/>
      <c r="SNI19" s="3507"/>
      <c r="SNJ19" s="3507"/>
      <c r="SNK19" s="3507"/>
      <c r="SNL19" s="3507"/>
      <c r="SNM19" s="3507"/>
      <c r="SNN19" s="3507"/>
      <c r="SNO19" s="3507"/>
      <c r="SNP19" s="3507"/>
      <c r="SNQ19" s="3507"/>
      <c r="SNR19" s="3507"/>
      <c r="SNS19" s="3507"/>
      <c r="SNT19" s="3507"/>
      <c r="SNU19" s="3507"/>
      <c r="SNV19" s="3507"/>
      <c r="SNW19" s="3507"/>
      <c r="SNX19" s="3507"/>
      <c r="SNY19" s="3507"/>
      <c r="SNZ19" s="3507"/>
      <c r="SOA19" s="3507"/>
      <c r="SOB19" s="3507"/>
      <c r="SOC19" s="3507"/>
      <c r="SOD19" s="3507"/>
      <c r="SOE19" s="3507"/>
      <c r="SOF19" s="3507"/>
      <c r="SOG19" s="3507"/>
      <c r="SOH19" s="3507"/>
      <c r="SOI19" s="3507"/>
      <c r="SOJ19" s="3507"/>
      <c r="SOK19" s="3507"/>
      <c r="SOL19" s="3507"/>
      <c r="SOM19" s="3507"/>
      <c r="SON19" s="3507"/>
      <c r="SOO19" s="3507"/>
      <c r="SOP19" s="3507"/>
      <c r="SOQ19" s="3507"/>
      <c r="SOR19" s="3507"/>
      <c r="SOS19" s="3507"/>
      <c r="SOT19" s="3507"/>
      <c r="SOU19" s="3507"/>
      <c r="SOV19" s="3507"/>
      <c r="SOW19" s="3507"/>
      <c r="SOX19" s="3507"/>
      <c r="SOY19" s="3507"/>
      <c r="SOZ19" s="3507"/>
      <c r="SPA19" s="3507"/>
      <c r="SPB19" s="3507"/>
      <c r="SPC19" s="3507"/>
      <c r="SPD19" s="3507"/>
      <c r="SPE19" s="3507"/>
      <c r="SPF19" s="3507"/>
      <c r="SPG19" s="3507"/>
      <c r="SPH19" s="3507"/>
      <c r="SPI19" s="3507"/>
      <c r="SPJ19" s="3507"/>
      <c r="SPK19" s="3507"/>
      <c r="SPL19" s="3507"/>
      <c r="SPM19" s="3507"/>
      <c r="SPN19" s="3507"/>
      <c r="SPO19" s="3507"/>
      <c r="SPP19" s="3507"/>
      <c r="SPQ19" s="3507"/>
      <c r="SPR19" s="3507"/>
      <c r="SPS19" s="3507"/>
      <c r="SPT19" s="3507"/>
      <c r="SPU19" s="3507"/>
      <c r="SPV19" s="3507"/>
      <c r="SPW19" s="3507"/>
      <c r="SPX19" s="3507"/>
      <c r="SPY19" s="3507"/>
      <c r="SPZ19" s="3507"/>
      <c r="SQA19" s="3507"/>
      <c r="SQB19" s="3507"/>
      <c r="SQC19" s="3507"/>
      <c r="SQD19" s="3507"/>
      <c r="SQE19" s="3507"/>
      <c r="SQF19" s="3507"/>
      <c r="SQG19" s="3507"/>
      <c r="SQH19" s="3507"/>
      <c r="SQI19" s="3507"/>
      <c r="SQJ19" s="3507"/>
      <c r="SQK19" s="3507"/>
      <c r="SQL19" s="3507"/>
      <c r="SQM19" s="3507"/>
      <c r="SQN19" s="3507"/>
      <c r="SQO19" s="3507"/>
      <c r="SQP19" s="3507"/>
      <c r="SQQ19" s="3507"/>
      <c r="SQR19" s="3507"/>
      <c r="SQS19" s="3507"/>
      <c r="SQT19" s="3507"/>
      <c r="SQU19" s="3507"/>
      <c r="SQV19" s="3507"/>
      <c r="SQW19" s="3507"/>
      <c r="SQX19" s="3507"/>
      <c r="SQY19" s="3507"/>
      <c r="SQZ19" s="3507"/>
      <c r="SRA19" s="3507"/>
      <c r="SRB19" s="3507"/>
      <c r="SRC19" s="3507"/>
      <c r="SRD19" s="3507"/>
      <c r="SRE19" s="3507"/>
      <c r="SRF19" s="3507"/>
      <c r="SRG19" s="3507"/>
      <c r="SRH19" s="3507"/>
      <c r="SRI19" s="3507"/>
      <c r="SRJ19" s="3507"/>
      <c r="SRK19" s="3507"/>
      <c r="SRL19" s="3507"/>
      <c r="SRM19" s="3507"/>
      <c r="SRN19" s="3507"/>
      <c r="SRO19" s="3507"/>
      <c r="SRP19" s="3507"/>
      <c r="SRQ19" s="3507"/>
      <c r="SRR19" s="3507"/>
      <c r="SRS19" s="3507"/>
      <c r="SRT19" s="3507"/>
      <c r="SRU19" s="3507"/>
      <c r="SRV19" s="3507"/>
      <c r="SRW19" s="3507"/>
      <c r="SRX19" s="3507"/>
      <c r="SRY19" s="3507"/>
      <c r="SRZ19" s="3507"/>
      <c r="SSA19" s="3507"/>
      <c r="SSB19" s="3507"/>
      <c r="SSC19" s="3507"/>
      <c r="SSD19" s="3507"/>
      <c r="SSE19" s="3507"/>
      <c r="SSF19" s="3507"/>
      <c r="SSG19" s="3507"/>
      <c r="SSH19" s="3507"/>
      <c r="SSI19" s="3507"/>
      <c r="SSJ19" s="3507"/>
      <c r="SSK19" s="3507"/>
      <c r="SSL19" s="3507"/>
      <c r="SSM19" s="3507"/>
      <c r="SSN19" s="3507"/>
      <c r="SSO19" s="3507"/>
      <c r="SSP19" s="3507"/>
      <c r="SSQ19" s="3507"/>
      <c r="SSR19" s="3507"/>
      <c r="SSS19" s="3507"/>
      <c r="SST19" s="3507"/>
      <c r="SSU19" s="3507"/>
      <c r="SSV19" s="3507"/>
      <c r="SSW19" s="3507"/>
      <c r="SSX19" s="3507"/>
      <c r="SSY19" s="3507"/>
      <c r="SSZ19" s="3507"/>
      <c r="STA19" s="3507"/>
      <c r="STB19" s="3507"/>
      <c r="STC19" s="3507"/>
      <c r="STD19" s="3507"/>
      <c r="STE19" s="3507"/>
      <c r="STF19" s="3507"/>
      <c r="STG19" s="3507"/>
      <c r="STH19" s="3507"/>
      <c r="STI19" s="3507"/>
      <c r="STJ19" s="3507"/>
      <c r="STK19" s="3507"/>
      <c r="STL19" s="3507"/>
      <c r="STM19" s="3507"/>
      <c r="STN19" s="3507"/>
      <c r="STO19" s="3507"/>
      <c r="STP19" s="3507"/>
      <c r="STQ19" s="3507"/>
      <c r="STR19" s="3507"/>
      <c r="STS19" s="3507"/>
      <c r="STT19" s="3507"/>
      <c r="STU19" s="3507"/>
      <c r="STV19" s="3507"/>
      <c r="STW19" s="3507"/>
      <c r="STX19" s="3507"/>
      <c r="STY19" s="3507"/>
      <c r="STZ19" s="3507"/>
      <c r="SUA19" s="3507"/>
      <c r="SUB19" s="3507"/>
      <c r="SUC19" s="3507"/>
      <c r="SUD19" s="3507"/>
      <c r="SUE19" s="3507"/>
      <c r="SUF19" s="3507"/>
      <c r="SUG19" s="3507"/>
      <c r="SUH19" s="3507"/>
      <c r="SUI19" s="3507"/>
      <c r="SUJ19" s="3507"/>
      <c r="SUK19" s="3507"/>
      <c r="SUL19" s="3507"/>
      <c r="SUM19" s="3507"/>
      <c r="SUN19" s="3507"/>
      <c r="SUO19" s="3507"/>
      <c r="SUP19" s="3507"/>
      <c r="SUQ19" s="3507"/>
      <c r="SUR19" s="3507"/>
      <c r="SUS19" s="3507"/>
      <c r="SUT19" s="3507"/>
      <c r="SUU19" s="3507"/>
      <c r="SUV19" s="3507"/>
      <c r="SUW19" s="3507"/>
      <c r="SUX19" s="3507"/>
      <c r="SUY19" s="3507"/>
      <c r="SUZ19" s="3507"/>
      <c r="SVA19" s="3507"/>
      <c r="SVB19" s="3507"/>
      <c r="SVC19" s="3507"/>
      <c r="SVD19" s="3507"/>
      <c r="SVE19" s="3507"/>
      <c r="SVF19" s="3507"/>
      <c r="SVG19" s="3507"/>
      <c r="SVH19" s="3507"/>
      <c r="SVI19" s="3507"/>
      <c r="SVJ19" s="3507"/>
      <c r="SVK19" s="3507"/>
      <c r="SVL19" s="3507"/>
      <c r="SVM19" s="3507"/>
      <c r="SVN19" s="3507"/>
      <c r="SVO19" s="3507"/>
      <c r="SVP19" s="3507"/>
      <c r="SVQ19" s="3507"/>
      <c r="SVR19" s="3507"/>
      <c r="SVS19" s="3507"/>
      <c r="SVT19" s="3507"/>
      <c r="SVU19" s="3507"/>
      <c r="SVV19" s="3507"/>
      <c r="SVW19" s="3507"/>
      <c r="SVX19" s="3507"/>
      <c r="SVY19" s="3507"/>
      <c r="SVZ19" s="3507"/>
      <c r="SWA19" s="3507"/>
      <c r="SWB19" s="3507"/>
      <c r="SWC19" s="3507"/>
      <c r="SWD19" s="3507"/>
      <c r="SWE19" s="3507"/>
      <c r="SWF19" s="3507"/>
      <c r="SWG19" s="3507"/>
      <c r="SWH19" s="3507"/>
      <c r="SWI19" s="3507"/>
      <c r="SWJ19" s="3507"/>
      <c r="SWK19" s="3507"/>
      <c r="SWL19" s="3507"/>
      <c r="SWM19" s="3507"/>
      <c r="SWN19" s="3507"/>
      <c r="SWO19" s="3507"/>
      <c r="SWP19" s="3507"/>
      <c r="SWQ19" s="3507"/>
      <c r="SWR19" s="3507"/>
      <c r="SWS19" s="3507"/>
      <c r="SWT19" s="3507"/>
      <c r="SWU19" s="3507"/>
      <c r="SWV19" s="3507"/>
      <c r="SWW19" s="3507"/>
      <c r="SWX19" s="3507"/>
      <c r="SWY19" s="3507"/>
      <c r="SWZ19" s="3507"/>
      <c r="SXA19" s="3507"/>
      <c r="SXB19" s="3507"/>
      <c r="SXC19" s="3507"/>
      <c r="SXD19" s="3507"/>
      <c r="SXE19" s="3507"/>
      <c r="SXF19" s="3507"/>
      <c r="SXG19" s="3507"/>
      <c r="SXH19" s="3507"/>
      <c r="SXI19" s="3507"/>
      <c r="SXJ19" s="3507"/>
      <c r="SXK19" s="3507"/>
      <c r="SXL19" s="3507"/>
      <c r="SXM19" s="3507"/>
      <c r="SXN19" s="3507"/>
      <c r="SXO19" s="3507"/>
      <c r="SXP19" s="3507"/>
      <c r="SXQ19" s="3507"/>
      <c r="SXR19" s="3507"/>
      <c r="SXS19" s="3507"/>
      <c r="SXT19" s="3507"/>
      <c r="SXU19" s="3507"/>
      <c r="SXV19" s="3507"/>
      <c r="SXW19" s="3507"/>
      <c r="SXX19" s="3507"/>
      <c r="SXY19" s="3507"/>
      <c r="SXZ19" s="3507"/>
      <c r="SYA19" s="3507"/>
      <c r="SYB19" s="3507"/>
      <c r="SYC19" s="3507"/>
      <c r="SYD19" s="3507"/>
      <c r="SYE19" s="3507"/>
      <c r="SYF19" s="3507"/>
      <c r="SYG19" s="3507"/>
      <c r="SYH19" s="3507"/>
      <c r="SYI19" s="3507"/>
      <c r="SYJ19" s="3507"/>
      <c r="SYK19" s="3507"/>
      <c r="SYL19" s="3507"/>
      <c r="SYM19" s="3507"/>
      <c r="SYN19" s="3507"/>
      <c r="SYO19" s="3507"/>
      <c r="SYP19" s="3507"/>
      <c r="SYQ19" s="3507"/>
      <c r="SYR19" s="3507"/>
      <c r="SYS19" s="3507"/>
      <c r="SYT19" s="3507"/>
      <c r="SYU19" s="3507"/>
      <c r="SYV19" s="3507"/>
      <c r="SYW19" s="3507"/>
      <c r="SYX19" s="3507"/>
      <c r="SYY19" s="3507"/>
      <c r="SYZ19" s="3507"/>
      <c r="SZA19" s="3507"/>
      <c r="SZB19" s="3507"/>
      <c r="SZC19" s="3507"/>
      <c r="SZD19" s="3507"/>
      <c r="SZE19" s="3507"/>
      <c r="SZF19" s="3507"/>
      <c r="SZG19" s="3507"/>
      <c r="SZH19" s="3507"/>
      <c r="SZI19" s="3507"/>
      <c r="SZJ19" s="3507"/>
      <c r="SZK19" s="3507"/>
      <c r="SZL19" s="3507"/>
      <c r="SZM19" s="3507"/>
      <c r="SZN19" s="3507"/>
      <c r="SZO19" s="3507"/>
      <c r="SZP19" s="3507"/>
      <c r="SZQ19" s="3507"/>
      <c r="SZR19" s="3507"/>
      <c r="SZS19" s="3507"/>
      <c r="SZT19" s="3507"/>
      <c r="SZU19" s="3507"/>
      <c r="SZV19" s="3507"/>
      <c r="SZW19" s="3507"/>
      <c r="SZX19" s="3507"/>
      <c r="SZY19" s="3507"/>
      <c r="SZZ19" s="3507"/>
      <c r="TAA19" s="3507"/>
      <c r="TAB19" s="3507"/>
      <c r="TAC19" s="3507"/>
      <c r="TAD19" s="3507"/>
      <c r="TAE19" s="3507"/>
      <c r="TAF19" s="3507"/>
      <c r="TAG19" s="3507"/>
      <c r="TAH19" s="3507"/>
      <c r="TAI19" s="3507"/>
      <c r="TAJ19" s="3507"/>
      <c r="TAK19" s="3507"/>
      <c r="TAL19" s="3507"/>
      <c r="TAM19" s="3507"/>
      <c r="TAN19" s="3507"/>
      <c r="TAO19" s="3507"/>
      <c r="TAP19" s="3507"/>
      <c r="TAQ19" s="3507"/>
      <c r="TAR19" s="3507"/>
      <c r="TAS19" s="3507"/>
      <c r="TAT19" s="3507"/>
      <c r="TAU19" s="3507"/>
      <c r="TAV19" s="3507"/>
      <c r="TAW19" s="3507"/>
      <c r="TAX19" s="3507"/>
      <c r="TAY19" s="3507"/>
      <c r="TAZ19" s="3507"/>
      <c r="TBA19" s="3507"/>
      <c r="TBB19" s="3507"/>
      <c r="TBC19" s="3507"/>
      <c r="TBD19" s="3507"/>
      <c r="TBE19" s="3507"/>
      <c r="TBF19" s="3507"/>
      <c r="TBG19" s="3507"/>
      <c r="TBH19" s="3507"/>
      <c r="TBI19" s="3507"/>
      <c r="TBJ19" s="3507"/>
      <c r="TBK19" s="3507"/>
      <c r="TBL19" s="3507"/>
      <c r="TBM19" s="3507"/>
      <c r="TBN19" s="3507"/>
      <c r="TBO19" s="3507"/>
      <c r="TBP19" s="3507"/>
      <c r="TBQ19" s="3507"/>
      <c r="TBR19" s="3507"/>
      <c r="TBS19" s="3507"/>
      <c r="TBT19" s="3507"/>
      <c r="TBU19" s="3507"/>
      <c r="TBV19" s="3507"/>
      <c r="TBW19" s="3507"/>
      <c r="TBX19" s="3507"/>
      <c r="TBY19" s="3507"/>
      <c r="TBZ19" s="3507"/>
      <c r="TCA19" s="3507"/>
      <c r="TCB19" s="3507"/>
      <c r="TCC19" s="3507"/>
      <c r="TCD19" s="3507"/>
      <c r="TCE19" s="3507"/>
      <c r="TCF19" s="3507"/>
      <c r="TCG19" s="3507"/>
      <c r="TCH19" s="3507"/>
      <c r="TCI19" s="3507"/>
      <c r="TCJ19" s="3507"/>
      <c r="TCK19" s="3507"/>
      <c r="TCL19" s="3507"/>
      <c r="TCM19" s="3507"/>
      <c r="TCN19" s="3507"/>
      <c r="TCO19" s="3507"/>
      <c r="TCP19" s="3507"/>
      <c r="TCQ19" s="3507"/>
      <c r="TCR19" s="3507"/>
      <c r="TCS19" s="3507"/>
      <c r="TCT19" s="3507"/>
      <c r="TCU19" s="3507"/>
      <c r="TCV19" s="3507"/>
      <c r="TCW19" s="3507"/>
      <c r="TCX19" s="3507"/>
      <c r="TCY19" s="3507"/>
      <c r="TCZ19" s="3507"/>
      <c r="TDA19" s="3507"/>
      <c r="TDB19" s="3507"/>
      <c r="TDC19" s="3507"/>
      <c r="TDD19" s="3507"/>
      <c r="TDE19" s="3507"/>
      <c r="TDF19" s="3507"/>
      <c r="TDG19" s="3507"/>
      <c r="TDH19" s="3507"/>
      <c r="TDI19" s="3507"/>
      <c r="TDJ19" s="3507"/>
      <c r="TDK19" s="3507"/>
      <c r="TDL19" s="3507"/>
      <c r="TDM19" s="3507"/>
      <c r="TDN19" s="3507"/>
      <c r="TDO19" s="3507"/>
      <c r="TDP19" s="3507"/>
      <c r="TDQ19" s="3507"/>
      <c r="TDR19" s="3507"/>
      <c r="TDS19" s="3507"/>
      <c r="TDT19" s="3507"/>
      <c r="TDU19" s="3507"/>
      <c r="TDV19" s="3507"/>
      <c r="TDW19" s="3507"/>
      <c r="TDX19" s="3507"/>
      <c r="TDY19" s="3507"/>
      <c r="TDZ19" s="3507"/>
      <c r="TEA19" s="3507"/>
      <c r="TEB19" s="3507"/>
      <c r="TEC19" s="3507"/>
      <c r="TED19" s="3507"/>
      <c r="TEE19" s="3507"/>
      <c r="TEF19" s="3507"/>
      <c r="TEG19" s="3507"/>
      <c r="TEH19" s="3507"/>
      <c r="TEI19" s="3507"/>
      <c r="TEJ19" s="3507"/>
      <c r="TEK19" s="3507"/>
      <c r="TEL19" s="3507"/>
      <c r="TEM19" s="3507"/>
      <c r="TEN19" s="3507"/>
      <c r="TEO19" s="3507"/>
      <c r="TEP19" s="3507"/>
      <c r="TEQ19" s="3507"/>
      <c r="TER19" s="3507"/>
      <c r="TES19" s="3507"/>
      <c r="TET19" s="3507"/>
      <c r="TEU19" s="3507"/>
      <c r="TEV19" s="3507"/>
      <c r="TEW19" s="3507"/>
      <c r="TEX19" s="3507"/>
      <c r="TEY19" s="3507"/>
      <c r="TEZ19" s="3507"/>
      <c r="TFA19" s="3507"/>
      <c r="TFB19" s="3507"/>
      <c r="TFC19" s="3507"/>
      <c r="TFD19" s="3507"/>
      <c r="TFE19" s="3507"/>
      <c r="TFF19" s="3507"/>
      <c r="TFG19" s="3507"/>
      <c r="TFH19" s="3507"/>
      <c r="TFI19" s="3507"/>
      <c r="TFJ19" s="3507"/>
      <c r="TFK19" s="3507"/>
      <c r="TFL19" s="3507"/>
      <c r="TFM19" s="3507"/>
      <c r="TFN19" s="3507"/>
      <c r="TFO19" s="3507"/>
      <c r="TFP19" s="3507"/>
      <c r="TFQ19" s="3507"/>
      <c r="TFR19" s="3507"/>
      <c r="TFS19" s="3507"/>
      <c r="TFT19" s="3507"/>
      <c r="TFU19" s="3507"/>
      <c r="TFV19" s="3507"/>
      <c r="TFW19" s="3507"/>
      <c r="TFX19" s="3507"/>
      <c r="TFY19" s="3507"/>
      <c r="TFZ19" s="3507"/>
      <c r="TGA19" s="3507"/>
      <c r="TGB19" s="3507"/>
      <c r="TGC19" s="3507"/>
      <c r="TGD19" s="3507"/>
      <c r="TGE19" s="3507"/>
      <c r="TGF19" s="3507"/>
      <c r="TGG19" s="3507"/>
      <c r="TGH19" s="3507"/>
      <c r="TGI19" s="3507"/>
      <c r="TGJ19" s="3507"/>
      <c r="TGK19" s="3507"/>
      <c r="TGL19" s="3507"/>
      <c r="TGM19" s="3507"/>
      <c r="TGN19" s="3507"/>
      <c r="TGO19" s="3507"/>
      <c r="TGP19" s="3507"/>
      <c r="TGQ19" s="3507"/>
      <c r="TGR19" s="3507"/>
      <c r="TGS19" s="3507"/>
      <c r="TGT19" s="3507"/>
      <c r="TGU19" s="3507"/>
      <c r="TGV19" s="3507"/>
      <c r="TGW19" s="3507"/>
      <c r="TGX19" s="3507"/>
      <c r="TGY19" s="3507"/>
      <c r="TGZ19" s="3507"/>
      <c r="THA19" s="3507"/>
      <c r="THB19" s="3507"/>
      <c r="THC19" s="3507"/>
      <c r="THD19" s="3507"/>
      <c r="THE19" s="3507"/>
      <c r="THF19" s="3507"/>
      <c r="THG19" s="3507"/>
      <c r="THH19" s="3507"/>
      <c r="THI19" s="3507"/>
      <c r="THJ19" s="3507"/>
      <c r="THK19" s="3507"/>
      <c r="THL19" s="3507"/>
      <c r="THM19" s="3507"/>
      <c r="THN19" s="3507"/>
      <c r="THO19" s="3507"/>
      <c r="THP19" s="3507"/>
      <c r="THQ19" s="3507"/>
      <c r="THR19" s="3507"/>
      <c r="THS19" s="3507"/>
      <c r="THT19" s="3507"/>
      <c r="THU19" s="3507"/>
      <c r="THV19" s="3507"/>
      <c r="THW19" s="3507"/>
      <c r="THX19" s="3507"/>
      <c r="THY19" s="3507"/>
      <c r="THZ19" s="3507"/>
      <c r="TIA19" s="3507"/>
      <c r="TIB19" s="3507"/>
      <c r="TIC19" s="3507"/>
      <c r="TID19" s="3507"/>
      <c r="TIE19" s="3507"/>
      <c r="TIF19" s="3507"/>
      <c r="TIG19" s="3507"/>
      <c r="TIH19" s="3507"/>
      <c r="TII19" s="3507"/>
      <c r="TIJ19" s="3507"/>
      <c r="TIK19" s="3507"/>
      <c r="TIL19" s="3507"/>
      <c r="TIM19" s="3507"/>
      <c r="TIN19" s="3507"/>
      <c r="TIO19" s="3507"/>
      <c r="TIP19" s="3507"/>
      <c r="TIQ19" s="3507"/>
      <c r="TIR19" s="3507"/>
      <c r="TIS19" s="3507"/>
      <c r="TIT19" s="3507"/>
      <c r="TIU19" s="3507"/>
      <c r="TIV19" s="3507"/>
      <c r="TIW19" s="3507"/>
      <c r="TIX19" s="3507"/>
      <c r="TIY19" s="3507"/>
      <c r="TIZ19" s="3507"/>
      <c r="TJA19" s="3507"/>
      <c r="TJB19" s="3507"/>
      <c r="TJC19" s="3507"/>
      <c r="TJD19" s="3507"/>
      <c r="TJE19" s="3507"/>
      <c r="TJF19" s="3507"/>
      <c r="TJG19" s="3507"/>
      <c r="TJH19" s="3507"/>
      <c r="TJI19" s="3507"/>
      <c r="TJJ19" s="3507"/>
      <c r="TJK19" s="3507"/>
      <c r="TJL19" s="3507"/>
      <c r="TJM19" s="3507"/>
      <c r="TJN19" s="3507"/>
      <c r="TJO19" s="3507"/>
      <c r="TJP19" s="3507"/>
      <c r="TJQ19" s="3507"/>
      <c r="TJR19" s="3507"/>
      <c r="TJS19" s="3507"/>
      <c r="TJT19" s="3507"/>
      <c r="TJU19" s="3507"/>
      <c r="TJV19" s="3507"/>
      <c r="TJW19" s="3507"/>
      <c r="TJX19" s="3507"/>
      <c r="TJY19" s="3507"/>
      <c r="TJZ19" s="3507"/>
      <c r="TKA19" s="3507"/>
      <c r="TKB19" s="3507"/>
      <c r="TKC19" s="3507"/>
      <c r="TKD19" s="3507"/>
      <c r="TKE19" s="3507"/>
      <c r="TKF19" s="3507"/>
      <c r="TKG19" s="3507"/>
      <c r="TKH19" s="3507"/>
      <c r="TKI19" s="3507"/>
      <c r="TKJ19" s="3507"/>
      <c r="TKK19" s="3507"/>
      <c r="TKL19" s="3507"/>
      <c r="TKM19" s="3507"/>
      <c r="TKN19" s="3507"/>
      <c r="TKO19" s="3507"/>
      <c r="TKP19" s="3507"/>
      <c r="TKQ19" s="3507"/>
      <c r="TKR19" s="3507"/>
      <c r="TKS19" s="3507"/>
      <c r="TKT19" s="3507"/>
      <c r="TKU19" s="3507"/>
      <c r="TKV19" s="3507"/>
      <c r="TKW19" s="3507"/>
      <c r="TKX19" s="3507"/>
      <c r="TKY19" s="3507"/>
      <c r="TKZ19" s="3507"/>
      <c r="TLA19" s="3507"/>
      <c r="TLB19" s="3507"/>
      <c r="TLC19" s="3507"/>
      <c r="TLD19" s="3507"/>
      <c r="TLE19" s="3507"/>
      <c r="TLF19" s="3507"/>
      <c r="TLG19" s="3507"/>
      <c r="TLH19" s="3507"/>
      <c r="TLI19" s="3507"/>
      <c r="TLJ19" s="3507"/>
      <c r="TLK19" s="3507"/>
      <c r="TLL19" s="3507"/>
      <c r="TLM19" s="3507"/>
      <c r="TLN19" s="3507"/>
      <c r="TLO19" s="3507"/>
      <c r="TLP19" s="3507"/>
      <c r="TLQ19" s="3507"/>
      <c r="TLR19" s="3507"/>
      <c r="TLS19" s="3507"/>
      <c r="TLT19" s="3507"/>
      <c r="TLU19" s="3507"/>
      <c r="TLV19" s="3507"/>
      <c r="TLW19" s="3507"/>
      <c r="TLX19" s="3507"/>
      <c r="TLY19" s="3507"/>
      <c r="TLZ19" s="3507"/>
      <c r="TMA19" s="3507"/>
      <c r="TMB19" s="3507"/>
      <c r="TMC19" s="3507"/>
      <c r="TMD19" s="3507"/>
      <c r="TME19" s="3507"/>
      <c r="TMF19" s="3507"/>
      <c r="TMG19" s="3507"/>
      <c r="TMH19" s="3507"/>
      <c r="TMI19" s="3507"/>
      <c r="TMJ19" s="3507"/>
      <c r="TMK19" s="3507"/>
      <c r="TML19" s="3507"/>
      <c r="TMM19" s="3507"/>
      <c r="TMN19" s="3507"/>
      <c r="TMO19" s="3507"/>
      <c r="TMP19" s="3507"/>
      <c r="TMQ19" s="3507"/>
      <c r="TMR19" s="3507"/>
      <c r="TMS19" s="3507"/>
      <c r="TMT19" s="3507"/>
      <c r="TMU19" s="3507"/>
      <c r="TMV19" s="3507"/>
      <c r="TMW19" s="3507"/>
      <c r="TMX19" s="3507"/>
      <c r="TMY19" s="3507"/>
      <c r="TMZ19" s="3507"/>
      <c r="TNA19" s="3507"/>
      <c r="TNB19" s="3507"/>
      <c r="TNC19" s="3507"/>
      <c r="TND19" s="3507"/>
      <c r="TNE19" s="3507"/>
      <c r="TNF19" s="3507"/>
      <c r="TNG19" s="3507"/>
      <c r="TNH19" s="3507"/>
      <c r="TNI19" s="3507"/>
      <c r="TNJ19" s="3507"/>
      <c r="TNK19" s="3507"/>
      <c r="TNL19" s="3507"/>
      <c r="TNM19" s="3507"/>
      <c r="TNN19" s="3507"/>
      <c r="TNO19" s="3507"/>
      <c r="TNP19" s="3507"/>
      <c r="TNQ19" s="3507"/>
      <c r="TNR19" s="3507"/>
      <c r="TNS19" s="3507"/>
      <c r="TNT19" s="3507"/>
      <c r="TNU19" s="3507"/>
      <c r="TNV19" s="3507"/>
      <c r="TNW19" s="3507"/>
      <c r="TNX19" s="3507"/>
      <c r="TNY19" s="3507"/>
      <c r="TNZ19" s="3507"/>
      <c r="TOA19" s="3507"/>
      <c r="TOB19" s="3507"/>
      <c r="TOC19" s="3507"/>
      <c r="TOD19" s="3507"/>
      <c r="TOE19" s="3507"/>
      <c r="TOF19" s="3507"/>
      <c r="TOG19" s="3507"/>
      <c r="TOH19" s="3507"/>
      <c r="TOI19" s="3507"/>
      <c r="TOJ19" s="3507"/>
      <c r="TOK19" s="3507"/>
      <c r="TOL19" s="3507"/>
      <c r="TOM19" s="3507"/>
      <c r="TON19" s="3507"/>
      <c r="TOO19" s="3507"/>
      <c r="TOP19" s="3507"/>
      <c r="TOQ19" s="3507"/>
      <c r="TOR19" s="3507"/>
      <c r="TOS19" s="3507"/>
      <c r="TOT19" s="3507"/>
      <c r="TOU19" s="3507"/>
      <c r="TOV19" s="3507"/>
      <c r="TOW19" s="3507"/>
      <c r="TOX19" s="3507"/>
      <c r="TOY19" s="3507"/>
      <c r="TOZ19" s="3507"/>
      <c r="TPA19" s="3507"/>
      <c r="TPB19" s="3507"/>
      <c r="TPC19" s="3507"/>
      <c r="TPD19" s="3507"/>
      <c r="TPE19" s="3507"/>
      <c r="TPF19" s="3507"/>
      <c r="TPG19" s="3507"/>
      <c r="TPH19" s="3507"/>
      <c r="TPI19" s="3507"/>
      <c r="TPJ19" s="3507"/>
      <c r="TPK19" s="3507"/>
      <c r="TPL19" s="3507"/>
      <c r="TPM19" s="3507"/>
      <c r="TPN19" s="3507"/>
      <c r="TPO19" s="3507"/>
      <c r="TPP19" s="3507"/>
      <c r="TPQ19" s="3507"/>
      <c r="TPR19" s="3507"/>
      <c r="TPS19" s="3507"/>
      <c r="TPT19" s="3507"/>
      <c r="TPU19" s="3507"/>
      <c r="TPV19" s="3507"/>
      <c r="TPW19" s="3507"/>
      <c r="TPX19" s="3507"/>
      <c r="TPY19" s="3507"/>
      <c r="TPZ19" s="3507"/>
      <c r="TQA19" s="3507"/>
      <c r="TQB19" s="3507"/>
      <c r="TQC19" s="3507"/>
      <c r="TQD19" s="3507"/>
      <c r="TQE19" s="3507"/>
      <c r="TQF19" s="3507"/>
      <c r="TQG19" s="3507"/>
      <c r="TQH19" s="3507"/>
      <c r="TQI19" s="3507"/>
      <c r="TQJ19" s="3507"/>
      <c r="TQK19" s="3507"/>
      <c r="TQL19" s="3507"/>
      <c r="TQM19" s="3507"/>
      <c r="TQN19" s="3507"/>
      <c r="TQO19" s="3507"/>
      <c r="TQP19" s="3507"/>
      <c r="TQQ19" s="3507"/>
      <c r="TQR19" s="3507"/>
      <c r="TQS19" s="3507"/>
      <c r="TQT19" s="3507"/>
      <c r="TQU19" s="3507"/>
      <c r="TQV19" s="3507"/>
      <c r="TQW19" s="3507"/>
      <c r="TQX19" s="3507"/>
      <c r="TQY19" s="3507"/>
      <c r="TQZ19" s="3507"/>
      <c r="TRA19" s="3507"/>
      <c r="TRB19" s="3507"/>
      <c r="TRC19" s="3507"/>
      <c r="TRD19" s="3507"/>
      <c r="TRE19" s="3507"/>
      <c r="TRF19" s="3507"/>
      <c r="TRG19" s="3507"/>
      <c r="TRH19" s="3507"/>
      <c r="TRI19" s="3507"/>
      <c r="TRJ19" s="3507"/>
      <c r="TRK19" s="3507"/>
      <c r="TRL19" s="3507"/>
      <c r="TRM19" s="3507"/>
      <c r="TRN19" s="3507"/>
      <c r="TRO19" s="3507"/>
      <c r="TRP19" s="3507"/>
      <c r="TRQ19" s="3507"/>
      <c r="TRR19" s="3507"/>
      <c r="TRS19" s="3507"/>
      <c r="TRT19" s="3507"/>
      <c r="TRU19" s="3507"/>
      <c r="TRV19" s="3507"/>
      <c r="TRW19" s="3507"/>
      <c r="TRX19" s="3507"/>
      <c r="TRY19" s="3507"/>
      <c r="TRZ19" s="3507"/>
      <c r="TSA19" s="3507"/>
      <c r="TSB19" s="3507"/>
      <c r="TSC19" s="3507"/>
      <c r="TSD19" s="3507"/>
      <c r="TSE19" s="3507"/>
      <c r="TSF19" s="3507"/>
      <c r="TSG19" s="3507"/>
      <c r="TSH19" s="3507"/>
      <c r="TSI19" s="3507"/>
      <c r="TSJ19" s="3507"/>
      <c r="TSK19" s="3507"/>
      <c r="TSL19" s="3507"/>
      <c r="TSM19" s="3507"/>
      <c r="TSN19" s="3507"/>
      <c r="TSO19" s="3507"/>
      <c r="TSP19" s="3507"/>
      <c r="TSQ19" s="3507"/>
      <c r="TSR19" s="3507"/>
      <c r="TSS19" s="3507"/>
      <c r="TST19" s="3507"/>
      <c r="TSU19" s="3507"/>
      <c r="TSV19" s="3507"/>
      <c r="TSW19" s="3507"/>
      <c r="TSX19" s="3507"/>
      <c r="TSY19" s="3507"/>
      <c r="TSZ19" s="3507"/>
      <c r="TTA19" s="3507"/>
      <c r="TTB19" s="3507"/>
      <c r="TTC19" s="3507"/>
      <c r="TTD19" s="3507"/>
      <c r="TTE19" s="3507"/>
      <c r="TTF19" s="3507"/>
      <c r="TTG19" s="3507"/>
      <c r="TTH19" s="3507"/>
      <c r="TTI19" s="3507"/>
      <c r="TTJ19" s="3507"/>
      <c r="TTK19" s="3507"/>
      <c r="TTL19" s="3507"/>
      <c r="TTM19" s="3507"/>
      <c r="TTN19" s="3507"/>
      <c r="TTO19" s="3507"/>
      <c r="TTP19" s="3507"/>
      <c r="TTQ19" s="3507"/>
      <c r="TTR19" s="3507"/>
      <c r="TTS19" s="3507"/>
      <c r="TTT19" s="3507"/>
      <c r="TTU19" s="3507"/>
      <c r="TTV19" s="3507"/>
      <c r="TTW19" s="3507"/>
      <c r="TTX19" s="3507"/>
      <c r="TTY19" s="3507"/>
      <c r="TTZ19" s="3507"/>
      <c r="TUA19" s="3507"/>
      <c r="TUB19" s="3507"/>
      <c r="TUC19" s="3507"/>
      <c r="TUD19" s="3507"/>
      <c r="TUE19" s="3507"/>
      <c r="TUF19" s="3507"/>
      <c r="TUG19" s="3507"/>
      <c r="TUH19" s="3507"/>
      <c r="TUI19" s="3507"/>
      <c r="TUJ19" s="3507"/>
      <c r="TUK19" s="3507"/>
      <c r="TUL19" s="3507"/>
      <c r="TUM19" s="3507"/>
      <c r="TUN19" s="3507"/>
      <c r="TUO19" s="3507"/>
      <c r="TUP19" s="3507"/>
      <c r="TUQ19" s="3507"/>
      <c r="TUR19" s="3507"/>
      <c r="TUS19" s="3507"/>
      <c r="TUT19" s="3507"/>
      <c r="TUU19" s="3507"/>
      <c r="TUV19" s="3507"/>
      <c r="TUW19" s="3507"/>
      <c r="TUX19" s="3507"/>
      <c r="TUY19" s="3507"/>
      <c r="TUZ19" s="3507"/>
      <c r="TVA19" s="3507"/>
      <c r="TVB19" s="3507"/>
      <c r="TVC19" s="3507"/>
      <c r="TVD19" s="3507"/>
      <c r="TVE19" s="3507"/>
      <c r="TVF19" s="3507"/>
      <c r="TVG19" s="3507"/>
      <c r="TVH19" s="3507"/>
      <c r="TVI19" s="3507"/>
      <c r="TVJ19" s="3507"/>
      <c r="TVK19" s="3507"/>
      <c r="TVL19" s="3507"/>
      <c r="TVM19" s="3507"/>
      <c r="TVN19" s="3507"/>
      <c r="TVO19" s="3507"/>
      <c r="TVP19" s="3507"/>
      <c r="TVQ19" s="3507"/>
      <c r="TVR19" s="3507"/>
      <c r="TVS19" s="3507"/>
      <c r="TVT19" s="3507"/>
      <c r="TVU19" s="3507"/>
      <c r="TVV19" s="3507"/>
      <c r="TVW19" s="3507"/>
      <c r="TVX19" s="3507"/>
      <c r="TVY19" s="3507"/>
      <c r="TVZ19" s="3507"/>
      <c r="TWA19" s="3507"/>
      <c r="TWB19" s="3507"/>
      <c r="TWC19" s="3507"/>
      <c r="TWD19" s="3507"/>
      <c r="TWE19" s="3507"/>
      <c r="TWF19" s="3507"/>
      <c r="TWG19" s="3507"/>
      <c r="TWH19" s="3507"/>
      <c r="TWI19" s="3507"/>
      <c r="TWJ19" s="3507"/>
      <c r="TWK19" s="3507"/>
      <c r="TWL19" s="3507"/>
      <c r="TWM19" s="3507"/>
      <c r="TWN19" s="3507"/>
      <c r="TWO19" s="3507"/>
      <c r="TWP19" s="3507"/>
      <c r="TWQ19" s="3507"/>
      <c r="TWR19" s="3507"/>
      <c r="TWS19" s="3507"/>
      <c r="TWT19" s="3507"/>
      <c r="TWU19" s="3507"/>
      <c r="TWV19" s="3507"/>
      <c r="TWW19" s="3507"/>
      <c r="TWX19" s="3507"/>
      <c r="TWY19" s="3507"/>
      <c r="TWZ19" s="3507"/>
      <c r="TXA19" s="3507"/>
      <c r="TXB19" s="3507"/>
      <c r="TXC19" s="3507"/>
      <c r="TXD19" s="3507"/>
      <c r="TXE19" s="3507"/>
      <c r="TXF19" s="3507"/>
      <c r="TXG19" s="3507"/>
      <c r="TXH19" s="3507"/>
      <c r="TXI19" s="3507"/>
      <c r="TXJ19" s="3507"/>
      <c r="TXK19" s="3507"/>
      <c r="TXL19" s="3507"/>
      <c r="TXM19" s="3507"/>
      <c r="TXN19" s="3507"/>
      <c r="TXO19" s="3507"/>
      <c r="TXP19" s="3507"/>
      <c r="TXQ19" s="3507"/>
      <c r="TXR19" s="3507"/>
      <c r="TXS19" s="3507"/>
      <c r="TXT19" s="3507"/>
      <c r="TXU19" s="3507"/>
      <c r="TXV19" s="3507"/>
      <c r="TXW19" s="3507"/>
      <c r="TXX19" s="3507"/>
      <c r="TXY19" s="3507"/>
      <c r="TXZ19" s="3507"/>
      <c r="TYA19" s="3507"/>
      <c r="TYB19" s="3507"/>
      <c r="TYC19" s="3507"/>
      <c r="TYD19" s="3507"/>
      <c r="TYE19" s="3507"/>
      <c r="TYF19" s="3507"/>
      <c r="TYG19" s="3507"/>
      <c r="TYH19" s="3507"/>
      <c r="TYI19" s="3507"/>
      <c r="TYJ19" s="3507"/>
      <c r="TYK19" s="3507"/>
      <c r="TYL19" s="3507"/>
      <c r="TYM19" s="3507"/>
      <c r="TYN19" s="3507"/>
      <c r="TYO19" s="3507"/>
      <c r="TYP19" s="3507"/>
      <c r="TYQ19" s="3507"/>
      <c r="TYR19" s="3507"/>
      <c r="TYS19" s="3507"/>
      <c r="TYT19" s="3507"/>
      <c r="TYU19" s="3507"/>
      <c r="TYV19" s="3507"/>
      <c r="TYW19" s="3507"/>
      <c r="TYX19" s="3507"/>
      <c r="TYY19" s="3507"/>
      <c r="TYZ19" s="3507"/>
      <c r="TZA19" s="3507"/>
      <c r="TZB19" s="3507"/>
      <c r="TZC19" s="3507"/>
      <c r="TZD19" s="3507"/>
      <c r="TZE19" s="3507"/>
      <c r="TZF19" s="3507"/>
      <c r="TZG19" s="3507"/>
      <c r="TZH19" s="3507"/>
      <c r="TZI19" s="3507"/>
      <c r="TZJ19" s="3507"/>
      <c r="TZK19" s="3507"/>
      <c r="TZL19" s="3507"/>
      <c r="TZM19" s="3507"/>
      <c r="TZN19" s="3507"/>
      <c r="TZO19" s="3507"/>
      <c r="TZP19" s="3507"/>
      <c r="TZQ19" s="3507"/>
      <c r="TZR19" s="3507"/>
      <c r="TZS19" s="3507"/>
      <c r="TZT19" s="3507"/>
      <c r="TZU19" s="3507"/>
      <c r="TZV19" s="3507"/>
      <c r="TZW19" s="3507"/>
      <c r="TZX19" s="3507"/>
      <c r="TZY19" s="3507"/>
      <c r="TZZ19" s="3507"/>
      <c r="UAA19" s="3507"/>
      <c r="UAB19" s="3507"/>
      <c r="UAC19" s="3507"/>
      <c r="UAD19" s="3507"/>
      <c r="UAE19" s="3507"/>
      <c r="UAF19" s="3507"/>
      <c r="UAG19" s="3507"/>
      <c r="UAH19" s="3507"/>
      <c r="UAI19" s="3507"/>
      <c r="UAJ19" s="3507"/>
      <c r="UAK19" s="3507"/>
      <c r="UAL19" s="3507"/>
      <c r="UAM19" s="3507"/>
      <c r="UAN19" s="3507"/>
      <c r="UAO19" s="3507"/>
      <c r="UAP19" s="3507"/>
      <c r="UAQ19" s="3507"/>
      <c r="UAR19" s="3507"/>
      <c r="UAS19" s="3507"/>
      <c r="UAT19" s="3507"/>
      <c r="UAU19" s="3507"/>
      <c r="UAV19" s="3507"/>
      <c r="UAW19" s="3507"/>
      <c r="UAX19" s="3507"/>
      <c r="UAY19" s="3507"/>
      <c r="UAZ19" s="3507"/>
      <c r="UBA19" s="3507"/>
      <c r="UBB19" s="3507"/>
      <c r="UBC19" s="3507"/>
      <c r="UBD19" s="3507"/>
      <c r="UBE19" s="3507"/>
      <c r="UBF19" s="3507"/>
      <c r="UBG19" s="3507"/>
      <c r="UBH19" s="3507"/>
      <c r="UBI19" s="3507"/>
      <c r="UBJ19" s="3507"/>
      <c r="UBK19" s="3507"/>
      <c r="UBL19" s="3507"/>
      <c r="UBM19" s="3507"/>
      <c r="UBN19" s="3507"/>
      <c r="UBO19" s="3507"/>
      <c r="UBP19" s="3507"/>
      <c r="UBQ19" s="3507"/>
      <c r="UBR19" s="3507"/>
      <c r="UBS19" s="3507"/>
      <c r="UBT19" s="3507"/>
      <c r="UBU19" s="3507"/>
      <c r="UBV19" s="3507"/>
      <c r="UBW19" s="3507"/>
      <c r="UBX19" s="3507"/>
      <c r="UBY19" s="3507"/>
      <c r="UBZ19" s="3507"/>
      <c r="UCA19" s="3507"/>
      <c r="UCB19" s="3507"/>
      <c r="UCC19" s="3507"/>
      <c r="UCD19" s="3507"/>
      <c r="UCE19" s="3507"/>
      <c r="UCF19" s="3507"/>
      <c r="UCG19" s="3507"/>
      <c r="UCH19" s="3507"/>
      <c r="UCI19" s="3507"/>
      <c r="UCJ19" s="3507"/>
      <c r="UCK19" s="3507"/>
      <c r="UCL19" s="3507"/>
      <c r="UCM19" s="3507"/>
      <c r="UCN19" s="3507"/>
      <c r="UCO19" s="3507"/>
      <c r="UCP19" s="3507"/>
      <c r="UCQ19" s="3507"/>
      <c r="UCR19" s="3507"/>
      <c r="UCS19" s="3507"/>
      <c r="UCT19" s="3507"/>
      <c r="UCU19" s="3507"/>
      <c r="UCV19" s="3507"/>
      <c r="UCW19" s="3507"/>
      <c r="UCX19" s="3507"/>
      <c r="UCY19" s="3507"/>
      <c r="UCZ19" s="3507"/>
      <c r="UDA19" s="3507"/>
      <c r="UDB19" s="3507"/>
      <c r="UDC19" s="3507"/>
      <c r="UDD19" s="3507"/>
      <c r="UDE19" s="3507"/>
      <c r="UDF19" s="3507"/>
      <c r="UDG19" s="3507"/>
      <c r="UDH19" s="3507"/>
      <c r="UDI19" s="3507"/>
      <c r="UDJ19" s="3507"/>
      <c r="UDK19" s="3507"/>
      <c r="UDL19" s="3507"/>
      <c r="UDM19" s="3507"/>
      <c r="UDN19" s="3507"/>
      <c r="UDO19" s="3507"/>
      <c r="UDP19" s="3507"/>
      <c r="UDQ19" s="3507"/>
      <c r="UDR19" s="3507"/>
      <c r="UDS19" s="3507"/>
      <c r="UDT19" s="3507"/>
      <c r="UDU19" s="3507"/>
      <c r="UDV19" s="3507"/>
      <c r="UDW19" s="3507"/>
      <c r="UDX19" s="3507"/>
      <c r="UDY19" s="3507"/>
      <c r="UDZ19" s="3507"/>
      <c r="UEA19" s="3507"/>
      <c r="UEB19" s="3507"/>
      <c r="UEC19" s="3507"/>
      <c r="UED19" s="3507"/>
      <c r="UEE19" s="3507"/>
      <c r="UEF19" s="3507"/>
      <c r="UEG19" s="3507"/>
      <c r="UEH19" s="3507"/>
      <c r="UEI19" s="3507"/>
      <c r="UEJ19" s="3507"/>
      <c r="UEK19" s="3507"/>
      <c r="UEL19" s="3507"/>
      <c r="UEM19" s="3507"/>
      <c r="UEN19" s="3507"/>
      <c r="UEO19" s="3507"/>
      <c r="UEP19" s="3507"/>
      <c r="UEQ19" s="3507"/>
      <c r="UER19" s="3507"/>
      <c r="UES19" s="3507"/>
      <c r="UET19" s="3507"/>
      <c r="UEU19" s="3507"/>
      <c r="UEV19" s="3507"/>
      <c r="UEW19" s="3507"/>
      <c r="UEX19" s="3507"/>
      <c r="UEY19" s="3507"/>
      <c r="UEZ19" s="3507"/>
      <c r="UFA19" s="3507"/>
      <c r="UFB19" s="3507"/>
      <c r="UFC19" s="3507"/>
      <c r="UFD19" s="3507"/>
      <c r="UFE19" s="3507"/>
      <c r="UFF19" s="3507"/>
      <c r="UFG19" s="3507"/>
      <c r="UFH19" s="3507"/>
      <c r="UFI19" s="3507"/>
      <c r="UFJ19" s="3507"/>
      <c r="UFK19" s="3507"/>
      <c r="UFL19" s="3507"/>
      <c r="UFM19" s="3507"/>
      <c r="UFN19" s="3507"/>
      <c r="UFO19" s="3507"/>
      <c r="UFP19" s="3507"/>
      <c r="UFQ19" s="3507"/>
      <c r="UFR19" s="3507"/>
      <c r="UFS19" s="3507"/>
      <c r="UFT19" s="3507"/>
      <c r="UFU19" s="3507"/>
      <c r="UFV19" s="3507"/>
      <c r="UFW19" s="3507"/>
      <c r="UFX19" s="3507"/>
      <c r="UFY19" s="3507"/>
      <c r="UFZ19" s="3507"/>
      <c r="UGA19" s="3507"/>
      <c r="UGB19" s="3507"/>
      <c r="UGC19" s="3507"/>
      <c r="UGD19" s="3507"/>
      <c r="UGE19" s="3507"/>
      <c r="UGF19" s="3507"/>
      <c r="UGG19" s="3507"/>
      <c r="UGH19" s="3507"/>
      <c r="UGI19" s="3507"/>
      <c r="UGJ19" s="3507"/>
      <c r="UGK19" s="3507"/>
      <c r="UGL19" s="3507"/>
      <c r="UGM19" s="3507"/>
      <c r="UGN19" s="3507"/>
      <c r="UGO19" s="3507"/>
      <c r="UGP19" s="3507"/>
      <c r="UGQ19" s="3507"/>
      <c r="UGR19" s="3507"/>
      <c r="UGS19" s="3507"/>
      <c r="UGT19" s="3507"/>
      <c r="UGU19" s="3507"/>
      <c r="UGV19" s="3507"/>
      <c r="UGW19" s="3507"/>
      <c r="UGX19" s="3507"/>
      <c r="UGY19" s="3507"/>
      <c r="UGZ19" s="3507"/>
      <c r="UHA19" s="3507"/>
      <c r="UHB19" s="3507"/>
      <c r="UHC19" s="3507"/>
      <c r="UHD19" s="3507"/>
      <c r="UHE19" s="3507"/>
      <c r="UHF19" s="3507"/>
      <c r="UHG19" s="3507"/>
      <c r="UHH19" s="3507"/>
      <c r="UHI19" s="3507"/>
      <c r="UHJ19" s="3507"/>
      <c r="UHK19" s="3507"/>
      <c r="UHL19" s="3507"/>
      <c r="UHM19" s="3507"/>
      <c r="UHN19" s="3507"/>
      <c r="UHO19" s="3507"/>
      <c r="UHP19" s="3507"/>
      <c r="UHQ19" s="3507"/>
      <c r="UHR19" s="3507"/>
      <c r="UHS19" s="3507"/>
      <c r="UHT19" s="3507"/>
      <c r="UHU19" s="3507"/>
      <c r="UHV19" s="3507"/>
      <c r="UHW19" s="3507"/>
      <c r="UHX19" s="3507"/>
      <c r="UHY19" s="3507"/>
      <c r="UHZ19" s="3507"/>
      <c r="UIA19" s="3507"/>
      <c r="UIB19" s="3507"/>
      <c r="UIC19" s="3507"/>
      <c r="UID19" s="3507"/>
      <c r="UIE19" s="3507"/>
      <c r="UIF19" s="3507"/>
      <c r="UIG19" s="3507"/>
      <c r="UIH19" s="3507"/>
      <c r="UII19" s="3507"/>
      <c r="UIJ19" s="3507"/>
      <c r="UIK19" s="3507"/>
      <c r="UIL19" s="3507"/>
      <c r="UIM19" s="3507"/>
      <c r="UIN19" s="3507"/>
      <c r="UIO19" s="3507"/>
      <c r="UIP19" s="3507"/>
      <c r="UIQ19" s="3507"/>
      <c r="UIR19" s="3507"/>
      <c r="UIS19" s="3507"/>
      <c r="UIT19" s="3507"/>
      <c r="UIU19" s="3507"/>
      <c r="UIV19" s="3507"/>
      <c r="UIW19" s="3507"/>
      <c r="UIX19" s="3507"/>
      <c r="UIY19" s="3507"/>
      <c r="UIZ19" s="3507"/>
      <c r="UJA19" s="3507"/>
      <c r="UJB19" s="3507"/>
      <c r="UJC19" s="3507"/>
      <c r="UJD19" s="3507"/>
      <c r="UJE19" s="3507"/>
      <c r="UJF19" s="3507"/>
      <c r="UJG19" s="3507"/>
      <c r="UJH19" s="3507"/>
      <c r="UJI19" s="3507"/>
      <c r="UJJ19" s="3507"/>
      <c r="UJK19" s="3507"/>
      <c r="UJL19" s="3507"/>
      <c r="UJM19" s="3507"/>
      <c r="UJN19" s="3507"/>
      <c r="UJO19" s="3507"/>
      <c r="UJP19" s="3507"/>
      <c r="UJQ19" s="3507"/>
      <c r="UJR19" s="3507"/>
      <c r="UJS19" s="3507"/>
      <c r="UJT19" s="3507"/>
      <c r="UJU19" s="3507"/>
      <c r="UJV19" s="3507"/>
      <c r="UJW19" s="3507"/>
      <c r="UJX19" s="3507"/>
      <c r="UJY19" s="3507"/>
      <c r="UJZ19" s="3507"/>
      <c r="UKA19" s="3507"/>
      <c r="UKB19" s="3507"/>
      <c r="UKC19" s="3507"/>
      <c r="UKD19" s="3507"/>
      <c r="UKE19" s="3507"/>
      <c r="UKF19" s="3507"/>
      <c r="UKG19" s="3507"/>
      <c r="UKH19" s="3507"/>
      <c r="UKI19" s="3507"/>
      <c r="UKJ19" s="3507"/>
      <c r="UKK19" s="3507"/>
      <c r="UKL19" s="3507"/>
      <c r="UKM19" s="3507"/>
      <c r="UKN19" s="3507"/>
      <c r="UKO19" s="3507"/>
      <c r="UKP19" s="3507"/>
      <c r="UKQ19" s="3507"/>
      <c r="UKR19" s="3507"/>
      <c r="UKS19" s="3507"/>
      <c r="UKT19" s="3507"/>
      <c r="UKU19" s="3507"/>
      <c r="UKV19" s="3507"/>
      <c r="UKW19" s="3507"/>
      <c r="UKX19" s="3507"/>
      <c r="UKY19" s="3507"/>
      <c r="UKZ19" s="3507"/>
      <c r="ULA19" s="3507"/>
      <c r="ULB19" s="3507"/>
      <c r="ULC19" s="3507"/>
      <c r="ULD19" s="3507"/>
      <c r="ULE19" s="3507"/>
      <c r="ULF19" s="3507"/>
      <c r="ULG19" s="3507"/>
      <c r="ULH19" s="3507"/>
      <c r="ULI19" s="3507"/>
      <c r="ULJ19" s="3507"/>
      <c r="ULK19" s="3507"/>
      <c r="ULL19" s="3507"/>
      <c r="ULM19" s="3507"/>
      <c r="ULN19" s="3507"/>
      <c r="ULO19" s="3507"/>
      <c r="ULP19" s="3507"/>
      <c r="ULQ19" s="3507"/>
      <c r="ULR19" s="3507"/>
      <c r="ULS19" s="3507"/>
      <c r="ULT19" s="3507"/>
      <c r="ULU19" s="3507"/>
      <c r="ULV19" s="3507"/>
      <c r="ULW19" s="3507"/>
      <c r="ULX19" s="3507"/>
      <c r="ULY19" s="3507"/>
      <c r="ULZ19" s="3507"/>
      <c r="UMA19" s="3507"/>
      <c r="UMB19" s="3507"/>
      <c r="UMC19" s="3507"/>
      <c r="UMD19" s="3507"/>
      <c r="UME19" s="3507"/>
      <c r="UMF19" s="3507"/>
      <c r="UMG19" s="3507"/>
      <c r="UMH19" s="3507"/>
      <c r="UMI19" s="3507"/>
      <c r="UMJ19" s="3507"/>
      <c r="UMK19" s="3507"/>
      <c r="UML19" s="3507"/>
      <c r="UMM19" s="3507"/>
      <c r="UMN19" s="3507"/>
      <c r="UMO19" s="3507"/>
      <c r="UMP19" s="3507"/>
      <c r="UMQ19" s="3507"/>
      <c r="UMR19" s="3507"/>
      <c r="UMS19" s="3507"/>
      <c r="UMT19" s="3507"/>
      <c r="UMU19" s="3507"/>
      <c r="UMV19" s="3507"/>
      <c r="UMW19" s="3507"/>
      <c r="UMX19" s="3507"/>
      <c r="UMY19" s="3507"/>
      <c r="UMZ19" s="3507"/>
      <c r="UNA19" s="3507"/>
      <c r="UNB19" s="3507"/>
      <c r="UNC19" s="3507"/>
      <c r="UND19" s="3507"/>
      <c r="UNE19" s="3507"/>
      <c r="UNF19" s="3507"/>
      <c r="UNG19" s="3507"/>
      <c r="UNH19" s="3507"/>
      <c r="UNI19" s="3507"/>
      <c r="UNJ19" s="3507"/>
      <c r="UNK19" s="3507"/>
      <c r="UNL19" s="3507"/>
      <c r="UNM19" s="3507"/>
      <c r="UNN19" s="3507"/>
      <c r="UNO19" s="3507"/>
      <c r="UNP19" s="3507"/>
      <c r="UNQ19" s="3507"/>
      <c r="UNR19" s="3507"/>
      <c r="UNS19" s="3507"/>
      <c r="UNT19" s="3507"/>
      <c r="UNU19" s="3507"/>
      <c r="UNV19" s="3507"/>
      <c r="UNW19" s="3507"/>
      <c r="UNX19" s="3507"/>
      <c r="UNY19" s="3507"/>
      <c r="UNZ19" s="3507"/>
      <c r="UOA19" s="3507"/>
      <c r="UOB19" s="3507"/>
      <c r="UOC19" s="3507"/>
      <c r="UOD19" s="3507"/>
      <c r="UOE19" s="3507"/>
      <c r="UOF19" s="3507"/>
      <c r="UOG19" s="3507"/>
      <c r="UOH19" s="3507"/>
      <c r="UOI19" s="3507"/>
      <c r="UOJ19" s="3507"/>
      <c r="UOK19" s="3507"/>
      <c r="UOL19" s="3507"/>
      <c r="UOM19" s="3507"/>
      <c r="UON19" s="3507"/>
      <c r="UOO19" s="3507"/>
      <c r="UOP19" s="3507"/>
      <c r="UOQ19" s="3507"/>
      <c r="UOR19" s="3507"/>
      <c r="UOS19" s="3507"/>
      <c r="UOT19" s="3507"/>
      <c r="UOU19" s="3507"/>
      <c r="UOV19" s="3507"/>
      <c r="UOW19" s="3507"/>
      <c r="UOX19" s="3507"/>
      <c r="UOY19" s="3507"/>
      <c r="UOZ19" s="3507"/>
      <c r="UPA19" s="3507"/>
      <c r="UPB19" s="3507"/>
      <c r="UPC19" s="3507"/>
      <c r="UPD19" s="3507"/>
      <c r="UPE19" s="3507"/>
      <c r="UPF19" s="3507"/>
      <c r="UPG19" s="3507"/>
      <c r="UPH19" s="3507"/>
      <c r="UPI19" s="3507"/>
      <c r="UPJ19" s="3507"/>
      <c r="UPK19" s="3507"/>
      <c r="UPL19" s="3507"/>
      <c r="UPM19" s="3507"/>
      <c r="UPN19" s="3507"/>
      <c r="UPO19" s="3507"/>
      <c r="UPP19" s="3507"/>
      <c r="UPQ19" s="3507"/>
      <c r="UPR19" s="3507"/>
      <c r="UPS19" s="3507"/>
      <c r="UPT19" s="3507"/>
      <c r="UPU19" s="3507"/>
      <c r="UPV19" s="3507"/>
      <c r="UPW19" s="3507"/>
      <c r="UPX19" s="3507"/>
      <c r="UPY19" s="3507"/>
      <c r="UPZ19" s="3507"/>
      <c r="UQA19" s="3507"/>
      <c r="UQB19" s="3507"/>
      <c r="UQC19" s="3507"/>
      <c r="UQD19" s="3507"/>
      <c r="UQE19" s="3507"/>
      <c r="UQF19" s="3507"/>
      <c r="UQG19" s="3507"/>
      <c r="UQH19" s="3507"/>
      <c r="UQI19" s="3507"/>
      <c r="UQJ19" s="3507"/>
      <c r="UQK19" s="3507"/>
      <c r="UQL19" s="3507"/>
      <c r="UQM19" s="3507"/>
      <c r="UQN19" s="3507"/>
      <c r="UQO19" s="3507"/>
      <c r="UQP19" s="3507"/>
      <c r="UQQ19" s="3507"/>
      <c r="UQR19" s="3507"/>
      <c r="UQS19" s="3507"/>
      <c r="UQT19" s="3507"/>
      <c r="UQU19" s="3507"/>
      <c r="UQV19" s="3507"/>
      <c r="UQW19" s="3507"/>
      <c r="UQX19" s="3507"/>
      <c r="UQY19" s="3507"/>
      <c r="UQZ19" s="3507"/>
      <c r="URA19" s="3507"/>
      <c r="URB19" s="3507"/>
      <c r="URC19" s="3507"/>
      <c r="URD19" s="3507"/>
      <c r="URE19" s="3507"/>
      <c r="URF19" s="3507"/>
      <c r="URG19" s="3507"/>
      <c r="URH19" s="3507"/>
      <c r="URI19" s="3507"/>
      <c r="URJ19" s="3507"/>
      <c r="URK19" s="3507"/>
      <c r="URL19" s="3507"/>
      <c r="URM19" s="3507"/>
      <c r="URN19" s="3507"/>
      <c r="URO19" s="3507"/>
      <c r="URP19" s="3507"/>
      <c r="URQ19" s="3507"/>
      <c r="URR19" s="3507"/>
      <c r="URS19" s="3507"/>
      <c r="URT19" s="3507"/>
      <c r="URU19" s="3507"/>
      <c r="URV19" s="3507"/>
      <c r="URW19" s="3507"/>
      <c r="URX19" s="3507"/>
      <c r="URY19" s="3507"/>
      <c r="URZ19" s="3507"/>
      <c r="USA19" s="3507"/>
      <c r="USB19" s="3507"/>
      <c r="USC19" s="3507"/>
      <c r="USD19" s="3507"/>
      <c r="USE19" s="3507"/>
      <c r="USF19" s="3507"/>
      <c r="USG19" s="3507"/>
      <c r="USH19" s="3507"/>
      <c r="USI19" s="3507"/>
      <c r="USJ19" s="3507"/>
      <c r="USK19" s="3507"/>
      <c r="USL19" s="3507"/>
      <c r="USM19" s="3507"/>
      <c r="USN19" s="3507"/>
      <c r="USO19" s="3507"/>
      <c r="USP19" s="3507"/>
      <c r="USQ19" s="3507"/>
      <c r="USR19" s="3507"/>
      <c r="USS19" s="3507"/>
      <c r="UST19" s="3507"/>
      <c r="USU19" s="3507"/>
      <c r="USV19" s="3507"/>
      <c r="USW19" s="3507"/>
      <c r="USX19" s="3507"/>
      <c r="USY19" s="3507"/>
      <c r="USZ19" s="3507"/>
      <c r="UTA19" s="3507"/>
      <c r="UTB19" s="3507"/>
      <c r="UTC19" s="3507"/>
      <c r="UTD19" s="3507"/>
      <c r="UTE19" s="3507"/>
      <c r="UTF19" s="3507"/>
      <c r="UTG19" s="3507"/>
      <c r="UTH19" s="3507"/>
      <c r="UTI19" s="3507"/>
      <c r="UTJ19" s="3507"/>
      <c r="UTK19" s="3507"/>
      <c r="UTL19" s="3507"/>
      <c r="UTM19" s="3507"/>
      <c r="UTN19" s="3507"/>
      <c r="UTO19" s="3507"/>
      <c r="UTP19" s="3507"/>
      <c r="UTQ19" s="3507"/>
      <c r="UTR19" s="3507"/>
      <c r="UTS19" s="3507"/>
      <c r="UTT19" s="3507"/>
      <c r="UTU19" s="3507"/>
      <c r="UTV19" s="3507"/>
      <c r="UTW19" s="3507"/>
      <c r="UTX19" s="3507"/>
      <c r="UTY19" s="3507"/>
      <c r="UTZ19" s="3507"/>
      <c r="UUA19" s="3507"/>
      <c r="UUB19" s="3507"/>
      <c r="UUC19" s="3507"/>
      <c r="UUD19" s="3507"/>
      <c r="UUE19" s="3507"/>
      <c r="UUF19" s="3507"/>
      <c r="UUG19" s="3507"/>
      <c r="UUH19" s="3507"/>
      <c r="UUI19" s="3507"/>
      <c r="UUJ19" s="3507"/>
      <c r="UUK19" s="3507"/>
      <c r="UUL19" s="3507"/>
      <c r="UUM19" s="3507"/>
      <c r="UUN19" s="3507"/>
      <c r="UUO19" s="3507"/>
      <c r="UUP19" s="3507"/>
      <c r="UUQ19" s="3507"/>
      <c r="UUR19" s="3507"/>
      <c r="UUS19" s="3507"/>
      <c r="UUT19" s="3507"/>
      <c r="UUU19" s="3507"/>
      <c r="UUV19" s="3507"/>
      <c r="UUW19" s="3507"/>
      <c r="UUX19" s="3507"/>
      <c r="UUY19" s="3507"/>
      <c r="UUZ19" s="3507"/>
      <c r="UVA19" s="3507"/>
      <c r="UVB19" s="3507"/>
      <c r="UVC19" s="3507"/>
      <c r="UVD19" s="3507"/>
      <c r="UVE19" s="3507"/>
      <c r="UVF19" s="3507"/>
      <c r="UVG19" s="3507"/>
      <c r="UVH19" s="3507"/>
      <c r="UVI19" s="3507"/>
      <c r="UVJ19" s="3507"/>
      <c r="UVK19" s="3507"/>
      <c r="UVL19" s="3507"/>
      <c r="UVM19" s="3507"/>
      <c r="UVN19" s="3507"/>
      <c r="UVO19" s="3507"/>
      <c r="UVP19" s="3507"/>
      <c r="UVQ19" s="3507"/>
      <c r="UVR19" s="3507"/>
      <c r="UVS19" s="3507"/>
      <c r="UVT19" s="3507"/>
      <c r="UVU19" s="3507"/>
      <c r="UVV19" s="3507"/>
      <c r="UVW19" s="3507"/>
      <c r="UVX19" s="3507"/>
      <c r="UVY19" s="3507"/>
      <c r="UVZ19" s="3507"/>
      <c r="UWA19" s="3507"/>
      <c r="UWB19" s="3507"/>
      <c r="UWC19" s="3507"/>
      <c r="UWD19" s="3507"/>
      <c r="UWE19" s="3507"/>
      <c r="UWF19" s="3507"/>
      <c r="UWG19" s="3507"/>
      <c r="UWH19" s="3507"/>
      <c r="UWI19" s="3507"/>
      <c r="UWJ19" s="3507"/>
      <c r="UWK19" s="3507"/>
      <c r="UWL19" s="3507"/>
      <c r="UWM19" s="3507"/>
      <c r="UWN19" s="3507"/>
      <c r="UWO19" s="3507"/>
      <c r="UWP19" s="3507"/>
      <c r="UWQ19" s="3507"/>
      <c r="UWR19" s="3507"/>
      <c r="UWS19" s="3507"/>
      <c r="UWT19" s="3507"/>
      <c r="UWU19" s="3507"/>
      <c r="UWV19" s="3507"/>
      <c r="UWW19" s="3507"/>
      <c r="UWX19" s="3507"/>
      <c r="UWY19" s="3507"/>
      <c r="UWZ19" s="3507"/>
      <c r="UXA19" s="3507"/>
      <c r="UXB19" s="3507"/>
      <c r="UXC19" s="3507"/>
      <c r="UXD19" s="3507"/>
      <c r="UXE19" s="3507"/>
      <c r="UXF19" s="3507"/>
      <c r="UXG19" s="3507"/>
      <c r="UXH19" s="3507"/>
      <c r="UXI19" s="3507"/>
      <c r="UXJ19" s="3507"/>
      <c r="UXK19" s="3507"/>
      <c r="UXL19" s="3507"/>
      <c r="UXM19" s="3507"/>
      <c r="UXN19" s="3507"/>
      <c r="UXO19" s="3507"/>
      <c r="UXP19" s="3507"/>
      <c r="UXQ19" s="3507"/>
      <c r="UXR19" s="3507"/>
      <c r="UXS19" s="3507"/>
      <c r="UXT19" s="3507"/>
      <c r="UXU19" s="3507"/>
      <c r="UXV19" s="3507"/>
      <c r="UXW19" s="3507"/>
      <c r="UXX19" s="3507"/>
      <c r="UXY19" s="3507"/>
      <c r="UXZ19" s="3507"/>
      <c r="UYA19" s="3507"/>
      <c r="UYB19" s="3507"/>
      <c r="UYC19" s="3507"/>
      <c r="UYD19" s="3507"/>
      <c r="UYE19" s="3507"/>
      <c r="UYF19" s="3507"/>
      <c r="UYG19" s="3507"/>
      <c r="UYH19" s="3507"/>
      <c r="UYI19" s="3507"/>
      <c r="UYJ19" s="3507"/>
      <c r="UYK19" s="3507"/>
      <c r="UYL19" s="3507"/>
      <c r="UYM19" s="3507"/>
      <c r="UYN19" s="3507"/>
      <c r="UYO19" s="3507"/>
      <c r="UYP19" s="3507"/>
      <c r="UYQ19" s="3507"/>
      <c r="UYR19" s="3507"/>
      <c r="UYS19" s="3507"/>
      <c r="UYT19" s="3507"/>
      <c r="UYU19" s="3507"/>
      <c r="UYV19" s="3507"/>
      <c r="UYW19" s="3507"/>
      <c r="UYX19" s="3507"/>
      <c r="UYY19" s="3507"/>
      <c r="UYZ19" s="3507"/>
      <c r="UZA19" s="3507"/>
      <c r="UZB19" s="3507"/>
      <c r="UZC19" s="3507"/>
      <c r="UZD19" s="3507"/>
      <c r="UZE19" s="3507"/>
      <c r="UZF19" s="3507"/>
      <c r="UZG19" s="3507"/>
      <c r="UZH19" s="3507"/>
      <c r="UZI19" s="3507"/>
      <c r="UZJ19" s="3507"/>
      <c r="UZK19" s="3507"/>
      <c r="UZL19" s="3507"/>
      <c r="UZM19" s="3507"/>
      <c r="UZN19" s="3507"/>
      <c r="UZO19" s="3507"/>
      <c r="UZP19" s="3507"/>
      <c r="UZQ19" s="3507"/>
      <c r="UZR19" s="3507"/>
      <c r="UZS19" s="3507"/>
      <c r="UZT19" s="3507"/>
      <c r="UZU19" s="3507"/>
      <c r="UZV19" s="3507"/>
      <c r="UZW19" s="3507"/>
      <c r="UZX19" s="3507"/>
      <c r="UZY19" s="3507"/>
      <c r="UZZ19" s="3507"/>
      <c r="VAA19" s="3507"/>
      <c r="VAB19" s="3507"/>
      <c r="VAC19" s="3507"/>
      <c r="VAD19" s="3507"/>
      <c r="VAE19" s="3507"/>
      <c r="VAF19" s="3507"/>
      <c r="VAG19" s="3507"/>
      <c r="VAH19" s="3507"/>
      <c r="VAI19" s="3507"/>
      <c r="VAJ19" s="3507"/>
      <c r="VAK19" s="3507"/>
      <c r="VAL19" s="3507"/>
      <c r="VAM19" s="3507"/>
      <c r="VAN19" s="3507"/>
      <c r="VAO19" s="3507"/>
      <c r="VAP19" s="3507"/>
      <c r="VAQ19" s="3507"/>
      <c r="VAR19" s="3507"/>
      <c r="VAS19" s="3507"/>
      <c r="VAT19" s="3507"/>
      <c r="VAU19" s="3507"/>
      <c r="VAV19" s="3507"/>
      <c r="VAW19" s="3507"/>
      <c r="VAX19" s="3507"/>
      <c r="VAY19" s="3507"/>
      <c r="VAZ19" s="3507"/>
      <c r="VBA19" s="3507"/>
      <c r="VBB19" s="3507"/>
      <c r="VBC19" s="3507"/>
      <c r="VBD19" s="3507"/>
      <c r="VBE19" s="3507"/>
      <c r="VBF19" s="3507"/>
      <c r="VBG19" s="3507"/>
      <c r="VBH19" s="3507"/>
      <c r="VBI19" s="3507"/>
      <c r="VBJ19" s="3507"/>
      <c r="VBK19" s="3507"/>
      <c r="VBL19" s="3507"/>
      <c r="VBM19" s="3507"/>
      <c r="VBN19" s="3507"/>
      <c r="VBO19" s="3507"/>
      <c r="VBP19" s="3507"/>
      <c r="VBQ19" s="3507"/>
      <c r="VBR19" s="3507"/>
      <c r="VBS19" s="3507"/>
      <c r="VBT19" s="3507"/>
      <c r="VBU19" s="3507"/>
      <c r="VBV19" s="3507"/>
      <c r="VBW19" s="3507"/>
      <c r="VBX19" s="3507"/>
      <c r="VBY19" s="3507"/>
      <c r="VBZ19" s="3507"/>
      <c r="VCA19" s="3507"/>
      <c r="VCB19" s="3507"/>
      <c r="VCC19" s="3507"/>
      <c r="VCD19" s="3507"/>
      <c r="VCE19" s="3507"/>
      <c r="VCF19" s="3507"/>
      <c r="VCG19" s="3507"/>
      <c r="VCH19" s="3507"/>
      <c r="VCI19" s="3507"/>
      <c r="VCJ19" s="3507"/>
      <c r="VCK19" s="3507"/>
      <c r="VCL19" s="3507"/>
      <c r="VCM19" s="3507"/>
      <c r="VCN19" s="3507"/>
      <c r="VCO19" s="3507"/>
      <c r="VCP19" s="3507"/>
      <c r="VCQ19" s="3507"/>
      <c r="VCR19" s="3507"/>
      <c r="VCS19" s="3507"/>
      <c r="VCT19" s="3507"/>
      <c r="VCU19" s="3507"/>
      <c r="VCV19" s="3507"/>
      <c r="VCW19" s="3507"/>
      <c r="VCX19" s="3507"/>
      <c r="VCY19" s="3507"/>
      <c r="VCZ19" s="3507"/>
      <c r="VDA19" s="3507"/>
      <c r="VDB19" s="3507"/>
      <c r="VDC19" s="3507"/>
      <c r="VDD19" s="3507"/>
      <c r="VDE19" s="3507"/>
      <c r="VDF19" s="3507"/>
      <c r="VDG19" s="3507"/>
      <c r="VDH19" s="3507"/>
      <c r="VDI19" s="3507"/>
      <c r="VDJ19" s="3507"/>
      <c r="VDK19" s="3507"/>
      <c r="VDL19" s="3507"/>
      <c r="VDM19" s="3507"/>
      <c r="VDN19" s="3507"/>
      <c r="VDO19" s="3507"/>
      <c r="VDP19" s="3507"/>
      <c r="VDQ19" s="3507"/>
      <c r="VDR19" s="3507"/>
      <c r="VDS19" s="3507"/>
      <c r="VDT19" s="3507"/>
      <c r="VDU19" s="3507"/>
      <c r="VDV19" s="3507"/>
      <c r="VDW19" s="3507"/>
      <c r="VDX19" s="3507"/>
      <c r="VDY19" s="3507"/>
      <c r="VDZ19" s="3507"/>
      <c r="VEA19" s="3507"/>
      <c r="VEB19" s="3507"/>
      <c r="VEC19" s="3507"/>
      <c r="VED19" s="3507"/>
      <c r="VEE19" s="3507"/>
      <c r="VEF19" s="3507"/>
      <c r="VEG19" s="3507"/>
      <c r="VEH19" s="3507"/>
      <c r="VEI19" s="3507"/>
      <c r="VEJ19" s="3507"/>
      <c r="VEK19" s="3507"/>
      <c r="VEL19" s="3507"/>
      <c r="VEM19" s="3507"/>
      <c r="VEN19" s="3507"/>
      <c r="VEO19" s="3507"/>
      <c r="VEP19" s="3507"/>
      <c r="VEQ19" s="3507"/>
      <c r="VER19" s="3507"/>
      <c r="VES19" s="3507"/>
      <c r="VET19" s="3507"/>
      <c r="VEU19" s="3507"/>
      <c r="VEV19" s="3507"/>
      <c r="VEW19" s="3507"/>
      <c r="VEX19" s="3507"/>
      <c r="VEY19" s="3507"/>
      <c r="VEZ19" s="3507"/>
      <c r="VFA19" s="3507"/>
      <c r="VFB19" s="3507"/>
      <c r="VFC19" s="3507"/>
      <c r="VFD19" s="3507"/>
      <c r="VFE19" s="3507"/>
      <c r="VFF19" s="3507"/>
      <c r="VFG19" s="3507"/>
      <c r="VFH19" s="3507"/>
      <c r="VFI19" s="3507"/>
      <c r="VFJ19" s="3507"/>
      <c r="VFK19" s="3507"/>
      <c r="VFL19" s="3507"/>
      <c r="VFM19" s="3507"/>
      <c r="VFN19" s="3507"/>
      <c r="VFO19" s="3507"/>
      <c r="VFP19" s="3507"/>
      <c r="VFQ19" s="3507"/>
      <c r="VFR19" s="3507"/>
      <c r="VFS19" s="3507"/>
      <c r="VFT19" s="3507"/>
      <c r="VFU19" s="3507"/>
      <c r="VFV19" s="3507"/>
      <c r="VFW19" s="3507"/>
      <c r="VFX19" s="3507"/>
      <c r="VFY19" s="3507"/>
      <c r="VFZ19" s="3507"/>
      <c r="VGA19" s="3507"/>
      <c r="VGB19" s="3507"/>
      <c r="VGC19" s="3507"/>
      <c r="VGD19" s="3507"/>
      <c r="VGE19" s="3507"/>
      <c r="VGF19" s="3507"/>
      <c r="VGG19" s="3507"/>
      <c r="VGH19" s="3507"/>
      <c r="VGI19" s="3507"/>
      <c r="VGJ19" s="3507"/>
      <c r="VGK19" s="3507"/>
      <c r="VGL19" s="3507"/>
      <c r="VGM19" s="3507"/>
      <c r="VGN19" s="3507"/>
      <c r="VGO19" s="3507"/>
      <c r="VGP19" s="3507"/>
      <c r="VGQ19" s="3507"/>
      <c r="VGR19" s="3507"/>
      <c r="VGS19" s="3507"/>
      <c r="VGT19" s="3507"/>
      <c r="VGU19" s="3507"/>
      <c r="VGV19" s="3507"/>
      <c r="VGW19" s="3507"/>
      <c r="VGX19" s="3507"/>
      <c r="VGY19" s="3507"/>
      <c r="VGZ19" s="3507"/>
      <c r="VHA19" s="3507"/>
      <c r="VHB19" s="3507"/>
      <c r="VHC19" s="3507"/>
      <c r="VHD19" s="3507"/>
      <c r="VHE19" s="3507"/>
      <c r="VHF19" s="3507"/>
      <c r="VHG19" s="3507"/>
      <c r="VHH19" s="3507"/>
      <c r="VHI19" s="3507"/>
      <c r="VHJ19" s="3507"/>
      <c r="VHK19" s="3507"/>
      <c r="VHL19" s="3507"/>
      <c r="VHM19" s="3507"/>
      <c r="VHN19" s="3507"/>
      <c r="VHO19" s="3507"/>
      <c r="VHP19" s="3507"/>
      <c r="VHQ19" s="3507"/>
      <c r="VHR19" s="3507"/>
      <c r="VHS19" s="3507"/>
      <c r="VHT19" s="3507"/>
      <c r="VHU19" s="3507"/>
      <c r="VHV19" s="3507"/>
      <c r="VHW19" s="3507"/>
      <c r="VHX19" s="3507"/>
      <c r="VHY19" s="3507"/>
      <c r="VHZ19" s="3507"/>
      <c r="VIA19" s="3507"/>
      <c r="VIB19" s="3507"/>
      <c r="VIC19" s="3507"/>
      <c r="VID19" s="3507"/>
      <c r="VIE19" s="3507"/>
      <c r="VIF19" s="3507"/>
      <c r="VIG19" s="3507"/>
      <c r="VIH19" s="3507"/>
      <c r="VII19" s="3507"/>
      <c r="VIJ19" s="3507"/>
      <c r="VIK19" s="3507"/>
      <c r="VIL19" s="3507"/>
      <c r="VIM19" s="3507"/>
      <c r="VIN19" s="3507"/>
      <c r="VIO19" s="3507"/>
      <c r="VIP19" s="3507"/>
      <c r="VIQ19" s="3507"/>
      <c r="VIR19" s="3507"/>
      <c r="VIS19" s="3507"/>
      <c r="VIT19" s="3507"/>
      <c r="VIU19" s="3507"/>
      <c r="VIV19" s="3507"/>
      <c r="VIW19" s="3507"/>
      <c r="VIX19" s="3507"/>
      <c r="VIY19" s="3507"/>
      <c r="VIZ19" s="3507"/>
      <c r="VJA19" s="3507"/>
      <c r="VJB19" s="3507"/>
      <c r="VJC19" s="3507"/>
      <c r="VJD19" s="3507"/>
      <c r="VJE19" s="3507"/>
      <c r="VJF19" s="3507"/>
      <c r="VJG19" s="3507"/>
      <c r="VJH19" s="3507"/>
      <c r="VJI19" s="3507"/>
      <c r="VJJ19" s="3507"/>
      <c r="VJK19" s="3507"/>
      <c r="VJL19" s="3507"/>
      <c r="VJM19" s="3507"/>
      <c r="VJN19" s="3507"/>
      <c r="VJO19" s="3507"/>
      <c r="VJP19" s="3507"/>
      <c r="VJQ19" s="3507"/>
      <c r="VJR19" s="3507"/>
      <c r="VJS19" s="3507"/>
      <c r="VJT19" s="3507"/>
      <c r="VJU19" s="3507"/>
      <c r="VJV19" s="3507"/>
      <c r="VJW19" s="3507"/>
      <c r="VJX19" s="3507"/>
      <c r="VJY19" s="3507"/>
      <c r="VJZ19" s="3507"/>
      <c r="VKA19" s="3507"/>
      <c r="VKB19" s="3507"/>
      <c r="VKC19" s="3507"/>
      <c r="VKD19" s="3507"/>
      <c r="VKE19" s="3507"/>
      <c r="VKF19" s="3507"/>
      <c r="VKG19" s="3507"/>
      <c r="VKH19" s="3507"/>
      <c r="VKI19" s="3507"/>
      <c r="VKJ19" s="3507"/>
      <c r="VKK19" s="3507"/>
      <c r="VKL19" s="3507"/>
      <c r="VKM19" s="3507"/>
      <c r="VKN19" s="3507"/>
      <c r="VKO19" s="3507"/>
      <c r="VKP19" s="3507"/>
      <c r="VKQ19" s="3507"/>
      <c r="VKR19" s="3507"/>
      <c r="VKS19" s="3507"/>
      <c r="VKT19" s="3507"/>
      <c r="VKU19" s="3507"/>
      <c r="VKV19" s="3507"/>
      <c r="VKW19" s="3507"/>
      <c r="VKX19" s="3507"/>
      <c r="VKY19" s="3507"/>
      <c r="VKZ19" s="3507"/>
      <c r="VLA19" s="3507"/>
      <c r="VLB19" s="3507"/>
      <c r="VLC19" s="3507"/>
      <c r="VLD19" s="3507"/>
      <c r="VLE19" s="3507"/>
      <c r="VLF19" s="3507"/>
      <c r="VLG19" s="3507"/>
      <c r="VLH19" s="3507"/>
      <c r="VLI19" s="3507"/>
      <c r="VLJ19" s="3507"/>
      <c r="VLK19" s="3507"/>
      <c r="VLL19" s="3507"/>
      <c r="VLM19" s="3507"/>
      <c r="VLN19" s="3507"/>
      <c r="VLO19" s="3507"/>
      <c r="VLP19" s="3507"/>
      <c r="VLQ19" s="3507"/>
      <c r="VLR19" s="3507"/>
      <c r="VLS19" s="3507"/>
      <c r="VLT19" s="3507"/>
      <c r="VLU19" s="3507"/>
      <c r="VLV19" s="3507"/>
      <c r="VLW19" s="3507"/>
      <c r="VLX19" s="3507"/>
      <c r="VLY19" s="3507"/>
      <c r="VLZ19" s="3507"/>
      <c r="VMA19" s="3507"/>
      <c r="VMB19" s="3507"/>
      <c r="VMC19" s="3507"/>
      <c r="VMD19" s="3507"/>
      <c r="VME19" s="3507"/>
      <c r="VMF19" s="3507"/>
      <c r="VMG19" s="3507"/>
      <c r="VMH19" s="3507"/>
      <c r="VMI19" s="3507"/>
      <c r="VMJ19" s="3507"/>
      <c r="VMK19" s="3507"/>
      <c r="VML19" s="3507"/>
      <c r="VMM19" s="3507"/>
      <c r="VMN19" s="3507"/>
      <c r="VMO19" s="3507"/>
      <c r="VMP19" s="3507"/>
      <c r="VMQ19" s="3507"/>
      <c r="VMR19" s="3507"/>
      <c r="VMS19" s="3507"/>
      <c r="VMT19" s="3507"/>
      <c r="VMU19" s="3507"/>
      <c r="VMV19" s="3507"/>
      <c r="VMW19" s="3507"/>
      <c r="VMX19" s="3507"/>
      <c r="VMY19" s="3507"/>
      <c r="VMZ19" s="3507"/>
      <c r="VNA19" s="3507"/>
      <c r="VNB19" s="3507"/>
      <c r="VNC19" s="3507"/>
      <c r="VND19" s="3507"/>
      <c r="VNE19" s="3507"/>
      <c r="VNF19" s="3507"/>
      <c r="VNG19" s="3507"/>
      <c r="VNH19" s="3507"/>
      <c r="VNI19" s="3507"/>
      <c r="VNJ19" s="3507"/>
      <c r="VNK19" s="3507"/>
      <c r="VNL19" s="3507"/>
      <c r="VNM19" s="3507"/>
      <c r="VNN19" s="3507"/>
      <c r="VNO19" s="3507"/>
      <c r="VNP19" s="3507"/>
      <c r="VNQ19" s="3507"/>
      <c r="VNR19" s="3507"/>
      <c r="VNS19" s="3507"/>
      <c r="VNT19" s="3507"/>
      <c r="VNU19" s="3507"/>
      <c r="VNV19" s="3507"/>
      <c r="VNW19" s="3507"/>
      <c r="VNX19" s="3507"/>
      <c r="VNY19" s="3507"/>
      <c r="VNZ19" s="3507"/>
      <c r="VOA19" s="3507"/>
      <c r="VOB19" s="3507"/>
      <c r="VOC19" s="3507"/>
      <c r="VOD19" s="3507"/>
      <c r="VOE19" s="3507"/>
      <c r="VOF19" s="3507"/>
      <c r="VOG19" s="3507"/>
      <c r="VOH19" s="3507"/>
      <c r="VOI19" s="3507"/>
      <c r="VOJ19" s="3507"/>
      <c r="VOK19" s="3507"/>
      <c r="VOL19" s="3507"/>
      <c r="VOM19" s="3507"/>
      <c r="VON19" s="3507"/>
      <c r="VOO19" s="3507"/>
      <c r="VOP19" s="3507"/>
      <c r="VOQ19" s="3507"/>
      <c r="VOR19" s="3507"/>
      <c r="VOS19" s="3507"/>
      <c r="VOT19" s="3507"/>
      <c r="VOU19" s="3507"/>
      <c r="VOV19" s="3507"/>
      <c r="VOW19" s="3507"/>
      <c r="VOX19" s="3507"/>
      <c r="VOY19" s="3507"/>
      <c r="VOZ19" s="3507"/>
      <c r="VPA19" s="3507"/>
      <c r="VPB19" s="3507"/>
      <c r="VPC19" s="3507"/>
      <c r="VPD19" s="3507"/>
      <c r="VPE19" s="3507"/>
      <c r="VPF19" s="3507"/>
      <c r="VPG19" s="3507"/>
      <c r="VPH19" s="3507"/>
      <c r="VPI19" s="3507"/>
      <c r="VPJ19" s="3507"/>
      <c r="VPK19" s="3507"/>
      <c r="VPL19" s="3507"/>
      <c r="VPM19" s="3507"/>
      <c r="VPN19" s="3507"/>
      <c r="VPO19" s="3507"/>
      <c r="VPP19" s="3507"/>
      <c r="VPQ19" s="3507"/>
      <c r="VPR19" s="3507"/>
      <c r="VPS19" s="3507"/>
      <c r="VPT19" s="3507"/>
      <c r="VPU19" s="3507"/>
      <c r="VPV19" s="3507"/>
      <c r="VPW19" s="3507"/>
      <c r="VPX19" s="3507"/>
      <c r="VPY19" s="3507"/>
      <c r="VPZ19" s="3507"/>
      <c r="VQA19" s="3507"/>
      <c r="VQB19" s="3507"/>
      <c r="VQC19" s="3507"/>
      <c r="VQD19" s="3507"/>
      <c r="VQE19" s="3507"/>
      <c r="VQF19" s="3507"/>
      <c r="VQG19" s="3507"/>
      <c r="VQH19" s="3507"/>
      <c r="VQI19" s="3507"/>
      <c r="VQJ19" s="3507"/>
      <c r="VQK19" s="3507"/>
      <c r="VQL19" s="3507"/>
      <c r="VQM19" s="3507"/>
      <c r="VQN19" s="3507"/>
      <c r="VQO19" s="3507"/>
      <c r="VQP19" s="3507"/>
      <c r="VQQ19" s="3507"/>
      <c r="VQR19" s="3507"/>
      <c r="VQS19" s="3507"/>
      <c r="VQT19" s="3507"/>
      <c r="VQU19" s="3507"/>
      <c r="VQV19" s="3507"/>
      <c r="VQW19" s="3507"/>
      <c r="VQX19" s="3507"/>
      <c r="VQY19" s="3507"/>
      <c r="VQZ19" s="3507"/>
      <c r="VRA19" s="3507"/>
      <c r="VRB19" s="3507"/>
      <c r="VRC19" s="3507"/>
      <c r="VRD19" s="3507"/>
      <c r="VRE19" s="3507"/>
      <c r="VRF19" s="3507"/>
      <c r="VRG19" s="3507"/>
      <c r="VRH19" s="3507"/>
      <c r="VRI19" s="3507"/>
      <c r="VRJ19" s="3507"/>
      <c r="VRK19" s="3507"/>
      <c r="VRL19" s="3507"/>
      <c r="VRM19" s="3507"/>
      <c r="VRN19" s="3507"/>
      <c r="VRO19" s="3507"/>
      <c r="VRP19" s="3507"/>
      <c r="VRQ19" s="3507"/>
      <c r="VRR19" s="3507"/>
      <c r="VRS19" s="3507"/>
      <c r="VRT19" s="3507"/>
      <c r="VRU19" s="3507"/>
      <c r="VRV19" s="3507"/>
      <c r="VRW19" s="3507"/>
      <c r="VRX19" s="3507"/>
      <c r="VRY19" s="3507"/>
      <c r="VRZ19" s="3507"/>
      <c r="VSA19" s="3507"/>
      <c r="VSB19" s="3507"/>
      <c r="VSC19" s="3507"/>
      <c r="VSD19" s="3507"/>
      <c r="VSE19" s="3507"/>
      <c r="VSF19" s="3507"/>
      <c r="VSG19" s="3507"/>
      <c r="VSH19" s="3507"/>
      <c r="VSI19" s="3507"/>
      <c r="VSJ19" s="3507"/>
      <c r="VSK19" s="3507"/>
      <c r="VSL19" s="3507"/>
      <c r="VSM19" s="3507"/>
      <c r="VSN19" s="3507"/>
      <c r="VSO19" s="3507"/>
      <c r="VSP19" s="3507"/>
      <c r="VSQ19" s="3507"/>
      <c r="VSR19" s="3507"/>
      <c r="VSS19" s="3507"/>
      <c r="VST19" s="3507"/>
      <c r="VSU19" s="3507"/>
      <c r="VSV19" s="3507"/>
      <c r="VSW19" s="3507"/>
      <c r="VSX19" s="3507"/>
      <c r="VSY19" s="3507"/>
      <c r="VSZ19" s="3507"/>
      <c r="VTA19" s="3507"/>
      <c r="VTB19" s="3507"/>
      <c r="VTC19" s="3507"/>
      <c r="VTD19" s="3507"/>
      <c r="VTE19" s="3507"/>
      <c r="VTF19" s="3507"/>
      <c r="VTG19" s="3507"/>
      <c r="VTH19" s="3507"/>
      <c r="VTI19" s="3507"/>
      <c r="VTJ19" s="3507"/>
      <c r="VTK19" s="3507"/>
      <c r="VTL19" s="3507"/>
      <c r="VTM19" s="3507"/>
      <c r="VTN19" s="3507"/>
      <c r="VTO19" s="3507"/>
      <c r="VTP19" s="3507"/>
      <c r="VTQ19" s="3507"/>
      <c r="VTR19" s="3507"/>
      <c r="VTS19" s="3507"/>
      <c r="VTT19" s="3507"/>
      <c r="VTU19" s="3507"/>
      <c r="VTV19" s="3507"/>
      <c r="VTW19" s="3507"/>
      <c r="VTX19" s="3507"/>
      <c r="VTY19" s="3507"/>
      <c r="VTZ19" s="3507"/>
      <c r="VUA19" s="3507"/>
      <c r="VUB19" s="3507"/>
      <c r="VUC19" s="3507"/>
      <c r="VUD19" s="3507"/>
      <c r="VUE19" s="3507"/>
      <c r="VUF19" s="3507"/>
      <c r="VUG19" s="3507"/>
      <c r="VUH19" s="3507"/>
      <c r="VUI19" s="3507"/>
      <c r="VUJ19" s="3507"/>
      <c r="VUK19" s="3507"/>
      <c r="VUL19" s="3507"/>
      <c r="VUM19" s="3507"/>
      <c r="VUN19" s="3507"/>
      <c r="VUO19" s="3507"/>
      <c r="VUP19" s="3507"/>
      <c r="VUQ19" s="3507"/>
      <c r="VUR19" s="3507"/>
      <c r="VUS19" s="3507"/>
      <c r="VUT19" s="3507"/>
      <c r="VUU19" s="3507"/>
      <c r="VUV19" s="3507"/>
      <c r="VUW19" s="3507"/>
      <c r="VUX19" s="3507"/>
      <c r="VUY19" s="3507"/>
      <c r="VUZ19" s="3507"/>
      <c r="VVA19" s="3507"/>
      <c r="VVB19" s="3507"/>
      <c r="VVC19" s="3507"/>
      <c r="VVD19" s="3507"/>
      <c r="VVE19" s="3507"/>
      <c r="VVF19" s="3507"/>
      <c r="VVG19" s="3507"/>
      <c r="VVH19" s="3507"/>
      <c r="VVI19" s="3507"/>
      <c r="VVJ19" s="3507"/>
      <c r="VVK19" s="3507"/>
      <c r="VVL19" s="3507"/>
      <c r="VVM19" s="3507"/>
      <c r="VVN19" s="3507"/>
      <c r="VVO19" s="3507"/>
      <c r="VVP19" s="3507"/>
      <c r="VVQ19" s="3507"/>
      <c r="VVR19" s="3507"/>
      <c r="VVS19" s="3507"/>
      <c r="VVT19" s="3507"/>
      <c r="VVU19" s="3507"/>
      <c r="VVV19" s="3507"/>
      <c r="VVW19" s="3507"/>
      <c r="VVX19" s="3507"/>
      <c r="VVY19" s="3507"/>
      <c r="VVZ19" s="3507"/>
      <c r="VWA19" s="3507"/>
      <c r="VWB19" s="3507"/>
      <c r="VWC19" s="3507"/>
      <c r="VWD19" s="3507"/>
      <c r="VWE19" s="3507"/>
      <c r="VWF19" s="3507"/>
      <c r="VWG19" s="3507"/>
      <c r="VWH19" s="3507"/>
      <c r="VWI19" s="3507"/>
      <c r="VWJ19" s="3507"/>
      <c r="VWK19" s="3507"/>
      <c r="VWL19" s="3507"/>
      <c r="VWM19" s="3507"/>
      <c r="VWN19" s="3507"/>
      <c r="VWO19" s="3507"/>
      <c r="VWP19" s="3507"/>
      <c r="VWQ19" s="3507"/>
      <c r="VWR19" s="3507"/>
      <c r="VWS19" s="3507"/>
      <c r="VWT19" s="3507"/>
      <c r="VWU19" s="3507"/>
      <c r="VWV19" s="3507"/>
      <c r="VWW19" s="3507"/>
      <c r="VWX19" s="3507"/>
      <c r="VWY19" s="3507"/>
      <c r="VWZ19" s="3507"/>
      <c r="VXA19" s="3507"/>
      <c r="VXB19" s="3507"/>
      <c r="VXC19" s="3507"/>
      <c r="VXD19" s="3507"/>
      <c r="VXE19" s="3507"/>
      <c r="VXF19" s="3507"/>
      <c r="VXG19" s="3507"/>
      <c r="VXH19" s="3507"/>
      <c r="VXI19" s="3507"/>
      <c r="VXJ19" s="3507"/>
      <c r="VXK19" s="3507"/>
      <c r="VXL19" s="3507"/>
      <c r="VXM19" s="3507"/>
      <c r="VXN19" s="3507"/>
      <c r="VXO19" s="3507"/>
      <c r="VXP19" s="3507"/>
      <c r="VXQ19" s="3507"/>
      <c r="VXR19" s="3507"/>
      <c r="VXS19" s="3507"/>
      <c r="VXT19" s="3507"/>
      <c r="VXU19" s="3507"/>
      <c r="VXV19" s="3507"/>
      <c r="VXW19" s="3507"/>
      <c r="VXX19" s="3507"/>
      <c r="VXY19" s="3507"/>
      <c r="VXZ19" s="3507"/>
      <c r="VYA19" s="3507"/>
      <c r="VYB19" s="3507"/>
      <c r="VYC19" s="3507"/>
      <c r="VYD19" s="3507"/>
      <c r="VYE19" s="3507"/>
      <c r="VYF19" s="3507"/>
      <c r="VYG19" s="3507"/>
      <c r="VYH19" s="3507"/>
      <c r="VYI19" s="3507"/>
      <c r="VYJ19" s="3507"/>
      <c r="VYK19" s="3507"/>
      <c r="VYL19" s="3507"/>
      <c r="VYM19" s="3507"/>
      <c r="VYN19" s="3507"/>
      <c r="VYO19" s="3507"/>
      <c r="VYP19" s="3507"/>
      <c r="VYQ19" s="3507"/>
      <c r="VYR19" s="3507"/>
      <c r="VYS19" s="3507"/>
      <c r="VYT19" s="3507"/>
      <c r="VYU19" s="3507"/>
      <c r="VYV19" s="3507"/>
      <c r="VYW19" s="3507"/>
      <c r="VYX19" s="3507"/>
      <c r="VYY19" s="3507"/>
      <c r="VYZ19" s="3507"/>
      <c r="VZA19" s="3507"/>
      <c r="VZB19" s="3507"/>
      <c r="VZC19" s="3507"/>
      <c r="VZD19" s="3507"/>
      <c r="VZE19" s="3507"/>
      <c r="VZF19" s="3507"/>
      <c r="VZG19" s="3507"/>
      <c r="VZH19" s="3507"/>
      <c r="VZI19" s="3507"/>
      <c r="VZJ19" s="3507"/>
      <c r="VZK19" s="3507"/>
      <c r="VZL19" s="3507"/>
      <c r="VZM19" s="3507"/>
      <c r="VZN19" s="3507"/>
      <c r="VZO19" s="3507"/>
      <c r="VZP19" s="3507"/>
      <c r="VZQ19" s="3507"/>
      <c r="VZR19" s="3507"/>
      <c r="VZS19" s="3507"/>
      <c r="VZT19" s="3507"/>
      <c r="VZU19" s="3507"/>
      <c r="VZV19" s="3507"/>
      <c r="VZW19" s="3507"/>
      <c r="VZX19" s="3507"/>
      <c r="VZY19" s="3507"/>
      <c r="VZZ19" s="3507"/>
      <c r="WAA19" s="3507"/>
      <c r="WAB19" s="3507"/>
      <c r="WAC19" s="3507"/>
      <c r="WAD19" s="3507"/>
      <c r="WAE19" s="3507"/>
      <c r="WAF19" s="3507"/>
      <c r="WAG19" s="3507"/>
      <c r="WAH19" s="3507"/>
      <c r="WAI19" s="3507"/>
      <c r="WAJ19" s="3507"/>
      <c r="WAK19" s="3507"/>
      <c r="WAL19" s="3507"/>
      <c r="WAM19" s="3507"/>
      <c r="WAN19" s="3507"/>
      <c r="WAO19" s="3507"/>
      <c r="WAP19" s="3507"/>
      <c r="WAQ19" s="3507"/>
      <c r="WAR19" s="3507"/>
      <c r="WAS19" s="3507"/>
      <c r="WAT19" s="3507"/>
      <c r="WAU19" s="3507"/>
      <c r="WAV19" s="3507"/>
      <c r="WAW19" s="3507"/>
      <c r="WAX19" s="3507"/>
      <c r="WAY19" s="3507"/>
      <c r="WAZ19" s="3507"/>
      <c r="WBA19" s="3507"/>
      <c r="WBB19" s="3507"/>
      <c r="WBC19" s="3507"/>
      <c r="WBD19" s="3507"/>
      <c r="WBE19" s="3507"/>
      <c r="WBF19" s="3507"/>
      <c r="WBG19" s="3507"/>
      <c r="WBH19" s="3507"/>
      <c r="WBI19" s="3507"/>
      <c r="WBJ19" s="3507"/>
      <c r="WBK19" s="3507"/>
      <c r="WBL19" s="3507"/>
      <c r="WBM19" s="3507"/>
      <c r="WBN19" s="3507"/>
      <c r="WBO19" s="3507"/>
      <c r="WBP19" s="3507"/>
      <c r="WBQ19" s="3507"/>
      <c r="WBR19" s="3507"/>
      <c r="WBS19" s="3507"/>
      <c r="WBT19" s="3507"/>
      <c r="WBU19" s="3507"/>
      <c r="WBV19" s="3507"/>
      <c r="WBW19" s="3507"/>
      <c r="WBX19" s="3507"/>
      <c r="WBY19" s="3507"/>
      <c r="WBZ19" s="3507"/>
      <c r="WCA19" s="3507"/>
      <c r="WCB19" s="3507"/>
      <c r="WCC19" s="3507"/>
      <c r="WCD19" s="3507"/>
      <c r="WCE19" s="3507"/>
      <c r="WCF19" s="3507"/>
      <c r="WCG19" s="3507"/>
      <c r="WCH19" s="3507"/>
      <c r="WCI19" s="3507"/>
      <c r="WCJ19" s="3507"/>
      <c r="WCK19" s="3507"/>
      <c r="WCL19" s="3507"/>
      <c r="WCM19" s="3507"/>
      <c r="WCN19" s="3507"/>
      <c r="WCO19" s="3507"/>
      <c r="WCP19" s="3507"/>
      <c r="WCQ19" s="3507"/>
      <c r="WCR19" s="3507"/>
      <c r="WCS19" s="3507"/>
      <c r="WCT19" s="3507"/>
      <c r="WCU19" s="3507"/>
      <c r="WCV19" s="3507"/>
      <c r="WCW19" s="3507"/>
      <c r="WCX19" s="3507"/>
      <c r="WCY19" s="3507"/>
      <c r="WCZ19" s="3507"/>
      <c r="WDA19" s="3507"/>
      <c r="WDB19" s="3507"/>
      <c r="WDC19" s="3507"/>
      <c r="WDD19" s="3507"/>
      <c r="WDE19" s="3507"/>
      <c r="WDF19" s="3507"/>
      <c r="WDG19" s="3507"/>
      <c r="WDH19" s="3507"/>
      <c r="WDI19" s="3507"/>
      <c r="WDJ19" s="3507"/>
      <c r="WDK19" s="3507"/>
      <c r="WDL19" s="3507"/>
      <c r="WDM19" s="3507"/>
      <c r="WDN19" s="3507"/>
      <c r="WDO19" s="3507"/>
      <c r="WDP19" s="3507"/>
      <c r="WDQ19" s="3507"/>
      <c r="WDR19" s="3507"/>
      <c r="WDS19" s="3507"/>
      <c r="WDT19" s="3507"/>
      <c r="WDU19" s="3507"/>
      <c r="WDV19" s="3507"/>
      <c r="WDW19" s="3507"/>
      <c r="WDX19" s="3507"/>
      <c r="WDY19" s="3507"/>
      <c r="WDZ19" s="3507"/>
      <c r="WEA19" s="3507"/>
      <c r="WEB19" s="3507"/>
      <c r="WEC19" s="3507"/>
      <c r="WED19" s="3507"/>
      <c r="WEE19" s="3507"/>
      <c r="WEF19" s="3507"/>
      <c r="WEG19" s="3507"/>
      <c r="WEH19" s="3507"/>
      <c r="WEI19" s="3507"/>
      <c r="WEJ19" s="3507"/>
      <c r="WEK19" s="3507"/>
      <c r="WEL19" s="3507"/>
      <c r="WEM19" s="3507"/>
      <c r="WEN19" s="3507"/>
      <c r="WEO19" s="3507"/>
      <c r="WEP19" s="3507"/>
      <c r="WEQ19" s="3507"/>
      <c r="WER19" s="3507"/>
      <c r="WES19" s="3507"/>
      <c r="WET19" s="3507"/>
      <c r="WEU19" s="3507"/>
      <c r="WEV19" s="3507"/>
      <c r="WEW19" s="3507"/>
      <c r="WEX19" s="3507"/>
      <c r="WEY19" s="3507"/>
      <c r="WEZ19" s="3507"/>
      <c r="WFA19" s="3507"/>
      <c r="WFB19" s="3507"/>
      <c r="WFC19" s="3507"/>
      <c r="WFD19" s="3507"/>
      <c r="WFE19" s="3507"/>
      <c r="WFF19" s="3507"/>
      <c r="WFG19" s="3507"/>
      <c r="WFH19" s="3507"/>
      <c r="WFI19" s="3507"/>
      <c r="WFJ19" s="3507"/>
      <c r="WFK19" s="3507"/>
      <c r="WFL19" s="3507"/>
      <c r="WFM19" s="3507"/>
      <c r="WFN19" s="3507"/>
      <c r="WFO19" s="3507"/>
      <c r="WFP19" s="3507"/>
      <c r="WFQ19" s="3507"/>
      <c r="WFR19" s="3507"/>
      <c r="WFS19" s="3507"/>
      <c r="WFT19" s="3507"/>
      <c r="WFU19" s="3507"/>
      <c r="WFV19" s="3507"/>
      <c r="WFW19" s="3507"/>
      <c r="WFX19" s="3507"/>
      <c r="WFY19" s="3507"/>
      <c r="WFZ19" s="3507"/>
      <c r="WGA19" s="3507"/>
      <c r="WGB19" s="3507"/>
      <c r="WGC19" s="3507"/>
      <c r="WGD19" s="3507"/>
      <c r="WGE19" s="3507"/>
      <c r="WGF19" s="3507"/>
      <c r="WGG19" s="3507"/>
      <c r="WGH19" s="3507"/>
      <c r="WGI19" s="3507"/>
      <c r="WGJ19" s="3507"/>
      <c r="WGK19" s="3507"/>
      <c r="WGL19" s="3507"/>
      <c r="WGM19" s="3507"/>
      <c r="WGN19" s="3507"/>
      <c r="WGO19" s="3507"/>
      <c r="WGP19" s="3507"/>
      <c r="WGQ19" s="3507"/>
      <c r="WGR19" s="3507"/>
      <c r="WGS19" s="3507"/>
      <c r="WGT19" s="3507"/>
      <c r="WGU19" s="3507"/>
      <c r="WGV19" s="3507"/>
      <c r="WGW19" s="3507"/>
      <c r="WGX19" s="3507"/>
      <c r="WGY19" s="3507"/>
      <c r="WGZ19" s="3507"/>
      <c r="WHA19" s="3507"/>
      <c r="WHB19" s="3507"/>
      <c r="WHC19" s="3507"/>
      <c r="WHD19" s="3507"/>
      <c r="WHE19" s="3507"/>
      <c r="WHF19" s="3507"/>
      <c r="WHG19" s="3507"/>
      <c r="WHH19" s="3507"/>
      <c r="WHI19" s="3507"/>
      <c r="WHJ19" s="3507"/>
      <c r="WHK19" s="3507"/>
      <c r="WHL19" s="3507"/>
      <c r="WHM19" s="3507"/>
      <c r="WHN19" s="3507"/>
      <c r="WHO19" s="3507"/>
      <c r="WHP19" s="3507"/>
      <c r="WHQ19" s="3507"/>
      <c r="WHR19" s="3507"/>
      <c r="WHS19" s="3507"/>
      <c r="WHT19" s="3507"/>
      <c r="WHU19" s="3507"/>
      <c r="WHV19" s="3507"/>
      <c r="WHW19" s="3507"/>
      <c r="WHX19" s="3507"/>
      <c r="WHY19" s="3507"/>
      <c r="WHZ19" s="3507"/>
      <c r="WIA19" s="3507"/>
      <c r="WIB19" s="3507"/>
      <c r="WIC19" s="3507"/>
      <c r="WID19" s="3507"/>
      <c r="WIE19" s="3507"/>
      <c r="WIF19" s="3507"/>
      <c r="WIG19" s="3507"/>
      <c r="WIH19" s="3507"/>
      <c r="WII19" s="3507"/>
      <c r="WIJ19" s="3507"/>
      <c r="WIK19" s="3507"/>
      <c r="WIL19" s="3507"/>
      <c r="WIM19" s="3507"/>
      <c r="WIN19" s="3507"/>
      <c r="WIO19" s="3507"/>
      <c r="WIP19" s="3507"/>
      <c r="WIQ19" s="3507"/>
      <c r="WIR19" s="3507"/>
      <c r="WIS19" s="3507"/>
      <c r="WIT19" s="3507"/>
      <c r="WIU19" s="3507"/>
      <c r="WIV19" s="3507"/>
      <c r="WIW19" s="3507"/>
      <c r="WIX19" s="3507"/>
      <c r="WIY19" s="3507"/>
      <c r="WIZ19" s="3507"/>
      <c r="WJA19" s="3507"/>
      <c r="WJB19" s="3507"/>
      <c r="WJC19" s="3507"/>
      <c r="WJD19" s="3507"/>
      <c r="WJE19" s="3507"/>
      <c r="WJF19" s="3507"/>
      <c r="WJG19" s="3507"/>
      <c r="WJH19" s="3507"/>
      <c r="WJI19" s="3507"/>
      <c r="WJJ19" s="3507"/>
      <c r="WJK19" s="3507"/>
      <c r="WJL19" s="3507"/>
      <c r="WJM19" s="3507"/>
      <c r="WJN19" s="3507"/>
      <c r="WJO19" s="3507"/>
      <c r="WJP19" s="3507"/>
      <c r="WJQ19" s="3507"/>
      <c r="WJR19" s="3507"/>
      <c r="WJS19" s="3507"/>
      <c r="WJT19" s="3507"/>
      <c r="WJU19" s="3507"/>
      <c r="WJV19" s="3507"/>
      <c r="WJW19" s="3507"/>
      <c r="WJX19" s="3507"/>
      <c r="WJY19" s="3507"/>
      <c r="WJZ19" s="3507"/>
      <c r="WKA19" s="3507"/>
      <c r="WKB19" s="3507"/>
      <c r="WKC19" s="3507"/>
      <c r="WKD19" s="3507"/>
      <c r="WKE19" s="3507"/>
      <c r="WKF19" s="3507"/>
      <c r="WKG19" s="3507"/>
      <c r="WKH19" s="3507"/>
      <c r="WKI19" s="3507"/>
      <c r="WKJ19" s="3507"/>
      <c r="WKK19" s="3507"/>
      <c r="WKL19" s="3507"/>
      <c r="WKM19" s="3507"/>
      <c r="WKN19" s="3507"/>
      <c r="WKO19" s="3507"/>
      <c r="WKP19" s="3507"/>
      <c r="WKQ19" s="3507"/>
      <c r="WKR19" s="3507"/>
      <c r="WKS19" s="3507"/>
      <c r="WKT19" s="3507"/>
      <c r="WKU19" s="3507"/>
      <c r="WKV19" s="3507"/>
      <c r="WKW19" s="3507"/>
      <c r="WKX19" s="3507"/>
      <c r="WKY19" s="3507"/>
      <c r="WKZ19" s="3507"/>
      <c r="WLA19" s="3507"/>
      <c r="WLB19" s="3507"/>
      <c r="WLC19" s="3507"/>
      <c r="WLD19" s="3507"/>
      <c r="WLE19" s="3507"/>
      <c r="WLF19" s="3507"/>
      <c r="WLG19" s="3507"/>
      <c r="WLH19" s="3507"/>
      <c r="WLI19" s="3507"/>
      <c r="WLJ19" s="3507"/>
      <c r="WLK19" s="3507"/>
      <c r="WLL19" s="3507"/>
      <c r="WLM19" s="3507"/>
      <c r="WLN19" s="3507"/>
      <c r="WLO19" s="3507"/>
      <c r="WLP19" s="3507"/>
      <c r="WLQ19" s="3507"/>
      <c r="WLR19" s="3507"/>
      <c r="WLS19" s="3507"/>
      <c r="WLT19" s="3507"/>
      <c r="WLU19" s="3507"/>
      <c r="WLV19" s="3507"/>
      <c r="WLW19" s="3507"/>
      <c r="WLX19" s="3507"/>
      <c r="WLY19" s="3507"/>
      <c r="WLZ19" s="3507"/>
      <c r="WMA19" s="3507"/>
      <c r="WMB19" s="3507"/>
      <c r="WMC19" s="3507"/>
      <c r="WMD19" s="3507"/>
      <c r="WME19" s="3507"/>
      <c r="WMF19" s="3507"/>
      <c r="WMG19" s="3507"/>
      <c r="WMH19" s="3507"/>
      <c r="WMI19" s="3507"/>
      <c r="WMJ19" s="3507"/>
      <c r="WMK19" s="3507"/>
      <c r="WML19" s="3507"/>
      <c r="WMM19" s="3507"/>
      <c r="WMN19" s="3507"/>
      <c r="WMO19" s="3507"/>
      <c r="WMP19" s="3507"/>
      <c r="WMQ19" s="3507"/>
      <c r="WMR19" s="3507"/>
      <c r="WMS19" s="3507"/>
      <c r="WMT19" s="3507"/>
      <c r="WMU19" s="3507"/>
      <c r="WMV19" s="3507"/>
      <c r="WMW19" s="3507"/>
      <c r="WMX19" s="3507"/>
      <c r="WMY19" s="3507"/>
      <c r="WMZ19" s="3507"/>
      <c r="WNA19" s="3507"/>
      <c r="WNB19" s="3507"/>
      <c r="WNC19" s="3507"/>
      <c r="WND19" s="3507"/>
      <c r="WNE19" s="3507"/>
      <c r="WNF19" s="3507"/>
      <c r="WNG19" s="3507"/>
      <c r="WNH19" s="3507"/>
      <c r="WNI19" s="3507"/>
      <c r="WNJ19" s="3507"/>
      <c r="WNK19" s="3507"/>
      <c r="WNL19" s="3507"/>
      <c r="WNM19" s="3507"/>
      <c r="WNN19" s="3507"/>
      <c r="WNO19" s="3507"/>
      <c r="WNP19" s="3507"/>
      <c r="WNQ19" s="3507"/>
      <c r="WNR19" s="3507"/>
      <c r="WNS19" s="3507"/>
      <c r="WNT19" s="3507"/>
      <c r="WNU19" s="3507"/>
      <c r="WNV19" s="3507"/>
      <c r="WNW19" s="3507"/>
      <c r="WNX19" s="3507"/>
      <c r="WNY19" s="3507"/>
      <c r="WNZ19" s="3507"/>
      <c r="WOA19" s="3507"/>
      <c r="WOB19" s="3507"/>
      <c r="WOC19" s="3507"/>
      <c r="WOD19" s="3507"/>
      <c r="WOE19" s="3507"/>
      <c r="WOF19" s="3507"/>
      <c r="WOG19" s="3507"/>
      <c r="WOH19" s="3507"/>
      <c r="WOI19" s="3507"/>
      <c r="WOJ19" s="3507"/>
      <c r="WOK19" s="3507"/>
      <c r="WOL19" s="3507"/>
      <c r="WOM19" s="3507"/>
      <c r="WON19" s="3507"/>
      <c r="WOO19" s="3507"/>
      <c r="WOP19" s="3507"/>
      <c r="WOQ19" s="3507"/>
      <c r="WOR19" s="3507"/>
      <c r="WOS19" s="3507"/>
      <c r="WOT19" s="3507"/>
      <c r="WOU19" s="3507"/>
      <c r="WOV19" s="3507"/>
      <c r="WOW19" s="3507"/>
      <c r="WOX19" s="3507"/>
      <c r="WOY19" s="3507"/>
      <c r="WOZ19" s="3507"/>
      <c r="WPA19" s="3507"/>
      <c r="WPB19" s="3507"/>
      <c r="WPC19" s="3507"/>
      <c r="WPD19" s="3507"/>
      <c r="WPE19" s="3507"/>
      <c r="WPF19" s="3507"/>
      <c r="WPG19" s="3507"/>
      <c r="WPH19" s="3507"/>
      <c r="WPI19" s="3507"/>
      <c r="WPJ19" s="3507"/>
      <c r="WPK19" s="3507"/>
      <c r="WPL19" s="3507"/>
      <c r="WPM19" s="3507"/>
      <c r="WPN19" s="3507"/>
      <c r="WPO19" s="3507"/>
      <c r="WPP19" s="3507"/>
      <c r="WPQ19" s="3507"/>
      <c r="WPR19" s="3507"/>
      <c r="WPS19" s="3507"/>
      <c r="WPT19" s="3507"/>
      <c r="WPU19" s="3507"/>
      <c r="WPV19" s="3507"/>
      <c r="WPW19" s="3507"/>
      <c r="WPX19" s="3507"/>
      <c r="WPY19" s="3507"/>
      <c r="WPZ19" s="3507"/>
      <c r="WQA19" s="3507"/>
      <c r="WQB19" s="3507"/>
      <c r="WQC19" s="3507"/>
      <c r="WQD19" s="3507"/>
      <c r="WQE19" s="3507"/>
      <c r="WQF19" s="3507"/>
      <c r="WQG19" s="3507"/>
      <c r="WQH19" s="3507"/>
      <c r="WQI19" s="3507"/>
      <c r="WQJ19" s="3507"/>
      <c r="WQK19" s="3507"/>
      <c r="WQL19" s="3507"/>
      <c r="WQM19" s="3507"/>
      <c r="WQN19" s="3507"/>
      <c r="WQO19" s="3507"/>
      <c r="WQP19" s="3507"/>
      <c r="WQQ19" s="3507"/>
      <c r="WQR19" s="3507"/>
      <c r="WQS19" s="3507"/>
      <c r="WQT19" s="3507"/>
      <c r="WQU19" s="3507"/>
      <c r="WQV19" s="3507"/>
      <c r="WQW19" s="3507"/>
      <c r="WQX19" s="3507"/>
      <c r="WQY19" s="3507"/>
      <c r="WQZ19" s="3507"/>
      <c r="WRA19" s="3507"/>
      <c r="WRB19" s="3507"/>
      <c r="WRC19" s="3507"/>
      <c r="WRD19" s="3507"/>
      <c r="WRE19" s="3507"/>
      <c r="WRF19" s="3507"/>
      <c r="WRG19" s="3507"/>
      <c r="WRH19" s="3507"/>
      <c r="WRI19" s="3507"/>
      <c r="WRJ19" s="3507"/>
      <c r="WRK19" s="3507"/>
      <c r="WRL19" s="3507"/>
      <c r="WRM19" s="3507"/>
      <c r="WRN19" s="3507"/>
      <c r="WRO19" s="3507"/>
      <c r="WRP19" s="3507"/>
      <c r="WRQ19" s="3507"/>
      <c r="WRR19" s="3507"/>
      <c r="WRS19" s="3507"/>
      <c r="WRT19" s="3507"/>
      <c r="WRU19" s="3507"/>
      <c r="WRV19" s="3507"/>
      <c r="WRW19" s="3507"/>
      <c r="WRX19" s="3507"/>
      <c r="WRY19" s="3507"/>
      <c r="WRZ19" s="3507"/>
      <c r="WSA19" s="3507"/>
      <c r="WSB19" s="3507"/>
      <c r="WSC19" s="3507"/>
      <c r="WSD19" s="3507"/>
      <c r="WSE19" s="3507"/>
      <c r="WSF19" s="3507"/>
      <c r="WSG19" s="3507"/>
      <c r="WSH19" s="3507"/>
      <c r="WSI19" s="3507"/>
      <c r="WSJ19" s="3507"/>
      <c r="WSK19" s="3507"/>
      <c r="WSL19" s="3507"/>
      <c r="WSM19" s="3507"/>
      <c r="WSN19" s="3507"/>
      <c r="WSO19" s="3507"/>
      <c r="WSP19" s="3507"/>
      <c r="WSQ19" s="3507"/>
      <c r="WSR19" s="3507"/>
      <c r="WSS19" s="3507"/>
      <c r="WST19" s="3507"/>
      <c r="WSU19" s="3507"/>
      <c r="WSV19" s="3507"/>
      <c r="WSW19" s="3507"/>
      <c r="WSX19" s="3507"/>
      <c r="WSY19" s="3507"/>
      <c r="WSZ19" s="3507"/>
      <c r="WTA19" s="3507"/>
      <c r="WTB19" s="3507"/>
      <c r="WTC19" s="3507"/>
      <c r="WTD19" s="3507"/>
      <c r="WTE19" s="3507"/>
      <c r="WTF19" s="3507"/>
      <c r="WTG19" s="3507"/>
      <c r="WTH19" s="3507"/>
      <c r="WTI19" s="3507"/>
      <c r="WTJ19" s="3507"/>
      <c r="WTK19" s="3507"/>
      <c r="WTL19" s="3507"/>
      <c r="WTM19" s="3507"/>
      <c r="WTN19" s="3507"/>
      <c r="WTO19" s="3507"/>
      <c r="WTP19" s="3507"/>
      <c r="WTQ19" s="3507"/>
      <c r="WTR19" s="3507"/>
      <c r="WTS19" s="3507"/>
      <c r="WTT19" s="3507"/>
      <c r="WTU19" s="3507"/>
      <c r="WTV19" s="3507"/>
      <c r="WTW19" s="3507"/>
      <c r="WTX19" s="3507"/>
      <c r="WTY19" s="3507"/>
      <c r="WTZ19" s="3507"/>
      <c r="WUA19" s="3507"/>
      <c r="WUB19" s="3507"/>
      <c r="WUC19" s="3507"/>
      <c r="WUD19" s="3507"/>
      <c r="WUE19" s="3507"/>
      <c r="WUF19" s="3507"/>
      <c r="WUG19" s="3507"/>
      <c r="WUH19" s="3507"/>
      <c r="WUI19" s="3507"/>
      <c r="WUJ19" s="3507"/>
      <c r="WUK19" s="3507"/>
      <c r="WUL19" s="3507"/>
      <c r="WUM19" s="3507"/>
      <c r="WUN19" s="3507"/>
      <c r="WUO19" s="3507"/>
      <c r="WUP19" s="3507"/>
      <c r="WUQ19" s="3507"/>
      <c r="WUR19" s="3507"/>
      <c r="WUS19" s="3507"/>
      <c r="WUT19" s="3507"/>
      <c r="WUU19" s="3507"/>
      <c r="WUV19" s="3507"/>
      <c r="WUW19" s="3507"/>
      <c r="WUX19" s="3507"/>
      <c r="WUY19" s="3507"/>
      <c r="WUZ19" s="3507"/>
      <c r="WVA19" s="3507"/>
      <c r="WVB19" s="3507"/>
      <c r="WVC19" s="3507"/>
      <c r="WVD19" s="3507"/>
      <c r="WVE19" s="3507"/>
      <c r="WVF19" s="3507"/>
      <c r="WVG19" s="3507"/>
      <c r="WVH19" s="3507"/>
      <c r="WVI19" s="3507"/>
      <c r="WVJ19" s="3507"/>
      <c r="WVK19" s="3507"/>
      <c r="WVL19" s="3507"/>
      <c r="WVM19" s="3507"/>
      <c r="WVN19" s="3507"/>
      <c r="WVO19" s="3507"/>
      <c r="WVP19" s="3507"/>
      <c r="WVQ19" s="3507"/>
      <c r="WVR19" s="3507"/>
      <c r="WVS19" s="3507"/>
      <c r="WVT19" s="3507"/>
      <c r="WVU19" s="3507"/>
      <c r="WVV19" s="3507"/>
      <c r="WVW19" s="3507"/>
      <c r="WVX19" s="3507"/>
      <c r="WVY19" s="3507"/>
      <c r="WVZ19" s="3507"/>
      <c r="WWA19" s="3507"/>
      <c r="WWB19" s="3507"/>
      <c r="WWC19" s="3507"/>
      <c r="WWD19" s="3507"/>
      <c r="WWE19" s="3507"/>
      <c r="WWF19" s="3507"/>
      <c r="WWG19" s="3507"/>
      <c r="WWH19" s="3507"/>
      <c r="WWI19" s="3507"/>
      <c r="WWJ19" s="3507"/>
      <c r="WWK19" s="3507"/>
      <c r="WWL19" s="3507"/>
      <c r="WWM19" s="3507"/>
      <c r="WWN19" s="3507"/>
      <c r="WWO19" s="3507"/>
      <c r="WWP19" s="3507"/>
      <c r="WWQ19" s="3507"/>
      <c r="WWR19" s="3507"/>
      <c r="WWS19" s="3507"/>
      <c r="WWT19" s="3507"/>
      <c r="WWU19" s="3507"/>
      <c r="WWV19" s="3507"/>
      <c r="WWW19" s="3507"/>
      <c r="WWX19" s="3507"/>
      <c r="WWY19" s="3507"/>
      <c r="WWZ19" s="3507"/>
      <c r="WXA19" s="3507"/>
      <c r="WXB19" s="3507"/>
      <c r="WXC19" s="3507"/>
      <c r="WXD19" s="3507"/>
      <c r="WXE19" s="3507"/>
      <c r="WXF19" s="3507"/>
      <c r="WXG19" s="3507"/>
      <c r="WXH19" s="3507"/>
      <c r="WXI19" s="3507"/>
      <c r="WXJ19" s="3507"/>
      <c r="WXK19" s="3507"/>
      <c r="WXL19" s="3507"/>
      <c r="WXM19" s="3507"/>
      <c r="WXN19" s="3507"/>
      <c r="WXO19" s="3507"/>
      <c r="WXP19" s="3507"/>
      <c r="WXQ19" s="3507"/>
      <c r="WXR19" s="3507"/>
      <c r="WXS19" s="3507"/>
      <c r="WXT19" s="3507"/>
      <c r="WXU19" s="3507"/>
      <c r="WXV19" s="3507"/>
      <c r="WXW19" s="3507"/>
      <c r="WXX19" s="3507"/>
      <c r="WXY19" s="3507"/>
      <c r="WXZ19" s="3507"/>
      <c r="WYA19" s="3507"/>
      <c r="WYB19" s="3507"/>
      <c r="WYC19" s="3507"/>
      <c r="WYD19" s="3507"/>
      <c r="WYE19" s="3507"/>
      <c r="WYF19" s="3507"/>
      <c r="WYG19" s="3507"/>
      <c r="WYH19" s="3507"/>
      <c r="WYI19" s="3507"/>
      <c r="WYJ19" s="3507"/>
      <c r="WYK19" s="3507"/>
      <c r="WYL19" s="3507"/>
      <c r="WYM19" s="3507"/>
      <c r="WYN19" s="3507"/>
      <c r="WYO19" s="3507"/>
      <c r="WYP19" s="3507"/>
      <c r="WYQ19" s="3507"/>
      <c r="WYR19" s="3507"/>
      <c r="WYS19" s="3507"/>
      <c r="WYT19" s="3507"/>
      <c r="WYU19" s="3507"/>
      <c r="WYV19" s="3507"/>
      <c r="WYW19" s="3507"/>
      <c r="WYX19" s="3507"/>
      <c r="WYY19" s="3507"/>
      <c r="WYZ19" s="3507"/>
      <c r="WZA19" s="3507"/>
      <c r="WZB19" s="3507"/>
      <c r="WZC19" s="3507"/>
      <c r="WZD19" s="3507"/>
      <c r="WZE19" s="3507"/>
      <c r="WZF19" s="3507"/>
      <c r="WZG19" s="3507"/>
      <c r="WZH19" s="3507"/>
      <c r="WZI19" s="3507"/>
      <c r="WZJ19" s="3507"/>
      <c r="WZK19" s="3507"/>
      <c r="WZL19" s="3507"/>
      <c r="WZM19" s="3507"/>
      <c r="WZN19" s="3507"/>
      <c r="WZO19" s="3507"/>
      <c r="WZP19" s="3507"/>
      <c r="WZQ19" s="3507"/>
      <c r="WZR19" s="3507"/>
      <c r="WZS19" s="3507"/>
      <c r="WZT19" s="3507"/>
      <c r="WZU19" s="3507"/>
      <c r="WZV19" s="3507"/>
      <c r="WZW19" s="3507"/>
      <c r="WZX19" s="3507"/>
      <c r="WZY19" s="3507"/>
      <c r="WZZ19" s="3507"/>
      <c r="XAA19" s="3507"/>
      <c r="XAB19" s="3507"/>
      <c r="XAC19" s="3507"/>
      <c r="XAD19" s="3507"/>
      <c r="XAE19" s="3507"/>
      <c r="XAF19" s="3507"/>
      <c r="XAG19" s="3507"/>
      <c r="XAH19" s="3507"/>
      <c r="XAI19" s="3507"/>
      <c r="XAJ19" s="3507"/>
      <c r="XAK19" s="3507"/>
      <c r="XAL19" s="3507"/>
      <c r="XAM19" s="3507"/>
      <c r="XAN19" s="3507"/>
      <c r="XAO19" s="3507"/>
      <c r="XAP19" s="3507"/>
      <c r="XAQ19" s="3507"/>
      <c r="XAR19" s="3507"/>
      <c r="XAS19" s="3507"/>
      <c r="XAT19" s="3507"/>
      <c r="XAU19" s="3507"/>
      <c r="XAV19" s="3507"/>
      <c r="XAW19" s="3507"/>
      <c r="XAX19" s="3507"/>
      <c r="XAY19" s="3507"/>
      <c r="XAZ19" s="3507"/>
      <c r="XBA19" s="3507"/>
      <c r="XBB19" s="3507"/>
      <c r="XBC19" s="3507"/>
      <c r="XBD19" s="3507"/>
      <c r="XBE19" s="3507"/>
      <c r="XBF19" s="3507"/>
      <c r="XBG19" s="3507"/>
      <c r="XBH19" s="3507"/>
      <c r="XBI19" s="3507"/>
      <c r="XBJ19" s="3507"/>
      <c r="XBK19" s="3507"/>
      <c r="XBL19" s="3507"/>
      <c r="XBM19" s="3507"/>
      <c r="XBN19" s="3507"/>
      <c r="XBO19" s="3507"/>
      <c r="XBP19" s="3507"/>
      <c r="XBQ19" s="3507"/>
      <c r="XBR19" s="3507"/>
      <c r="XBS19" s="3507"/>
      <c r="XBT19" s="3507"/>
      <c r="XBU19" s="3507"/>
      <c r="XBV19" s="3507"/>
      <c r="XBW19" s="3507"/>
      <c r="XBX19" s="3507"/>
      <c r="XBY19" s="3507"/>
      <c r="XBZ19" s="3507"/>
      <c r="XCA19" s="3507"/>
      <c r="XCB19" s="3507"/>
      <c r="XCC19" s="3507"/>
      <c r="XCD19" s="3507"/>
      <c r="XCE19" s="3507"/>
      <c r="XCF19" s="3507"/>
      <c r="XCG19" s="3507"/>
      <c r="XCH19" s="3507"/>
      <c r="XCI19" s="3507"/>
      <c r="XCJ19" s="3507"/>
      <c r="XCK19" s="3507"/>
      <c r="XCL19" s="3507"/>
      <c r="XCM19" s="3507"/>
      <c r="XCN19" s="3507"/>
      <c r="XCO19" s="3507"/>
      <c r="XCP19" s="3507"/>
      <c r="XCQ19" s="3507"/>
      <c r="XCR19" s="3507"/>
      <c r="XCS19" s="3507"/>
      <c r="XCT19" s="3507"/>
      <c r="XCU19" s="3507"/>
      <c r="XCV19" s="3507"/>
      <c r="XCW19" s="3507"/>
      <c r="XCX19" s="3507"/>
      <c r="XCY19" s="3507"/>
      <c r="XCZ19" s="3507"/>
      <c r="XDA19" s="3507"/>
      <c r="XDB19" s="3507"/>
      <c r="XDC19" s="3507"/>
      <c r="XDD19" s="3507"/>
      <c r="XDE19" s="3507"/>
      <c r="XDF19" s="3507"/>
      <c r="XDG19" s="3507"/>
      <c r="XDH19" s="3507"/>
      <c r="XDI19" s="3507"/>
      <c r="XDJ19" s="3507"/>
      <c r="XDK19" s="3507"/>
      <c r="XDL19" s="3507"/>
      <c r="XDM19" s="3507"/>
      <c r="XDN19" s="3507"/>
      <c r="XDO19" s="3507"/>
      <c r="XDP19" s="3507"/>
      <c r="XDQ19" s="3507"/>
      <c r="XDR19" s="3507"/>
      <c r="XDS19" s="3507"/>
      <c r="XDT19" s="3507"/>
      <c r="XDU19" s="3507"/>
      <c r="XDV19" s="3507"/>
      <c r="XDW19" s="3507"/>
      <c r="XDX19" s="3507"/>
      <c r="XDY19" s="3507"/>
      <c r="XDZ19" s="3507"/>
      <c r="XEA19" s="3507"/>
      <c r="XEB19" s="3507"/>
      <c r="XEC19" s="3507"/>
      <c r="XED19" s="3507"/>
      <c r="XEE19" s="3507"/>
      <c r="XEF19" s="3507"/>
      <c r="XEG19" s="3507"/>
      <c r="XEH19" s="3507"/>
      <c r="XEI19" s="3507"/>
      <c r="XEJ19" s="3507"/>
      <c r="XEK19" s="3507"/>
      <c r="XEL19" s="3507"/>
      <c r="XEM19" s="3507"/>
      <c r="XEN19" s="3507"/>
    </row>
    <row r="20" spans="1:16368" s="3516" customFormat="1" ht="17.100000000000001" customHeight="1">
      <c r="A20" s="3580"/>
      <c r="B20" s="3507"/>
      <c r="C20" s="3507"/>
      <c r="D20" s="3508"/>
      <c r="E20" s="3508"/>
      <c r="F20" s="3508"/>
      <c r="G20" s="3508"/>
      <c r="H20" s="3508"/>
      <c r="I20" s="3508"/>
      <c r="J20" s="3508"/>
      <c r="K20" s="3508"/>
      <c r="L20" s="3508"/>
      <c r="M20" s="3508"/>
      <c r="N20" s="3508"/>
      <c r="O20" s="3508"/>
      <c r="P20" s="3508"/>
      <c r="Q20" s="3508"/>
      <c r="R20" s="3507"/>
      <c r="S20" s="3507"/>
      <c r="T20" s="3508"/>
      <c r="U20" s="3508"/>
      <c r="V20" s="3508"/>
      <c r="W20" s="3508"/>
      <c r="X20" s="3508"/>
      <c r="Y20" s="3508"/>
      <c r="Z20" s="3508"/>
      <c r="AA20" s="3508"/>
      <c r="AB20" s="3508"/>
      <c r="AC20" s="3508"/>
      <c r="AD20" s="3508"/>
      <c r="AE20" s="3509"/>
      <c r="AF20" s="3510"/>
      <c r="AG20" s="3511"/>
      <c r="AH20" s="3509"/>
      <c r="AI20" s="3510"/>
      <c r="AJ20" s="3508"/>
      <c r="AK20" s="3508"/>
      <c r="AL20" s="3508"/>
      <c r="AM20" s="3508"/>
      <c r="AN20" s="3509"/>
      <c r="AO20" s="3510"/>
      <c r="AP20" s="3511"/>
      <c r="AQ20" s="3509"/>
      <c r="AR20" s="3510"/>
      <c r="AS20" s="3508"/>
      <c r="AT20" s="3508"/>
      <c r="AU20" s="3508"/>
      <c r="AV20" s="3509"/>
      <c r="AW20" s="3510"/>
      <c r="AX20" s="3508"/>
      <c r="AY20" s="3509"/>
      <c r="AZ20" s="3510"/>
      <c r="BA20" s="3508"/>
      <c r="BB20" s="3508"/>
      <c r="BC20" s="3508"/>
      <c r="BD20" s="3509"/>
      <c r="BE20" s="3512"/>
      <c r="BF20" s="3511"/>
      <c r="BG20" s="3511"/>
      <c r="BH20" s="3511"/>
      <c r="BI20" s="3511"/>
      <c r="BJ20" s="3508"/>
      <c r="BK20" s="3508"/>
      <c r="BL20" s="3509"/>
      <c r="BM20" s="3510"/>
      <c r="BN20" s="3511"/>
      <c r="BO20" s="3509"/>
      <c r="BP20" s="3510"/>
      <c r="BQ20" s="3511"/>
      <c r="BR20" s="3508"/>
      <c r="BS20" s="3508"/>
      <c r="BT20" s="3509"/>
      <c r="BU20" s="3510"/>
      <c r="BV20" s="3511"/>
      <c r="BW20" s="3509"/>
      <c r="BX20" s="3510"/>
      <c r="BY20" s="3511"/>
      <c r="BZ20" s="3508"/>
      <c r="CA20" s="3508"/>
      <c r="CB20" s="3509"/>
      <c r="CC20" s="3510"/>
      <c r="CD20" s="3508"/>
      <c r="CE20" s="3509"/>
      <c r="CF20" s="3510"/>
      <c r="CG20" s="3508"/>
      <c r="CH20" s="3508"/>
      <c r="CI20" s="3508"/>
      <c r="CJ20" s="3509"/>
      <c r="CK20" s="3510"/>
      <c r="CL20" s="3508"/>
      <c r="CM20" s="3508"/>
      <c r="CN20" s="3510"/>
      <c r="CO20" s="3508"/>
      <c r="CP20" s="3508"/>
      <c r="CQ20" s="3508"/>
      <c r="CR20" s="3509"/>
      <c r="CS20" s="3510"/>
      <c r="CT20" s="3508"/>
      <c r="CU20" s="3508"/>
      <c r="CV20" s="3510"/>
      <c r="CW20" s="3508"/>
      <c r="CX20" s="3508"/>
      <c r="CY20" s="3508"/>
      <c r="CZ20" s="3509"/>
      <c r="DA20" s="3510"/>
      <c r="DB20" s="3508"/>
      <c r="DC20" s="3509"/>
      <c r="DD20" s="3510"/>
      <c r="DE20" s="3508"/>
      <c r="DF20" s="3508"/>
      <c r="DG20" s="3508"/>
      <c r="DH20" s="3509"/>
      <c r="DI20" s="3510"/>
      <c r="DJ20" s="3508"/>
      <c r="DK20" s="3509"/>
      <c r="DL20" s="3510"/>
      <c r="DM20" s="3508"/>
      <c r="DN20" s="3513"/>
      <c r="DO20" s="3508"/>
      <c r="DP20" s="3509"/>
      <c r="DQ20" s="3510"/>
      <c r="DR20" s="3508"/>
      <c r="DS20" s="3509"/>
      <c r="DT20" s="3510"/>
      <c r="DU20" s="3508"/>
      <c r="DV20" s="3513"/>
      <c r="DW20" s="3508"/>
      <c r="DX20" s="3509"/>
      <c r="DY20" s="3510"/>
      <c r="DZ20" s="3508"/>
      <c r="EA20" s="3508"/>
      <c r="EB20" s="3510"/>
      <c r="EC20" s="3508"/>
      <c r="ED20" s="3508"/>
      <c r="EE20" s="3508"/>
      <c r="EF20" s="3508"/>
      <c r="EG20" s="3508"/>
      <c r="EH20" s="3508"/>
      <c r="EI20" s="3508"/>
      <c r="EJ20" s="3508"/>
      <c r="EK20" s="3509"/>
      <c r="EL20" s="3510"/>
      <c r="EM20" s="3510"/>
      <c r="EN20" s="3508"/>
      <c r="EO20" s="3508"/>
      <c r="EP20" s="3508"/>
      <c r="EQ20" s="3508"/>
      <c r="ER20" s="3508"/>
      <c r="ES20" s="3507"/>
      <c r="EU20" s="3507"/>
      <c r="EV20" s="3722"/>
      <c r="EW20" s="3716"/>
      <c r="EX20" s="3507"/>
      <c r="EY20" s="3507"/>
      <c r="EZ20" s="3507"/>
      <c r="FA20" s="3716"/>
      <c r="FB20" s="3507"/>
      <c r="FC20" s="3507"/>
      <c r="FD20" s="3507"/>
      <c r="FE20" s="3716"/>
      <c r="FF20" s="3507"/>
      <c r="FG20" s="3507"/>
      <c r="FH20" s="3507"/>
      <c r="FI20" s="3716"/>
      <c r="FJ20" s="3507"/>
      <c r="FK20" s="3510"/>
      <c r="FL20" s="3816"/>
      <c r="FM20" s="3716"/>
      <c r="FN20" s="3507"/>
      <c r="FO20" s="3507"/>
      <c r="FP20" s="3507"/>
      <c r="FQ20" s="3716"/>
      <c r="FR20" s="3729"/>
      <c r="FS20" s="3510"/>
      <c r="FT20" s="3816"/>
      <c r="FU20" s="3716"/>
      <c r="FV20" s="3507"/>
      <c r="FW20" s="3507"/>
      <c r="FY20" s="3716"/>
      <c r="FZ20" s="3509"/>
      <c r="GA20" s="3510"/>
      <c r="GB20" s="3818"/>
      <c r="GC20" s="3716"/>
      <c r="GD20" s="3507"/>
      <c r="GE20" s="3507"/>
      <c r="GF20" s="3507"/>
      <c r="GG20" s="3716"/>
      <c r="GH20" s="3507"/>
      <c r="GI20" s="3507"/>
      <c r="GJ20" s="3507"/>
      <c r="GK20" s="3716"/>
      <c r="GL20" s="3507"/>
      <c r="GM20" s="3507"/>
      <c r="GN20" s="3507"/>
      <c r="GO20" s="3716"/>
      <c r="GP20" s="3507"/>
      <c r="GQ20" s="3507"/>
      <c r="GR20" s="3507"/>
      <c r="GS20" s="3716"/>
      <c r="GT20" s="3507"/>
      <c r="GU20" s="3507"/>
      <c r="GV20" s="3507"/>
      <c r="GW20" s="3716"/>
      <c r="GX20" s="3507"/>
      <c r="GY20" s="3507"/>
      <c r="GZ20" s="3507"/>
      <c r="HA20" s="3716"/>
      <c r="HB20" s="3507"/>
      <c r="HC20" s="3507"/>
      <c r="HD20" s="3507"/>
      <c r="HE20" s="3716"/>
      <c r="HF20" s="3507"/>
      <c r="HG20" s="3507"/>
      <c r="HH20" s="3507"/>
      <c r="HI20" s="3716"/>
      <c r="HJ20" s="3507"/>
      <c r="HK20" s="3507"/>
      <c r="HL20" s="3507"/>
      <c r="HM20" s="3716"/>
      <c r="HN20" s="3507"/>
      <c r="HO20" s="3507"/>
      <c r="HP20" s="3507"/>
      <c r="HQ20" s="3716"/>
      <c r="HR20" s="3507"/>
      <c r="HS20" s="3507"/>
      <c r="HT20" s="3507"/>
      <c r="HU20" s="3716"/>
      <c r="HV20" s="3507"/>
      <c r="HW20" s="3507"/>
      <c r="HX20" s="3507"/>
      <c r="HY20" s="3716"/>
      <c r="HZ20" s="3507"/>
      <c r="IA20" s="3507"/>
      <c r="IB20" s="3507"/>
      <c r="IC20" s="3716"/>
      <c r="ID20" s="3507"/>
      <c r="IE20" s="3507"/>
      <c r="IF20" s="3507"/>
      <c r="IG20" s="3716"/>
      <c r="IH20" s="3507"/>
      <c r="II20" s="3507"/>
      <c r="IJ20" s="3507"/>
      <c r="IK20" s="3716"/>
      <c r="IL20" s="3517"/>
      <c r="IO20" s="3507"/>
      <c r="IP20" s="3515"/>
      <c r="IQ20" s="3515"/>
      <c r="IR20" s="3515"/>
      <c r="IS20" s="3515"/>
      <c r="IT20" s="3515"/>
      <c r="IU20" s="3515"/>
      <c r="IV20" s="3515"/>
      <c r="IW20" s="3515"/>
      <c r="IX20" s="3515"/>
      <c r="IY20" s="3515"/>
      <c r="IZ20" s="3515"/>
      <c r="JA20" s="3515"/>
      <c r="JB20" s="3515"/>
      <c r="JC20" s="3515"/>
      <c r="JD20" s="3515"/>
      <c r="JE20" s="3515"/>
      <c r="JF20" s="3515"/>
      <c r="JG20" s="3515"/>
      <c r="JH20" s="3515"/>
      <c r="JI20" s="3515"/>
      <c r="JJ20" s="3515"/>
      <c r="JK20" s="3515"/>
      <c r="JL20" s="3515"/>
      <c r="JM20" s="3515"/>
      <c r="JN20" s="3515"/>
      <c r="JO20" s="3515"/>
      <c r="JP20" s="3507"/>
      <c r="JS20" s="3507"/>
      <c r="JT20" s="3507"/>
      <c r="JU20" s="3507"/>
      <c r="JV20" s="3507"/>
      <c r="JW20" s="3507"/>
      <c r="JX20" s="3507"/>
      <c r="JY20" s="3507"/>
      <c r="KA20" s="3577"/>
      <c r="KB20" s="3577"/>
      <c r="KC20" s="3577"/>
      <c r="KD20" s="3577"/>
      <c r="KE20" s="3577"/>
      <c r="KF20" s="3577"/>
      <c r="KG20" s="3577"/>
      <c r="KH20" s="3577"/>
      <c r="KI20" s="3577"/>
      <c r="KJ20" s="3577"/>
      <c r="KK20" s="3577"/>
      <c r="KL20" s="3577"/>
      <c r="KM20" s="3577"/>
      <c r="KN20" s="3577"/>
      <c r="KO20" s="3577"/>
      <c r="KP20" s="3577"/>
      <c r="KS20" s="3507"/>
      <c r="KT20" s="3507"/>
      <c r="KU20" s="3507"/>
      <c r="KV20" s="3507"/>
      <c r="KW20" s="3507"/>
      <c r="KX20" s="3507"/>
      <c r="KY20" s="3507"/>
      <c r="KZ20" s="3507"/>
      <c r="LA20" s="3507"/>
      <c r="LB20" s="3507"/>
      <c r="LC20" s="3507"/>
      <c r="LD20" s="3507"/>
      <c r="LE20" s="3507"/>
      <c r="LF20" s="3507"/>
      <c r="LG20" s="3507"/>
      <c r="LH20" s="3507"/>
      <c r="LI20" s="3507"/>
      <c r="LJ20" s="3507"/>
      <c r="LK20" s="3507"/>
      <c r="LL20" s="3507"/>
      <c r="LM20" s="3507"/>
      <c r="LN20" s="3507"/>
      <c r="LO20" s="3507"/>
      <c r="LP20" s="3507"/>
      <c r="LQ20" s="3507"/>
      <c r="LR20" s="3507"/>
      <c r="LS20" s="3507"/>
      <c r="LT20" s="3507"/>
      <c r="LU20" s="3507"/>
      <c r="LV20" s="3507"/>
      <c r="LW20" s="3507"/>
      <c r="LX20" s="3507"/>
      <c r="LY20" s="3507"/>
      <c r="LZ20" s="3507"/>
      <c r="MA20" s="3507"/>
      <c r="MB20" s="3507"/>
      <c r="MC20" s="3507"/>
      <c r="MD20" s="3507"/>
      <c r="ME20" s="3507"/>
      <c r="MF20" s="3507"/>
      <c r="MG20" s="3507"/>
      <c r="MH20" s="3507"/>
      <c r="MI20" s="3507"/>
      <c r="MJ20" s="3507"/>
      <c r="MK20" s="3507"/>
      <c r="ML20" s="3507"/>
      <c r="MM20" s="3507"/>
      <c r="MN20" s="3507"/>
      <c r="MO20" s="3507"/>
      <c r="MP20" s="3507"/>
      <c r="MQ20" s="3507"/>
      <c r="MR20" s="3507"/>
      <c r="MS20" s="3507"/>
      <c r="MT20" s="3507"/>
      <c r="MU20" s="3507"/>
      <c r="MV20" s="3507"/>
      <c r="MW20" s="3507"/>
      <c r="MX20" s="3507"/>
      <c r="MY20" s="3507"/>
      <c r="MZ20" s="3507"/>
      <c r="NA20" s="3507"/>
      <c r="NB20" s="3507"/>
      <c r="NC20" s="3507"/>
      <c r="ND20" s="3507"/>
      <c r="NE20" s="3507"/>
      <c r="NF20" s="3507"/>
      <c r="NG20" s="3507"/>
      <c r="NH20" s="3507"/>
      <c r="NI20" s="3507"/>
      <c r="NJ20" s="3507"/>
      <c r="NK20" s="3507"/>
      <c r="NL20" s="3507"/>
      <c r="NM20" s="3507"/>
      <c r="NN20" s="3507"/>
      <c r="NO20" s="3507"/>
      <c r="NP20" s="3507"/>
      <c r="NQ20" s="3507"/>
      <c r="NR20" s="3507"/>
      <c r="NS20" s="3507"/>
      <c r="NT20" s="3507"/>
      <c r="NU20" s="3507"/>
      <c r="NV20" s="3507"/>
      <c r="NW20" s="3507"/>
      <c r="NX20" s="3507"/>
      <c r="NY20" s="3507"/>
      <c r="NZ20" s="3507"/>
      <c r="OA20" s="3507"/>
      <c r="OB20" s="3507"/>
      <c r="OC20" s="3507"/>
      <c r="OD20" s="3507"/>
      <c r="OE20" s="3507"/>
      <c r="OF20" s="3507"/>
      <c r="OG20" s="3507"/>
      <c r="OH20" s="3507"/>
      <c r="OI20" s="3507"/>
      <c r="OJ20" s="3507"/>
      <c r="OK20" s="3507"/>
      <c r="OL20" s="3507"/>
      <c r="OM20" s="3507"/>
      <c r="ON20" s="3507"/>
      <c r="OO20" s="3507"/>
      <c r="OP20" s="3507"/>
      <c r="OQ20" s="3507"/>
      <c r="OR20" s="3507"/>
      <c r="OS20" s="3507"/>
      <c r="OT20" s="3507"/>
      <c r="OU20" s="3507"/>
      <c r="OV20" s="3507"/>
      <c r="OW20" s="3507"/>
      <c r="OX20" s="3507"/>
      <c r="OY20" s="3507"/>
      <c r="OZ20" s="3507"/>
      <c r="PA20" s="3507"/>
      <c r="PB20" s="3507"/>
      <c r="PC20" s="3507"/>
      <c r="PD20" s="3507"/>
      <c r="PE20" s="3507"/>
      <c r="PF20" s="3507"/>
      <c r="PG20" s="3507"/>
      <c r="PH20" s="3507"/>
      <c r="PI20" s="3507"/>
      <c r="PJ20" s="3507"/>
      <c r="PK20" s="3507"/>
      <c r="PL20" s="3507"/>
      <c r="PM20" s="3507"/>
      <c r="PN20" s="3507"/>
      <c r="PO20" s="3507"/>
      <c r="PP20" s="3507"/>
      <c r="PQ20" s="3507"/>
      <c r="PR20" s="3507"/>
      <c r="PS20" s="3507"/>
      <c r="PT20" s="3507"/>
      <c r="PU20" s="3507"/>
      <c r="PV20" s="3507"/>
      <c r="PW20" s="3507"/>
      <c r="PX20" s="3507"/>
      <c r="PY20" s="3507"/>
      <c r="PZ20" s="3507"/>
      <c r="QA20" s="3507"/>
      <c r="QB20" s="3507"/>
      <c r="QC20" s="3507"/>
      <c r="QD20" s="3507"/>
      <c r="QE20" s="3507"/>
      <c r="QF20" s="3507"/>
      <c r="QG20" s="3507"/>
      <c r="QH20" s="3507"/>
      <c r="QI20" s="3507"/>
      <c r="QJ20" s="3507"/>
      <c r="QK20" s="3507"/>
      <c r="QL20" s="3507"/>
      <c r="QM20" s="3507"/>
      <c r="QN20" s="3507"/>
      <c r="QO20" s="3507"/>
      <c r="QP20" s="3507"/>
      <c r="QQ20" s="3507"/>
      <c r="QR20" s="3507"/>
      <c r="QS20" s="3507"/>
      <c r="QT20" s="3507"/>
      <c r="QU20" s="3507"/>
      <c r="QV20" s="3507"/>
      <c r="QW20" s="3507"/>
      <c r="QX20" s="3507"/>
      <c r="QY20" s="3507"/>
      <c r="QZ20" s="3507"/>
      <c r="RA20" s="3507"/>
      <c r="RB20" s="3507"/>
      <c r="RC20" s="3507"/>
      <c r="RD20" s="3507"/>
      <c r="RE20" s="3507"/>
      <c r="RF20" s="3507"/>
      <c r="RG20" s="3507"/>
      <c r="RH20" s="3507"/>
      <c r="RI20" s="3507"/>
      <c r="RJ20" s="3507"/>
      <c r="RK20" s="3507"/>
      <c r="RL20" s="3507"/>
      <c r="RM20" s="3507"/>
      <c r="RN20" s="3507"/>
      <c r="RO20" s="3507"/>
      <c r="RP20" s="3507"/>
      <c r="RQ20" s="3507"/>
      <c r="RR20" s="3507"/>
      <c r="RS20" s="3507"/>
      <c r="RT20" s="3507"/>
      <c r="RU20" s="3507"/>
      <c r="RV20" s="3507"/>
      <c r="RW20" s="3507"/>
      <c r="RX20" s="3507"/>
      <c r="RY20" s="3507"/>
      <c r="RZ20" s="3507"/>
      <c r="SA20" s="3507"/>
      <c r="SB20" s="3507"/>
      <c r="SC20" s="3507"/>
      <c r="SD20" s="3507"/>
      <c r="SE20" s="3507"/>
      <c r="SF20" s="3507"/>
      <c r="SG20" s="3507"/>
      <c r="SH20" s="3507"/>
      <c r="SI20" s="3507"/>
      <c r="SJ20" s="3507"/>
      <c r="SK20" s="3507"/>
      <c r="SL20" s="3507"/>
      <c r="SM20" s="3507"/>
      <c r="SN20" s="3507"/>
      <c r="SO20" s="3507"/>
      <c r="SP20" s="3507"/>
      <c r="SQ20" s="3507"/>
      <c r="SR20" s="3507"/>
      <c r="SS20" s="3507"/>
      <c r="ST20" s="3507"/>
      <c r="SU20" s="3507"/>
      <c r="SV20" s="3507"/>
      <c r="SW20" s="3507"/>
      <c r="SX20" s="3507"/>
      <c r="SY20" s="3507"/>
      <c r="SZ20" s="3507"/>
      <c r="TA20" s="3507"/>
      <c r="TB20" s="3507"/>
      <c r="TC20" s="3507"/>
      <c r="TD20" s="3507"/>
      <c r="TE20" s="3507"/>
      <c r="TF20" s="3507"/>
      <c r="TG20" s="3507"/>
      <c r="TH20" s="3507"/>
      <c r="TI20" s="3507"/>
      <c r="TJ20" s="3507"/>
      <c r="TK20" s="3507"/>
      <c r="TL20" s="3507"/>
      <c r="TM20" s="3507"/>
      <c r="TN20" s="3507"/>
      <c r="TO20" s="3507"/>
      <c r="TP20" s="3507"/>
      <c r="TQ20" s="3507"/>
      <c r="TR20" s="3507"/>
      <c r="TS20" s="3507"/>
      <c r="TT20" s="3507"/>
      <c r="TU20" s="3507"/>
      <c r="TV20" s="3507"/>
      <c r="TW20" s="3507"/>
      <c r="TX20" s="3507"/>
      <c r="TY20" s="3507"/>
      <c r="TZ20" s="3507"/>
      <c r="UA20" s="3507"/>
      <c r="UB20" s="3507"/>
      <c r="UC20" s="3507"/>
      <c r="UD20" s="3507"/>
      <c r="UE20" s="3507"/>
      <c r="UF20" s="3507"/>
      <c r="UG20" s="3507"/>
      <c r="UH20" s="3507"/>
      <c r="UI20" s="3507"/>
      <c r="UJ20" s="3507"/>
      <c r="UK20" s="3507"/>
      <c r="UL20" s="3507"/>
      <c r="UM20" s="3507"/>
      <c r="UN20" s="3507"/>
      <c r="UO20" s="3507"/>
      <c r="UP20" s="3507"/>
      <c r="UQ20" s="3507"/>
      <c r="UR20" s="3507"/>
      <c r="US20" s="3507"/>
      <c r="UT20" s="3507"/>
      <c r="UU20" s="3507"/>
      <c r="UV20" s="3507"/>
      <c r="UW20" s="3507"/>
      <c r="UX20" s="3507"/>
      <c r="UY20" s="3507"/>
      <c r="UZ20" s="3507"/>
      <c r="VA20" s="3507"/>
      <c r="VB20" s="3507"/>
      <c r="VC20" s="3507"/>
      <c r="VD20" s="3507"/>
      <c r="VE20" s="3507"/>
      <c r="VF20" s="3507"/>
      <c r="VG20" s="3507"/>
      <c r="VH20" s="3507"/>
      <c r="VI20" s="3507"/>
      <c r="VJ20" s="3507"/>
      <c r="VK20" s="3507"/>
      <c r="VL20" s="3507"/>
      <c r="VM20" s="3507"/>
      <c r="VN20" s="3507"/>
      <c r="VO20" s="3507"/>
      <c r="VP20" s="3507"/>
      <c r="VQ20" s="3507"/>
      <c r="VR20" s="3507"/>
      <c r="VS20" s="3507"/>
      <c r="VT20" s="3507"/>
      <c r="VU20" s="3507"/>
      <c r="VV20" s="3507"/>
      <c r="VW20" s="3507"/>
      <c r="VX20" s="3507"/>
      <c r="VY20" s="3507"/>
      <c r="VZ20" s="3507"/>
      <c r="WA20" s="3507"/>
      <c r="WB20" s="3507"/>
      <c r="WC20" s="3507"/>
      <c r="WD20" s="3507"/>
      <c r="WE20" s="3507"/>
      <c r="WF20" s="3507"/>
      <c r="WG20" s="3507"/>
      <c r="WH20" s="3507"/>
      <c r="WI20" s="3507"/>
      <c r="WJ20" s="3507"/>
      <c r="WK20" s="3507"/>
      <c r="WL20" s="3507"/>
      <c r="WM20" s="3507"/>
      <c r="WN20" s="3507"/>
      <c r="WO20" s="3507"/>
      <c r="WP20" s="3507"/>
      <c r="WQ20" s="3507"/>
      <c r="WR20" s="3507"/>
      <c r="WS20" s="3507"/>
      <c r="WT20" s="3507"/>
      <c r="WU20" s="3507"/>
      <c r="WV20" s="3507"/>
      <c r="WW20" s="3507"/>
      <c r="WX20" s="3507"/>
      <c r="WY20" s="3507"/>
      <c r="WZ20" s="3507"/>
      <c r="XA20" s="3507"/>
      <c r="XB20" s="3507"/>
      <c r="XC20" s="3507"/>
      <c r="XD20" s="3507"/>
      <c r="XE20" s="3507"/>
      <c r="XF20" s="3507"/>
      <c r="XG20" s="3507"/>
      <c r="XH20" s="3507"/>
      <c r="XI20" s="3507"/>
      <c r="XJ20" s="3507"/>
      <c r="XK20" s="3507"/>
      <c r="XL20" s="3507"/>
      <c r="XM20" s="3507"/>
      <c r="XN20" s="3507"/>
      <c r="XO20" s="3507"/>
      <c r="XP20" s="3507"/>
      <c r="XQ20" s="3507"/>
      <c r="XR20" s="3507"/>
      <c r="XS20" s="3507"/>
      <c r="XT20" s="3507"/>
      <c r="XU20" s="3507"/>
      <c r="XV20" s="3507"/>
      <c r="XW20" s="3507"/>
      <c r="XX20" s="3507"/>
      <c r="XY20" s="3507"/>
      <c r="XZ20" s="3507"/>
      <c r="YA20" s="3507"/>
      <c r="YB20" s="3507"/>
      <c r="YC20" s="3507"/>
      <c r="YD20" s="3507"/>
      <c r="YE20" s="3507"/>
      <c r="YF20" s="3507"/>
      <c r="YG20" s="3507"/>
      <c r="YH20" s="3507"/>
      <c r="YI20" s="3507"/>
      <c r="YJ20" s="3507"/>
      <c r="YK20" s="3507"/>
      <c r="YL20" s="3507"/>
      <c r="YM20" s="3507"/>
      <c r="YN20" s="3507"/>
      <c r="YO20" s="3507"/>
      <c r="YP20" s="3507"/>
      <c r="YQ20" s="3507"/>
      <c r="YR20" s="3507"/>
      <c r="YS20" s="3507"/>
      <c r="YT20" s="3507"/>
      <c r="YU20" s="3507"/>
      <c r="YV20" s="3507"/>
      <c r="YW20" s="3507"/>
      <c r="YX20" s="3507"/>
      <c r="YY20" s="3507"/>
      <c r="YZ20" s="3507"/>
      <c r="ZA20" s="3507"/>
      <c r="ZB20" s="3507"/>
      <c r="ZC20" s="3507"/>
      <c r="ZD20" s="3507"/>
      <c r="ZE20" s="3507"/>
      <c r="ZF20" s="3507"/>
      <c r="ZG20" s="3507"/>
      <c r="ZH20" s="3507"/>
      <c r="ZI20" s="3507"/>
      <c r="ZJ20" s="3507"/>
      <c r="ZK20" s="3507"/>
      <c r="ZL20" s="3507"/>
      <c r="ZM20" s="3507"/>
      <c r="ZN20" s="3507"/>
      <c r="ZO20" s="3507"/>
      <c r="ZP20" s="3507"/>
      <c r="ZQ20" s="3507"/>
      <c r="ZR20" s="3507"/>
      <c r="ZS20" s="3507"/>
      <c r="ZT20" s="3507"/>
      <c r="ZU20" s="3507"/>
      <c r="ZV20" s="3507"/>
      <c r="ZW20" s="3507"/>
      <c r="ZX20" s="3507"/>
      <c r="ZY20" s="3507"/>
      <c r="ZZ20" s="3507"/>
      <c r="AAA20" s="3507"/>
      <c r="AAB20" s="3507"/>
      <c r="AAC20" s="3507"/>
      <c r="AAD20" s="3507"/>
      <c r="AAE20" s="3507"/>
      <c r="AAF20" s="3507"/>
      <c r="AAG20" s="3507"/>
      <c r="AAH20" s="3507"/>
      <c r="AAI20" s="3507"/>
      <c r="AAJ20" s="3507"/>
      <c r="AAK20" s="3507"/>
      <c r="AAL20" s="3507"/>
      <c r="AAM20" s="3507"/>
      <c r="AAN20" s="3507"/>
      <c r="AAO20" s="3507"/>
      <c r="AAP20" s="3507"/>
      <c r="AAQ20" s="3507"/>
      <c r="AAR20" s="3507"/>
      <c r="AAS20" s="3507"/>
      <c r="AAT20" s="3507"/>
      <c r="AAU20" s="3507"/>
      <c r="AAV20" s="3507"/>
      <c r="AAW20" s="3507"/>
      <c r="AAX20" s="3507"/>
      <c r="AAY20" s="3507"/>
      <c r="AAZ20" s="3507"/>
      <c r="ABA20" s="3507"/>
      <c r="ABB20" s="3507"/>
      <c r="ABC20" s="3507"/>
      <c r="ABD20" s="3507"/>
      <c r="ABE20" s="3507"/>
      <c r="ABF20" s="3507"/>
      <c r="ABG20" s="3507"/>
      <c r="ABH20" s="3507"/>
      <c r="ABI20" s="3507"/>
      <c r="ABJ20" s="3507"/>
      <c r="ABK20" s="3507"/>
      <c r="ABL20" s="3507"/>
      <c r="ABM20" s="3507"/>
      <c r="ABN20" s="3507"/>
      <c r="ABO20" s="3507"/>
      <c r="ABP20" s="3507"/>
      <c r="ABQ20" s="3507"/>
      <c r="ABR20" s="3507"/>
      <c r="ABS20" s="3507"/>
      <c r="ABT20" s="3507"/>
      <c r="ABU20" s="3507"/>
      <c r="ABV20" s="3507"/>
      <c r="ABW20" s="3507"/>
      <c r="ABX20" s="3507"/>
      <c r="ABY20" s="3507"/>
      <c r="ABZ20" s="3507"/>
      <c r="ACA20" s="3507"/>
      <c r="ACB20" s="3507"/>
      <c r="ACC20" s="3507"/>
      <c r="ACD20" s="3507"/>
      <c r="ACE20" s="3507"/>
      <c r="ACF20" s="3507"/>
      <c r="ACG20" s="3507"/>
      <c r="ACH20" s="3507"/>
      <c r="ACI20" s="3507"/>
      <c r="ACJ20" s="3507"/>
      <c r="ACK20" s="3507"/>
      <c r="ACL20" s="3507"/>
      <c r="ACM20" s="3507"/>
      <c r="ACN20" s="3507"/>
      <c r="ACO20" s="3507"/>
      <c r="ACP20" s="3507"/>
      <c r="ACQ20" s="3507"/>
      <c r="ACR20" s="3507"/>
      <c r="ACS20" s="3507"/>
      <c r="ACT20" s="3507"/>
      <c r="ACU20" s="3507"/>
      <c r="ACV20" s="3507"/>
      <c r="ACW20" s="3507"/>
      <c r="ACX20" s="3507"/>
      <c r="ACY20" s="3507"/>
      <c r="ACZ20" s="3507"/>
      <c r="ADA20" s="3507"/>
      <c r="ADB20" s="3507"/>
      <c r="ADC20" s="3507"/>
      <c r="ADD20" s="3507"/>
      <c r="ADE20" s="3507"/>
      <c r="ADF20" s="3507"/>
      <c r="ADG20" s="3507"/>
      <c r="ADH20" s="3507"/>
      <c r="ADI20" s="3507"/>
      <c r="ADJ20" s="3507"/>
      <c r="ADK20" s="3507"/>
      <c r="ADL20" s="3507"/>
      <c r="ADM20" s="3507"/>
      <c r="ADN20" s="3507"/>
      <c r="ADO20" s="3507"/>
      <c r="ADP20" s="3507"/>
      <c r="ADQ20" s="3507"/>
      <c r="ADR20" s="3507"/>
      <c r="ADS20" s="3507"/>
      <c r="ADT20" s="3507"/>
      <c r="ADU20" s="3507"/>
      <c r="ADV20" s="3507"/>
      <c r="ADW20" s="3507"/>
      <c r="ADX20" s="3507"/>
      <c r="ADY20" s="3507"/>
      <c r="ADZ20" s="3507"/>
      <c r="AEA20" s="3507"/>
      <c r="AEB20" s="3507"/>
      <c r="AEC20" s="3507"/>
      <c r="AED20" s="3507"/>
      <c r="AEE20" s="3507"/>
      <c r="AEF20" s="3507"/>
      <c r="AEG20" s="3507"/>
      <c r="AEH20" s="3507"/>
      <c r="AEI20" s="3507"/>
      <c r="AEJ20" s="3507"/>
      <c r="AEK20" s="3507"/>
      <c r="AEL20" s="3507"/>
      <c r="AEM20" s="3507"/>
      <c r="AEN20" s="3507"/>
      <c r="AEO20" s="3507"/>
      <c r="AEP20" s="3507"/>
      <c r="AEQ20" s="3507"/>
      <c r="AER20" s="3507"/>
      <c r="AES20" s="3507"/>
      <c r="AET20" s="3507"/>
      <c r="AEU20" s="3507"/>
      <c r="AEV20" s="3507"/>
      <c r="AEW20" s="3507"/>
      <c r="AEX20" s="3507"/>
      <c r="AEY20" s="3507"/>
      <c r="AEZ20" s="3507"/>
      <c r="AFA20" s="3507"/>
      <c r="AFB20" s="3507"/>
      <c r="AFC20" s="3507"/>
      <c r="AFD20" s="3507"/>
      <c r="AFE20" s="3507"/>
      <c r="AFF20" s="3507"/>
      <c r="AFG20" s="3507"/>
      <c r="AFH20" s="3507"/>
      <c r="AFI20" s="3507"/>
      <c r="AFJ20" s="3507"/>
      <c r="AFK20" s="3507"/>
      <c r="AFL20" s="3507"/>
      <c r="AFM20" s="3507"/>
      <c r="AFN20" s="3507"/>
      <c r="AFO20" s="3507"/>
      <c r="AFP20" s="3507"/>
      <c r="AFQ20" s="3507"/>
      <c r="AFR20" s="3507"/>
      <c r="AFS20" s="3507"/>
      <c r="AFT20" s="3507"/>
      <c r="AFU20" s="3507"/>
      <c r="AFV20" s="3507"/>
      <c r="AFW20" s="3507"/>
      <c r="AFX20" s="3507"/>
      <c r="AFY20" s="3507"/>
      <c r="AFZ20" s="3507"/>
      <c r="AGA20" s="3507"/>
      <c r="AGB20" s="3507"/>
      <c r="AGC20" s="3507"/>
      <c r="AGD20" s="3507"/>
      <c r="AGE20" s="3507"/>
      <c r="AGF20" s="3507"/>
      <c r="AGG20" s="3507"/>
      <c r="AGH20" s="3507"/>
      <c r="AGI20" s="3507"/>
      <c r="AGJ20" s="3507"/>
      <c r="AGK20" s="3507"/>
      <c r="AGL20" s="3507"/>
      <c r="AGM20" s="3507"/>
      <c r="AGN20" s="3507"/>
      <c r="AGO20" s="3507"/>
      <c r="AGP20" s="3507"/>
      <c r="AGQ20" s="3507"/>
      <c r="AGR20" s="3507"/>
      <c r="AGS20" s="3507"/>
      <c r="AGT20" s="3507"/>
      <c r="AGU20" s="3507"/>
      <c r="AGV20" s="3507"/>
      <c r="AGW20" s="3507"/>
      <c r="AGX20" s="3507"/>
      <c r="AGY20" s="3507"/>
      <c r="AGZ20" s="3507"/>
      <c r="AHA20" s="3507"/>
      <c r="AHB20" s="3507"/>
      <c r="AHC20" s="3507"/>
      <c r="AHD20" s="3507"/>
      <c r="AHE20" s="3507"/>
      <c r="AHF20" s="3507"/>
      <c r="AHG20" s="3507"/>
      <c r="AHH20" s="3507"/>
      <c r="AHI20" s="3507"/>
      <c r="AHJ20" s="3507"/>
      <c r="AHK20" s="3507"/>
      <c r="AHL20" s="3507"/>
      <c r="AHM20" s="3507"/>
      <c r="AHN20" s="3507"/>
      <c r="AHO20" s="3507"/>
      <c r="AHP20" s="3507"/>
      <c r="AHQ20" s="3507"/>
      <c r="AHR20" s="3507"/>
      <c r="AHS20" s="3507"/>
      <c r="AHT20" s="3507"/>
      <c r="AHU20" s="3507"/>
      <c r="AHV20" s="3507"/>
      <c r="AHW20" s="3507"/>
      <c r="AHX20" s="3507"/>
      <c r="AHY20" s="3507"/>
      <c r="AHZ20" s="3507"/>
      <c r="AIA20" s="3507"/>
      <c r="AIB20" s="3507"/>
      <c r="AIC20" s="3507"/>
      <c r="AID20" s="3507"/>
      <c r="AIE20" s="3507"/>
      <c r="AIF20" s="3507"/>
      <c r="AIG20" s="3507"/>
      <c r="AIH20" s="3507"/>
      <c r="AII20" s="3507"/>
      <c r="AIJ20" s="3507"/>
      <c r="AIK20" s="3507"/>
      <c r="AIL20" s="3507"/>
      <c r="AIM20" s="3507"/>
      <c r="AIN20" s="3507"/>
      <c r="AIO20" s="3507"/>
      <c r="AIP20" s="3507"/>
      <c r="AIQ20" s="3507"/>
      <c r="AIR20" s="3507"/>
      <c r="AIS20" s="3507"/>
      <c r="AIT20" s="3507"/>
      <c r="AIU20" s="3507"/>
      <c r="AIV20" s="3507"/>
      <c r="AIW20" s="3507"/>
      <c r="AIX20" s="3507"/>
      <c r="AIY20" s="3507"/>
      <c r="AIZ20" s="3507"/>
      <c r="AJA20" s="3507"/>
      <c r="AJB20" s="3507"/>
      <c r="AJC20" s="3507"/>
      <c r="AJD20" s="3507"/>
      <c r="AJE20" s="3507"/>
      <c r="AJF20" s="3507"/>
      <c r="AJG20" s="3507"/>
      <c r="AJH20" s="3507"/>
      <c r="AJI20" s="3507"/>
      <c r="AJJ20" s="3507"/>
      <c r="AJK20" s="3507"/>
      <c r="AJL20" s="3507"/>
      <c r="AJM20" s="3507"/>
      <c r="AJN20" s="3507"/>
      <c r="AJO20" s="3507"/>
      <c r="AJP20" s="3507"/>
      <c r="AJQ20" s="3507"/>
      <c r="AJR20" s="3507"/>
      <c r="AJS20" s="3507"/>
      <c r="AJT20" s="3507"/>
      <c r="AJU20" s="3507"/>
      <c r="AJV20" s="3507"/>
      <c r="AJW20" s="3507"/>
      <c r="AJX20" s="3507"/>
      <c r="AJY20" s="3507"/>
      <c r="AJZ20" s="3507"/>
      <c r="AKA20" s="3507"/>
      <c r="AKB20" s="3507"/>
      <c r="AKC20" s="3507"/>
      <c r="AKD20" s="3507"/>
      <c r="AKE20" s="3507"/>
      <c r="AKF20" s="3507"/>
      <c r="AKG20" s="3507"/>
      <c r="AKH20" s="3507"/>
      <c r="AKI20" s="3507"/>
      <c r="AKJ20" s="3507"/>
      <c r="AKK20" s="3507"/>
      <c r="AKL20" s="3507"/>
      <c r="AKM20" s="3507"/>
      <c r="AKN20" s="3507"/>
      <c r="AKO20" s="3507"/>
      <c r="AKP20" s="3507"/>
      <c r="AKQ20" s="3507"/>
      <c r="AKR20" s="3507"/>
      <c r="AKS20" s="3507"/>
      <c r="AKT20" s="3507"/>
      <c r="AKU20" s="3507"/>
      <c r="AKV20" s="3507"/>
      <c r="AKW20" s="3507"/>
      <c r="AKX20" s="3507"/>
      <c r="AKY20" s="3507"/>
      <c r="AKZ20" s="3507"/>
      <c r="ALA20" s="3507"/>
      <c r="ALB20" s="3507"/>
      <c r="ALC20" s="3507"/>
      <c r="ALD20" s="3507"/>
      <c r="ALE20" s="3507"/>
      <c r="ALF20" s="3507"/>
      <c r="ALG20" s="3507"/>
      <c r="ALH20" s="3507"/>
      <c r="ALI20" s="3507"/>
      <c r="ALJ20" s="3507"/>
      <c r="ALK20" s="3507"/>
      <c r="ALL20" s="3507"/>
      <c r="ALM20" s="3507"/>
      <c r="ALN20" s="3507"/>
      <c r="ALO20" s="3507"/>
      <c r="ALP20" s="3507"/>
      <c r="ALQ20" s="3507"/>
      <c r="ALR20" s="3507"/>
      <c r="ALS20" s="3507"/>
      <c r="ALT20" s="3507"/>
      <c r="ALU20" s="3507"/>
      <c r="ALV20" s="3507"/>
      <c r="ALW20" s="3507"/>
      <c r="ALX20" s="3507"/>
      <c r="ALY20" s="3507"/>
      <c r="ALZ20" s="3507"/>
      <c r="AMA20" s="3507"/>
      <c r="AMB20" s="3507"/>
      <c r="AMC20" s="3507"/>
      <c r="AMD20" s="3507"/>
      <c r="AME20" s="3507"/>
      <c r="AMF20" s="3507"/>
      <c r="AMG20" s="3507"/>
      <c r="AMH20" s="3507"/>
      <c r="AMI20" s="3507"/>
      <c r="AMJ20" s="3507"/>
      <c r="AMK20" s="3507"/>
      <c r="AML20" s="3507"/>
      <c r="AMM20" s="3507"/>
      <c r="AMN20" s="3507"/>
      <c r="AMO20" s="3507"/>
      <c r="AMP20" s="3507"/>
      <c r="AMQ20" s="3507"/>
      <c r="AMR20" s="3507"/>
      <c r="AMS20" s="3507"/>
      <c r="AMT20" s="3507"/>
      <c r="AMU20" s="3507"/>
      <c r="AMV20" s="3507"/>
      <c r="AMW20" s="3507"/>
      <c r="AMX20" s="3507"/>
      <c r="AMY20" s="3507"/>
      <c r="AMZ20" s="3507"/>
      <c r="ANA20" s="3507"/>
      <c r="ANB20" s="3507"/>
      <c r="ANC20" s="3507"/>
      <c r="AND20" s="3507"/>
      <c r="ANE20" s="3507"/>
      <c r="ANF20" s="3507"/>
      <c r="ANG20" s="3507"/>
      <c r="ANH20" s="3507"/>
      <c r="ANI20" s="3507"/>
      <c r="ANJ20" s="3507"/>
      <c r="ANK20" s="3507"/>
      <c r="ANL20" s="3507"/>
      <c r="ANM20" s="3507"/>
      <c r="ANN20" s="3507"/>
      <c r="ANO20" s="3507"/>
      <c r="ANP20" s="3507"/>
      <c r="ANQ20" s="3507"/>
      <c r="ANR20" s="3507"/>
      <c r="ANS20" s="3507"/>
      <c r="ANT20" s="3507"/>
      <c r="ANU20" s="3507"/>
      <c r="ANV20" s="3507"/>
      <c r="ANW20" s="3507"/>
      <c r="ANX20" s="3507"/>
      <c r="ANY20" s="3507"/>
      <c r="ANZ20" s="3507"/>
      <c r="AOA20" s="3507"/>
      <c r="AOB20" s="3507"/>
      <c r="AOC20" s="3507"/>
      <c r="AOD20" s="3507"/>
      <c r="AOE20" s="3507"/>
      <c r="AOF20" s="3507"/>
      <c r="AOG20" s="3507"/>
      <c r="AOH20" s="3507"/>
      <c r="AOI20" s="3507"/>
      <c r="AOJ20" s="3507"/>
      <c r="AOK20" s="3507"/>
      <c r="AOL20" s="3507"/>
      <c r="AOM20" s="3507"/>
      <c r="AON20" s="3507"/>
      <c r="AOO20" s="3507"/>
      <c r="AOP20" s="3507"/>
      <c r="AOQ20" s="3507"/>
      <c r="AOR20" s="3507"/>
      <c r="AOS20" s="3507"/>
      <c r="AOT20" s="3507"/>
      <c r="AOU20" s="3507"/>
      <c r="AOV20" s="3507"/>
      <c r="AOW20" s="3507"/>
      <c r="AOX20" s="3507"/>
      <c r="AOY20" s="3507"/>
      <c r="AOZ20" s="3507"/>
      <c r="APA20" s="3507"/>
      <c r="APB20" s="3507"/>
      <c r="APC20" s="3507"/>
      <c r="APD20" s="3507"/>
      <c r="APE20" s="3507"/>
      <c r="APF20" s="3507"/>
      <c r="APG20" s="3507"/>
      <c r="APH20" s="3507"/>
      <c r="API20" s="3507"/>
      <c r="APJ20" s="3507"/>
      <c r="APK20" s="3507"/>
      <c r="APL20" s="3507"/>
      <c r="APM20" s="3507"/>
      <c r="APN20" s="3507"/>
      <c r="APO20" s="3507"/>
      <c r="APP20" s="3507"/>
      <c r="APQ20" s="3507"/>
      <c r="APR20" s="3507"/>
      <c r="APS20" s="3507"/>
      <c r="APT20" s="3507"/>
      <c r="APU20" s="3507"/>
      <c r="APV20" s="3507"/>
      <c r="APW20" s="3507"/>
      <c r="APX20" s="3507"/>
      <c r="APY20" s="3507"/>
      <c r="APZ20" s="3507"/>
      <c r="AQA20" s="3507"/>
      <c r="AQB20" s="3507"/>
      <c r="AQC20" s="3507"/>
      <c r="AQD20" s="3507"/>
      <c r="AQE20" s="3507"/>
      <c r="AQF20" s="3507"/>
      <c r="AQG20" s="3507"/>
      <c r="AQH20" s="3507"/>
      <c r="AQI20" s="3507"/>
      <c r="AQJ20" s="3507"/>
      <c r="AQK20" s="3507"/>
      <c r="AQL20" s="3507"/>
      <c r="AQM20" s="3507"/>
      <c r="AQN20" s="3507"/>
      <c r="AQO20" s="3507"/>
      <c r="AQP20" s="3507"/>
      <c r="AQQ20" s="3507"/>
      <c r="AQR20" s="3507"/>
      <c r="AQS20" s="3507"/>
      <c r="AQT20" s="3507"/>
      <c r="AQU20" s="3507"/>
      <c r="AQV20" s="3507"/>
      <c r="AQW20" s="3507"/>
      <c r="AQX20" s="3507"/>
      <c r="AQY20" s="3507"/>
      <c r="AQZ20" s="3507"/>
      <c r="ARA20" s="3507"/>
      <c r="ARB20" s="3507"/>
      <c r="ARC20" s="3507"/>
      <c r="ARD20" s="3507"/>
      <c r="ARE20" s="3507"/>
      <c r="ARF20" s="3507"/>
      <c r="ARG20" s="3507"/>
      <c r="ARH20" s="3507"/>
      <c r="ARI20" s="3507"/>
      <c r="ARJ20" s="3507"/>
      <c r="ARK20" s="3507"/>
      <c r="ARL20" s="3507"/>
      <c r="ARM20" s="3507"/>
      <c r="ARN20" s="3507"/>
      <c r="ARO20" s="3507"/>
      <c r="ARP20" s="3507"/>
      <c r="ARQ20" s="3507"/>
      <c r="ARR20" s="3507"/>
      <c r="ARS20" s="3507"/>
      <c r="ART20" s="3507"/>
      <c r="ARU20" s="3507"/>
      <c r="ARV20" s="3507"/>
      <c r="ARW20" s="3507"/>
      <c r="ARX20" s="3507"/>
      <c r="ARY20" s="3507"/>
      <c r="ARZ20" s="3507"/>
      <c r="ASA20" s="3507"/>
      <c r="ASB20" s="3507"/>
      <c r="ASC20" s="3507"/>
      <c r="ASD20" s="3507"/>
      <c r="ASE20" s="3507"/>
      <c r="ASF20" s="3507"/>
      <c r="ASG20" s="3507"/>
      <c r="ASH20" s="3507"/>
      <c r="ASI20" s="3507"/>
      <c r="ASJ20" s="3507"/>
      <c r="ASK20" s="3507"/>
      <c r="ASL20" s="3507"/>
      <c r="ASM20" s="3507"/>
      <c r="ASN20" s="3507"/>
      <c r="ASO20" s="3507"/>
      <c r="ASP20" s="3507"/>
      <c r="ASQ20" s="3507"/>
      <c r="ASR20" s="3507"/>
      <c r="ASS20" s="3507"/>
      <c r="AST20" s="3507"/>
      <c r="ASU20" s="3507"/>
      <c r="ASV20" s="3507"/>
      <c r="ASW20" s="3507"/>
      <c r="ASX20" s="3507"/>
      <c r="ASY20" s="3507"/>
      <c r="ASZ20" s="3507"/>
      <c r="ATA20" s="3507"/>
      <c r="ATB20" s="3507"/>
      <c r="ATC20" s="3507"/>
      <c r="ATD20" s="3507"/>
      <c r="ATE20" s="3507"/>
      <c r="ATF20" s="3507"/>
      <c r="ATG20" s="3507"/>
      <c r="ATH20" s="3507"/>
      <c r="ATI20" s="3507"/>
      <c r="ATJ20" s="3507"/>
      <c r="ATK20" s="3507"/>
      <c r="ATL20" s="3507"/>
      <c r="ATM20" s="3507"/>
      <c r="ATN20" s="3507"/>
      <c r="ATO20" s="3507"/>
      <c r="ATP20" s="3507"/>
      <c r="ATQ20" s="3507"/>
      <c r="ATR20" s="3507"/>
      <c r="ATS20" s="3507"/>
      <c r="ATT20" s="3507"/>
      <c r="ATU20" s="3507"/>
      <c r="ATV20" s="3507"/>
      <c r="ATW20" s="3507"/>
      <c r="ATX20" s="3507"/>
      <c r="ATY20" s="3507"/>
      <c r="ATZ20" s="3507"/>
      <c r="AUA20" s="3507"/>
      <c r="AUB20" s="3507"/>
      <c r="AUC20" s="3507"/>
      <c r="AUD20" s="3507"/>
      <c r="AUE20" s="3507"/>
      <c r="AUF20" s="3507"/>
      <c r="AUG20" s="3507"/>
      <c r="AUH20" s="3507"/>
      <c r="AUI20" s="3507"/>
      <c r="AUJ20" s="3507"/>
      <c r="AUK20" s="3507"/>
      <c r="AUL20" s="3507"/>
      <c r="AUM20" s="3507"/>
      <c r="AUN20" s="3507"/>
      <c r="AUO20" s="3507"/>
      <c r="AUP20" s="3507"/>
      <c r="AUQ20" s="3507"/>
      <c r="AUR20" s="3507"/>
      <c r="AUS20" s="3507"/>
      <c r="AUT20" s="3507"/>
      <c r="AUU20" s="3507"/>
      <c r="AUV20" s="3507"/>
      <c r="AUW20" s="3507"/>
      <c r="AUX20" s="3507"/>
      <c r="AUY20" s="3507"/>
      <c r="AUZ20" s="3507"/>
      <c r="AVA20" s="3507"/>
      <c r="AVB20" s="3507"/>
      <c r="AVC20" s="3507"/>
      <c r="AVD20" s="3507"/>
      <c r="AVE20" s="3507"/>
      <c r="AVF20" s="3507"/>
      <c r="AVG20" s="3507"/>
      <c r="AVH20" s="3507"/>
      <c r="AVI20" s="3507"/>
      <c r="AVJ20" s="3507"/>
      <c r="AVK20" s="3507"/>
      <c r="AVL20" s="3507"/>
      <c r="AVM20" s="3507"/>
      <c r="AVN20" s="3507"/>
      <c r="AVO20" s="3507"/>
      <c r="AVP20" s="3507"/>
      <c r="AVQ20" s="3507"/>
      <c r="AVR20" s="3507"/>
      <c r="AVS20" s="3507"/>
      <c r="AVT20" s="3507"/>
      <c r="AVU20" s="3507"/>
      <c r="AVV20" s="3507"/>
      <c r="AVW20" s="3507"/>
      <c r="AVX20" s="3507"/>
      <c r="AVY20" s="3507"/>
      <c r="AVZ20" s="3507"/>
      <c r="AWA20" s="3507"/>
      <c r="AWB20" s="3507"/>
      <c r="AWC20" s="3507"/>
      <c r="AWD20" s="3507"/>
      <c r="AWE20" s="3507"/>
      <c r="AWF20" s="3507"/>
      <c r="AWG20" s="3507"/>
      <c r="AWH20" s="3507"/>
      <c r="AWI20" s="3507"/>
      <c r="AWJ20" s="3507"/>
      <c r="AWK20" s="3507"/>
      <c r="AWL20" s="3507"/>
      <c r="AWM20" s="3507"/>
      <c r="AWN20" s="3507"/>
      <c r="AWO20" s="3507"/>
      <c r="AWP20" s="3507"/>
      <c r="AWQ20" s="3507"/>
      <c r="AWR20" s="3507"/>
      <c r="AWS20" s="3507"/>
      <c r="AWT20" s="3507"/>
      <c r="AWU20" s="3507"/>
      <c r="AWV20" s="3507"/>
      <c r="AWW20" s="3507"/>
      <c r="AWX20" s="3507"/>
      <c r="AWY20" s="3507"/>
      <c r="AWZ20" s="3507"/>
      <c r="AXA20" s="3507"/>
      <c r="AXB20" s="3507"/>
      <c r="AXC20" s="3507"/>
      <c r="AXD20" s="3507"/>
      <c r="AXE20" s="3507"/>
      <c r="AXF20" s="3507"/>
      <c r="AXG20" s="3507"/>
      <c r="AXH20" s="3507"/>
      <c r="AXI20" s="3507"/>
      <c r="AXJ20" s="3507"/>
      <c r="AXK20" s="3507"/>
      <c r="AXL20" s="3507"/>
      <c r="AXM20" s="3507"/>
      <c r="AXN20" s="3507"/>
      <c r="AXO20" s="3507"/>
      <c r="AXP20" s="3507"/>
      <c r="AXQ20" s="3507"/>
      <c r="AXR20" s="3507"/>
      <c r="AXS20" s="3507"/>
      <c r="AXT20" s="3507"/>
      <c r="AXU20" s="3507"/>
      <c r="AXV20" s="3507"/>
      <c r="AXW20" s="3507"/>
      <c r="AXX20" s="3507"/>
      <c r="AXY20" s="3507"/>
      <c r="AXZ20" s="3507"/>
      <c r="AYA20" s="3507"/>
      <c r="AYB20" s="3507"/>
      <c r="AYC20" s="3507"/>
      <c r="AYD20" s="3507"/>
      <c r="AYE20" s="3507"/>
      <c r="AYF20" s="3507"/>
      <c r="AYG20" s="3507"/>
      <c r="AYH20" s="3507"/>
      <c r="AYI20" s="3507"/>
      <c r="AYJ20" s="3507"/>
      <c r="AYK20" s="3507"/>
      <c r="AYL20" s="3507"/>
      <c r="AYM20" s="3507"/>
      <c r="AYN20" s="3507"/>
      <c r="AYO20" s="3507"/>
      <c r="AYP20" s="3507"/>
      <c r="AYQ20" s="3507"/>
      <c r="AYR20" s="3507"/>
      <c r="AYS20" s="3507"/>
      <c r="AYT20" s="3507"/>
      <c r="AYU20" s="3507"/>
      <c r="AYV20" s="3507"/>
      <c r="AYW20" s="3507"/>
      <c r="AYX20" s="3507"/>
      <c r="AYY20" s="3507"/>
      <c r="AYZ20" s="3507"/>
      <c r="AZA20" s="3507"/>
      <c r="AZB20" s="3507"/>
      <c r="AZC20" s="3507"/>
      <c r="AZD20" s="3507"/>
      <c r="AZE20" s="3507"/>
      <c r="AZF20" s="3507"/>
      <c r="AZG20" s="3507"/>
      <c r="AZH20" s="3507"/>
      <c r="AZI20" s="3507"/>
      <c r="AZJ20" s="3507"/>
      <c r="AZK20" s="3507"/>
      <c r="AZL20" s="3507"/>
      <c r="AZM20" s="3507"/>
      <c r="AZN20" s="3507"/>
      <c r="AZO20" s="3507"/>
      <c r="AZP20" s="3507"/>
      <c r="AZQ20" s="3507"/>
      <c r="AZR20" s="3507"/>
      <c r="AZS20" s="3507"/>
      <c r="AZT20" s="3507"/>
      <c r="AZU20" s="3507"/>
      <c r="AZV20" s="3507"/>
      <c r="AZW20" s="3507"/>
      <c r="AZX20" s="3507"/>
      <c r="AZY20" s="3507"/>
      <c r="AZZ20" s="3507"/>
      <c r="BAA20" s="3507"/>
      <c r="BAB20" s="3507"/>
      <c r="BAC20" s="3507"/>
      <c r="BAD20" s="3507"/>
      <c r="BAE20" s="3507"/>
      <c r="BAF20" s="3507"/>
      <c r="BAG20" s="3507"/>
      <c r="BAH20" s="3507"/>
      <c r="BAI20" s="3507"/>
      <c r="BAJ20" s="3507"/>
      <c r="BAK20" s="3507"/>
      <c r="BAL20" s="3507"/>
      <c r="BAM20" s="3507"/>
      <c r="BAN20" s="3507"/>
      <c r="BAO20" s="3507"/>
      <c r="BAP20" s="3507"/>
      <c r="BAQ20" s="3507"/>
      <c r="BAR20" s="3507"/>
      <c r="BAS20" s="3507"/>
      <c r="BAT20" s="3507"/>
      <c r="BAU20" s="3507"/>
      <c r="BAV20" s="3507"/>
      <c r="BAW20" s="3507"/>
      <c r="BAX20" s="3507"/>
      <c r="BAY20" s="3507"/>
      <c r="BAZ20" s="3507"/>
      <c r="BBA20" s="3507"/>
      <c r="BBB20" s="3507"/>
      <c r="BBC20" s="3507"/>
      <c r="BBD20" s="3507"/>
      <c r="BBE20" s="3507"/>
      <c r="BBF20" s="3507"/>
      <c r="BBG20" s="3507"/>
      <c r="BBH20" s="3507"/>
      <c r="BBI20" s="3507"/>
      <c r="BBJ20" s="3507"/>
      <c r="BBK20" s="3507"/>
      <c r="BBL20" s="3507"/>
      <c r="BBM20" s="3507"/>
      <c r="BBN20" s="3507"/>
      <c r="BBO20" s="3507"/>
      <c r="BBP20" s="3507"/>
      <c r="BBQ20" s="3507"/>
      <c r="BBR20" s="3507"/>
      <c r="BBS20" s="3507"/>
      <c r="BBT20" s="3507"/>
      <c r="BBU20" s="3507"/>
      <c r="BBV20" s="3507"/>
      <c r="BBW20" s="3507"/>
      <c r="BBX20" s="3507"/>
      <c r="BBY20" s="3507"/>
      <c r="BBZ20" s="3507"/>
      <c r="BCA20" s="3507"/>
      <c r="BCB20" s="3507"/>
      <c r="BCC20" s="3507"/>
      <c r="BCD20" s="3507"/>
      <c r="BCE20" s="3507"/>
      <c r="BCF20" s="3507"/>
      <c r="BCG20" s="3507"/>
      <c r="BCH20" s="3507"/>
      <c r="BCI20" s="3507"/>
      <c r="BCJ20" s="3507"/>
      <c r="BCK20" s="3507"/>
      <c r="BCL20" s="3507"/>
      <c r="BCM20" s="3507"/>
      <c r="BCN20" s="3507"/>
      <c r="BCO20" s="3507"/>
      <c r="BCP20" s="3507"/>
      <c r="BCQ20" s="3507"/>
      <c r="BCR20" s="3507"/>
      <c r="BCS20" s="3507"/>
      <c r="BCT20" s="3507"/>
      <c r="BCU20" s="3507"/>
      <c r="BCV20" s="3507"/>
      <c r="BCW20" s="3507"/>
      <c r="BCX20" s="3507"/>
      <c r="BCY20" s="3507"/>
      <c r="BCZ20" s="3507"/>
      <c r="BDA20" s="3507"/>
      <c r="BDB20" s="3507"/>
      <c r="BDC20" s="3507"/>
      <c r="BDD20" s="3507"/>
      <c r="BDE20" s="3507"/>
      <c r="BDF20" s="3507"/>
      <c r="BDG20" s="3507"/>
      <c r="BDH20" s="3507"/>
      <c r="BDI20" s="3507"/>
      <c r="BDJ20" s="3507"/>
      <c r="BDK20" s="3507"/>
      <c r="BDL20" s="3507"/>
      <c r="BDM20" s="3507"/>
      <c r="BDN20" s="3507"/>
      <c r="BDO20" s="3507"/>
      <c r="BDP20" s="3507"/>
      <c r="BDQ20" s="3507"/>
      <c r="BDR20" s="3507"/>
      <c r="BDS20" s="3507"/>
      <c r="BDT20" s="3507"/>
      <c r="BDU20" s="3507"/>
      <c r="BDV20" s="3507"/>
      <c r="BDW20" s="3507"/>
      <c r="BDX20" s="3507"/>
      <c r="BDY20" s="3507"/>
      <c r="BDZ20" s="3507"/>
      <c r="BEA20" s="3507"/>
      <c r="BEB20" s="3507"/>
      <c r="BEC20" s="3507"/>
      <c r="BED20" s="3507"/>
      <c r="BEE20" s="3507"/>
      <c r="BEF20" s="3507"/>
      <c r="BEG20" s="3507"/>
      <c r="BEH20" s="3507"/>
      <c r="BEI20" s="3507"/>
      <c r="BEJ20" s="3507"/>
      <c r="BEK20" s="3507"/>
      <c r="BEL20" s="3507"/>
      <c r="BEM20" s="3507"/>
      <c r="BEN20" s="3507"/>
      <c r="BEO20" s="3507"/>
      <c r="BEP20" s="3507"/>
      <c r="BEQ20" s="3507"/>
      <c r="BER20" s="3507"/>
      <c r="BES20" s="3507"/>
      <c r="BET20" s="3507"/>
      <c r="BEU20" s="3507"/>
      <c r="BEV20" s="3507"/>
      <c r="BEW20" s="3507"/>
      <c r="BEX20" s="3507"/>
      <c r="BEY20" s="3507"/>
      <c r="BEZ20" s="3507"/>
      <c r="BFA20" s="3507"/>
      <c r="BFB20" s="3507"/>
      <c r="BFC20" s="3507"/>
      <c r="BFD20" s="3507"/>
      <c r="BFE20" s="3507"/>
      <c r="BFF20" s="3507"/>
      <c r="BFG20" s="3507"/>
      <c r="BFH20" s="3507"/>
      <c r="BFI20" s="3507"/>
      <c r="BFJ20" s="3507"/>
      <c r="BFK20" s="3507"/>
      <c r="BFL20" s="3507"/>
      <c r="BFM20" s="3507"/>
      <c r="BFN20" s="3507"/>
      <c r="BFO20" s="3507"/>
      <c r="BFP20" s="3507"/>
      <c r="BFQ20" s="3507"/>
      <c r="BFR20" s="3507"/>
      <c r="BFS20" s="3507"/>
      <c r="BFT20" s="3507"/>
      <c r="BFU20" s="3507"/>
      <c r="BFV20" s="3507"/>
      <c r="BFW20" s="3507"/>
      <c r="BFX20" s="3507"/>
      <c r="BFY20" s="3507"/>
      <c r="BFZ20" s="3507"/>
      <c r="BGA20" s="3507"/>
      <c r="BGB20" s="3507"/>
      <c r="BGC20" s="3507"/>
      <c r="BGD20" s="3507"/>
      <c r="BGE20" s="3507"/>
      <c r="BGF20" s="3507"/>
      <c r="BGG20" s="3507"/>
      <c r="BGH20" s="3507"/>
      <c r="BGI20" s="3507"/>
      <c r="BGJ20" s="3507"/>
      <c r="BGK20" s="3507"/>
      <c r="BGL20" s="3507"/>
      <c r="BGM20" s="3507"/>
      <c r="BGN20" s="3507"/>
      <c r="BGO20" s="3507"/>
      <c r="BGP20" s="3507"/>
      <c r="BGQ20" s="3507"/>
      <c r="BGR20" s="3507"/>
      <c r="BGS20" s="3507"/>
      <c r="BGT20" s="3507"/>
      <c r="BGU20" s="3507"/>
      <c r="BGV20" s="3507"/>
      <c r="BGW20" s="3507"/>
      <c r="BGX20" s="3507"/>
      <c r="BGY20" s="3507"/>
      <c r="BGZ20" s="3507"/>
      <c r="BHA20" s="3507"/>
      <c r="BHB20" s="3507"/>
      <c r="BHC20" s="3507"/>
      <c r="BHD20" s="3507"/>
      <c r="BHE20" s="3507"/>
      <c r="BHF20" s="3507"/>
      <c r="BHG20" s="3507"/>
      <c r="BHH20" s="3507"/>
      <c r="BHI20" s="3507"/>
      <c r="BHJ20" s="3507"/>
      <c r="BHK20" s="3507"/>
      <c r="BHL20" s="3507"/>
      <c r="BHM20" s="3507"/>
      <c r="BHN20" s="3507"/>
      <c r="BHO20" s="3507"/>
      <c r="BHP20" s="3507"/>
      <c r="BHQ20" s="3507"/>
      <c r="BHR20" s="3507"/>
      <c r="BHS20" s="3507"/>
      <c r="BHT20" s="3507"/>
      <c r="BHU20" s="3507"/>
      <c r="BHV20" s="3507"/>
      <c r="BHW20" s="3507"/>
      <c r="BHX20" s="3507"/>
      <c r="BHY20" s="3507"/>
      <c r="BHZ20" s="3507"/>
      <c r="BIA20" s="3507"/>
      <c r="BIB20" s="3507"/>
      <c r="BIC20" s="3507"/>
      <c r="BID20" s="3507"/>
      <c r="BIE20" s="3507"/>
      <c r="BIF20" s="3507"/>
      <c r="BIG20" s="3507"/>
      <c r="BIH20" s="3507"/>
      <c r="BII20" s="3507"/>
      <c r="BIJ20" s="3507"/>
      <c r="BIK20" s="3507"/>
      <c r="BIL20" s="3507"/>
      <c r="BIM20" s="3507"/>
      <c r="BIN20" s="3507"/>
      <c r="BIO20" s="3507"/>
      <c r="BIP20" s="3507"/>
      <c r="BIQ20" s="3507"/>
      <c r="BIR20" s="3507"/>
      <c r="BIS20" s="3507"/>
      <c r="BIT20" s="3507"/>
      <c r="BIU20" s="3507"/>
      <c r="BIV20" s="3507"/>
      <c r="BIW20" s="3507"/>
      <c r="BIX20" s="3507"/>
      <c r="BIY20" s="3507"/>
      <c r="BIZ20" s="3507"/>
      <c r="BJA20" s="3507"/>
      <c r="BJB20" s="3507"/>
      <c r="BJC20" s="3507"/>
      <c r="BJD20" s="3507"/>
      <c r="BJE20" s="3507"/>
      <c r="BJF20" s="3507"/>
      <c r="BJG20" s="3507"/>
      <c r="BJH20" s="3507"/>
      <c r="BJI20" s="3507"/>
      <c r="BJJ20" s="3507"/>
      <c r="BJK20" s="3507"/>
      <c r="BJL20" s="3507"/>
      <c r="BJM20" s="3507"/>
      <c r="BJN20" s="3507"/>
      <c r="BJO20" s="3507"/>
      <c r="BJP20" s="3507"/>
      <c r="BJQ20" s="3507"/>
      <c r="BJR20" s="3507"/>
      <c r="BJS20" s="3507"/>
      <c r="BJT20" s="3507"/>
      <c r="BJU20" s="3507"/>
      <c r="BJV20" s="3507"/>
      <c r="BJW20" s="3507"/>
      <c r="BJX20" s="3507"/>
      <c r="BJY20" s="3507"/>
      <c r="BJZ20" s="3507"/>
      <c r="BKA20" s="3507"/>
      <c r="BKB20" s="3507"/>
      <c r="BKC20" s="3507"/>
      <c r="BKD20" s="3507"/>
      <c r="BKE20" s="3507"/>
      <c r="BKF20" s="3507"/>
      <c r="BKG20" s="3507"/>
      <c r="BKH20" s="3507"/>
      <c r="BKI20" s="3507"/>
      <c r="BKJ20" s="3507"/>
      <c r="BKK20" s="3507"/>
      <c r="BKL20" s="3507"/>
      <c r="BKM20" s="3507"/>
      <c r="BKN20" s="3507"/>
      <c r="BKO20" s="3507"/>
      <c r="BKP20" s="3507"/>
      <c r="BKQ20" s="3507"/>
      <c r="BKR20" s="3507"/>
      <c r="BKS20" s="3507"/>
      <c r="BKT20" s="3507"/>
      <c r="BKU20" s="3507"/>
      <c r="BKV20" s="3507"/>
      <c r="BKW20" s="3507"/>
      <c r="BKX20" s="3507"/>
      <c r="BKY20" s="3507"/>
      <c r="BKZ20" s="3507"/>
      <c r="BLA20" s="3507"/>
      <c r="BLB20" s="3507"/>
      <c r="BLC20" s="3507"/>
      <c r="BLD20" s="3507"/>
      <c r="BLE20" s="3507"/>
      <c r="BLF20" s="3507"/>
      <c r="BLG20" s="3507"/>
      <c r="BLH20" s="3507"/>
      <c r="BLI20" s="3507"/>
      <c r="BLJ20" s="3507"/>
      <c r="BLK20" s="3507"/>
      <c r="BLL20" s="3507"/>
      <c r="BLM20" s="3507"/>
      <c r="BLN20" s="3507"/>
      <c r="BLO20" s="3507"/>
      <c r="BLP20" s="3507"/>
      <c r="BLQ20" s="3507"/>
      <c r="BLR20" s="3507"/>
      <c r="BLS20" s="3507"/>
      <c r="BLT20" s="3507"/>
      <c r="BLU20" s="3507"/>
      <c r="BLV20" s="3507"/>
      <c r="BLW20" s="3507"/>
      <c r="BLX20" s="3507"/>
      <c r="BLY20" s="3507"/>
      <c r="BLZ20" s="3507"/>
      <c r="BMA20" s="3507"/>
      <c r="BMB20" s="3507"/>
      <c r="BMC20" s="3507"/>
      <c r="BMD20" s="3507"/>
      <c r="BME20" s="3507"/>
      <c r="BMF20" s="3507"/>
      <c r="BMG20" s="3507"/>
      <c r="BMH20" s="3507"/>
      <c r="BMI20" s="3507"/>
      <c r="BMJ20" s="3507"/>
      <c r="BMK20" s="3507"/>
      <c r="BML20" s="3507"/>
      <c r="BMM20" s="3507"/>
      <c r="BMN20" s="3507"/>
      <c r="BMO20" s="3507"/>
      <c r="BMP20" s="3507"/>
      <c r="BMQ20" s="3507"/>
      <c r="BMR20" s="3507"/>
      <c r="BMS20" s="3507"/>
      <c r="BMT20" s="3507"/>
      <c r="BMU20" s="3507"/>
      <c r="BMV20" s="3507"/>
      <c r="BMW20" s="3507"/>
      <c r="BMX20" s="3507"/>
      <c r="BMY20" s="3507"/>
      <c r="BMZ20" s="3507"/>
      <c r="BNA20" s="3507"/>
      <c r="BNB20" s="3507"/>
      <c r="BNC20" s="3507"/>
      <c r="BND20" s="3507"/>
      <c r="BNE20" s="3507"/>
      <c r="BNF20" s="3507"/>
      <c r="BNG20" s="3507"/>
      <c r="BNH20" s="3507"/>
      <c r="BNI20" s="3507"/>
      <c r="BNJ20" s="3507"/>
      <c r="BNK20" s="3507"/>
      <c r="BNL20" s="3507"/>
      <c r="BNM20" s="3507"/>
      <c r="BNN20" s="3507"/>
      <c r="BNO20" s="3507"/>
      <c r="BNP20" s="3507"/>
      <c r="BNQ20" s="3507"/>
      <c r="BNR20" s="3507"/>
      <c r="BNS20" s="3507"/>
      <c r="BNT20" s="3507"/>
      <c r="BNU20" s="3507"/>
      <c r="BNV20" s="3507"/>
      <c r="BNW20" s="3507"/>
      <c r="BNX20" s="3507"/>
      <c r="BNY20" s="3507"/>
      <c r="BNZ20" s="3507"/>
      <c r="BOA20" s="3507"/>
      <c r="BOB20" s="3507"/>
      <c r="BOC20" s="3507"/>
      <c r="BOD20" s="3507"/>
      <c r="BOE20" s="3507"/>
      <c r="BOF20" s="3507"/>
      <c r="BOG20" s="3507"/>
      <c r="BOH20" s="3507"/>
      <c r="BOI20" s="3507"/>
      <c r="BOJ20" s="3507"/>
      <c r="BOK20" s="3507"/>
      <c r="BOL20" s="3507"/>
      <c r="BOM20" s="3507"/>
      <c r="BON20" s="3507"/>
      <c r="BOO20" s="3507"/>
      <c r="BOP20" s="3507"/>
      <c r="BOQ20" s="3507"/>
      <c r="BOR20" s="3507"/>
      <c r="BOS20" s="3507"/>
      <c r="BOT20" s="3507"/>
      <c r="BOU20" s="3507"/>
      <c r="BOV20" s="3507"/>
      <c r="BOW20" s="3507"/>
      <c r="BOX20" s="3507"/>
      <c r="BOY20" s="3507"/>
      <c r="BOZ20" s="3507"/>
      <c r="BPA20" s="3507"/>
      <c r="BPB20" s="3507"/>
      <c r="BPC20" s="3507"/>
      <c r="BPD20" s="3507"/>
      <c r="BPE20" s="3507"/>
      <c r="BPF20" s="3507"/>
      <c r="BPG20" s="3507"/>
      <c r="BPH20" s="3507"/>
      <c r="BPI20" s="3507"/>
      <c r="BPJ20" s="3507"/>
      <c r="BPK20" s="3507"/>
      <c r="BPL20" s="3507"/>
      <c r="BPM20" s="3507"/>
      <c r="BPN20" s="3507"/>
      <c r="BPO20" s="3507"/>
      <c r="BPP20" s="3507"/>
      <c r="BPQ20" s="3507"/>
      <c r="BPR20" s="3507"/>
      <c r="BPS20" s="3507"/>
      <c r="BPT20" s="3507"/>
      <c r="BPU20" s="3507"/>
      <c r="BPV20" s="3507"/>
      <c r="BPW20" s="3507"/>
      <c r="BPX20" s="3507"/>
      <c r="BPY20" s="3507"/>
      <c r="BPZ20" s="3507"/>
      <c r="BQA20" s="3507"/>
      <c r="BQB20" s="3507"/>
      <c r="BQC20" s="3507"/>
      <c r="BQD20" s="3507"/>
      <c r="BQE20" s="3507"/>
      <c r="BQF20" s="3507"/>
      <c r="BQG20" s="3507"/>
      <c r="BQH20" s="3507"/>
      <c r="BQI20" s="3507"/>
      <c r="BQJ20" s="3507"/>
      <c r="BQK20" s="3507"/>
      <c r="BQL20" s="3507"/>
      <c r="BQM20" s="3507"/>
      <c r="BQN20" s="3507"/>
      <c r="BQO20" s="3507"/>
      <c r="BQP20" s="3507"/>
      <c r="BQQ20" s="3507"/>
      <c r="BQR20" s="3507"/>
      <c r="BQS20" s="3507"/>
      <c r="BQT20" s="3507"/>
      <c r="BQU20" s="3507"/>
      <c r="BQV20" s="3507"/>
      <c r="BQW20" s="3507"/>
      <c r="BQX20" s="3507"/>
      <c r="BQY20" s="3507"/>
      <c r="BQZ20" s="3507"/>
      <c r="BRA20" s="3507"/>
      <c r="BRB20" s="3507"/>
      <c r="BRC20" s="3507"/>
      <c r="BRD20" s="3507"/>
      <c r="BRE20" s="3507"/>
      <c r="BRF20" s="3507"/>
      <c r="BRG20" s="3507"/>
      <c r="BRH20" s="3507"/>
      <c r="BRI20" s="3507"/>
      <c r="BRJ20" s="3507"/>
      <c r="BRK20" s="3507"/>
      <c r="BRL20" s="3507"/>
      <c r="BRM20" s="3507"/>
      <c r="BRN20" s="3507"/>
      <c r="BRO20" s="3507"/>
      <c r="BRP20" s="3507"/>
      <c r="BRQ20" s="3507"/>
      <c r="BRR20" s="3507"/>
      <c r="BRS20" s="3507"/>
      <c r="BRT20" s="3507"/>
      <c r="BRU20" s="3507"/>
      <c r="BRV20" s="3507"/>
      <c r="BRW20" s="3507"/>
      <c r="BRX20" s="3507"/>
      <c r="BRY20" s="3507"/>
      <c r="BRZ20" s="3507"/>
      <c r="BSA20" s="3507"/>
      <c r="BSB20" s="3507"/>
      <c r="BSC20" s="3507"/>
      <c r="BSD20" s="3507"/>
      <c r="BSE20" s="3507"/>
      <c r="BSF20" s="3507"/>
      <c r="BSG20" s="3507"/>
      <c r="BSH20" s="3507"/>
      <c r="BSI20" s="3507"/>
      <c r="BSJ20" s="3507"/>
      <c r="BSK20" s="3507"/>
      <c r="BSL20" s="3507"/>
      <c r="BSM20" s="3507"/>
      <c r="BSN20" s="3507"/>
      <c r="BSO20" s="3507"/>
      <c r="BSP20" s="3507"/>
      <c r="BSQ20" s="3507"/>
      <c r="BSR20" s="3507"/>
      <c r="BSS20" s="3507"/>
      <c r="BST20" s="3507"/>
      <c r="BSU20" s="3507"/>
      <c r="BSV20" s="3507"/>
      <c r="BSW20" s="3507"/>
      <c r="BSX20" s="3507"/>
      <c r="BSY20" s="3507"/>
      <c r="BSZ20" s="3507"/>
      <c r="BTA20" s="3507"/>
      <c r="BTB20" s="3507"/>
      <c r="BTC20" s="3507"/>
      <c r="BTD20" s="3507"/>
      <c r="BTE20" s="3507"/>
      <c r="BTF20" s="3507"/>
      <c r="BTG20" s="3507"/>
      <c r="BTH20" s="3507"/>
      <c r="BTI20" s="3507"/>
      <c r="BTJ20" s="3507"/>
      <c r="BTK20" s="3507"/>
      <c r="BTL20" s="3507"/>
      <c r="BTM20" s="3507"/>
      <c r="BTN20" s="3507"/>
      <c r="BTO20" s="3507"/>
      <c r="BTP20" s="3507"/>
      <c r="BTQ20" s="3507"/>
      <c r="BTR20" s="3507"/>
      <c r="BTS20" s="3507"/>
      <c r="BTT20" s="3507"/>
      <c r="BTU20" s="3507"/>
      <c r="BTV20" s="3507"/>
      <c r="BTW20" s="3507"/>
      <c r="BTX20" s="3507"/>
      <c r="BTY20" s="3507"/>
      <c r="BTZ20" s="3507"/>
      <c r="BUA20" s="3507"/>
      <c r="BUB20" s="3507"/>
      <c r="BUC20" s="3507"/>
      <c r="BUD20" s="3507"/>
      <c r="BUE20" s="3507"/>
      <c r="BUF20" s="3507"/>
      <c r="BUG20" s="3507"/>
      <c r="BUH20" s="3507"/>
      <c r="BUI20" s="3507"/>
      <c r="BUJ20" s="3507"/>
      <c r="BUK20" s="3507"/>
      <c r="BUL20" s="3507"/>
      <c r="BUM20" s="3507"/>
      <c r="BUN20" s="3507"/>
      <c r="BUO20" s="3507"/>
      <c r="BUP20" s="3507"/>
      <c r="BUQ20" s="3507"/>
      <c r="BUR20" s="3507"/>
      <c r="BUS20" s="3507"/>
      <c r="BUT20" s="3507"/>
      <c r="BUU20" s="3507"/>
      <c r="BUV20" s="3507"/>
      <c r="BUW20" s="3507"/>
      <c r="BUX20" s="3507"/>
      <c r="BUY20" s="3507"/>
      <c r="BUZ20" s="3507"/>
      <c r="BVA20" s="3507"/>
      <c r="BVB20" s="3507"/>
      <c r="BVC20" s="3507"/>
      <c r="BVD20" s="3507"/>
      <c r="BVE20" s="3507"/>
      <c r="BVF20" s="3507"/>
      <c r="BVG20" s="3507"/>
      <c r="BVH20" s="3507"/>
      <c r="BVI20" s="3507"/>
      <c r="BVJ20" s="3507"/>
      <c r="BVK20" s="3507"/>
      <c r="BVL20" s="3507"/>
      <c r="BVM20" s="3507"/>
      <c r="BVN20" s="3507"/>
      <c r="BVO20" s="3507"/>
      <c r="BVP20" s="3507"/>
      <c r="BVQ20" s="3507"/>
      <c r="BVR20" s="3507"/>
      <c r="BVS20" s="3507"/>
      <c r="BVT20" s="3507"/>
      <c r="BVU20" s="3507"/>
      <c r="BVV20" s="3507"/>
      <c r="BVW20" s="3507"/>
      <c r="BVX20" s="3507"/>
      <c r="BVY20" s="3507"/>
      <c r="BVZ20" s="3507"/>
      <c r="BWA20" s="3507"/>
      <c r="BWB20" s="3507"/>
      <c r="BWC20" s="3507"/>
      <c r="BWD20" s="3507"/>
      <c r="BWE20" s="3507"/>
      <c r="BWF20" s="3507"/>
      <c r="BWG20" s="3507"/>
      <c r="BWH20" s="3507"/>
      <c r="BWI20" s="3507"/>
      <c r="BWJ20" s="3507"/>
      <c r="BWK20" s="3507"/>
      <c r="BWL20" s="3507"/>
      <c r="BWM20" s="3507"/>
      <c r="BWN20" s="3507"/>
      <c r="BWO20" s="3507"/>
      <c r="BWP20" s="3507"/>
      <c r="BWQ20" s="3507"/>
      <c r="BWR20" s="3507"/>
      <c r="BWS20" s="3507"/>
      <c r="BWT20" s="3507"/>
      <c r="BWU20" s="3507"/>
      <c r="BWV20" s="3507"/>
      <c r="BWW20" s="3507"/>
      <c r="BWX20" s="3507"/>
      <c r="BWY20" s="3507"/>
      <c r="BWZ20" s="3507"/>
      <c r="BXA20" s="3507"/>
      <c r="BXB20" s="3507"/>
      <c r="BXC20" s="3507"/>
      <c r="BXD20" s="3507"/>
      <c r="BXE20" s="3507"/>
      <c r="BXF20" s="3507"/>
      <c r="BXG20" s="3507"/>
      <c r="BXH20" s="3507"/>
      <c r="BXI20" s="3507"/>
      <c r="BXJ20" s="3507"/>
      <c r="BXK20" s="3507"/>
      <c r="BXL20" s="3507"/>
      <c r="BXM20" s="3507"/>
      <c r="BXN20" s="3507"/>
      <c r="BXO20" s="3507"/>
      <c r="BXP20" s="3507"/>
      <c r="BXQ20" s="3507"/>
      <c r="BXR20" s="3507"/>
      <c r="BXS20" s="3507"/>
      <c r="BXT20" s="3507"/>
      <c r="BXU20" s="3507"/>
      <c r="BXV20" s="3507"/>
      <c r="BXW20" s="3507"/>
      <c r="BXX20" s="3507"/>
      <c r="BXY20" s="3507"/>
      <c r="BXZ20" s="3507"/>
      <c r="BYA20" s="3507"/>
      <c r="BYB20" s="3507"/>
      <c r="BYC20" s="3507"/>
      <c r="BYD20" s="3507"/>
      <c r="BYE20" s="3507"/>
      <c r="BYF20" s="3507"/>
      <c r="BYG20" s="3507"/>
      <c r="BYH20" s="3507"/>
      <c r="BYI20" s="3507"/>
      <c r="BYJ20" s="3507"/>
      <c r="BYK20" s="3507"/>
      <c r="BYL20" s="3507"/>
      <c r="BYM20" s="3507"/>
      <c r="BYN20" s="3507"/>
      <c r="BYO20" s="3507"/>
      <c r="BYP20" s="3507"/>
      <c r="BYQ20" s="3507"/>
      <c r="BYR20" s="3507"/>
      <c r="BYS20" s="3507"/>
      <c r="BYT20" s="3507"/>
      <c r="BYU20" s="3507"/>
      <c r="BYV20" s="3507"/>
      <c r="BYW20" s="3507"/>
      <c r="BYX20" s="3507"/>
      <c r="BYY20" s="3507"/>
      <c r="BYZ20" s="3507"/>
      <c r="BZA20" s="3507"/>
      <c r="BZB20" s="3507"/>
      <c r="BZC20" s="3507"/>
      <c r="BZD20" s="3507"/>
      <c r="BZE20" s="3507"/>
      <c r="BZF20" s="3507"/>
      <c r="BZG20" s="3507"/>
      <c r="BZH20" s="3507"/>
      <c r="BZI20" s="3507"/>
      <c r="BZJ20" s="3507"/>
      <c r="BZK20" s="3507"/>
      <c r="BZL20" s="3507"/>
      <c r="BZM20" s="3507"/>
      <c r="BZN20" s="3507"/>
      <c r="BZO20" s="3507"/>
      <c r="BZP20" s="3507"/>
      <c r="BZQ20" s="3507"/>
      <c r="BZR20" s="3507"/>
      <c r="BZS20" s="3507"/>
      <c r="BZT20" s="3507"/>
      <c r="BZU20" s="3507"/>
      <c r="BZV20" s="3507"/>
      <c r="BZW20" s="3507"/>
      <c r="BZX20" s="3507"/>
      <c r="BZY20" s="3507"/>
      <c r="BZZ20" s="3507"/>
      <c r="CAA20" s="3507"/>
      <c r="CAB20" s="3507"/>
      <c r="CAC20" s="3507"/>
      <c r="CAD20" s="3507"/>
      <c r="CAE20" s="3507"/>
      <c r="CAF20" s="3507"/>
      <c r="CAG20" s="3507"/>
      <c r="CAH20" s="3507"/>
      <c r="CAI20" s="3507"/>
      <c r="CAJ20" s="3507"/>
      <c r="CAK20" s="3507"/>
      <c r="CAL20" s="3507"/>
      <c r="CAM20" s="3507"/>
      <c r="CAN20" s="3507"/>
      <c r="CAO20" s="3507"/>
      <c r="CAP20" s="3507"/>
      <c r="CAQ20" s="3507"/>
      <c r="CAR20" s="3507"/>
      <c r="CAS20" s="3507"/>
      <c r="CAT20" s="3507"/>
      <c r="CAU20" s="3507"/>
      <c r="CAV20" s="3507"/>
      <c r="CAW20" s="3507"/>
      <c r="CAX20" s="3507"/>
      <c r="CAY20" s="3507"/>
      <c r="CAZ20" s="3507"/>
      <c r="CBA20" s="3507"/>
      <c r="CBB20" s="3507"/>
      <c r="CBC20" s="3507"/>
      <c r="CBD20" s="3507"/>
      <c r="CBE20" s="3507"/>
      <c r="CBF20" s="3507"/>
      <c r="CBG20" s="3507"/>
      <c r="CBH20" s="3507"/>
      <c r="CBI20" s="3507"/>
      <c r="CBJ20" s="3507"/>
      <c r="CBK20" s="3507"/>
      <c r="CBL20" s="3507"/>
      <c r="CBM20" s="3507"/>
      <c r="CBN20" s="3507"/>
      <c r="CBO20" s="3507"/>
      <c r="CBP20" s="3507"/>
      <c r="CBQ20" s="3507"/>
      <c r="CBR20" s="3507"/>
      <c r="CBS20" s="3507"/>
      <c r="CBT20" s="3507"/>
      <c r="CBU20" s="3507"/>
      <c r="CBV20" s="3507"/>
      <c r="CBW20" s="3507"/>
      <c r="CBX20" s="3507"/>
      <c r="CBY20" s="3507"/>
      <c r="CBZ20" s="3507"/>
      <c r="CCA20" s="3507"/>
      <c r="CCB20" s="3507"/>
      <c r="CCC20" s="3507"/>
      <c r="CCD20" s="3507"/>
      <c r="CCE20" s="3507"/>
      <c r="CCF20" s="3507"/>
      <c r="CCG20" s="3507"/>
      <c r="CCH20" s="3507"/>
      <c r="CCI20" s="3507"/>
      <c r="CCJ20" s="3507"/>
      <c r="CCK20" s="3507"/>
      <c r="CCL20" s="3507"/>
      <c r="CCM20" s="3507"/>
      <c r="CCN20" s="3507"/>
      <c r="CCO20" s="3507"/>
      <c r="CCP20" s="3507"/>
      <c r="CCQ20" s="3507"/>
      <c r="CCR20" s="3507"/>
      <c r="CCS20" s="3507"/>
      <c r="CCT20" s="3507"/>
      <c r="CCU20" s="3507"/>
      <c r="CCV20" s="3507"/>
      <c r="CCW20" s="3507"/>
      <c r="CCX20" s="3507"/>
      <c r="CCY20" s="3507"/>
      <c r="CCZ20" s="3507"/>
      <c r="CDA20" s="3507"/>
      <c r="CDB20" s="3507"/>
      <c r="CDC20" s="3507"/>
      <c r="CDD20" s="3507"/>
      <c r="CDE20" s="3507"/>
      <c r="CDF20" s="3507"/>
      <c r="CDG20" s="3507"/>
      <c r="CDH20" s="3507"/>
      <c r="CDI20" s="3507"/>
      <c r="CDJ20" s="3507"/>
      <c r="CDK20" s="3507"/>
      <c r="CDL20" s="3507"/>
      <c r="CDM20" s="3507"/>
      <c r="CDN20" s="3507"/>
      <c r="CDO20" s="3507"/>
      <c r="CDP20" s="3507"/>
      <c r="CDQ20" s="3507"/>
      <c r="CDR20" s="3507"/>
      <c r="CDS20" s="3507"/>
      <c r="CDT20" s="3507"/>
      <c r="CDU20" s="3507"/>
      <c r="CDV20" s="3507"/>
      <c r="CDW20" s="3507"/>
      <c r="CDX20" s="3507"/>
      <c r="CDY20" s="3507"/>
      <c r="CDZ20" s="3507"/>
      <c r="CEA20" s="3507"/>
      <c r="CEB20" s="3507"/>
      <c r="CEC20" s="3507"/>
      <c r="CED20" s="3507"/>
      <c r="CEE20" s="3507"/>
      <c r="CEF20" s="3507"/>
      <c r="CEG20" s="3507"/>
      <c r="CEH20" s="3507"/>
      <c r="CEI20" s="3507"/>
      <c r="CEJ20" s="3507"/>
      <c r="CEK20" s="3507"/>
      <c r="CEL20" s="3507"/>
      <c r="CEM20" s="3507"/>
      <c r="CEN20" s="3507"/>
      <c r="CEO20" s="3507"/>
      <c r="CEP20" s="3507"/>
      <c r="CEQ20" s="3507"/>
      <c r="CER20" s="3507"/>
      <c r="CES20" s="3507"/>
      <c r="CET20" s="3507"/>
      <c r="CEU20" s="3507"/>
      <c r="CEV20" s="3507"/>
      <c r="CEW20" s="3507"/>
      <c r="CEX20" s="3507"/>
      <c r="CEY20" s="3507"/>
      <c r="CEZ20" s="3507"/>
      <c r="CFA20" s="3507"/>
      <c r="CFB20" s="3507"/>
      <c r="CFC20" s="3507"/>
      <c r="CFD20" s="3507"/>
      <c r="CFE20" s="3507"/>
      <c r="CFF20" s="3507"/>
      <c r="CFG20" s="3507"/>
      <c r="CFH20" s="3507"/>
      <c r="CFI20" s="3507"/>
      <c r="CFJ20" s="3507"/>
      <c r="CFK20" s="3507"/>
      <c r="CFL20" s="3507"/>
      <c r="CFM20" s="3507"/>
      <c r="CFN20" s="3507"/>
      <c r="CFO20" s="3507"/>
      <c r="CFP20" s="3507"/>
      <c r="CFQ20" s="3507"/>
      <c r="CFR20" s="3507"/>
      <c r="CFS20" s="3507"/>
      <c r="CFT20" s="3507"/>
      <c r="CFU20" s="3507"/>
      <c r="CFV20" s="3507"/>
      <c r="CFW20" s="3507"/>
      <c r="CFX20" s="3507"/>
      <c r="CFY20" s="3507"/>
      <c r="CFZ20" s="3507"/>
      <c r="CGA20" s="3507"/>
      <c r="CGB20" s="3507"/>
      <c r="CGC20" s="3507"/>
      <c r="CGD20" s="3507"/>
      <c r="CGE20" s="3507"/>
      <c r="CGF20" s="3507"/>
      <c r="CGG20" s="3507"/>
      <c r="CGH20" s="3507"/>
      <c r="CGI20" s="3507"/>
      <c r="CGJ20" s="3507"/>
      <c r="CGK20" s="3507"/>
      <c r="CGL20" s="3507"/>
      <c r="CGM20" s="3507"/>
      <c r="CGN20" s="3507"/>
      <c r="CGO20" s="3507"/>
      <c r="CGP20" s="3507"/>
      <c r="CGQ20" s="3507"/>
      <c r="CGR20" s="3507"/>
      <c r="CGS20" s="3507"/>
      <c r="CGT20" s="3507"/>
      <c r="CGU20" s="3507"/>
      <c r="CGV20" s="3507"/>
      <c r="CGW20" s="3507"/>
      <c r="CGX20" s="3507"/>
      <c r="CGY20" s="3507"/>
      <c r="CGZ20" s="3507"/>
      <c r="CHA20" s="3507"/>
      <c r="CHB20" s="3507"/>
      <c r="CHC20" s="3507"/>
      <c r="CHD20" s="3507"/>
      <c r="CHE20" s="3507"/>
      <c r="CHF20" s="3507"/>
      <c r="CHG20" s="3507"/>
      <c r="CHH20" s="3507"/>
      <c r="CHI20" s="3507"/>
      <c r="CHJ20" s="3507"/>
      <c r="CHK20" s="3507"/>
      <c r="CHL20" s="3507"/>
      <c r="CHM20" s="3507"/>
      <c r="CHN20" s="3507"/>
      <c r="CHO20" s="3507"/>
      <c r="CHP20" s="3507"/>
      <c r="CHQ20" s="3507"/>
      <c r="CHR20" s="3507"/>
      <c r="CHS20" s="3507"/>
      <c r="CHT20" s="3507"/>
      <c r="CHU20" s="3507"/>
      <c r="CHV20" s="3507"/>
      <c r="CHW20" s="3507"/>
      <c r="CHX20" s="3507"/>
      <c r="CHY20" s="3507"/>
      <c r="CHZ20" s="3507"/>
      <c r="CIA20" s="3507"/>
      <c r="CIB20" s="3507"/>
      <c r="CIC20" s="3507"/>
      <c r="CID20" s="3507"/>
      <c r="CIE20" s="3507"/>
      <c r="CIF20" s="3507"/>
      <c r="CIG20" s="3507"/>
      <c r="CIH20" s="3507"/>
      <c r="CII20" s="3507"/>
      <c r="CIJ20" s="3507"/>
      <c r="CIK20" s="3507"/>
      <c r="CIL20" s="3507"/>
      <c r="CIM20" s="3507"/>
      <c r="CIN20" s="3507"/>
      <c r="CIO20" s="3507"/>
      <c r="CIP20" s="3507"/>
      <c r="CIQ20" s="3507"/>
      <c r="CIR20" s="3507"/>
      <c r="CIS20" s="3507"/>
      <c r="CIT20" s="3507"/>
      <c r="CIU20" s="3507"/>
      <c r="CIV20" s="3507"/>
      <c r="CIW20" s="3507"/>
      <c r="CIX20" s="3507"/>
      <c r="CIY20" s="3507"/>
      <c r="CIZ20" s="3507"/>
      <c r="CJA20" s="3507"/>
      <c r="CJB20" s="3507"/>
      <c r="CJC20" s="3507"/>
      <c r="CJD20" s="3507"/>
      <c r="CJE20" s="3507"/>
      <c r="CJF20" s="3507"/>
      <c r="CJG20" s="3507"/>
      <c r="CJH20" s="3507"/>
      <c r="CJI20" s="3507"/>
      <c r="CJJ20" s="3507"/>
      <c r="CJK20" s="3507"/>
      <c r="CJL20" s="3507"/>
      <c r="CJM20" s="3507"/>
      <c r="CJN20" s="3507"/>
      <c r="CJO20" s="3507"/>
      <c r="CJP20" s="3507"/>
      <c r="CJQ20" s="3507"/>
      <c r="CJR20" s="3507"/>
      <c r="CJS20" s="3507"/>
      <c r="CJT20" s="3507"/>
      <c r="CJU20" s="3507"/>
      <c r="CJV20" s="3507"/>
      <c r="CJW20" s="3507"/>
      <c r="CJX20" s="3507"/>
      <c r="CJY20" s="3507"/>
      <c r="CJZ20" s="3507"/>
      <c r="CKA20" s="3507"/>
      <c r="CKB20" s="3507"/>
      <c r="CKC20" s="3507"/>
      <c r="CKD20" s="3507"/>
      <c r="CKE20" s="3507"/>
      <c r="CKF20" s="3507"/>
      <c r="CKG20" s="3507"/>
      <c r="CKH20" s="3507"/>
      <c r="CKI20" s="3507"/>
      <c r="CKJ20" s="3507"/>
      <c r="CKK20" s="3507"/>
      <c r="CKL20" s="3507"/>
      <c r="CKM20" s="3507"/>
      <c r="CKN20" s="3507"/>
      <c r="CKO20" s="3507"/>
      <c r="CKP20" s="3507"/>
      <c r="CKQ20" s="3507"/>
      <c r="CKR20" s="3507"/>
      <c r="CKS20" s="3507"/>
      <c r="CKT20" s="3507"/>
      <c r="CKU20" s="3507"/>
      <c r="CKV20" s="3507"/>
      <c r="CKW20" s="3507"/>
      <c r="CKX20" s="3507"/>
      <c r="CKY20" s="3507"/>
      <c r="CKZ20" s="3507"/>
      <c r="CLA20" s="3507"/>
      <c r="CLB20" s="3507"/>
      <c r="CLC20" s="3507"/>
      <c r="CLD20" s="3507"/>
      <c r="CLE20" s="3507"/>
      <c r="CLF20" s="3507"/>
      <c r="CLG20" s="3507"/>
      <c r="CLH20" s="3507"/>
      <c r="CLI20" s="3507"/>
      <c r="CLJ20" s="3507"/>
      <c r="CLK20" s="3507"/>
      <c r="CLL20" s="3507"/>
      <c r="CLM20" s="3507"/>
      <c r="CLN20" s="3507"/>
      <c r="CLO20" s="3507"/>
      <c r="CLP20" s="3507"/>
      <c r="CLQ20" s="3507"/>
      <c r="CLR20" s="3507"/>
      <c r="CLS20" s="3507"/>
      <c r="CLT20" s="3507"/>
      <c r="CLU20" s="3507"/>
      <c r="CLV20" s="3507"/>
      <c r="CLW20" s="3507"/>
      <c r="CLX20" s="3507"/>
      <c r="CLY20" s="3507"/>
      <c r="CLZ20" s="3507"/>
      <c r="CMA20" s="3507"/>
      <c r="CMB20" s="3507"/>
      <c r="CMC20" s="3507"/>
      <c r="CMD20" s="3507"/>
      <c r="CME20" s="3507"/>
      <c r="CMF20" s="3507"/>
      <c r="CMG20" s="3507"/>
      <c r="CMH20" s="3507"/>
      <c r="CMI20" s="3507"/>
      <c r="CMJ20" s="3507"/>
      <c r="CMK20" s="3507"/>
      <c r="CML20" s="3507"/>
      <c r="CMM20" s="3507"/>
      <c r="CMN20" s="3507"/>
      <c r="CMO20" s="3507"/>
      <c r="CMP20" s="3507"/>
      <c r="CMQ20" s="3507"/>
      <c r="CMR20" s="3507"/>
      <c r="CMS20" s="3507"/>
      <c r="CMT20" s="3507"/>
      <c r="CMU20" s="3507"/>
      <c r="CMV20" s="3507"/>
      <c r="CMW20" s="3507"/>
      <c r="CMX20" s="3507"/>
      <c r="CMY20" s="3507"/>
      <c r="CMZ20" s="3507"/>
      <c r="CNA20" s="3507"/>
      <c r="CNB20" s="3507"/>
      <c r="CNC20" s="3507"/>
      <c r="CND20" s="3507"/>
      <c r="CNE20" s="3507"/>
      <c r="CNF20" s="3507"/>
      <c r="CNG20" s="3507"/>
      <c r="CNH20" s="3507"/>
      <c r="CNI20" s="3507"/>
      <c r="CNJ20" s="3507"/>
      <c r="CNK20" s="3507"/>
      <c r="CNL20" s="3507"/>
      <c r="CNM20" s="3507"/>
      <c r="CNN20" s="3507"/>
      <c r="CNO20" s="3507"/>
      <c r="CNP20" s="3507"/>
      <c r="CNQ20" s="3507"/>
      <c r="CNR20" s="3507"/>
      <c r="CNS20" s="3507"/>
      <c r="CNT20" s="3507"/>
      <c r="CNU20" s="3507"/>
      <c r="CNV20" s="3507"/>
      <c r="CNW20" s="3507"/>
      <c r="CNX20" s="3507"/>
      <c r="CNY20" s="3507"/>
      <c r="CNZ20" s="3507"/>
      <c r="COA20" s="3507"/>
      <c r="COB20" s="3507"/>
      <c r="COC20" s="3507"/>
      <c r="COD20" s="3507"/>
      <c r="COE20" s="3507"/>
      <c r="COF20" s="3507"/>
      <c r="COG20" s="3507"/>
      <c r="COH20" s="3507"/>
      <c r="COI20" s="3507"/>
      <c r="COJ20" s="3507"/>
      <c r="COK20" s="3507"/>
      <c r="COL20" s="3507"/>
      <c r="COM20" s="3507"/>
      <c r="CON20" s="3507"/>
      <c r="COO20" s="3507"/>
      <c r="COP20" s="3507"/>
      <c r="COQ20" s="3507"/>
      <c r="COR20" s="3507"/>
      <c r="COS20" s="3507"/>
      <c r="COT20" s="3507"/>
      <c r="COU20" s="3507"/>
      <c r="COV20" s="3507"/>
      <c r="COW20" s="3507"/>
      <c r="COX20" s="3507"/>
      <c r="COY20" s="3507"/>
      <c r="COZ20" s="3507"/>
      <c r="CPA20" s="3507"/>
      <c r="CPB20" s="3507"/>
      <c r="CPC20" s="3507"/>
      <c r="CPD20" s="3507"/>
      <c r="CPE20" s="3507"/>
      <c r="CPF20" s="3507"/>
      <c r="CPG20" s="3507"/>
      <c r="CPH20" s="3507"/>
      <c r="CPI20" s="3507"/>
      <c r="CPJ20" s="3507"/>
      <c r="CPK20" s="3507"/>
      <c r="CPL20" s="3507"/>
      <c r="CPM20" s="3507"/>
      <c r="CPN20" s="3507"/>
      <c r="CPO20" s="3507"/>
      <c r="CPP20" s="3507"/>
      <c r="CPQ20" s="3507"/>
      <c r="CPR20" s="3507"/>
      <c r="CPS20" s="3507"/>
      <c r="CPT20" s="3507"/>
      <c r="CPU20" s="3507"/>
      <c r="CPV20" s="3507"/>
      <c r="CPW20" s="3507"/>
      <c r="CPX20" s="3507"/>
      <c r="CPY20" s="3507"/>
      <c r="CPZ20" s="3507"/>
      <c r="CQA20" s="3507"/>
      <c r="CQB20" s="3507"/>
      <c r="CQC20" s="3507"/>
      <c r="CQD20" s="3507"/>
      <c r="CQE20" s="3507"/>
      <c r="CQF20" s="3507"/>
      <c r="CQG20" s="3507"/>
      <c r="CQH20" s="3507"/>
      <c r="CQI20" s="3507"/>
      <c r="CQJ20" s="3507"/>
      <c r="CQK20" s="3507"/>
      <c r="CQL20" s="3507"/>
      <c r="CQM20" s="3507"/>
      <c r="CQN20" s="3507"/>
      <c r="CQO20" s="3507"/>
      <c r="CQP20" s="3507"/>
      <c r="CQQ20" s="3507"/>
      <c r="CQR20" s="3507"/>
      <c r="CQS20" s="3507"/>
      <c r="CQT20" s="3507"/>
      <c r="CQU20" s="3507"/>
      <c r="CQV20" s="3507"/>
      <c r="CQW20" s="3507"/>
      <c r="CQX20" s="3507"/>
      <c r="CQY20" s="3507"/>
      <c r="CQZ20" s="3507"/>
      <c r="CRA20" s="3507"/>
      <c r="CRB20" s="3507"/>
      <c r="CRC20" s="3507"/>
      <c r="CRD20" s="3507"/>
      <c r="CRE20" s="3507"/>
      <c r="CRF20" s="3507"/>
      <c r="CRG20" s="3507"/>
      <c r="CRH20" s="3507"/>
      <c r="CRI20" s="3507"/>
      <c r="CRJ20" s="3507"/>
      <c r="CRK20" s="3507"/>
      <c r="CRL20" s="3507"/>
      <c r="CRM20" s="3507"/>
      <c r="CRN20" s="3507"/>
      <c r="CRO20" s="3507"/>
      <c r="CRP20" s="3507"/>
      <c r="CRQ20" s="3507"/>
      <c r="CRR20" s="3507"/>
      <c r="CRS20" s="3507"/>
      <c r="CRT20" s="3507"/>
      <c r="CRU20" s="3507"/>
      <c r="CRV20" s="3507"/>
      <c r="CRW20" s="3507"/>
      <c r="CRX20" s="3507"/>
      <c r="CRY20" s="3507"/>
      <c r="CRZ20" s="3507"/>
      <c r="CSA20" s="3507"/>
      <c r="CSB20" s="3507"/>
      <c r="CSC20" s="3507"/>
      <c r="CSD20" s="3507"/>
      <c r="CSE20" s="3507"/>
      <c r="CSF20" s="3507"/>
      <c r="CSG20" s="3507"/>
      <c r="CSH20" s="3507"/>
      <c r="CSI20" s="3507"/>
      <c r="CSJ20" s="3507"/>
      <c r="CSK20" s="3507"/>
      <c r="CSL20" s="3507"/>
      <c r="CSM20" s="3507"/>
      <c r="CSN20" s="3507"/>
      <c r="CSO20" s="3507"/>
      <c r="CSP20" s="3507"/>
      <c r="CSQ20" s="3507"/>
      <c r="CSR20" s="3507"/>
      <c r="CSS20" s="3507"/>
      <c r="CST20" s="3507"/>
      <c r="CSU20" s="3507"/>
      <c r="CSV20" s="3507"/>
      <c r="CSW20" s="3507"/>
      <c r="CSX20" s="3507"/>
      <c r="CSY20" s="3507"/>
      <c r="CSZ20" s="3507"/>
      <c r="CTA20" s="3507"/>
      <c r="CTB20" s="3507"/>
      <c r="CTC20" s="3507"/>
      <c r="CTD20" s="3507"/>
      <c r="CTE20" s="3507"/>
      <c r="CTF20" s="3507"/>
      <c r="CTG20" s="3507"/>
      <c r="CTH20" s="3507"/>
      <c r="CTI20" s="3507"/>
      <c r="CTJ20" s="3507"/>
      <c r="CTK20" s="3507"/>
      <c r="CTL20" s="3507"/>
      <c r="CTM20" s="3507"/>
      <c r="CTN20" s="3507"/>
      <c r="CTO20" s="3507"/>
      <c r="CTP20" s="3507"/>
      <c r="CTQ20" s="3507"/>
      <c r="CTR20" s="3507"/>
      <c r="CTS20" s="3507"/>
      <c r="CTT20" s="3507"/>
      <c r="CTU20" s="3507"/>
      <c r="CTV20" s="3507"/>
      <c r="CTW20" s="3507"/>
      <c r="CTX20" s="3507"/>
      <c r="CTY20" s="3507"/>
      <c r="CTZ20" s="3507"/>
      <c r="CUA20" s="3507"/>
      <c r="CUB20" s="3507"/>
      <c r="CUC20" s="3507"/>
      <c r="CUD20" s="3507"/>
      <c r="CUE20" s="3507"/>
      <c r="CUF20" s="3507"/>
      <c r="CUG20" s="3507"/>
      <c r="CUH20" s="3507"/>
      <c r="CUI20" s="3507"/>
      <c r="CUJ20" s="3507"/>
      <c r="CUK20" s="3507"/>
      <c r="CUL20" s="3507"/>
      <c r="CUM20" s="3507"/>
      <c r="CUN20" s="3507"/>
      <c r="CUO20" s="3507"/>
      <c r="CUP20" s="3507"/>
      <c r="CUQ20" s="3507"/>
      <c r="CUR20" s="3507"/>
      <c r="CUS20" s="3507"/>
      <c r="CUT20" s="3507"/>
      <c r="CUU20" s="3507"/>
      <c r="CUV20" s="3507"/>
      <c r="CUW20" s="3507"/>
      <c r="CUX20" s="3507"/>
      <c r="CUY20" s="3507"/>
      <c r="CUZ20" s="3507"/>
      <c r="CVA20" s="3507"/>
      <c r="CVB20" s="3507"/>
      <c r="CVC20" s="3507"/>
      <c r="CVD20" s="3507"/>
      <c r="CVE20" s="3507"/>
      <c r="CVF20" s="3507"/>
      <c r="CVG20" s="3507"/>
      <c r="CVH20" s="3507"/>
      <c r="CVI20" s="3507"/>
      <c r="CVJ20" s="3507"/>
      <c r="CVK20" s="3507"/>
      <c r="CVL20" s="3507"/>
      <c r="CVM20" s="3507"/>
      <c r="CVN20" s="3507"/>
      <c r="CVO20" s="3507"/>
      <c r="CVP20" s="3507"/>
      <c r="CVQ20" s="3507"/>
      <c r="CVR20" s="3507"/>
      <c r="CVS20" s="3507"/>
      <c r="CVT20" s="3507"/>
      <c r="CVU20" s="3507"/>
      <c r="CVV20" s="3507"/>
      <c r="CVW20" s="3507"/>
      <c r="CVX20" s="3507"/>
      <c r="CVY20" s="3507"/>
      <c r="CVZ20" s="3507"/>
      <c r="CWA20" s="3507"/>
      <c r="CWB20" s="3507"/>
      <c r="CWC20" s="3507"/>
      <c r="CWD20" s="3507"/>
      <c r="CWE20" s="3507"/>
      <c r="CWF20" s="3507"/>
      <c r="CWG20" s="3507"/>
      <c r="CWH20" s="3507"/>
      <c r="CWI20" s="3507"/>
      <c r="CWJ20" s="3507"/>
      <c r="CWK20" s="3507"/>
      <c r="CWL20" s="3507"/>
      <c r="CWM20" s="3507"/>
      <c r="CWN20" s="3507"/>
      <c r="CWO20" s="3507"/>
      <c r="CWP20" s="3507"/>
      <c r="CWQ20" s="3507"/>
      <c r="CWR20" s="3507"/>
      <c r="CWS20" s="3507"/>
      <c r="CWT20" s="3507"/>
      <c r="CWU20" s="3507"/>
      <c r="CWV20" s="3507"/>
      <c r="CWW20" s="3507"/>
      <c r="CWX20" s="3507"/>
      <c r="CWY20" s="3507"/>
      <c r="CWZ20" s="3507"/>
      <c r="CXA20" s="3507"/>
      <c r="CXB20" s="3507"/>
      <c r="CXC20" s="3507"/>
      <c r="CXD20" s="3507"/>
      <c r="CXE20" s="3507"/>
      <c r="CXF20" s="3507"/>
      <c r="CXG20" s="3507"/>
      <c r="CXH20" s="3507"/>
      <c r="CXI20" s="3507"/>
      <c r="CXJ20" s="3507"/>
      <c r="CXK20" s="3507"/>
      <c r="CXL20" s="3507"/>
      <c r="CXM20" s="3507"/>
      <c r="CXN20" s="3507"/>
      <c r="CXO20" s="3507"/>
      <c r="CXP20" s="3507"/>
      <c r="CXQ20" s="3507"/>
      <c r="CXR20" s="3507"/>
      <c r="CXS20" s="3507"/>
      <c r="CXT20" s="3507"/>
      <c r="CXU20" s="3507"/>
      <c r="CXV20" s="3507"/>
      <c r="CXW20" s="3507"/>
      <c r="CXX20" s="3507"/>
      <c r="CXY20" s="3507"/>
      <c r="CXZ20" s="3507"/>
      <c r="CYA20" s="3507"/>
      <c r="CYB20" s="3507"/>
      <c r="CYC20" s="3507"/>
      <c r="CYD20" s="3507"/>
      <c r="CYE20" s="3507"/>
      <c r="CYF20" s="3507"/>
      <c r="CYG20" s="3507"/>
      <c r="CYH20" s="3507"/>
      <c r="CYI20" s="3507"/>
      <c r="CYJ20" s="3507"/>
      <c r="CYK20" s="3507"/>
      <c r="CYL20" s="3507"/>
      <c r="CYM20" s="3507"/>
      <c r="CYN20" s="3507"/>
      <c r="CYO20" s="3507"/>
      <c r="CYP20" s="3507"/>
      <c r="CYQ20" s="3507"/>
      <c r="CYR20" s="3507"/>
      <c r="CYS20" s="3507"/>
      <c r="CYT20" s="3507"/>
      <c r="CYU20" s="3507"/>
      <c r="CYV20" s="3507"/>
      <c r="CYW20" s="3507"/>
      <c r="CYX20" s="3507"/>
      <c r="CYY20" s="3507"/>
      <c r="CYZ20" s="3507"/>
      <c r="CZA20" s="3507"/>
      <c r="CZB20" s="3507"/>
      <c r="CZC20" s="3507"/>
      <c r="CZD20" s="3507"/>
      <c r="CZE20" s="3507"/>
      <c r="CZF20" s="3507"/>
      <c r="CZG20" s="3507"/>
      <c r="CZH20" s="3507"/>
      <c r="CZI20" s="3507"/>
      <c r="CZJ20" s="3507"/>
      <c r="CZK20" s="3507"/>
      <c r="CZL20" s="3507"/>
      <c r="CZM20" s="3507"/>
      <c r="CZN20" s="3507"/>
      <c r="CZO20" s="3507"/>
      <c r="CZP20" s="3507"/>
      <c r="CZQ20" s="3507"/>
      <c r="CZR20" s="3507"/>
      <c r="CZS20" s="3507"/>
      <c r="CZT20" s="3507"/>
      <c r="CZU20" s="3507"/>
      <c r="CZV20" s="3507"/>
      <c r="CZW20" s="3507"/>
      <c r="CZX20" s="3507"/>
      <c r="CZY20" s="3507"/>
      <c r="CZZ20" s="3507"/>
      <c r="DAA20" s="3507"/>
      <c r="DAB20" s="3507"/>
      <c r="DAC20" s="3507"/>
      <c r="DAD20" s="3507"/>
      <c r="DAE20" s="3507"/>
      <c r="DAF20" s="3507"/>
      <c r="DAG20" s="3507"/>
      <c r="DAH20" s="3507"/>
      <c r="DAI20" s="3507"/>
      <c r="DAJ20" s="3507"/>
      <c r="DAK20" s="3507"/>
      <c r="DAL20" s="3507"/>
      <c r="DAM20" s="3507"/>
      <c r="DAN20" s="3507"/>
      <c r="DAO20" s="3507"/>
      <c r="DAP20" s="3507"/>
      <c r="DAQ20" s="3507"/>
      <c r="DAR20" s="3507"/>
      <c r="DAS20" s="3507"/>
      <c r="DAT20" s="3507"/>
      <c r="DAU20" s="3507"/>
      <c r="DAV20" s="3507"/>
      <c r="DAW20" s="3507"/>
      <c r="DAX20" s="3507"/>
      <c r="DAY20" s="3507"/>
      <c r="DAZ20" s="3507"/>
      <c r="DBA20" s="3507"/>
      <c r="DBB20" s="3507"/>
      <c r="DBC20" s="3507"/>
      <c r="DBD20" s="3507"/>
      <c r="DBE20" s="3507"/>
      <c r="DBF20" s="3507"/>
      <c r="DBG20" s="3507"/>
      <c r="DBH20" s="3507"/>
      <c r="DBI20" s="3507"/>
      <c r="DBJ20" s="3507"/>
      <c r="DBK20" s="3507"/>
      <c r="DBL20" s="3507"/>
      <c r="DBM20" s="3507"/>
      <c r="DBN20" s="3507"/>
      <c r="DBO20" s="3507"/>
      <c r="DBP20" s="3507"/>
      <c r="DBQ20" s="3507"/>
      <c r="DBR20" s="3507"/>
      <c r="DBS20" s="3507"/>
      <c r="DBT20" s="3507"/>
      <c r="DBU20" s="3507"/>
      <c r="DBV20" s="3507"/>
      <c r="DBW20" s="3507"/>
      <c r="DBX20" s="3507"/>
      <c r="DBY20" s="3507"/>
      <c r="DBZ20" s="3507"/>
      <c r="DCA20" s="3507"/>
      <c r="DCB20" s="3507"/>
      <c r="DCC20" s="3507"/>
      <c r="DCD20" s="3507"/>
      <c r="DCE20" s="3507"/>
      <c r="DCF20" s="3507"/>
      <c r="DCG20" s="3507"/>
      <c r="DCH20" s="3507"/>
      <c r="DCI20" s="3507"/>
      <c r="DCJ20" s="3507"/>
      <c r="DCK20" s="3507"/>
      <c r="DCL20" s="3507"/>
      <c r="DCM20" s="3507"/>
      <c r="DCN20" s="3507"/>
      <c r="DCO20" s="3507"/>
      <c r="DCP20" s="3507"/>
      <c r="DCQ20" s="3507"/>
      <c r="DCR20" s="3507"/>
      <c r="DCS20" s="3507"/>
      <c r="DCT20" s="3507"/>
      <c r="DCU20" s="3507"/>
      <c r="DCV20" s="3507"/>
      <c r="DCW20" s="3507"/>
      <c r="DCX20" s="3507"/>
      <c r="DCY20" s="3507"/>
      <c r="DCZ20" s="3507"/>
      <c r="DDA20" s="3507"/>
      <c r="DDB20" s="3507"/>
      <c r="DDC20" s="3507"/>
      <c r="DDD20" s="3507"/>
      <c r="DDE20" s="3507"/>
      <c r="DDF20" s="3507"/>
      <c r="DDG20" s="3507"/>
      <c r="DDH20" s="3507"/>
      <c r="DDI20" s="3507"/>
      <c r="DDJ20" s="3507"/>
      <c r="DDK20" s="3507"/>
      <c r="DDL20" s="3507"/>
      <c r="DDM20" s="3507"/>
      <c r="DDN20" s="3507"/>
      <c r="DDO20" s="3507"/>
      <c r="DDP20" s="3507"/>
      <c r="DDQ20" s="3507"/>
      <c r="DDR20" s="3507"/>
      <c r="DDS20" s="3507"/>
      <c r="DDT20" s="3507"/>
      <c r="DDU20" s="3507"/>
      <c r="DDV20" s="3507"/>
      <c r="DDW20" s="3507"/>
      <c r="DDX20" s="3507"/>
      <c r="DDY20" s="3507"/>
      <c r="DDZ20" s="3507"/>
      <c r="DEA20" s="3507"/>
      <c r="DEB20" s="3507"/>
      <c r="DEC20" s="3507"/>
      <c r="DED20" s="3507"/>
      <c r="DEE20" s="3507"/>
      <c r="DEF20" s="3507"/>
      <c r="DEG20" s="3507"/>
      <c r="DEH20" s="3507"/>
      <c r="DEI20" s="3507"/>
      <c r="DEJ20" s="3507"/>
      <c r="DEK20" s="3507"/>
      <c r="DEL20" s="3507"/>
      <c r="DEM20" s="3507"/>
      <c r="DEN20" s="3507"/>
      <c r="DEO20" s="3507"/>
      <c r="DEP20" s="3507"/>
      <c r="DEQ20" s="3507"/>
      <c r="DER20" s="3507"/>
      <c r="DES20" s="3507"/>
      <c r="DET20" s="3507"/>
      <c r="DEU20" s="3507"/>
      <c r="DEV20" s="3507"/>
      <c r="DEW20" s="3507"/>
      <c r="DEX20" s="3507"/>
      <c r="DEY20" s="3507"/>
      <c r="DEZ20" s="3507"/>
      <c r="DFA20" s="3507"/>
      <c r="DFB20" s="3507"/>
      <c r="DFC20" s="3507"/>
      <c r="DFD20" s="3507"/>
      <c r="DFE20" s="3507"/>
      <c r="DFF20" s="3507"/>
      <c r="DFG20" s="3507"/>
      <c r="DFH20" s="3507"/>
      <c r="DFI20" s="3507"/>
      <c r="DFJ20" s="3507"/>
      <c r="DFK20" s="3507"/>
      <c r="DFL20" s="3507"/>
      <c r="DFM20" s="3507"/>
      <c r="DFN20" s="3507"/>
      <c r="DFO20" s="3507"/>
      <c r="DFP20" s="3507"/>
      <c r="DFQ20" s="3507"/>
      <c r="DFR20" s="3507"/>
      <c r="DFS20" s="3507"/>
      <c r="DFT20" s="3507"/>
      <c r="DFU20" s="3507"/>
      <c r="DFV20" s="3507"/>
      <c r="DFW20" s="3507"/>
      <c r="DFX20" s="3507"/>
      <c r="DFY20" s="3507"/>
      <c r="DFZ20" s="3507"/>
      <c r="DGA20" s="3507"/>
      <c r="DGB20" s="3507"/>
      <c r="DGC20" s="3507"/>
      <c r="DGD20" s="3507"/>
      <c r="DGE20" s="3507"/>
      <c r="DGF20" s="3507"/>
      <c r="DGG20" s="3507"/>
      <c r="DGH20" s="3507"/>
      <c r="DGI20" s="3507"/>
      <c r="DGJ20" s="3507"/>
      <c r="DGK20" s="3507"/>
      <c r="DGL20" s="3507"/>
      <c r="DGM20" s="3507"/>
      <c r="DGN20" s="3507"/>
      <c r="DGO20" s="3507"/>
      <c r="DGP20" s="3507"/>
      <c r="DGQ20" s="3507"/>
      <c r="DGR20" s="3507"/>
      <c r="DGS20" s="3507"/>
      <c r="DGT20" s="3507"/>
      <c r="DGU20" s="3507"/>
      <c r="DGV20" s="3507"/>
      <c r="DGW20" s="3507"/>
      <c r="DGX20" s="3507"/>
      <c r="DGY20" s="3507"/>
      <c r="DGZ20" s="3507"/>
      <c r="DHA20" s="3507"/>
      <c r="DHB20" s="3507"/>
      <c r="DHC20" s="3507"/>
      <c r="DHD20" s="3507"/>
      <c r="DHE20" s="3507"/>
      <c r="DHF20" s="3507"/>
      <c r="DHG20" s="3507"/>
      <c r="DHH20" s="3507"/>
      <c r="DHI20" s="3507"/>
      <c r="DHJ20" s="3507"/>
      <c r="DHK20" s="3507"/>
      <c r="DHL20" s="3507"/>
      <c r="DHM20" s="3507"/>
      <c r="DHN20" s="3507"/>
      <c r="DHO20" s="3507"/>
      <c r="DHP20" s="3507"/>
      <c r="DHQ20" s="3507"/>
      <c r="DHR20" s="3507"/>
      <c r="DHS20" s="3507"/>
      <c r="DHT20" s="3507"/>
      <c r="DHU20" s="3507"/>
      <c r="DHV20" s="3507"/>
      <c r="DHW20" s="3507"/>
      <c r="DHX20" s="3507"/>
      <c r="DHY20" s="3507"/>
      <c r="DHZ20" s="3507"/>
      <c r="DIA20" s="3507"/>
      <c r="DIB20" s="3507"/>
      <c r="DIC20" s="3507"/>
      <c r="DID20" s="3507"/>
      <c r="DIE20" s="3507"/>
      <c r="DIF20" s="3507"/>
      <c r="DIG20" s="3507"/>
      <c r="DIH20" s="3507"/>
      <c r="DII20" s="3507"/>
      <c r="DIJ20" s="3507"/>
      <c r="DIK20" s="3507"/>
      <c r="DIL20" s="3507"/>
      <c r="DIM20" s="3507"/>
      <c r="DIN20" s="3507"/>
      <c r="DIO20" s="3507"/>
      <c r="DIP20" s="3507"/>
      <c r="DIQ20" s="3507"/>
      <c r="DIR20" s="3507"/>
      <c r="DIS20" s="3507"/>
      <c r="DIT20" s="3507"/>
      <c r="DIU20" s="3507"/>
      <c r="DIV20" s="3507"/>
      <c r="DIW20" s="3507"/>
      <c r="DIX20" s="3507"/>
      <c r="DIY20" s="3507"/>
      <c r="DIZ20" s="3507"/>
      <c r="DJA20" s="3507"/>
      <c r="DJB20" s="3507"/>
      <c r="DJC20" s="3507"/>
      <c r="DJD20" s="3507"/>
      <c r="DJE20" s="3507"/>
      <c r="DJF20" s="3507"/>
      <c r="DJG20" s="3507"/>
      <c r="DJH20" s="3507"/>
      <c r="DJI20" s="3507"/>
      <c r="DJJ20" s="3507"/>
      <c r="DJK20" s="3507"/>
      <c r="DJL20" s="3507"/>
      <c r="DJM20" s="3507"/>
      <c r="DJN20" s="3507"/>
      <c r="DJO20" s="3507"/>
      <c r="DJP20" s="3507"/>
      <c r="DJQ20" s="3507"/>
      <c r="DJR20" s="3507"/>
      <c r="DJS20" s="3507"/>
      <c r="DJT20" s="3507"/>
      <c r="DJU20" s="3507"/>
      <c r="DJV20" s="3507"/>
      <c r="DJW20" s="3507"/>
      <c r="DJX20" s="3507"/>
      <c r="DJY20" s="3507"/>
      <c r="DJZ20" s="3507"/>
      <c r="DKA20" s="3507"/>
      <c r="DKB20" s="3507"/>
      <c r="DKC20" s="3507"/>
      <c r="DKD20" s="3507"/>
      <c r="DKE20" s="3507"/>
      <c r="DKF20" s="3507"/>
      <c r="DKG20" s="3507"/>
      <c r="DKH20" s="3507"/>
      <c r="DKI20" s="3507"/>
      <c r="DKJ20" s="3507"/>
      <c r="DKK20" s="3507"/>
      <c r="DKL20" s="3507"/>
      <c r="DKM20" s="3507"/>
      <c r="DKN20" s="3507"/>
      <c r="DKO20" s="3507"/>
      <c r="DKP20" s="3507"/>
      <c r="DKQ20" s="3507"/>
      <c r="DKR20" s="3507"/>
      <c r="DKS20" s="3507"/>
      <c r="DKT20" s="3507"/>
      <c r="DKU20" s="3507"/>
      <c r="DKV20" s="3507"/>
      <c r="DKW20" s="3507"/>
      <c r="DKX20" s="3507"/>
      <c r="DKY20" s="3507"/>
      <c r="DKZ20" s="3507"/>
      <c r="DLA20" s="3507"/>
      <c r="DLB20" s="3507"/>
      <c r="DLC20" s="3507"/>
      <c r="DLD20" s="3507"/>
      <c r="DLE20" s="3507"/>
      <c r="DLF20" s="3507"/>
      <c r="DLG20" s="3507"/>
      <c r="DLH20" s="3507"/>
      <c r="DLI20" s="3507"/>
      <c r="DLJ20" s="3507"/>
      <c r="DLK20" s="3507"/>
      <c r="DLL20" s="3507"/>
      <c r="DLM20" s="3507"/>
      <c r="DLN20" s="3507"/>
      <c r="DLO20" s="3507"/>
      <c r="DLP20" s="3507"/>
      <c r="DLQ20" s="3507"/>
      <c r="DLR20" s="3507"/>
      <c r="DLS20" s="3507"/>
      <c r="DLT20" s="3507"/>
      <c r="DLU20" s="3507"/>
      <c r="DLV20" s="3507"/>
      <c r="DLW20" s="3507"/>
      <c r="DLX20" s="3507"/>
      <c r="DLY20" s="3507"/>
      <c r="DLZ20" s="3507"/>
      <c r="DMA20" s="3507"/>
      <c r="DMB20" s="3507"/>
      <c r="DMC20" s="3507"/>
      <c r="DMD20" s="3507"/>
      <c r="DME20" s="3507"/>
      <c r="DMF20" s="3507"/>
      <c r="DMG20" s="3507"/>
      <c r="DMH20" s="3507"/>
      <c r="DMI20" s="3507"/>
      <c r="DMJ20" s="3507"/>
      <c r="DMK20" s="3507"/>
      <c r="DML20" s="3507"/>
      <c r="DMM20" s="3507"/>
      <c r="DMN20" s="3507"/>
      <c r="DMO20" s="3507"/>
      <c r="DMP20" s="3507"/>
      <c r="DMQ20" s="3507"/>
      <c r="DMR20" s="3507"/>
      <c r="DMS20" s="3507"/>
      <c r="DMT20" s="3507"/>
      <c r="DMU20" s="3507"/>
      <c r="DMV20" s="3507"/>
      <c r="DMW20" s="3507"/>
      <c r="DMX20" s="3507"/>
      <c r="DMY20" s="3507"/>
      <c r="DMZ20" s="3507"/>
      <c r="DNA20" s="3507"/>
      <c r="DNB20" s="3507"/>
      <c r="DNC20" s="3507"/>
      <c r="DND20" s="3507"/>
      <c r="DNE20" s="3507"/>
      <c r="DNF20" s="3507"/>
      <c r="DNG20" s="3507"/>
      <c r="DNH20" s="3507"/>
      <c r="DNI20" s="3507"/>
      <c r="DNJ20" s="3507"/>
      <c r="DNK20" s="3507"/>
      <c r="DNL20" s="3507"/>
      <c r="DNM20" s="3507"/>
      <c r="DNN20" s="3507"/>
      <c r="DNO20" s="3507"/>
      <c r="DNP20" s="3507"/>
      <c r="DNQ20" s="3507"/>
      <c r="DNR20" s="3507"/>
      <c r="DNS20" s="3507"/>
      <c r="DNT20" s="3507"/>
      <c r="DNU20" s="3507"/>
      <c r="DNV20" s="3507"/>
      <c r="DNW20" s="3507"/>
      <c r="DNX20" s="3507"/>
      <c r="DNY20" s="3507"/>
      <c r="DNZ20" s="3507"/>
      <c r="DOA20" s="3507"/>
      <c r="DOB20" s="3507"/>
      <c r="DOC20" s="3507"/>
      <c r="DOD20" s="3507"/>
      <c r="DOE20" s="3507"/>
      <c r="DOF20" s="3507"/>
      <c r="DOG20" s="3507"/>
      <c r="DOH20" s="3507"/>
      <c r="DOI20" s="3507"/>
      <c r="DOJ20" s="3507"/>
      <c r="DOK20" s="3507"/>
      <c r="DOL20" s="3507"/>
      <c r="DOM20" s="3507"/>
      <c r="DON20" s="3507"/>
      <c r="DOO20" s="3507"/>
      <c r="DOP20" s="3507"/>
      <c r="DOQ20" s="3507"/>
      <c r="DOR20" s="3507"/>
      <c r="DOS20" s="3507"/>
      <c r="DOT20" s="3507"/>
      <c r="DOU20" s="3507"/>
      <c r="DOV20" s="3507"/>
      <c r="DOW20" s="3507"/>
      <c r="DOX20" s="3507"/>
      <c r="DOY20" s="3507"/>
      <c r="DOZ20" s="3507"/>
      <c r="DPA20" s="3507"/>
      <c r="DPB20" s="3507"/>
      <c r="DPC20" s="3507"/>
      <c r="DPD20" s="3507"/>
      <c r="DPE20" s="3507"/>
      <c r="DPF20" s="3507"/>
      <c r="DPG20" s="3507"/>
      <c r="DPH20" s="3507"/>
      <c r="DPI20" s="3507"/>
      <c r="DPJ20" s="3507"/>
      <c r="DPK20" s="3507"/>
      <c r="DPL20" s="3507"/>
      <c r="DPM20" s="3507"/>
      <c r="DPN20" s="3507"/>
      <c r="DPO20" s="3507"/>
      <c r="DPP20" s="3507"/>
      <c r="DPQ20" s="3507"/>
      <c r="DPR20" s="3507"/>
      <c r="DPS20" s="3507"/>
      <c r="DPT20" s="3507"/>
      <c r="DPU20" s="3507"/>
      <c r="DPV20" s="3507"/>
      <c r="DPW20" s="3507"/>
      <c r="DPX20" s="3507"/>
      <c r="DPY20" s="3507"/>
      <c r="DPZ20" s="3507"/>
      <c r="DQA20" s="3507"/>
      <c r="DQB20" s="3507"/>
      <c r="DQC20" s="3507"/>
      <c r="DQD20" s="3507"/>
      <c r="DQE20" s="3507"/>
      <c r="DQF20" s="3507"/>
      <c r="DQG20" s="3507"/>
      <c r="DQH20" s="3507"/>
      <c r="DQI20" s="3507"/>
      <c r="DQJ20" s="3507"/>
      <c r="DQK20" s="3507"/>
      <c r="DQL20" s="3507"/>
      <c r="DQM20" s="3507"/>
      <c r="DQN20" s="3507"/>
      <c r="DQO20" s="3507"/>
      <c r="DQP20" s="3507"/>
      <c r="DQQ20" s="3507"/>
      <c r="DQR20" s="3507"/>
      <c r="DQS20" s="3507"/>
      <c r="DQT20" s="3507"/>
      <c r="DQU20" s="3507"/>
      <c r="DQV20" s="3507"/>
      <c r="DQW20" s="3507"/>
      <c r="DQX20" s="3507"/>
      <c r="DQY20" s="3507"/>
      <c r="DQZ20" s="3507"/>
      <c r="DRA20" s="3507"/>
      <c r="DRB20" s="3507"/>
      <c r="DRC20" s="3507"/>
      <c r="DRD20" s="3507"/>
      <c r="DRE20" s="3507"/>
      <c r="DRF20" s="3507"/>
      <c r="DRG20" s="3507"/>
      <c r="DRH20" s="3507"/>
      <c r="DRI20" s="3507"/>
      <c r="DRJ20" s="3507"/>
      <c r="DRK20" s="3507"/>
      <c r="DRL20" s="3507"/>
      <c r="DRM20" s="3507"/>
      <c r="DRN20" s="3507"/>
      <c r="DRO20" s="3507"/>
      <c r="DRP20" s="3507"/>
      <c r="DRQ20" s="3507"/>
      <c r="DRR20" s="3507"/>
      <c r="DRS20" s="3507"/>
      <c r="DRT20" s="3507"/>
      <c r="DRU20" s="3507"/>
      <c r="DRV20" s="3507"/>
      <c r="DRW20" s="3507"/>
      <c r="DRX20" s="3507"/>
      <c r="DRY20" s="3507"/>
      <c r="DRZ20" s="3507"/>
      <c r="DSA20" s="3507"/>
      <c r="DSB20" s="3507"/>
      <c r="DSC20" s="3507"/>
      <c r="DSD20" s="3507"/>
      <c r="DSE20" s="3507"/>
      <c r="DSF20" s="3507"/>
      <c r="DSG20" s="3507"/>
      <c r="DSH20" s="3507"/>
      <c r="DSI20" s="3507"/>
      <c r="DSJ20" s="3507"/>
      <c r="DSK20" s="3507"/>
      <c r="DSL20" s="3507"/>
      <c r="DSM20" s="3507"/>
      <c r="DSN20" s="3507"/>
      <c r="DSO20" s="3507"/>
      <c r="DSP20" s="3507"/>
      <c r="DSQ20" s="3507"/>
      <c r="DSR20" s="3507"/>
      <c r="DSS20" s="3507"/>
      <c r="DST20" s="3507"/>
      <c r="DSU20" s="3507"/>
      <c r="DSV20" s="3507"/>
      <c r="DSW20" s="3507"/>
      <c r="DSX20" s="3507"/>
      <c r="DSY20" s="3507"/>
      <c r="DSZ20" s="3507"/>
      <c r="DTA20" s="3507"/>
      <c r="DTB20" s="3507"/>
      <c r="DTC20" s="3507"/>
      <c r="DTD20" s="3507"/>
      <c r="DTE20" s="3507"/>
      <c r="DTF20" s="3507"/>
      <c r="DTG20" s="3507"/>
      <c r="DTH20" s="3507"/>
      <c r="DTI20" s="3507"/>
      <c r="DTJ20" s="3507"/>
      <c r="DTK20" s="3507"/>
      <c r="DTL20" s="3507"/>
      <c r="DTM20" s="3507"/>
      <c r="DTN20" s="3507"/>
      <c r="DTO20" s="3507"/>
      <c r="DTP20" s="3507"/>
      <c r="DTQ20" s="3507"/>
      <c r="DTR20" s="3507"/>
      <c r="DTS20" s="3507"/>
      <c r="DTT20" s="3507"/>
      <c r="DTU20" s="3507"/>
      <c r="DTV20" s="3507"/>
      <c r="DTW20" s="3507"/>
      <c r="DTX20" s="3507"/>
      <c r="DTY20" s="3507"/>
      <c r="DTZ20" s="3507"/>
      <c r="DUA20" s="3507"/>
      <c r="DUB20" s="3507"/>
      <c r="DUC20" s="3507"/>
      <c r="DUD20" s="3507"/>
      <c r="DUE20" s="3507"/>
      <c r="DUF20" s="3507"/>
      <c r="DUG20" s="3507"/>
      <c r="DUH20" s="3507"/>
      <c r="DUI20" s="3507"/>
      <c r="DUJ20" s="3507"/>
      <c r="DUK20" s="3507"/>
      <c r="DUL20" s="3507"/>
      <c r="DUM20" s="3507"/>
      <c r="DUN20" s="3507"/>
      <c r="DUO20" s="3507"/>
      <c r="DUP20" s="3507"/>
      <c r="DUQ20" s="3507"/>
      <c r="DUR20" s="3507"/>
      <c r="DUS20" s="3507"/>
      <c r="DUT20" s="3507"/>
      <c r="DUU20" s="3507"/>
      <c r="DUV20" s="3507"/>
      <c r="DUW20" s="3507"/>
      <c r="DUX20" s="3507"/>
      <c r="DUY20" s="3507"/>
      <c r="DUZ20" s="3507"/>
      <c r="DVA20" s="3507"/>
      <c r="DVB20" s="3507"/>
      <c r="DVC20" s="3507"/>
      <c r="DVD20" s="3507"/>
      <c r="DVE20" s="3507"/>
      <c r="DVF20" s="3507"/>
      <c r="DVG20" s="3507"/>
      <c r="DVH20" s="3507"/>
      <c r="DVI20" s="3507"/>
      <c r="DVJ20" s="3507"/>
      <c r="DVK20" s="3507"/>
      <c r="DVL20" s="3507"/>
      <c r="DVM20" s="3507"/>
      <c r="DVN20" s="3507"/>
      <c r="DVO20" s="3507"/>
      <c r="DVP20" s="3507"/>
      <c r="DVQ20" s="3507"/>
      <c r="DVR20" s="3507"/>
      <c r="DVS20" s="3507"/>
      <c r="DVT20" s="3507"/>
      <c r="DVU20" s="3507"/>
      <c r="DVV20" s="3507"/>
      <c r="DVW20" s="3507"/>
      <c r="DVX20" s="3507"/>
      <c r="DVY20" s="3507"/>
      <c r="DVZ20" s="3507"/>
      <c r="DWA20" s="3507"/>
      <c r="DWB20" s="3507"/>
      <c r="DWC20" s="3507"/>
      <c r="DWD20" s="3507"/>
      <c r="DWE20" s="3507"/>
      <c r="DWF20" s="3507"/>
      <c r="DWG20" s="3507"/>
      <c r="DWH20" s="3507"/>
      <c r="DWI20" s="3507"/>
      <c r="DWJ20" s="3507"/>
      <c r="DWK20" s="3507"/>
      <c r="DWL20" s="3507"/>
      <c r="DWM20" s="3507"/>
      <c r="DWN20" s="3507"/>
      <c r="DWO20" s="3507"/>
      <c r="DWP20" s="3507"/>
      <c r="DWQ20" s="3507"/>
      <c r="DWR20" s="3507"/>
      <c r="DWS20" s="3507"/>
      <c r="DWT20" s="3507"/>
      <c r="DWU20" s="3507"/>
      <c r="DWV20" s="3507"/>
      <c r="DWW20" s="3507"/>
      <c r="DWX20" s="3507"/>
      <c r="DWY20" s="3507"/>
      <c r="DWZ20" s="3507"/>
      <c r="DXA20" s="3507"/>
      <c r="DXB20" s="3507"/>
      <c r="DXC20" s="3507"/>
      <c r="DXD20" s="3507"/>
      <c r="DXE20" s="3507"/>
      <c r="DXF20" s="3507"/>
      <c r="DXG20" s="3507"/>
      <c r="DXH20" s="3507"/>
      <c r="DXI20" s="3507"/>
      <c r="DXJ20" s="3507"/>
      <c r="DXK20" s="3507"/>
      <c r="DXL20" s="3507"/>
      <c r="DXM20" s="3507"/>
      <c r="DXN20" s="3507"/>
      <c r="DXO20" s="3507"/>
      <c r="DXP20" s="3507"/>
      <c r="DXQ20" s="3507"/>
      <c r="DXR20" s="3507"/>
      <c r="DXS20" s="3507"/>
      <c r="DXT20" s="3507"/>
      <c r="DXU20" s="3507"/>
      <c r="DXV20" s="3507"/>
      <c r="DXW20" s="3507"/>
      <c r="DXX20" s="3507"/>
      <c r="DXY20" s="3507"/>
      <c r="DXZ20" s="3507"/>
      <c r="DYA20" s="3507"/>
      <c r="DYB20" s="3507"/>
      <c r="DYC20" s="3507"/>
      <c r="DYD20" s="3507"/>
      <c r="DYE20" s="3507"/>
      <c r="DYF20" s="3507"/>
      <c r="DYG20" s="3507"/>
      <c r="DYH20" s="3507"/>
      <c r="DYI20" s="3507"/>
      <c r="DYJ20" s="3507"/>
      <c r="DYK20" s="3507"/>
      <c r="DYL20" s="3507"/>
      <c r="DYM20" s="3507"/>
      <c r="DYN20" s="3507"/>
      <c r="DYO20" s="3507"/>
      <c r="DYP20" s="3507"/>
      <c r="DYQ20" s="3507"/>
      <c r="DYR20" s="3507"/>
      <c r="DYS20" s="3507"/>
      <c r="DYT20" s="3507"/>
      <c r="DYU20" s="3507"/>
      <c r="DYV20" s="3507"/>
      <c r="DYW20" s="3507"/>
      <c r="DYX20" s="3507"/>
      <c r="DYY20" s="3507"/>
      <c r="DYZ20" s="3507"/>
      <c r="DZA20" s="3507"/>
      <c r="DZB20" s="3507"/>
      <c r="DZC20" s="3507"/>
      <c r="DZD20" s="3507"/>
      <c r="DZE20" s="3507"/>
      <c r="DZF20" s="3507"/>
      <c r="DZG20" s="3507"/>
      <c r="DZH20" s="3507"/>
      <c r="DZI20" s="3507"/>
      <c r="DZJ20" s="3507"/>
      <c r="DZK20" s="3507"/>
      <c r="DZL20" s="3507"/>
      <c r="DZM20" s="3507"/>
      <c r="DZN20" s="3507"/>
      <c r="DZO20" s="3507"/>
      <c r="DZP20" s="3507"/>
      <c r="DZQ20" s="3507"/>
      <c r="DZR20" s="3507"/>
      <c r="DZS20" s="3507"/>
      <c r="DZT20" s="3507"/>
      <c r="DZU20" s="3507"/>
      <c r="DZV20" s="3507"/>
      <c r="DZW20" s="3507"/>
      <c r="DZX20" s="3507"/>
      <c r="DZY20" s="3507"/>
      <c r="DZZ20" s="3507"/>
      <c r="EAA20" s="3507"/>
      <c r="EAB20" s="3507"/>
      <c r="EAC20" s="3507"/>
      <c r="EAD20" s="3507"/>
      <c r="EAE20" s="3507"/>
      <c r="EAF20" s="3507"/>
      <c r="EAG20" s="3507"/>
      <c r="EAH20" s="3507"/>
      <c r="EAI20" s="3507"/>
      <c r="EAJ20" s="3507"/>
      <c r="EAK20" s="3507"/>
      <c r="EAL20" s="3507"/>
      <c r="EAM20" s="3507"/>
      <c r="EAN20" s="3507"/>
      <c r="EAO20" s="3507"/>
      <c r="EAP20" s="3507"/>
      <c r="EAQ20" s="3507"/>
      <c r="EAR20" s="3507"/>
      <c r="EAS20" s="3507"/>
      <c r="EAT20" s="3507"/>
      <c r="EAU20" s="3507"/>
      <c r="EAV20" s="3507"/>
      <c r="EAW20" s="3507"/>
      <c r="EAX20" s="3507"/>
      <c r="EAY20" s="3507"/>
      <c r="EAZ20" s="3507"/>
      <c r="EBA20" s="3507"/>
      <c r="EBB20" s="3507"/>
      <c r="EBC20" s="3507"/>
      <c r="EBD20" s="3507"/>
      <c r="EBE20" s="3507"/>
      <c r="EBF20" s="3507"/>
      <c r="EBG20" s="3507"/>
      <c r="EBH20" s="3507"/>
      <c r="EBI20" s="3507"/>
      <c r="EBJ20" s="3507"/>
      <c r="EBK20" s="3507"/>
      <c r="EBL20" s="3507"/>
      <c r="EBM20" s="3507"/>
      <c r="EBN20" s="3507"/>
      <c r="EBO20" s="3507"/>
      <c r="EBP20" s="3507"/>
      <c r="EBQ20" s="3507"/>
      <c r="EBR20" s="3507"/>
      <c r="EBS20" s="3507"/>
      <c r="EBT20" s="3507"/>
      <c r="EBU20" s="3507"/>
      <c r="EBV20" s="3507"/>
      <c r="EBW20" s="3507"/>
      <c r="EBX20" s="3507"/>
      <c r="EBY20" s="3507"/>
      <c r="EBZ20" s="3507"/>
      <c r="ECA20" s="3507"/>
      <c r="ECB20" s="3507"/>
      <c r="ECC20" s="3507"/>
      <c r="ECD20" s="3507"/>
      <c r="ECE20" s="3507"/>
      <c r="ECF20" s="3507"/>
      <c r="ECG20" s="3507"/>
      <c r="ECH20" s="3507"/>
      <c r="ECI20" s="3507"/>
      <c r="ECJ20" s="3507"/>
      <c r="ECK20" s="3507"/>
      <c r="ECL20" s="3507"/>
      <c r="ECM20" s="3507"/>
      <c r="ECN20" s="3507"/>
      <c r="ECO20" s="3507"/>
      <c r="ECP20" s="3507"/>
      <c r="ECQ20" s="3507"/>
      <c r="ECR20" s="3507"/>
      <c r="ECS20" s="3507"/>
      <c r="ECT20" s="3507"/>
      <c r="ECU20" s="3507"/>
      <c r="ECV20" s="3507"/>
      <c r="ECW20" s="3507"/>
      <c r="ECX20" s="3507"/>
      <c r="ECY20" s="3507"/>
      <c r="ECZ20" s="3507"/>
      <c r="EDA20" s="3507"/>
      <c r="EDB20" s="3507"/>
      <c r="EDC20" s="3507"/>
      <c r="EDD20" s="3507"/>
      <c r="EDE20" s="3507"/>
      <c r="EDF20" s="3507"/>
      <c r="EDG20" s="3507"/>
      <c r="EDH20" s="3507"/>
      <c r="EDI20" s="3507"/>
      <c r="EDJ20" s="3507"/>
      <c r="EDK20" s="3507"/>
      <c r="EDL20" s="3507"/>
      <c r="EDM20" s="3507"/>
      <c r="EDN20" s="3507"/>
      <c r="EDO20" s="3507"/>
      <c r="EDP20" s="3507"/>
      <c r="EDQ20" s="3507"/>
      <c r="EDR20" s="3507"/>
      <c r="EDS20" s="3507"/>
      <c r="EDT20" s="3507"/>
      <c r="EDU20" s="3507"/>
      <c r="EDV20" s="3507"/>
      <c r="EDW20" s="3507"/>
      <c r="EDX20" s="3507"/>
      <c r="EDY20" s="3507"/>
      <c r="EDZ20" s="3507"/>
      <c r="EEA20" s="3507"/>
      <c r="EEB20" s="3507"/>
      <c r="EEC20" s="3507"/>
      <c r="EED20" s="3507"/>
      <c r="EEE20" s="3507"/>
      <c r="EEF20" s="3507"/>
      <c r="EEG20" s="3507"/>
      <c r="EEH20" s="3507"/>
      <c r="EEI20" s="3507"/>
      <c r="EEJ20" s="3507"/>
      <c r="EEK20" s="3507"/>
      <c r="EEL20" s="3507"/>
      <c r="EEM20" s="3507"/>
      <c r="EEN20" s="3507"/>
      <c r="EEO20" s="3507"/>
      <c r="EEP20" s="3507"/>
      <c r="EEQ20" s="3507"/>
      <c r="EER20" s="3507"/>
      <c r="EES20" s="3507"/>
      <c r="EET20" s="3507"/>
      <c r="EEU20" s="3507"/>
      <c r="EEV20" s="3507"/>
      <c r="EEW20" s="3507"/>
      <c r="EEX20" s="3507"/>
      <c r="EEY20" s="3507"/>
      <c r="EEZ20" s="3507"/>
      <c r="EFA20" s="3507"/>
      <c r="EFB20" s="3507"/>
      <c r="EFC20" s="3507"/>
      <c r="EFD20" s="3507"/>
      <c r="EFE20" s="3507"/>
      <c r="EFF20" s="3507"/>
      <c r="EFG20" s="3507"/>
      <c r="EFH20" s="3507"/>
      <c r="EFI20" s="3507"/>
      <c r="EFJ20" s="3507"/>
      <c r="EFK20" s="3507"/>
      <c r="EFL20" s="3507"/>
      <c r="EFM20" s="3507"/>
      <c r="EFN20" s="3507"/>
      <c r="EFO20" s="3507"/>
      <c r="EFP20" s="3507"/>
      <c r="EFQ20" s="3507"/>
      <c r="EFR20" s="3507"/>
      <c r="EFS20" s="3507"/>
      <c r="EFT20" s="3507"/>
      <c r="EFU20" s="3507"/>
      <c r="EFV20" s="3507"/>
      <c r="EFW20" s="3507"/>
      <c r="EFX20" s="3507"/>
      <c r="EFY20" s="3507"/>
      <c r="EFZ20" s="3507"/>
      <c r="EGA20" s="3507"/>
      <c r="EGB20" s="3507"/>
      <c r="EGC20" s="3507"/>
      <c r="EGD20" s="3507"/>
      <c r="EGE20" s="3507"/>
      <c r="EGF20" s="3507"/>
      <c r="EGG20" s="3507"/>
      <c r="EGH20" s="3507"/>
      <c r="EGI20" s="3507"/>
      <c r="EGJ20" s="3507"/>
      <c r="EGK20" s="3507"/>
      <c r="EGL20" s="3507"/>
      <c r="EGM20" s="3507"/>
      <c r="EGN20" s="3507"/>
      <c r="EGO20" s="3507"/>
      <c r="EGP20" s="3507"/>
      <c r="EGQ20" s="3507"/>
      <c r="EGR20" s="3507"/>
      <c r="EGS20" s="3507"/>
      <c r="EGT20" s="3507"/>
      <c r="EGU20" s="3507"/>
      <c r="EGV20" s="3507"/>
      <c r="EGW20" s="3507"/>
      <c r="EGX20" s="3507"/>
      <c r="EGY20" s="3507"/>
      <c r="EGZ20" s="3507"/>
      <c r="EHA20" s="3507"/>
      <c r="EHB20" s="3507"/>
      <c r="EHC20" s="3507"/>
      <c r="EHD20" s="3507"/>
      <c r="EHE20" s="3507"/>
      <c r="EHF20" s="3507"/>
      <c r="EHG20" s="3507"/>
      <c r="EHH20" s="3507"/>
      <c r="EHI20" s="3507"/>
      <c r="EHJ20" s="3507"/>
      <c r="EHK20" s="3507"/>
      <c r="EHL20" s="3507"/>
      <c r="EHM20" s="3507"/>
      <c r="EHN20" s="3507"/>
      <c r="EHO20" s="3507"/>
      <c r="EHP20" s="3507"/>
      <c r="EHQ20" s="3507"/>
      <c r="EHR20" s="3507"/>
      <c r="EHS20" s="3507"/>
      <c r="EHT20" s="3507"/>
      <c r="EHU20" s="3507"/>
      <c r="EHV20" s="3507"/>
      <c r="EHW20" s="3507"/>
      <c r="EHX20" s="3507"/>
      <c r="EHY20" s="3507"/>
      <c r="EHZ20" s="3507"/>
      <c r="EIA20" s="3507"/>
      <c r="EIB20" s="3507"/>
      <c r="EIC20" s="3507"/>
      <c r="EID20" s="3507"/>
      <c r="EIE20" s="3507"/>
      <c r="EIF20" s="3507"/>
      <c r="EIG20" s="3507"/>
      <c r="EIH20" s="3507"/>
      <c r="EII20" s="3507"/>
      <c r="EIJ20" s="3507"/>
      <c r="EIK20" s="3507"/>
      <c r="EIL20" s="3507"/>
      <c r="EIM20" s="3507"/>
      <c r="EIN20" s="3507"/>
      <c r="EIO20" s="3507"/>
      <c r="EIP20" s="3507"/>
      <c r="EIQ20" s="3507"/>
      <c r="EIR20" s="3507"/>
      <c r="EIS20" s="3507"/>
      <c r="EIT20" s="3507"/>
      <c r="EIU20" s="3507"/>
      <c r="EIV20" s="3507"/>
      <c r="EIW20" s="3507"/>
      <c r="EIX20" s="3507"/>
      <c r="EIY20" s="3507"/>
      <c r="EIZ20" s="3507"/>
      <c r="EJA20" s="3507"/>
      <c r="EJB20" s="3507"/>
      <c r="EJC20" s="3507"/>
      <c r="EJD20" s="3507"/>
      <c r="EJE20" s="3507"/>
      <c r="EJF20" s="3507"/>
      <c r="EJG20" s="3507"/>
      <c r="EJH20" s="3507"/>
      <c r="EJI20" s="3507"/>
      <c r="EJJ20" s="3507"/>
      <c r="EJK20" s="3507"/>
      <c r="EJL20" s="3507"/>
      <c r="EJM20" s="3507"/>
      <c r="EJN20" s="3507"/>
      <c r="EJO20" s="3507"/>
      <c r="EJP20" s="3507"/>
      <c r="EJQ20" s="3507"/>
      <c r="EJR20" s="3507"/>
      <c r="EJS20" s="3507"/>
      <c r="EJT20" s="3507"/>
      <c r="EJU20" s="3507"/>
      <c r="EJV20" s="3507"/>
      <c r="EJW20" s="3507"/>
      <c r="EJX20" s="3507"/>
      <c r="EJY20" s="3507"/>
      <c r="EJZ20" s="3507"/>
      <c r="EKA20" s="3507"/>
      <c r="EKB20" s="3507"/>
      <c r="EKC20" s="3507"/>
      <c r="EKD20" s="3507"/>
      <c r="EKE20" s="3507"/>
      <c r="EKF20" s="3507"/>
      <c r="EKG20" s="3507"/>
      <c r="EKH20" s="3507"/>
      <c r="EKI20" s="3507"/>
      <c r="EKJ20" s="3507"/>
      <c r="EKK20" s="3507"/>
      <c r="EKL20" s="3507"/>
      <c r="EKM20" s="3507"/>
      <c r="EKN20" s="3507"/>
      <c r="EKO20" s="3507"/>
      <c r="EKP20" s="3507"/>
      <c r="EKQ20" s="3507"/>
      <c r="EKR20" s="3507"/>
      <c r="EKS20" s="3507"/>
      <c r="EKT20" s="3507"/>
      <c r="EKU20" s="3507"/>
      <c r="EKV20" s="3507"/>
      <c r="EKW20" s="3507"/>
      <c r="EKX20" s="3507"/>
      <c r="EKY20" s="3507"/>
      <c r="EKZ20" s="3507"/>
      <c r="ELA20" s="3507"/>
      <c r="ELB20" s="3507"/>
      <c r="ELC20" s="3507"/>
      <c r="ELD20" s="3507"/>
      <c r="ELE20" s="3507"/>
      <c r="ELF20" s="3507"/>
      <c r="ELG20" s="3507"/>
      <c r="ELH20" s="3507"/>
      <c r="ELI20" s="3507"/>
      <c r="ELJ20" s="3507"/>
      <c r="ELK20" s="3507"/>
      <c r="ELL20" s="3507"/>
      <c r="ELM20" s="3507"/>
      <c r="ELN20" s="3507"/>
      <c r="ELO20" s="3507"/>
      <c r="ELP20" s="3507"/>
      <c r="ELQ20" s="3507"/>
      <c r="ELR20" s="3507"/>
      <c r="ELS20" s="3507"/>
      <c r="ELT20" s="3507"/>
      <c r="ELU20" s="3507"/>
      <c r="ELV20" s="3507"/>
      <c r="ELW20" s="3507"/>
      <c r="ELX20" s="3507"/>
      <c r="ELY20" s="3507"/>
      <c r="ELZ20" s="3507"/>
      <c r="EMA20" s="3507"/>
      <c r="EMB20" s="3507"/>
      <c r="EMC20" s="3507"/>
      <c r="EMD20" s="3507"/>
      <c r="EME20" s="3507"/>
      <c r="EMF20" s="3507"/>
      <c r="EMG20" s="3507"/>
      <c r="EMH20" s="3507"/>
      <c r="EMI20" s="3507"/>
      <c r="EMJ20" s="3507"/>
      <c r="EMK20" s="3507"/>
      <c r="EML20" s="3507"/>
      <c r="EMM20" s="3507"/>
      <c r="EMN20" s="3507"/>
      <c r="EMO20" s="3507"/>
      <c r="EMP20" s="3507"/>
      <c r="EMQ20" s="3507"/>
      <c r="EMR20" s="3507"/>
      <c r="EMS20" s="3507"/>
      <c r="EMT20" s="3507"/>
      <c r="EMU20" s="3507"/>
      <c r="EMV20" s="3507"/>
      <c r="EMW20" s="3507"/>
      <c r="EMX20" s="3507"/>
      <c r="EMY20" s="3507"/>
      <c r="EMZ20" s="3507"/>
      <c r="ENA20" s="3507"/>
      <c r="ENB20" s="3507"/>
      <c r="ENC20" s="3507"/>
      <c r="END20" s="3507"/>
      <c r="ENE20" s="3507"/>
      <c r="ENF20" s="3507"/>
      <c r="ENG20" s="3507"/>
      <c r="ENH20" s="3507"/>
      <c r="ENI20" s="3507"/>
      <c r="ENJ20" s="3507"/>
      <c r="ENK20" s="3507"/>
      <c r="ENL20" s="3507"/>
      <c r="ENM20" s="3507"/>
      <c r="ENN20" s="3507"/>
      <c r="ENO20" s="3507"/>
      <c r="ENP20" s="3507"/>
      <c r="ENQ20" s="3507"/>
      <c r="ENR20" s="3507"/>
      <c r="ENS20" s="3507"/>
      <c r="ENT20" s="3507"/>
      <c r="ENU20" s="3507"/>
      <c r="ENV20" s="3507"/>
      <c r="ENW20" s="3507"/>
      <c r="ENX20" s="3507"/>
      <c r="ENY20" s="3507"/>
      <c r="ENZ20" s="3507"/>
      <c r="EOA20" s="3507"/>
      <c r="EOB20" s="3507"/>
      <c r="EOC20" s="3507"/>
      <c r="EOD20" s="3507"/>
      <c r="EOE20" s="3507"/>
      <c r="EOF20" s="3507"/>
      <c r="EOG20" s="3507"/>
      <c r="EOH20" s="3507"/>
      <c r="EOI20" s="3507"/>
      <c r="EOJ20" s="3507"/>
      <c r="EOK20" s="3507"/>
      <c r="EOL20" s="3507"/>
      <c r="EOM20" s="3507"/>
      <c r="EON20" s="3507"/>
      <c r="EOO20" s="3507"/>
      <c r="EOP20" s="3507"/>
      <c r="EOQ20" s="3507"/>
      <c r="EOR20" s="3507"/>
      <c r="EOS20" s="3507"/>
      <c r="EOT20" s="3507"/>
      <c r="EOU20" s="3507"/>
      <c r="EOV20" s="3507"/>
      <c r="EOW20" s="3507"/>
      <c r="EOX20" s="3507"/>
      <c r="EOY20" s="3507"/>
      <c r="EOZ20" s="3507"/>
      <c r="EPA20" s="3507"/>
      <c r="EPB20" s="3507"/>
      <c r="EPC20" s="3507"/>
      <c r="EPD20" s="3507"/>
      <c r="EPE20" s="3507"/>
      <c r="EPF20" s="3507"/>
      <c r="EPG20" s="3507"/>
      <c r="EPH20" s="3507"/>
      <c r="EPI20" s="3507"/>
      <c r="EPJ20" s="3507"/>
      <c r="EPK20" s="3507"/>
      <c r="EPL20" s="3507"/>
      <c r="EPM20" s="3507"/>
      <c r="EPN20" s="3507"/>
      <c r="EPO20" s="3507"/>
      <c r="EPP20" s="3507"/>
      <c r="EPQ20" s="3507"/>
      <c r="EPR20" s="3507"/>
      <c r="EPS20" s="3507"/>
      <c r="EPT20" s="3507"/>
      <c r="EPU20" s="3507"/>
      <c r="EPV20" s="3507"/>
      <c r="EPW20" s="3507"/>
      <c r="EPX20" s="3507"/>
      <c r="EPY20" s="3507"/>
      <c r="EPZ20" s="3507"/>
      <c r="EQA20" s="3507"/>
      <c r="EQB20" s="3507"/>
      <c r="EQC20" s="3507"/>
      <c r="EQD20" s="3507"/>
      <c r="EQE20" s="3507"/>
      <c r="EQF20" s="3507"/>
      <c r="EQG20" s="3507"/>
      <c r="EQH20" s="3507"/>
      <c r="EQI20" s="3507"/>
      <c r="EQJ20" s="3507"/>
      <c r="EQK20" s="3507"/>
      <c r="EQL20" s="3507"/>
      <c r="EQM20" s="3507"/>
      <c r="EQN20" s="3507"/>
      <c r="EQO20" s="3507"/>
      <c r="EQP20" s="3507"/>
      <c r="EQQ20" s="3507"/>
      <c r="EQR20" s="3507"/>
      <c r="EQS20" s="3507"/>
      <c r="EQT20" s="3507"/>
      <c r="EQU20" s="3507"/>
      <c r="EQV20" s="3507"/>
      <c r="EQW20" s="3507"/>
      <c r="EQX20" s="3507"/>
      <c r="EQY20" s="3507"/>
      <c r="EQZ20" s="3507"/>
      <c r="ERA20" s="3507"/>
      <c r="ERB20" s="3507"/>
      <c r="ERC20" s="3507"/>
      <c r="ERD20" s="3507"/>
      <c r="ERE20" s="3507"/>
      <c r="ERF20" s="3507"/>
      <c r="ERG20" s="3507"/>
      <c r="ERH20" s="3507"/>
      <c r="ERI20" s="3507"/>
      <c r="ERJ20" s="3507"/>
      <c r="ERK20" s="3507"/>
      <c r="ERL20" s="3507"/>
      <c r="ERM20" s="3507"/>
      <c r="ERN20" s="3507"/>
      <c r="ERO20" s="3507"/>
      <c r="ERP20" s="3507"/>
      <c r="ERQ20" s="3507"/>
      <c r="ERR20" s="3507"/>
      <c r="ERS20" s="3507"/>
      <c r="ERT20" s="3507"/>
      <c r="ERU20" s="3507"/>
      <c r="ERV20" s="3507"/>
      <c r="ERW20" s="3507"/>
      <c r="ERX20" s="3507"/>
      <c r="ERY20" s="3507"/>
      <c r="ERZ20" s="3507"/>
      <c r="ESA20" s="3507"/>
      <c r="ESB20" s="3507"/>
      <c r="ESC20" s="3507"/>
      <c r="ESD20" s="3507"/>
      <c r="ESE20" s="3507"/>
      <c r="ESF20" s="3507"/>
      <c r="ESG20" s="3507"/>
      <c r="ESH20" s="3507"/>
      <c r="ESI20" s="3507"/>
      <c r="ESJ20" s="3507"/>
      <c r="ESK20" s="3507"/>
      <c r="ESL20" s="3507"/>
      <c r="ESM20" s="3507"/>
      <c r="ESN20" s="3507"/>
      <c r="ESO20" s="3507"/>
      <c r="ESP20" s="3507"/>
      <c r="ESQ20" s="3507"/>
      <c r="ESR20" s="3507"/>
      <c r="ESS20" s="3507"/>
      <c r="EST20" s="3507"/>
      <c r="ESU20" s="3507"/>
      <c r="ESV20" s="3507"/>
      <c r="ESW20" s="3507"/>
      <c r="ESX20" s="3507"/>
      <c r="ESY20" s="3507"/>
      <c r="ESZ20" s="3507"/>
      <c r="ETA20" s="3507"/>
      <c r="ETB20" s="3507"/>
      <c r="ETC20" s="3507"/>
      <c r="ETD20" s="3507"/>
      <c r="ETE20" s="3507"/>
      <c r="ETF20" s="3507"/>
      <c r="ETG20" s="3507"/>
      <c r="ETH20" s="3507"/>
      <c r="ETI20" s="3507"/>
      <c r="ETJ20" s="3507"/>
      <c r="ETK20" s="3507"/>
      <c r="ETL20" s="3507"/>
      <c r="ETM20" s="3507"/>
      <c r="ETN20" s="3507"/>
      <c r="ETO20" s="3507"/>
      <c r="ETP20" s="3507"/>
      <c r="ETQ20" s="3507"/>
      <c r="ETR20" s="3507"/>
      <c r="ETS20" s="3507"/>
      <c r="ETT20" s="3507"/>
      <c r="ETU20" s="3507"/>
      <c r="ETV20" s="3507"/>
      <c r="ETW20" s="3507"/>
      <c r="ETX20" s="3507"/>
      <c r="ETY20" s="3507"/>
      <c r="ETZ20" s="3507"/>
      <c r="EUA20" s="3507"/>
      <c r="EUB20" s="3507"/>
      <c r="EUC20" s="3507"/>
      <c r="EUD20" s="3507"/>
      <c r="EUE20" s="3507"/>
      <c r="EUF20" s="3507"/>
      <c r="EUG20" s="3507"/>
      <c r="EUH20" s="3507"/>
      <c r="EUI20" s="3507"/>
      <c r="EUJ20" s="3507"/>
      <c r="EUK20" s="3507"/>
      <c r="EUL20" s="3507"/>
      <c r="EUM20" s="3507"/>
      <c r="EUN20" s="3507"/>
      <c r="EUO20" s="3507"/>
      <c r="EUP20" s="3507"/>
      <c r="EUQ20" s="3507"/>
      <c r="EUR20" s="3507"/>
      <c r="EUS20" s="3507"/>
      <c r="EUT20" s="3507"/>
      <c r="EUU20" s="3507"/>
      <c r="EUV20" s="3507"/>
      <c r="EUW20" s="3507"/>
      <c r="EUX20" s="3507"/>
      <c r="EUY20" s="3507"/>
      <c r="EUZ20" s="3507"/>
      <c r="EVA20" s="3507"/>
      <c r="EVB20" s="3507"/>
      <c r="EVC20" s="3507"/>
      <c r="EVD20" s="3507"/>
      <c r="EVE20" s="3507"/>
      <c r="EVF20" s="3507"/>
      <c r="EVG20" s="3507"/>
      <c r="EVH20" s="3507"/>
      <c r="EVI20" s="3507"/>
      <c r="EVJ20" s="3507"/>
      <c r="EVK20" s="3507"/>
      <c r="EVL20" s="3507"/>
      <c r="EVM20" s="3507"/>
      <c r="EVN20" s="3507"/>
      <c r="EVO20" s="3507"/>
      <c r="EVP20" s="3507"/>
      <c r="EVQ20" s="3507"/>
      <c r="EVR20" s="3507"/>
      <c r="EVS20" s="3507"/>
      <c r="EVT20" s="3507"/>
      <c r="EVU20" s="3507"/>
      <c r="EVV20" s="3507"/>
      <c r="EVW20" s="3507"/>
      <c r="EVX20" s="3507"/>
      <c r="EVY20" s="3507"/>
      <c r="EVZ20" s="3507"/>
      <c r="EWA20" s="3507"/>
      <c r="EWB20" s="3507"/>
      <c r="EWC20" s="3507"/>
      <c r="EWD20" s="3507"/>
      <c r="EWE20" s="3507"/>
      <c r="EWF20" s="3507"/>
      <c r="EWG20" s="3507"/>
      <c r="EWH20" s="3507"/>
      <c r="EWI20" s="3507"/>
      <c r="EWJ20" s="3507"/>
      <c r="EWK20" s="3507"/>
      <c r="EWL20" s="3507"/>
      <c r="EWM20" s="3507"/>
      <c r="EWN20" s="3507"/>
      <c r="EWO20" s="3507"/>
      <c r="EWP20" s="3507"/>
      <c r="EWQ20" s="3507"/>
      <c r="EWR20" s="3507"/>
      <c r="EWS20" s="3507"/>
      <c r="EWT20" s="3507"/>
      <c r="EWU20" s="3507"/>
      <c r="EWV20" s="3507"/>
      <c r="EWW20" s="3507"/>
      <c r="EWX20" s="3507"/>
      <c r="EWY20" s="3507"/>
      <c r="EWZ20" s="3507"/>
      <c r="EXA20" s="3507"/>
      <c r="EXB20" s="3507"/>
      <c r="EXC20" s="3507"/>
      <c r="EXD20" s="3507"/>
      <c r="EXE20" s="3507"/>
      <c r="EXF20" s="3507"/>
      <c r="EXG20" s="3507"/>
      <c r="EXH20" s="3507"/>
      <c r="EXI20" s="3507"/>
      <c r="EXJ20" s="3507"/>
      <c r="EXK20" s="3507"/>
      <c r="EXL20" s="3507"/>
      <c r="EXM20" s="3507"/>
      <c r="EXN20" s="3507"/>
      <c r="EXO20" s="3507"/>
      <c r="EXP20" s="3507"/>
      <c r="EXQ20" s="3507"/>
      <c r="EXR20" s="3507"/>
      <c r="EXS20" s="3507"/>
      <c r="EXT20" s="3507"/>
      <c r="EXU20" s="3507"/>
      <c r="EXV20" s="3507"/>
      <c r="EXW20" s="3507"/>
      <c r="EXX20" s="3507"/>
      <c r="EXY20" s="3507"/>
      <c r="EXZ20" s="3507"/>
      <c r="EYA20" s="3507"/>
      <c r="EYB20" s="3507"/>
      <c r="EYC20" s="3507"/>
      <c r="EYD20" s="3507"/>
      <c r="EYE20" s="3507"/>
      <c r="EYF20" s="3507"/>
      <c r="EYG20" s="3507"/>
      <c r="EYH20" s="3507"/>
      <c r="EYI20" s="3507"/>
      <c r="EYJ20" s="3507"/>
      <c r="EYK20" s="3507"/>
      <c r="EYL20" s="3507"/>
      <c r="EYM20" s="3507"/>
      <c r="EYN20" s="3507"/>
      <c r="EYO20" s="3507"/>
      <c r="EYP20" s="3507"/>
      <c r="EYQ20" s="3507"/>
      <c r="EYR20" s="3507"/>
      <c r="EYS20" s="3507"/>
      <c r="EYT20" s="3507"/>
      <c r="EYU20" s="3507"/>
      <c r="EYV20" s="3507"/>
      <c r="EYW20" s="3507"/>
      <c r="EYX20" s="3507"/>
      <c r="EYY20" s="3507"/>
      <c r="EYZ20" s="3507"/>
      <c r="EZA20" s="3507"/>
      <c r="EZB20" s="3507"/>
      <c r="EZC20" s="3507"/>
      <c r="EZD20" s="3507"/>
      <c r="EZE20" s="3507"/>
      <c r="EZF20" s="3507"/>
      <c r="EZG20" s="3507"/>
      <c r="EZH20" s="3507"/>
      <c r="EZI20" s="3507"/>
      <c r="EZJ20" s="3507"/>
      <c r="EZK20" s="3507"/>
      <c r="EZL20" s="3507"/>
      <c r="EZM20" s="3507"/>
      <c r="EZN20" s="3507"/>
      <c r="EZO20" s="3507"/>
      <c r="EZP20" s="3507"/>
      <c r="EZQ20" s="3507"/>
      <c r="EZR20" s="3507"/>
      <c r="EZS20" s="3507"/>
      <c r="EZT20" s="3507"/>
      <c r="EZU20" s="3507"/>
      <c r="EZV20" s="3507"/>
      <c r="EZW20" s="3507"/>
      <c r="EZX20" s="3507"/>
      <c r="EZY20" s="3507"/>
      <c r="EZZ20" s="3507"/>
      <c r="FAA20" s="3507"/>
      <c r="FAB20" s="3507"/>
      <c r="FAC20" s="3507"/>
      <c r="FAD20" s="3507"/>
      <c r="FAE20" s="3507"/>
      <c r="FAF20" s="3507"/>
      <c r="FAG20" s="3507"/>
      <c r="FAH20" s="3507"/>
      <c r="FAI20" s="3507"/>
      <c r="FAJ20" s="3507"/>
      <c r="FAK20" s="3507"/>
      <c r="FAL20" s="3507"/>
      <c r="FAM20" s="3507"/>
      <c r="FAN20" s="3507"/>
      <c r="FAO20" s="3507"/>
      <c r="FAP20" s="3507"/>
      <c r="FAQ20" s="3507"/>
      <c r="FAR20" s="3507"/>
      <c r="FAS20" s="3507"/>
      <c r="FAT20" s="3507"/>
      <c r="FAU20" s="3507"/>
      <c r="FAV20" s="3507"/>
      <c r="FAW20" s="3507"/>
      <c r="FAX20" s="3507"/>
      <c r="FAY20" s="3507"/>
      <c r="FAZ20" s="3507"/>
      <c r="FBA20" s="3507"/>
      <c r="FBB20" s="3507"/>
      <c r="FBC20" s="3507"/>
      <c r="FBD20" s="3507"/>
      <c r="FBE20" s="3507"/>
      <c r="FBF20" s="3507"/>
      <c r="FBG20" s="3507"/>
      <c r="FBH20" s="3507"/>
      <c r="FBI20" s="3507"/>
      <c r="FBJ20" s="3507"/>
      <c r="FBK20" s="3507"/>
      <c r="FBL20" s="3507"/>
      <c r="FBM20" s="3507"/>
      <c r="FBN20" s="3507"/>
      <c r="FBO20" s="3507"/>
      <c r="FBP20" s="3507"/>
      <c r="FBQ20" s="3507"/>
      <c r="FBR20" s="3507"/>
      <c r="FBS20" s="3507"/>
      <c r="FBT20" s="3507"/>
      <c r="FBU20" s="3507"/>
      <c r="FBV20" s="3507"/>
      <c r="FBW20" s="3507"/>
      <c r="FBX20" s="3507"/>
      <c r="FBY20" s="3507"/>
      <c r="FBZ20" s="3507"/>
      <c r="FCA20" s="3507"/>
      <c r="FCB20" s="3507"/>
      <c r="FCC20" s="3507"/>
      <c r="FCD20" s="3507"/>
      <c r="FCE20" s="3507"/>
      <c r="FCF20" s="3507"/>
      <c r="FCG20" s="3507"/>
      <c r="FCH20" s="3507"/>
      <c r="FCI20" s="3507"/>
      <c r="FCJ20" s="3507"/>
      <c r="FCK20" s="3507"/>
      <c r="FCL20" s="3507"/>
      <c r="FCM20" s="3507"/>
      <c r="FCN20" s="3507"/>
      <c r="FCO20" s="3507"/>
      <c r="FCP20" s="3507"/>
      <c r="FCQ20" s="3507"/>
      <c r="FCR20" s="3507"/>
      <c r="FCS20" s="3507"/>
      <c r="FCT20" s="3507"/>
      <c r="FCU20" s="3507"/>
      <c r="FCV20" s="3507"/>
      <c r="FCW20" s="3507"/>
      <c r="FCX20" s="3507"/>
      <c r="FCY20" s="3507"/>
      <c r="FCZ20" s="3507"/>
      <c r="FDA20" s="3507"/>
      <c r="FDB20" s="3507"/>
      <c r="FDC20" s="3507"/>
      <c r="FDD20" s="3507"/>
      <c r="FDE20" s="3507"/>
      <c r="FDF20" s="3507"/>
      <c r="FDG20" s="3507"/>
      <c r="FDH20" s="3507"/>
      <c r="FDI20" s="3507"/>
      <c r="FDJ20" s="3507"/>
      <c r="FDK20" s="3507"/>
      <c r="FDL20" s="3507"/>
      <c r="FDM20" s="3507"/>
      <c r="FDN20" s="3507"/>
      <c r="FDO20" s="3507"/>
      <c r="FDP20" s="3507"/>
      <c r="FDQ20" s="3507"/>
      <c r="FDR20" s="3507"/>
      <c r="FDS20" s="3507"/>
      <c r="FDT20" s="3507"/>
      <c r="FDU20" s="3507"/>
      <c r="FDV20" s="3507"/>
      <c r="FDW20" s="3507"/>
      <c r="FDX20" s="3507"/>
      <c r="FDY20" s="3507"/>
      <c r="FDZ20" s="3507"/>
      <c r="FEA20" s="3507"/>
      <c r="FEB20" s="3507"/>
      <c r="FEC20" s="3507"/>
      <c r="FED20" s="3507"/>
      <c r="FEE20" s="3507"/>
      <c r="FEF20" s="3507"/>
      <c r="FEG20" s="3507"/>
      <c r="FEH20" s="3507"/>
      <c r="FEI20" s="3507"/>
      <c r="FEJ20" s="3507"/>
      <c r="FEK20" s="3507"/>
      <c r="FEL20" s="3507"/>
      <c r="FEM20" s="3507"/>
      <c r="FEN20" s="3507"/>
      <c r="FEO20" s="3507"/>
      <c r="FEP20" s="3507"/>
      <c r="FEQ20" s="3507"/>
      <c r="FER20" s="3507"/>
      <c r="FES20" s="3507"/>
      <c r="FET20" s="3507"/>
      <c r="FEU20" s="3507"/>
      <c r="FEV20" s="3507"/>
      <c r="FEW20" s="3507"/>
      <c r="FEX20" s="3507"/>
      <c r="FEY20" s="3507"/>
      <c r="FEZ20" s="3507"/>
      <c r="FFA20" s="3507"/>
      <c r="FFB20" s="3507"/>
      <c r="FFC20" s="3507"/>
      <c r="FFD20" s="3507"/>
      <c r="FFE20" s="3507"/>
      <c r="FFF20" s="3507"/>
      <c r="FFG20" s="3507"/>
      <c r="FFH20" s="3507"/>
      <c r="FFI20" s="3507"/>
      <c r="FFJ20" s="3507"/>
      <c r="FFK20" s="3507"/>
      <c r="FFL20" s="3507"/>
      <c r="FFM20" s="3507"/>
      <c r="FFN20" s="3507"/>
      <c r="FFO20" s="3507"/>
      <c r="FFP20" s="3507"/>
      <c r="FFQ20" s="3507"/>
      <c r="FFR20" s="3507"/>
      <c r="FFS20" s="3507"/>
      <c r="FFT20" s="3507"/>
      <c r="FFU20" s="3507"/>
      <c r="FFV20" s="3507"/>
      <c r="FFW20" s="3507"/>
      <c r="FFX20" s="3507"/>
      <c r="FFY20" s="3507"/>
      <c r="FFZ20" s="3507"/>
      <c r="FGA20" s="3507"/>
      <c r="FGB20" s="3507"/>
      <c r="FGC20" s="3507"/>
      <c r="FGD20" s="3507"/>
      <c r="FGE20" s="3507"/>
      <c r="FGF20" s="3507"/>
      <c r="FGG20" s="3507"/>
      <c r="FGH20" s="3507"/>
      <c r="FGI20" s="3507"/>
      <c r="FGJ20" s="3507"/>
      <c r="FGK20" s="3507"/>
      <c r="FGL20" s="3507"/>
      <c r="FGM20" s="3507"/>
      <c r="FGN20" s="3507"/>
      <c r="FGO20" s="3507"/>
      <c r="FGP20" s="3507"/>
      <c r="FGQ20" s="3507"/>
      <c r="FGR20" s="3507"/>
      <c r="FGS20" s="3507"/>
      <c r="FGT20" s="3507"/>
      <c r="FGU20" s="3507"/>
      <c r="FGV20" s="3507"/>
      <c r="FGW20" s="3507"/>
      <c r="FGX20" s="3507"/>
      <c r="FGY20" s="3507"/>
      <c r="FGZ20" s="3507"/>
      <c r="FHA20" s="3507"/>
      <c r="FHB20" s="3507"/>
      <c r="FHC20" s="3507"/>
      <c r="FHD20" s="3507"/>
      <c r="FHE20" s="3507"/>
      <c r="FHF20" s="3507"/>
      <c r="FHG20" s="3507"/>
      <c r="FHH20" s="3507"/>
      <c r="FHI20" s="3507"/>
      <c r="FHJ20" s="3507"/>
      <c r="FHK20" s="3507"/>
      <c r="FHL20" s="3507"/>
      <c r="FHM20" s="3507"/>
      <c r="FHN20" s="3507"/>
      <c r="FHO20" s="3507"/>
      <c r="FHP20" s="3507"/>
      <c r="FHQ20" s="3507"/>
      <c r="FHR20" s="3507"/>
      <c r="FHS20" s="3507"/>
      <c r="FHT20" s="3507"/>
      <c r="FHU20" s="3507"/>
      <c r="FHV20" s="3507"/>
      <c r="FHW20" s="3507"/>
      <c r="FHX20" s="3507"/>
      <c r="FHY20" s="3507"/>
      <c r="FHZ20" s="3507"/>
      <c r="FIA20" s="3507"/>
      <c r="FIB20" s="3507"/>
      <c r="FIC20" s="3507"/>
      <c r="FID20" s="3507"/>
      <c r="FIE20" s="3507"/>
      <c r="FIF20" s="3507"/>
      <c r="FIG20" s="3507"/>
      <c r="FIH20" s="3507"/>
      <c r="FII20" s="3507"/>
      <c r="FIJ20" s="3507"/>
      <c r="FIK20" s="3507"/>
      <c r="FIL20" s="3507"/>
      <c r="FIM20" s="3507"/>
      <c r="FIN20" s="3507"/>
      <c r="FIO20" s="3507"/>
      <c r="FIP20" s="3507"/>
      <c r="FIQ20" s="3507"/>
      <c r="FIR20" s="3507"/>
      <c r="FIS20" s="3507"/>
      <c r="FIT20" s="3507"/>
      <c r="FIU20" s="3507"/>
      <c r="FIV20" s="3507"/>
      <c r="FIW20" s="3507"/>
      <c r="FIX20" s="3507"/>
      <c r="FIY20" s="3507"/>
      <c r="FIZ20" s="3507"/>
      <c r="FJA20" s="3507"/>
      <c r="FJB20" s="3507"/>
      <c r="FJC20" s="3507"/>
      <c r="FJD20" s="3507"/>
      <c r="FJE20" s="3507"/>
      <c r="FJF20" s="3507"/>
      <c r="FJG20" s="3507"/>
      <c r="FJH20" s="3507"/>
      <c r="FJI20" s="3507"/>
      <c r="FJJ20" s="3507"/>
      <c r="FJK20" s="3507"/>
      <c r="FJL20" s="3507"/>
      <c r="FJM20" s="3507"/>
      <c r="FJN20" s="3507"/>
      <c r="FJO20" s="3507"/>
      <c r="FJP20" s="3507"/>
      <c r="FJQ20" s="3507"/>
      <c r="FJR20" s="3507"/>
      <c r="FJS20" s="3507"/>
      <c r="FJT20" s="3507"/>
      <c r="FJU20" s="3507"/>
      <c r="FJV20" s="3507"/>
      <c r="FJW20" s="3507"/>
      <c r="FJX20" s="3507"/>
      <c r="FJY20" s="3507"/>
      <c r="FJZ20" s="3507"/>
      <c r="FKA20" s="3507"/>
      <c r="FKB20" s="3507"/>
      <c r="FKC20" s="3507"/>
      <c r="FKD20" s="3507"/>
      <c r="FKE20" s="3507"/>
      <c r="FKF20" s="3507"/>
      <c r="FKG20" s="3507"/>
      <c r="FKH20" s="3507"/>
      <c r="FKI20" s="3507"/>
      <c r="FKJ20" s="3507"/>
      <c r="FKK20" s="3507"/>
      <c r="FKL20" s="3507"/>
      <c r="FKM20" s="3507"/>
      <c r="FKN20" s="3507"/>
      <c r="FKO20" s="3507"/>
      <c r="FKP20" s="3507"/>
      <c r="FKQ20" s="3507"/>
      <c r="FKR20" s="3507"/>
      <c r="FKS20" s="3507"/>
      <c r="FKT20" s="3507"/>
      <c r="FKU20" s="3507"/>
      <c r="FKV20" s="3507"/>
      <c r="FKW20" s="3507"/>
      <c r="FKX20" s="3507"/>
      <c r="FKY20" s="3507"/>
      <c r="FKZ20" s="3507"/>
      <c r="FLA20" s="3507"/>
      <c r="FLB20" s="3507"/>
      <c r="FLC20" s="3507"/>
      <c r="FLD20" s="3507"/>
      <c r="FLE20" s="3507"/>
      <c r="FLF20" s="3507"/>
      <c r="FLG20" s="3507"/>
      <c r="FLH20" s="3507"/>
      <c r="FLI20" s="3507"/>
      <c r="FLJ20" s="3507"/>
      <c r="FLK20" s="3507"/>
      <c r="FLL20" s="3507"/>
      <c r="FLM20" s="3507"/>
      <c r="FLN20" s="3507"/>
      <c r="FLO20" s="3507"/>
      <c r="FLP20" s="3507"/>
      <c r="FLQ20" s="3507"/>
      <c r="FLR20" s="3507"/>
      <c r="FLS20" s="3507"/>
      <c r="FLT20" s="3507"/>
      <c r="FLU20" s="3507"/>
      <c r="FLV20" s="3507"/>
      <c r="FLW20" s="3507"/>
      <c r="FLX20" s="3507"/>
      <c r="FLY20" s="3507"/>
      <c r="FLZ20" s="3507"/>
      <c r="FMA20" s="3507"/>
      <c r="FMB20" s="3507"/>
      <c r="FMC20" s="3507"/>
      <c r="FMD20" s="3507"/>
      <c r="FME20" s="3507"/>
      <c r="FMF20" s="3507"/>
      <c r="FMG20" s="3507"/>
      <c r="FMH20" s="3507"/>
      <c r="FMI20" s="3507"/>
      <c r="FMJ20" s="3507"/>
      <c r="FMK20" s="3507"/>
      <c r="FML20" s="3507"/>
      <c r="FMM20" s="3507"/>
      <c r="FMN20" s="3507"/>
      <c r="FMO20" s="3507"/>
      <c r="FMP20" s="3507"/>
      <c r="FMQ20" s="3507"/>
      <c r="FMR20" s="3507"/>
      <c r="FMS20" s="3507"/>
      <c r="FMT20" s="3507"/>
      <c r="FMU20" s="3507"/>
      <c r="FMV20" s="3507"/>
      <c r="FMW20" s="3507"/>
      <c r="FMX20" s="3507"/>
      <c r="FMY20" s="3507"/>
      <c r="FMZ20" s="3507"/>
      <c r="FNA20" s="3507"/>
      <c r="FNB20" s="3507"/>
      <c r="FNC20" s="3507"/>
      <c r="FND20" s="3507"/>
      <c r="FNE20" s="3507"/>
      <c r="FNF20" s="3507"/>
      <c r="FNG20" s="3507"/>
      <c r="FNH20" s="3507"/>
      <c r="FNI20" s="3507"/>
      <c r="FNJ20" s="3507"/>
      <c r="FNK20" s="3507"/>
      <c r="FNL20" s="3507"/>
      <c r="FNM20" s="3507"/>
      <c r="FNN20" s="3507"/>
      <c r="FNO20" s="3507"/>
      <c r="FNP20" s="3507"/>
      <c r="FNQ20" s="3507"/>
      <c r="FNR20" s="3507"/>
      <c r="FNS20" s="3507"/>
      <c r="FNT20" s="3507"/>
      <c r="FNU20" s="3507"/>
      <c r="FNV20" s="3507"/>
      <c r="FNW20" s="3507"/>
      <c r="FNX20" s="3507"/>
      <c r="FNY20" s="3507"/>
      <c r="FNZ20" s="3507"/>
      <c r="FOA20" s="3507"/>
      <c r="FOB20" s="3507"/>
      <c r="FOC20" s="3507"/>
      <c r="FOD20" s="3507"/>
      <c r="FOE20" s="3507"/>
      <c r="FOF20" s="3507"/>
      <c r="FOG20" s="3507"/>
      <c r="FOH20" s="3507"/>
      <c r="FOI20" s="3507"/>
      <c r="FOJ20" s="3507"/>
      <c r="FOK20" s="3507"/>
      <c r="FOL20" s="3507"/>
      <c r="FOM20" s="3507"/>
      <c r="FON20" s="3507"/>
      <c r="FOO20" s="3507"/>
      <c r="FOP20" s="3507"/>
      <c r="FOQ20" s="3507"/>
      <c r="FOR20" s="3507"/>
      <c r="FOS20" s="3507"/>
      <c r="FOT20" s="3507"/>
      <c r="FOU20" s="3507"/>
      <c r="FOV20" s="3507"/>
      <c r="FOW20" s="3507"/>
      <c r="FOX20" s="3507"/>
      <c r="FOY20" s="3507"/>
      <c r="FOZ20" s="3507"/>
      <c r="FPA20" s="3507"/>
      <c r="FPB20" s="3507"/>
      <c r="FPC20" s="3507"/>
      <c r="FPD20" s="3507"/>
      <c r="FPE20" s="3507"/>
      <c r="FPF20" s="3507"/>
      <c r="FPG20" s="3507"/>
      <c r="FPH20" s="3507"/>
      <c r="FPI20" s="3507"/>
      <c r="FPJ20" s="3507"/>
      <c r="FPK20" s="3507"/>
      <c r="FPL20" s="3507"/>
      <c r="FPM20" s="3507"/>
      <c r="FPN20" s="3507"/>
      <c r="FPO20" s="3507"/>
      <c r="FPP20" s="3507"/>
      <c r="FPQ20" s="3507"/>
      <c r="FPR20" s="3507"/>
      <c r="FPS20" s="3507"/>
      <c r="FPT20" s="3507"/>
      <c r="FPU20" s="3507"/>
      <c r="FPV20" s="3507"/>
      <c r="FPW20" s="3507"/>
      <c r="FPX20" s="3507"/>
      <c r="FPY20" s="3507"/>
      <c r="FPZ20" s="3507"/>
      <c r="FQA20" s="3507"/>
      <c r="FQB20" s="3507"/>
      <c r="FQC20" s="3507"/>
      <c r="FQD20" s="3507"/>
      <c r="FQE20" s="3507"/>
      <c r="FQF20" s="3507"/>
      <c r="FQG20" s="3507"/>
      <c r="FQH20" s="3507"/>
      <c r="FQI20" s="3507"/>
      <c r="FQJ20" s="3507"/>
      <c r="FQK20" s="3507"/>
      <c r="FQL20" s="3507"/>
      <c r="FQM20" s="3507"/>
      <c r="FQN20" s="3507"/>
      <c r="FQO20" s="3507"/>
      <c r="FQP20" s="3507"/>
      <c r="FQQ20" s="3507"/>
      <c r="FQR20" s="3507"/>
      <c r="FQS20" s="3507"/>
      <c r="FQT20" s="3507"/>
      <c r="FQU20" s="3507"/>
      <c r="FQV20" s="3507"/>
      <c r="FQW20" s="3507"/>
      <c r="FQX20" s="3507"/>
      <c r="FQY20" s="3507"/>
      <c r="FQZ20" s="3507"/>
      <c r="FRA20" s="3507"/>
      <c r="FRB20" s="3507"/>
      <c r="FRC20" s="3507"/>
      <c r="FRD20" s="3507"/>
      <c r="FRE20" s="3507"/>
      <c r="FRF20" s="3507"/>
      <c r="FRG20" s="3507"/>
      <c r="FRH20" s="3507"/>
      <c r="FRI20" s="3507"/>
      <c r="FRJ20" s="3507"/>
      <c r="FRK20" s="3507"/>
      <c r="FRL20" s="3507"/>
      <c r="FRM20" s="3507"/>
      <c r="FRN20" s="3507"/>
      <c r="FRO20" s="3507"/>
      <c r="FRP20" s="3507"/>
      <c r="FRQ20" s="3507"/>
      <c r="FRR20" s="3507"/>
      <c r="FRS20" s="3507"/>
      <c r="FRT20" s="3507"/>
      <c r="FRU20" s="3507"/>
      <c r="FRV20" s="3507"/>
      <c r="FRW20" s="3507"/>
      <c r="FRX20" s="3507"/>
      <c r="FRY20" s="3507"/>
      <c r="FRZ20" s="3507"/>
      <c r="FSA20" s="3507"/>
      <c r="FSB20" s="3507"/>
      <c r="FSC20" s="3507"/>
      <c r="FSD20" s="3507"/>
      <c r="FSE20" s="3507"/>
      <c r="FSF20" s="3507"/>
      <c r="FSG20" s="3507"/>
      <c r="FSH20" s="3507"/>
      <c r="FSI20" s="3507"/>
      <c r="FSJ20" s="3507"/>
      <c r="FSK20" s="3507"/>
      <c r="FSL20" s="3507"/>
      <c r="FSM20" s="3507"/>
      <c r="FSN20" s="3507"/>
      <c r="FSO20" s="3507"/>
      <c r="FSP20" s="3507"/>
      <c r="FSQ20" s="3507"/>
      <c r="FSR20" s="3507"/>
      <c r="FSS20" s="3507"/>
      <c r="FST20" s="3507"/>
      <c r="FSU20" s="3507"/>
      <c r="FSV20" s="3507"/>
      <c r="FSW20" s="3507"/>
      <c r="FSX20" s="3507"/>
      <c r="FSY20" s="3507"/>
      <c r="FSZ20" s="3507"/>
      <c r="FTA20" s="3507"/>
      <c r="FTB20" s="3507"/>
      <c r="FTC20" s="3507"/>
      <c r="FTD20" s="3507"/>
      <c r="FTE20" s="3507"/>
      <c r="FTF20" s="3507"/>
      <c r="FTG20" s="3507"/>
      <c r="FTH20" s="3507"/>
      <c r="FTI20" s="3507"/>
      <c r="FTJ20" s="3507"/>
      <c r="FTK20" s="3507"/>
      <c r="FTL20" s="3507"/>
      <c r="FTM20" s="3507"/>
      <c r="FTN20" s="3507"/>
      <c r="FTO20" s="3507"/>
      <c r="FTP20" s="3507"/>
      <c r="FTQ20" s="3507"/>
      <c r="FTR20" s="3507"/>
      <c r="FTS20" s="3507"/>
      <c r="FTT20" s="3507"/>
      <c r="FTU20" s="3507"/>
      <c r="FTV20" s="3507"/>
      <c r="FTW20" s="3507"/>
      <c r="FTX20" s="3507"/>
      <c r="FTY20" s="3507"/>
      <c r="FTZ20" s="3507"/>
      <c r="FUA20" s="3507"/>
      <c r="FUB20" s="3507"/>
      <c r="FUC20" s="3507"/>
      <c r="FUD20" s="3507"/>
      <c r="FUE20" s="3507"/>
      <c r="FUF20" s="3507"/>
      <c r="FUG20" s="3507"/>
      <c r="FUH20" s="3507"/>
      <c r="FUI20" s="3507"/>
      <c r="FUJ20" s="3507"/>
      <c r="FUK20" s="3507"/>
      <c r="FUL20" s="3507"/>
      <c r="FUM20" s="3507"/>
      <c r="FUN20" s="3507"/>
      <c r="FUO20" s="3507"/>
      <c r="FUP20" s="3507"/>
      <c r="FUQ20" s="3507"/>
      <c r="FUR20" s="3507"/>
      <c r="FUS20" s="3507"/>
      <c r="FUT20" s="3507"/>
      <c r="FUU20" s="3507"/>
      <c r="FUV20" s="3507"/>
      <c r="FUW20" s="3507"/>
      <c r="FUX20" s="3507"/>
      <c r="FUY20" s="3507"/>
      <c r="FUZ20" s="3507"/>
      <c r="FVA20" s="3507"/>
      <c r="FVB20" s="3507"/>
      <c r="FVC20" s="3507"/>
      <c r="FVD20" s="3507"/>
      <c r="FVE20" s="3507"/>
      <c r="FVF20" s="3507"/>
      <c r="FVG20" s="3507"/>
      <c r="FVH20" s="3507"/>
      <c r="FVI20" s="3507"/>
      <c r="FVJ20" s="3507"/>
      <c r="FVK20" s="3507"/>
      <c r="FVL20" s="3507"/>
      <c r="FVM20" s="3507"/>
      <c r="FVN20" s="3507"/>
      <c r="FVO20" s="3507"/>
      <c r="FVP20" s="3507"/>
      <c r="FVQ20" s="3507"/>
      <c r="FVR20" s="3507"/>
      <c r="FVS20" s="3507"/>
      <c r="FVT20" s="3507"/>
      <c r="FVU20" s="3507"/>
      <c r="FVV20" s="3507"/>
      <c r="FVW20" s="3507"/>
      <c r="FVX20" s="3507"/>
      <c r="FVY20" s="3507"/>
      <c r="FVZ20" s="3507"/>
      <c r="FWA20" s="3507"/>
      <c r="FWB20" s="3507"/>
      <c r="FWC20" s="3507"/>
      <c r="FWD20" s="3507"/>
      <c r="FWE20" s="3507"/>
      <c r="FWF20" s="3507"/>
      <c r="FWG20" s="3507"/>
      <c r="FWH20" s="3507"/>
      <c r="FWI20" s="3507"/>
      <c r="FWJ20" s="3507"/>
      <c r="FWK20" s="3507"/>
      <c r="FWL20" s="3507"/>
      <c r="FWM20" s="3507"/>
      <c r="FWN20" s="3507"/>
      <c r="FWO20" s="3507"/>
      <c r="FWP20" s="3507"/>
      <c r="FWQ20" s="3507"/>
      <c r="FWR20" s="3507"/>
      <c r="FWS20" s="3507"/>
      <c r="FWT20" s="3507"/>
      <c r="FWU20" s="3507"/>
      <c r="FWV20" s="3507"/>
      <c r="FWW20" s="3507"/>
      <c r="FWX20" s="3507"/>
      <c r="FWY20" s="3507"/>
      <c r="FWZ20" s="3507"/>
      <c r="FXA20" s="3507"/>
      <c r="FXB20" s="3507"/>
      <c r="FXC20" s="3507"/>
      <c r="FXD20" s="3507"/>
      <c r="FXE20" s="3507"/>
      <c r="FXF20" s="3507"/>
      <c r="FXG20" s="3507"/>
      <c r="FXH20" s="3507"/>
      <c r="FXI20" s="3507"/>
      <c r="FXJ20" s="3507"/>
      <c r="FXK20" s="3507"/>
      <c r="FXL20" s="3507"/>
      <c r="FXM20" s="3507"/>
      <c r="FXN20" s="3507"/>
      <c r="FXO20" s="3507"/>
      <c r="FXP20" s="3507"/>
      <c r="FXQ20" s="3507"/>
      <c r="FXR20" s="3507"/>
      <c r="FXS20" s="3507"/>
      <c r="FXT20" s="3507"/>
      <c r="FXU20" s="3507"/>
      <c r="FXV20" s="3507"/>
      <c r="FXW20" s="3507"/>
      <c r="FXX20" s="3507"/>
      <c r="FXY20" s="3507"/>
      <c r="FXZ20" s="3507"/>
      <c r="FYA20" s="3507"/>
      <c r="FYB20" s="3507"/>
      <c r="FYC20" s="3507"/>
      <c r="FYD20" s="3507"/>
      <c r="FYE20" s="3507"/>
      <c r="FYF20" s="3507"/>
      <c r="FYG20" s="3507"/>
      <c r="FYH20" s="3507"/>
      <c r="FYI20" s="3507"/>
      <c r="FYJ20" s="3507"/>
      <c r="FYK20" s="3507"/>
      <c r="FYL20" s="3507"/>
      <c r="FYM20" s="3507"/>
      <c r="FYN20" s="3507"/>
      <c r="FYO20" s="3507"/>
      <c r="FYP20" s="3507"/>
      <c r="FYQ20" s="3507"/>
      <c r="FYR20" s="3507"/>
      <c r="FYS20" s="3507"/>
      <c r="FYT20" s="3507"/>
      <c r="FYU20" s="3507"/>
      <c r="FYV20" s="3507"/>
      <c r="FYW20" s="3507"/>
      <c r="FYX20" s="3507"/>
      <c r="FYY20" s="3507"/>
      <c r="FYZ20" s="3507"/>
      <c r="FZA20" s="3507"/>
      <c r="FZB20" s="3507"/>
      <c r="FZC20" s="3507"/>
      <c r="FZD20" s="3507"/>
      <c r="FZE20" s="3507"/>
      <c r="FZF20" s="3507"/>
      <c r="FZG20" s="3507"/>
      <c r="FZH20" s="3507"/>
      <c r="FZI20" s="3507"/>
      <c r="FZJ20" s="3507"/>
      <c r="FZK20" s="3507"/>
      <c r="FZL20" s="3507"/>
      <c r="FZM20" s="3507"/>
      <c r="FZN20" s="3507"/>
      <c r="FZO20" s="3507"/>
      <c r="FZP20" s="3507"/>
      <c r="FZQ20" s="3507"/>
      <c r="FZR20" s="3507"/>
      <c r="FZS20" s="3507"/>
      <c r="FZT20" s="3507"/>
      <c r="FZU20" s="3507"/>
      <c r="FZV20" s="3507"/>
      <c r="FZW20" s="3507"/>
      <c r="FZX20" s="3507"/>
      <c r="FZY20" s="3507"/>
      <c r="FZZ20" s="3507"/>
      <c r="GAA20" s="3507"/>
      <c r="GAB20" s="3507"/>
      <c r="GAC20" s="3507"/>
      <c r="GAD20" s="3507"/>
      <c r="GAE20" s="3507"/>
      <c r="GAF20" s="3507"/>
      <c r="GAG20" s="3507"/>
      <c r="GAH20" s="3507"/>
      <c r="GAI20" s="3507"/>
      <c r="GAJ20" s="3507"/>
      <c r="GAK20" s="3507"/>
      <c r="GAL20" s="3507"/>
      <c r="GAM20" s="3507"/>
      <c r="GAN20" s="3507"/>
      <c r="GAO20" s="3507"/>
      <c r="GAP20" s="3507"/>
      <c r="GAQ20" s="3507"/>
      <c r="GAR20" s="3507"/>
      <c r="GAS20" s="3507"/>
      <c r="GAT20" s="3507"/>
      <c r="GAU20" s="3507"/>
      <c r="GAV20" s="3507"/>
      <c r="GAW20" s="3507"/>
      <c r="GAX20" s="3507"/>
      <c r="GAY20" s="3507"/>
      <c r="GAZ20" s="3507"/>
      <c r="GBA20" s="3507"/>
      <c r="GBB20" s="3507"/>
      <c r="GBC20" s="3507"/>
      <c r="GBD20" s="3507"/>
      <c r="GBE20" s="3507"/>
      <c r="GBF20" s="3507"/>
      <c r="GBG20" s="3507"/>
      <c r="GBH20" s="3507"/>
      <c r="GBI20" s="3507"/>
      <c r="GBJ20" s="3507"/>
      <c r="GBK20" s="3507"/>
      <c r="GBL20" s="3507"/>
      <c r="GBM20" s="3507"/>
      <c r="GBN20" s="3507"/>
      <c r="GBO20" s="3507"/>
      <c r="GBP20" s="3507"/>
      <c r="GBQ20" s="3507"/>
      <c r="GBR20" s="3507"/>
      <c r="GBS20" s="3507"/>
      <c r="GBT20" s="3507"/>
      <c r="GBU20" s="3507"/>
      <c r="GBV20" s="3507"/>
      <c r="GBW20" s="3507"/>
      <c r="GBX20" s="3507"/>
      <c r="GBY20" s="3507"/>
      <c r="GBZ20" s="3507"/>
      <c r="GCA20" s="3507"/>
      <c r="GCB20" s="3507"/>
      <c r="GCC20" s="3507"/>
      <c r="GCD20" s="3507"/>
      <c r="GCE20" s="3507"/>
      <c r="GCF20" s="3507"/>
      <c r="GCG20" s="3507"/>
      <c r="GCH20" s="3507"/>
      <c r="GCI20" s="3507"/>
      <c r="GCJ20" s="3507"/>
      <c r="GCK20" s="3507"/>
      <c r="GCL20" s="3507"/>
      <c r="GCM20" s="3507"/>
      <c r="GCN20" s="3507"/>
      <c r="GCO20" s="3507"/>
      <c r="GCP20" s="3507"/>
      <c r="GCQ20" s="3507"/>
      <c r="GCR20" s="3507"/>
      <c r="GCS20" s="3507"/>
      <c r="GCT20" s="3507"/>
      <c r="GCU20" s="3507"/>
      <c r="GCV20" s="3507"/>
      <c r="GCW20" s="3507"/>
      <c r="GCX20" s="3507"/>
      <c r="GCY20" s="3507"/>
      <c r="GCZ20" s="3507"/>
      <c r="GDA20" s="3507"/>
      <c r="GDB20" s="3507"/>
      <c r="GDC20" s="3507"/>
      <c r="GDD20" s="3507"/>
      <c r="GDE20" s="3507"/>
      <c r="GDF20" s="3507"/>
      <c r="GDG20" s="3507"/>
      <c r="GDH20" s="3507"/>
      <c r="GDI20" s="3507"/>
      <c r="GDJ20" s="3507"/>
      <c r="GDK20" s="3507"/>
      <c r="GDL20" s="3507"/>
      <c r="GDM20" s="3507"/>
      <c r="GDN20" s="3507"/>
      <c r="GDO20" s="3507"/>
      <c r="GDP20" s="3507"/>
      <c r="GDQ20" s="3507"/>
      <c r="GDR20" s="3507"/>
      <c r="GDS20" s="3507"/>
      <c r="GDT20" s="3507"/>
      <c r="GDU20" s="3507"/>
      <c r="GDV20" s="3507"/>
      <c r="GDW20" s="3507"/>
      <c r="GDX20" s="3507"/>
      <c r="GDY20" s="3507"/>
      <c r="GDZ20" s="3507"/>
      <c r="GEA20" s="3507"/>
      <c r="GEB20" s="3507"/>
      <c r="GEC20" s="3507"/>
      <c r="GED20" s="3507"/>
      <c r="GEE20" s="3507"/>
      <c r="GEF20" s="3507"/>
      <c r="GEG20" s="3507"/>
      <c r="GEH20" s="3507"/>
      <c r="GEI20" s="3507"/>
      <c r="GEJ20" s="3507"/>
      <c r="GEK20" s="3507"/>
      <c r="GEL20" s="3507"/>
      <c r="GEM20" s="3507"/>
      <c r="GEN20" s="3507"/>
      <c r="GEO20" s="3507"/>
      <c r="GEP20" s="3507"/>
      <c r="GEQ20" s="3507"/>
      <c r="GER20" s="3507"/>
      <c r="GES20" s="3507"/>
      <c r="GET20" s="3507"/>
      <c r="GEU20" s="3507"/>
      <c r="GEV20" s="3507"/>
      <c r="GEW20" s="3507"/>
      <c r="GEX20" s="3507"/>
      <c r="GEY20" s="3507"/>
      <c r="GEZ20" s="3507"/>
      <c r="GFA20" s="3507"/>
      <c r="GFB20" s="3507"/>
      <c r="GFC20" s="3507"/>
      <c r="GFD20" s="3507"/>
      <c r="GFE20" s="3507"/>
      <c r="GFF20" s="3507"/>
      <c r="GFG20" s="3507"/>
      <c r="GFH20" s="3507"/>
      <c r="GFI20" s="3507"/>
      <c r="GFJ20" s="3507"/>
      <c r="GFK20" s="3507"/>
      <c r="GFL20" s="3507"/>
      <c r="GFM20" s="3507"/>
      <c r="GFN20" s="3507"/>
      <c r="GFO20" s="3507"/>
      <c r="GFP20" s="3507"/>
      <c r="GFQ20" s="3507"/>
      <c r="GFR20" s="3507"/>
      <c r="GFS20" s="3507"/>
      <c r="GFT20" s="3507"/>
      <c r="GFU20" s="3507"/>
      <c r="GFV20" s="3507"/>
      <c r="GFW20" s="3507"/>
      <c r="GFX20" s="3507"/>
      <c r="GFY20" s="3507"/>
      <c r="GFZ20" s="3507"/>
      <c r="GGA20" s="3507"/>
      <c r="GGB20" s="3507"/>
      <c r="GGC20" s="3507"/>
      <c r="GGD20" s="3507"/>
      <c r="GGE20" s="3507"/>
      <c r="GGF20" s="3507"/>
      <c r="GGG20" s="3507"/>
      <c r="GGH20" s="3507"/>
      <c r="GGI20" s="3507"/>
      <c r="GGJ20" s="3507"/>
      <c r="GGK20" s="3507"/>
      <c r="GGL20" s="3507"/>
      <c r="GGM20" s="3507"/>
      <c r="GGN20" s="3507"/>
      <c r="GGO20" s="3507"/>
      <c r="GGP20" s="3507"/>
      <c r="GGQ20" s="3507"/>
      <c r="GGR20" s="3507"/>
      <c r="GGS20" s="3507"/>
      <c r="GGT20" s="3507"/>
      <c r="GGU20" s="3507"/>
      <c r="GGV20" s="3507"/>
      <c r="GGW20" s="3507"/>
      <c r="GGX20" s="3507"/>
      <c r="GGY20" s="3507"/>
      <c r="GGZ20" s="3507"/>
      <c r="GHA20" s="3507"/>
      <c r="GHB20" s="3507"/>
      <c r="GHC20" s="3507"/>
      <c r="GHD20" s="3507"/>
      <c r="GHE20" s="3507"/>
      <c r="GHF20" s="3507"/>
      <c r="GHG20" s="3507"/>
      <c r="GHH20" s="3507"/>
      <c r="GHI20" s="3507"/>
      <c r="GHJ20" s="3507"/>
      <c r="GHK20" s="3507"/>
      <c r="GHL20" s="3507"/>
      <c r="GHM20" s="3507"/>
      <c r="GHN20" s="3507"/>
      <c r="GHO20" s="3507"/>
      <c r="GHP20" s="3507"/>
      <c r="GHQ20" s="3507"/>
      <c r="GHR20" s="3507"/>
      <c r="GHS20" s="3507"/>
      <c r="GHT20" s="3507"/>
      <c r="GHU20" s="3507"/>
      <c r="GHV20" s="3507"/>
      <c r="GHW20" s="3507"/>
      <c r="GHX20" s="3507"/>
      <c r="GHY20" s="3507"/>
      <c r="GHZ20" s="3507"/>
      <c r="GIA20" s="3507"/>
      <c r="GIB20" s="3507"/>
      <c r="GIC20" s="3507"/>
      <c r="GID20" s="3507"/>
      <c r="GIE20" s="3507"/>
      <c r="GIF20" s="3507"/>
      <c r="GIG20" s="3507"/>
      <c r="GIH20" s="3507"/>
      <c r="GII20" s="3507"/>
      <c r="GIJ20" s="3507"/>
      <c r="GIK20" s="3507"/>
      <c r="GIL20" s="3507"/>
      <c r="GIM20" s="3507"/>
      <c r="GIN20" s="3507"/>
      <c r="GIO20" s="3507"/>
      <c r="GIP20" s="3507"/>
      <c r="GIQ20" s="3507"/>
      <c r="GIR20" s="3507"/>
      <c r="GIS20" s="3507"/>
      <c r="GIT20" s="3507"/>
      <c r="GIU20" s="3507"/>
      <c r="GIV20" s="3507"/>
      <c r="GIW20" s="3507"/>
      <c r="GIX20" s="3507"/>
      <c r="GIY20" s="3507"/>
      <c r="GIZ20" s="3507"/>
      <c r="GJA20" s="3507"/>
      <c r="GJB20" s="3507"/>
      <c r="GJC20" s="3507"/>
      <c r="GJD20" s="3507"/>
      <c r="GJE20" s="3507"/>
      <c r="GJF20" s="3507"/>
      <c r="GJG20" s="3507"/>
      <c r="GJH20" s="3507"/>
      <c r="GJI20" s="3507"/>
      <c r="GJJ20" s="3507"/>
      <c r="GJK20" s="3507"/>
      <c r="GJL20" s="3507"/>
      <c r="GJM20" s="3507"/>
      <c r="GJN20" s="3507"/>
      <c r="GJO20" s="3507"/>
      <c r="GJP20" s="3507"/>
      <c r="GJQ20" s="3507"/>
      <c r="GJR20" s="3507"/>
      <c r="GJS20" s="3507"/>
      <c r="GJT20" s="3507"/>
      <c r="GJU20" s="3507"/>
      <c r="GJV20" s="3507"/>
      <c r="GJW20" s="3507"/>
      <c r="GJX20" s="3507"/>
      <c r="GJY20" s="3507"/>
      <c r="GJZ20" s="3507"/>
      <c r="GKA20" s="3507"/>
      <c r="GKB20" s="3507"/>
      <c r="GKC20" s="3507"/>
      <c r="GKD20" s="3507"/>
      <c r="GKE20" s="3507"/>
      <c r="GKF20" s="3507"/>
      <c r="GKG20" s="3507"/>
      <c r="GKH20" s="3507"/>
      <c r="GKI20" s="3507"/>
      <c r="GKJ20" s="3507"/>
      <c r="GKK20" s="3507"/>
      <c r="GKL20" s="3507"/>
      <c r="GKM20" s="3507"/>
      <c r="GKN20" s="3507"/>
      <c r="GKO20" s="3507"/>
      <c r="GKP20" s="3507"/>
      <c r="GKQ20" s="3507"/>
      <c r="GKR20" s="3507"/>
      <c r="GKS20" s="3507"/>
      <c r="GKT20" s="3507"/>
      <c r="GKU20" s="3507"/>
      <c r="GKV20" s="3507"/>
      <c r="GKW20" s="3507"/>
      <c r="GKX20" s="3507"/>
      <c r="GKY20" s="3507"/>
      <c r="GKZ20" s="3507"/>
      <c r="GLA20" s="3507"/>
      <c r="GLB20" s="3507"/>
      <c r="GLC20" s="3507"/>
      <c r="GLD20" s="3507"/>
      <c r="GLE20" s="3507"/>
      <c r="GLF20" s="3507"/>
      <c r="GLG20" s="3507"/>
      <c r="GLH20" s="3507"/>
      <c r="GLI20" s="3507"/>
      <c r="GLJ20" s="3507"/>
      <c r="GLK20" s="3507"/>
      <c r="GLL20" s="3507"/>
      <c r="GLM20" s="3507"/>
      <c r="GLN20" s="3507"/>
      <c r="GLO20" s="3507"/>
      <c r="GLP20" s="3507"/>
      <c r="GLQ20" s="3507"/>
      <c r="GLR20" s="3507"/>
      <c r="GLS20" s="3507"/>
      <c r="GLT20" s="3507"/>
      <c r="GLU20" s="3507"/>
      <c r="GLV20" s="3507"/>
      <c r="GLW20" s="3507"/>
      <c r="GLX20" s="3507"/>
      <c r="GLY20" s="3507"/>
      <c r="GLZ20" s="3507"/>
      <c r="GMA20" s="3507"/>
      <c r="GMB20" s="3507"/>
      <c r="GMC20" s="3507"/>
      <c r="GMD20" s="3507"/>
      <c r="GME20" s="3507"/>
      <c r="GMF20" s="3507"/>
      <c r="GMG20" s="3507"/>
      <c r="GMH20" s="3507"/>
      <c r="GMI20" s="3507"/>
      <c r="GMJ20" s="3507"/>
      <c r="GMK20" s="3507"/>
      <c r="GML20" s="3507"/>
      <c r="GMM20" s="3507"/>
      <c r="GMN20" s="3507"/>
      <c r="GMO20" s="3507"/>
      <c r="GMP20" s="3507"/>
      <c r="GMQ20" s="3507"/>
      <c r="GMR20" s="3507"/>
      <c r="GMS20" s="3507"/>
      <c r="GMT20" s="3507"/>
      <c r="GMU20" s="3507"/>
      <c r="GMV20" s="3507"/>
      <c r="GMW20" s="3507"/>
      <c r="GMX20" s="3507"/>
      <c r="GMY20" s="3507"/>
      <c r="GMZ20" s="3507"/>
      <c r="GNA20" s="3507"/>
      <c r="GNB20" s="3507"/>
      <c r="GNC20" s="3507"/>
      <c r="GND20" s="3507"/>
      <c r="GNE20" s="3507"/>
      <c r="GNF20" s="3507"/>
      <c r="GNG20" s="3507"/>
      <c r="GNH20" s="3507"/>
      <c r="GNI20" s="3507"/>
      <c r="GNJ20" s="3507"/>
      <c r="GNK20" s="3507"/>
      <c r="GNL20" s="3507"/>
      <c r="GNM20" s="3507"/>
      <c r="GNN20" s="3507"/>
      <c r="GNO20" s="3507"/>
      <c r="GNP20" s="3507"/>
      <c r="GNQ20" s="3507"/>
      <c r="GNR20" s="3507"/>
      <c r="GNS20" s="3507"/>
      <c r="GNT20" s="3507"/>
      <c r="GNU20" s="3507"/>
      <c r="GNV20" s="3507"/>
      <c r="GNW20" s="3507"/>
      <c r="GNX20" s="3507"/>
      <c r="GNY20" s="3507"/>
      <c r="GNZ20" s="3507"/>
      <c r="GOA20" s="3507"/>
      <c r="GOB20" s="3507"/>
      <c r="GOC20" s="3507"/>
      <c r="GOD20" s="3507"/>
      <c r="GOE20" s="3507"/>
      <c r="GOF20" s="3507"/>
      <c r="GOG20" s="3507"/>
      <c r="GOH20" s="3507"/>
      <c r="GOI20" s="3507"/>
      <c r="GOJ20" s="3507"/>
      <c r="GOK20" s="3507"/>
      <c r="GOL20" s="3507"/>
      <c r="GOM20" s="3507"/>
      <c r="GON20" s="3507"/>
      <c r="GOO20" s="3507"/>
      <c r="GOP20" s="3507"/>
      <c r="GOQ20" s="3507"/>
      <c r="GOR20" s="3507"/>
      <c r="GOS20" s="3507"/>
      <c r="GOT20" s="3507"/>
      <c r="GOU20" s="3507"/>
      <c r="GOV20" s="3507"/>
      <c r="GOW20" s="3507"/>
      <c r="GOX20" s="3507"/>
      <c r="GOY20" s="3507"/>
      <c r="GOZ20" s="3507"/>
      <c r="GPA20" s="3507"/>
      <c r="GPB20" s="3507"/>
      <c r="GPC20" s="3507"/>
      <c r="GPD20" s="3507"/>
      <c r="GPE20" s="3507"/>
      <c r="GPF20" s="3507"/>
      <c r="GPG20" s="3507"/>
      <c r="GPH20" s="3507"/>
      <c r="GPI20" s="3507"/>
      <c r="GPJ20" s="3507"/>
      <c r="GPK20" s="3507"/>
      <c r="GPL20" s="3507"/>
      <c r="GPM20" s="3507"/>
      <c r="GPN20" s="3507"/>
      <c r="GPO20" s="3507"/>
      <c r="GPP20" s="3507"/>
      <c r="GPQ20" s="3507"/>
      <c r="GPR20" s="3507"/>
      <c r="GPS20" s="3507"/>
      <c r="GPT20" s="3507"/>
      <c r="GPU20" s="3507"/>
      <c r="GPV20" s="3507"/>
      <c r="GPW20" s="3507"/>
      <c r="GPX20" s="3507"/>
      <c r="GPY20" s="3507"/>
      <c r="GPZ20" s="3507"/>
      <c r="GQA20" s="3507"/>
      <c r="GQB20" s="3507"/>
      <c r="GQC20" s="3507"/>
      <c r="GQD20" s="3507"/>
      <c r="GQE20" s="3507"/>
      <c r="GQF20" s="3507"/>
      <c r="GQG20" s="3507"/>
      <c r="GQH20" s="3507"/>
      <c r="GQI20" s="3507"/>
      <c r="GQJ20" s="3507"/>
      <c r="GQK20" s="3507"/>
      <c r="GQL20" s="3507"/>
      <c r="GQM20" s="3507"/>
      <c r="GQN20" s="3507"/>
      <c r="GQO20" s="3507"/>
      <c r="GQP20" s="3507"/>
      <c r="GQQ20" s="3507"/>
      <c r="GQR20" s="3507"/>
      <c r="GQS20" s="3507"/>
      <c r="GQT20" s="3507"/>
      <c r="GQU20" s="3507"/>
      <c r="GQV20" s="3507"/>
      <c r="GQW20" s="3507"/>
      <c r="GQX20" s="3507"/>
      <c r="GQY20" s="3507"/>
      <c r="GQZ20" s="3507"/>
      <c r="GRA20" s="3507"/>
      <c r="GRB20" s="3507"/>
      <c r="GRC20" s="3507"/>
      <c r="GRD20" s="3507"/>
      <c r="GRE20" s="3507"/>
      <c r="GRF20" s="3507"/>
      <c r="GRG20" s="3507"/>
      <c r="GRH20" s="3507"/>
      <c r="GRI20" s="3507"/>
      <c r="GRJ20" s="3507"/>
      <c r="GRK20" s="3507"/>
      <c r="GRL20" s="3507"/>
      <c r="GRM20" s="3507"/>
      <c r="GRN20" s="3507"/>
      <c r="GRO20" s="3507"/>
      <c r="GRP20" s="3507"/>
      <c r="GRQ20" s="3507"/>
      <c r="GRR20" s="3507"/>
      <c r="GRS20" s="3507"/>
      <c r="GRT20" s="3507"/>
      <c r="GRU20" s="3507"/>
      <c r="GRV20" s="3507"/>
      <c r="GRW20" s="3507"/>
      <c r="GRX20" s="3507"/>
      <c r="GRY20" s="3507"/>
      <c r="GRZ20" s="3507"/>
      <c r="GSA20" s="3507"/>
      <c r="GSB20" s="3507"/>
      <c r="GSC20" s="3507"/>
      <c r="GSD20" s="3507"/>
      <c r="GSE20" s="3507"/>
      <c r="GSF20" s="3507"/>
      <c r="GSG20" s="3507"/>
      <c r="GSH20" s="3507"/>
      <c r="GSI20" s="3507"/>
      <c r="GSJ20" s="3507"/>
      <c r="GSK20" s="3507"/>
      <c r="GSL20" s="3507"/>
      <c r="GSM20" s="3507"/>
      <c r="GSN20" s="3507"/>
      <c r="GSO20" s="3507"/>
      <c r="GSP20" s="3507"/>
      <c r="GSQ20" s="3507"/>
      <c r="GSR20" s="3507"/>
      <c r="GSS20" s="3507"/>
      <c r="GST20" s="3507"/>
      <c r="GSU20" s="3507"/>
      <c r="GSV20" s="3507"/>
      <c r="GSW20" s="3507"/>
      <c r="GSX20" s="3507"/>
      <c r="GSY20" s="3507"/>
      <c r="GSZ20" s="3507"/>
      <c r="GTA20" s="3507"/>
      <c r="GTB20" s="3507"/>
      <c r="GTC20" s="3507"/>
      <c r="GTD20" s="3507"/>
      <c r="GTE20" s="3507"/>
      <c r="GTF20" s="3507"/>
      <c r="GTG20" s="3507"/>
      <c r="GTH20" s="3507"/>
      <c r="GTI20" s="3507"/>
      <c r="GTJ20" s="3507"/>
      <c r="GTK20" s="3507"/>
      <c r="GTL20" s="3507"/>
      <c r="GTM20" s="3507"/>
      <c r="GTN20" s="3507"/>
      <c r="GTO20" s="3507"/>
      <c r="GTP20" s="3507"/>
      <c r="GTQ20" s="3507"/>
      <c r="GTR20" s="3507"/>
      <c r="GTS20" s="3507"/>
      <c r="GTT20" s="3507"/>
      <c r="GTU20" s="3507"/>
      <c r="GTV20" s="3507"/>
      <c r="GTW20" s="3507"/>
      <c r="GTX20" s="3507"/>
      <c r="GTY20" s="3507"/>
      <c r="GTZ20" s="3507"/>
      <c r="GUA20" s="3507"/>
      <c r="GUB20" s="3507"/>
      <c r="GUC20" s="3507"/>
      <c r="GUD20" s="3507"/>
      <c r="GUE20" s="3507"/>
      <c r="GUF20" s="3507"/>
      <c r="GUG20" s="3507"/>
      <c r="GUH20" s="3507"/>
      <c r="GUI20" s="3507"/>
      <c r="GUJ20" s="3507"/>
      <c r="GUK20" s="3507"/>
      <c r="GUL20" s="3507"/>
      <c r="GUM20" s="3507"/>
      <c r="GUN20" s="3507"/>
      <c r="GUO20" s="3507"/>
      <c r="GUP20" s="3507"/>
      <c r="GUQ20" s="3507"/>
      <c r="GUR20" s="3507"/>
      <c r="GUS20" s="3507"/>
      <c r="GUT20" s="3507"/>
      <c r="GUU20" s="3507"/>
      <c r="GUV20" s="3507"/>
      <c r="GUW20" s="3507"/>
      <c r="GUX20" s="3507"/>
      <c r="GUY20" s="3507"/>
      <c r="GUZ20" s="3507"/>
      <c r="GVA20" s="3507"/>
      <c r="GVB20" s="3507"/>
      <c r="GVC20" s="3507"/>
      <c r="GVD20" s="3507"/>
      <c r="GVE20" s="3507"/>
      <c r="GVF20" s="3507"/>
      <c r="GVG20" s="3507"/>
      <c r="GVH20" s="3507"/>
      <c r="GVI20" s="3507"/>
      <c r="GVJ20" s="3507"/>
      <c r="GVK20" s="3507"/>
      <c r="GVL20" s="3507"/>
      <c r="GVM20" s="3507"/>
      <c r="GVN20" s="3507"/>
      <c r="GVO20" s="3507"/>
      <c r="GVP20" s="3507"/>
      <c r="GVQ20" s="3507"/>
      <c r="GVR20" s="3507"/>
      <c r="GVS20" s="3507"/>
      <c r="GVT20" s="3507"/>
      <c r="GVU20" s="3507"/>
      <c r="GVV20" s="3507"/>
      <c r="GVW20" s="3507"/>
      <c r="GVX20" s="3507"/>
      <c r="GVY20" s="3507"/>
      <c r="GVZ20" s="3507"/>
      <c r="GWA20" s="3507"/>
      <c r="GWB20" s="3507"/>
      <c r="GWC20" s="3507"/>
      <c r="GWD20" s="3507"/>
      <c r="GWE20" s="3507"/>
      <c r="GWF20" s="3507"/>
      <c r="GWG20" s="3507"/>
      <c r="GWH20" s="3507"/>
      <c r="GWI20" s="3507"/>
      <c r="GWJ20" s="3507"/>
      <c r="GWK20" s="3507"/>
      <c r="GWL20" s="3507"/>
      <c r="GWM20" s="3507"/>
      <c r="GWN20" s="3507"/>
      <c r="GWO20" s="3507"/>
      <c r="GWP20" s="3507"/>
      <c r="GWQ20" s="3507"/>
      <c r="GWR20" s="3507"/>
      <c r="GWS20" s="3507"/>
      <c r="GWT20" s="3507"/>
      <c r="GWU20" s="3507"/>
      <c r="GWV20" s="3507"/>
      <c r="GWW20" s="3507"/>
      <c r="GWX20" s="3507"/>
      <c r="GWY20" s="3507"/>
      <c r="GWZ20" s="3507"/>
      <c r="GXA20" s="3507"/>
      <c r="GXB20" s="3507"/>
      <c r="GXC20" s="3507"/>
      <c r="GXD20" s="3507"/>
      <c r="GXE20" s="3507"/>
      <c r="GXF20" s="3507"/>
      <c r="GXG20" s="3507"/>
      <c r="GXH20" s="3507"/>
      <c r="GXI20" s="3507"/>
      <c r="GXJ20" s="3507"/>
      <c r="GXK20" s="3507"/>
      <c r="GXL20" s="3507"/>
      <c r="GXM20" s="3507"/>
      <c r="GXN20" s="3507"/>
      <c r="GXO20" s="3507"/>
      <c r="GXP20" s="3507"/>
      <c r="GXQ20" s="3507"/>
      <c r="GXR20" s="3507"/>
      <c r="GXS20" s="3507"/>
      <c r="GXT20" s="3507"/>
      <c r="GXU20" s="3507"/>
      <c r="GXV20" s="3507"/>
      <c r="GXW20" s="3507"/>
      <c r="GXX20" s="3507"/>
      <c r="GXY20" s="3507"/>
      <c r="GXZ20" s="3507"/>
      <c r="GYA20" s="3507"/>
      <c r="GYB20" s="3507"/>
      <c r="GYC20" s="3507"/>
      <c r="GYD20" s="3507"/>
      <c r="GYE20" s="3507"/>
      <c r="GYF20" s="3507"/>
      <c r="GYG20" s="3507"/>
      <c r="GYH20" s="3507"/>
      <c r="GYI20" s="3507"/>
      <c r="GYJ20" s="3507"/>
      <c r="GYK20" s="3507"/>
      <c r="GYL20" s="3507"/>
      <c r="GYM20" s="3507"/>
      <c r="GYN20" s="3507"/>
      <c r="GYO20" s="3507"/>
      <c r="GYP20" s="3507"/>
      <c r="GYQ20" s="3507"/>
      <c r="GYR20" s="3507"/>
      <c r="GYS20" s="3507"/>
      <c r="GYT20" s="3507"/>
      <c r="GYU20" s="3507"/>
      <c r="GYV20" s="3507"/>
      <c r="GYW20" s="3507"/>
      <c r="GYX20" s="3507"/>
      <c r="GYY20" s="3507"/>
      <c r="GYZ20" s="3507"/>
      <c r="GZA20" s="3507"/>
      <c r="GZB20" s="3507"/>
      <c r="GZC20" s="3507"/>
      <c r="GZD20" s="3507"/>
      <c r="GZE20" s="3507"/>
      <c r="GZF20" s="3507"/>
      <c r="GZG20" s="3507"/>
      <c r="GZH20" s="3507"/>
      <c r="GZI20" s="3507"/>
      <c r="GZJ20" s="3507"/>
      <c r="GZK20" s="3507"/>
      <c r="GZL20" s="3507"/>
      <c r="GZM20" s="3507"/>
      <c r="GZN20" s="3507"/>
      <c r="GZO20" s="3507"/>
      <c r="GZP20" s="3507"/>
      <c r="GZQ20" s="3507"/>
      <c r="GZR20" s="3507"/>
      <c r="GZS20" s="3507"/>
      <c r="GZT20" s="3507"/>
      <c r="GZU20" s="3507"/>
      <c r="GZV20" s="3507"/>
      <c r="GZW20" s="3507"/>
      <c r="GZX20" s="3507"/>
      <c r="GZY20" s="3507"/>
      <c r="GZZ20" s="3507"/>
      <c r="HAA20" s="3507"/>
      <c r="HAB20" s="3507"/>
      <c r="HAC20" s="3507"/>
      <c r="HAD20" s="3507"/>
      <c r="HAE20" s="3507"/>
      <c r="HAF20" s="3507"/>
      <c r="HAG20" s="3507"/>
      <c r="HAH20" s="3507"/>
      <c r="HAI20" s="3507"/>
      <c r="HAJ20" s="3507"/>
      <c r="HAK20" s="3507"/>
      <c r="HAL20" s="3507"/>
      <c r="HAM20" s="3507"/>
      <c r="HAN20" s="3507"/>
      <c r="HAO20" s="3507"/>
      <c r="HAP20" s="3507"/>
      <c r="HAQ20" s="3507"/>
      <c r="HAR20" s="3507"/>
      <c r="HAS20" s="3507"/>
      <c r="HAT20" s="3507"/>
      <c r="HAU20" s="3507"/>
      <c r="HAV20" s="3507"/>
      <c r="HAW20" s="3507"/>
      <c r="HAX20" s="3507"/>
      <c r="HAY20" s="3507"/>
      <c r="HAZ20" s="3507"/>
      <c r="HBA20" s="3507"/>
      <c r="HBB20" s="3507"/>
      <c r="HBC20" s="3507"/>
      <c r="HBD20" s="3507"/>
      <c r="HBE20" s="3507"/>
      <c r="HBF20" s="3507"/>
      <c r="HBG20" s="3507"/>
      <c r="HBH20" s="3507"/>
      <c r="HBI20" s="3507"/>
      <c r="HBJ20" s="3507"/>
      <c r="HBK20" s="3507"/>
      <c r="HBL20" s="3507"/>
      <c r="HBM20" s="3507"/>
      <c r="HBN20" s="3507"/>
      <c r="HBO20" s="3507"/>
      <c r="HBP20" s="3507"/>
      <c r="HBQ20" s="3507"/>
      <c r="HBR20" s="3507"/>
      <c r="HBS20" s="3507"/>
      <c r="HBT20" s="3507"/>
      <c r="HBU20" s="3507"/>
      <c r="HBV20" s="3507"/>
      <c r="HBW20" s="3507"/>
      <c r="HBX20" s="3507"/>
      <c r="HBY20" s="3507"/>
      <c r="HBZ20" s="3507"/>
      <c r="HCA20" s="3507"/>
      <c r="HCB20" s="3507"/>
      <c r="HCC20" s="3507"/>
      <c r="HCD20" s="3507"/>
      <c r="HCE20" s="3507"/>
      <c r="HCF20" s="3507"/>
      <c r="HCG20" s="3507"/>
      <c r="HCH20" s="3507"/>
      <c r="HCI20" s="3507"/>
      <c r="HCJ20" s="3507"/>
      <c r="HCK20" s="3507"/>
      <c r="HCL20" s="3507"/>
      <c r="HCM20" s="3507"/>
      <c r="HCN20" s="3507"/>
      <c r="HCO20" s="3507"/>
      <c r="HCP20" s="3507"/>
      <c r="HCQ20" s="3507"/>
      <c r="HCR20" s="3507"/>
      <c r="HCS20" s="3507"/>
      <c r="HCT20" s="3507"/>
      <c r="HCU20" s="3507"/>
      <c r="HCV20" s="3507"/>
      <c r="HCW20" s="3507"/>
      <c r="HCX20" s="3507"/>
      <c r="HCY20" s="3507"/>
      <c r="HCZ20" s="3507"/>
      <c r="HDA20" s="3507"/>
      <c r="HDB20" s="3507"/>
      <c r="HDC20" s="3507"/>
      <c r="HDD20" s="3507"/>
      <c r="HDE20" s="3507"/>
      <c r="HDF20" s="3507"/>
      <c r="HDG20" s="3507"/>
      <c r="HDH20" s="3507"/>
      <c r="HDI20" s="3507"/>
      <c r="HDJ20" s="3507"/>
      <c r="HDK20" s="3507"/>
      <c r="HDL20" s="3507"/>
      <c r="HDM20" s="3507"/>
      <c r="HDN20" s="3507"/>
      <c r="HDO20" s="3507"/>
      <c r="HDP20" s="3507"/>
      <c r="HDQ20" s="3507"/>
      <c r="HDR20" s="3507"/>
      <c r="HDS20" s="3507"/>
      <c r="HDT20" s="3507"/>
      <c r="HDU20" s="3507"/>
      <c r="HDV20" s="3507"/>
      <c r="HDW20" s="3507"/>
      <c r="HDX20" s="3507"/>
      <c r="HDY20" s="3507"/>
      <c r="HDZ20" s="3507"/>
      <c r="HEA20" s="3507"/>
      <c r="HEB20" s="3507"/>
      <c r="HEC20" s="3507"/>
      <c r="HED20" s="3507"/>
      <c r="HEE20" s="3507"/>
      <c r="HEF20" s="3507"/>
      <c r="HEG20" s="3507"/>
      <c r="HEH20" s="3507"/>
      <c r="HEI20" s="3507"/>
      <c r="HEJ20" s="3507"/>
      <c r="HEK20" s="3507"/>
      <c r="HEL20" s="3507"/>
      <c r="HEM20" s="3507"/>
      <c r="HEN20" s="3507"/>
      <c r="HEO20" s="3507"/>
      <c r="HEP20" s="3507"/>
      <c r="HEQ20" s="3507"/>
      <c r="HER20" s="3507"/>
      <c r="HES20" s="3507"/>
      <c r="HET20" s="3507"/>
      <c r="HEU20" s="3507"/>
      <c r="HEV20" s="3507"/>
      <c r="HEW20" s="3507"/>
      <c r="HEX20" s="3507"/>
      <c r="HEY20" s="3507"/>
      <c r="HEZ20" s="3507"/>
      <c r="HFA20" s="3507"/>
      <c r="HFB20" s="3507"/>
      <c r="HFC20" s="3507"/>
      <c r="HFD20" s="3507"/>
      <c r="HFE20" s="3507"/>
      <c r="HFF20" s="3507"/>
      <c r="HFG20" s="3507"/>
      <c r="HFH20" s="3507"/>
      <c r="HFI20" s="3507"/>
      <c r="HFJ20" s="3507"/>
      <c r="HFK20" s="3507"/>
      <c r="HFL20" s="3507"/>
      <c r="HFM20" s="3507"/>
      <c r="HFN20" s="3507"/>
      <c r="HFO20" s="3507"/>
      <c r="HFP20" s="3507"/>
      <c r="HFQ20" s="3507"/>
      <c r="HFR20" s="3507"/>
      <c r="HFS20" s="3507"/>
      <c r="HFT20" s="3507"/>
      <c r="HFU20" s="3507"/>
      <c r="HFV20" s="3507"/>
      <c r="HFW20" s="3507"/>
      <c r="HFX20" s="3507"/>
      <c r="HFY20" s="3507"/>
      <c r="HFZ20" s="3507"/>
      <c r="HGA20" s="3507"/>
      <c r="HGB20" s="3507"/>
      <c r="HGC20" s="3507"/>
      <c r="HGD20" s="3507"/>
      <c r="HGE20" s="3507"/>
      <c r="HGF20" s="3507"/>
      <c r="HGG20" s="3507"/>
      <c r="HGH20" s="3507"/>
      <c r="HGI20" s="3507"/>
      <c r="HGJ20" s="3507"/>
      <c r="HGK20" s="3507"/>
      <c r="HGL20" s="3507"/>
      <c r="HGM20" s="3507"/>
      <c r="HGN20" s="3507"/>
      <c r="HGO20" s="3507"/>
      <c r="HGP20" s="3507"/>
      <c r="HGQ20" s="3507"/>
      <c r="HGR20" s="3507"/>
      <c r="HGS20" s="3507"/>
      <c r="HGT20" s="3507"/>
      <c r="HGU20" s="3507"/>
      <c r="HGV20" s="3507"/>
      <c r="HGW20" s="3507"/>
      <c r="HGX20" s="3507"/>
      <c r="HGY20" s="3507"/>
      <c r="HGZ20" s="3507"/>
      <c r="HHA20" s="3507"/>
      <c r="HHB20" s="3507"/>
      <c r="HHC20" s="3507"/>
      <c r="HHD20" s="3507"/>
      <c r="HHE20" s="3507"/>
      <c r="HHF20" s="3507"/>
      <c r="HHG20" s="3507"/>
      <c r="HHH20" s="3507"/>
      <c r="HHI20" s="3507"/>
      <c r="HHJ20" s="3507"/>
      <c r="HHK20" s="3507"/>
      <c r="HHL20" s="3507"/>
      <c r="HHM20" s="3507"/>
      <c r="HHN20" s="3507"/>
      <c r="HHO20" s="3507"/>
      <c r="HHP20" s="3507"/>
      <c r="HHQ20" s="3507"/>
      <c r="HHR20" s="3507"/>
      <c r="HHS20" s="3507"/>
      <c r="HHT20" s="3507"/>
      <c r="HHU20" s="3507"/>
      <c r="HHV20" s="3507"/>
      <c r="HHW20" s="3507"/>
      <c r="HHX20" s="3507"/>
      <c r="HHY20" s="3507"/>
      <c r="HHZ20" s="3507"/>
      <c r="HIA20" s="3507"/>
      <c r="HIB20" s="3507"/>
      <c r="HIC20" s="3507"/>
      <c r="HID20" s="3507"/>
      <c r="HIE20" s="3507"/>
      <c r="HIF20" s="3507"/>
      <c r="HIG20" s="3507"/>
      <c r="HIH20" s="3507"/>
      <c r="HII20" s="3507"/>
      <c r="HIJ20" s="3507"/>
      <c r="HIK20" s="3507"/>
      <c r="HIL20" s="3507"/>
      <c r="HIM20" s="3507"/>
      <c r="HIN20" s="3507"/>
      <c r="HIO20" s="3507"/>
      <c r="HIP20" s="3507"/>
      <c r="HIQ20" s="3507"/>
      <c r="HIR20" s="3507"/>
      <c r="HIS20" s="3507"/>
      <c r="HIT20" s="3507"/>
      <c r="HIU20" s="3507"/>
      <c r="HIV20" s="3507"/>
      <c r="HIW20" s="3507"/>
      <c r="HIX20" s="3507"/>
      <c r="HIY20" s="3507"/>
      <c r="HIZ20" s="3507"/>
      <c r="HJA20" s="3507"/>
      <c r="HJB20" s="3507"/>
      <c r="HJC20" s="3507"/>
      <c r="HJD20" s="3507"/>
      <c r="HJE20" s="3507"/>
      <c r="HJF20" s="3507"/>
      <c r="HJG20" s="3507"/>
      <c r="HJH20" s="3507"/>
      <c r="HJI20" s="3507"/>
      <c r="HJJ20" s="3507"/>
      <c r="HJK20" s="3507"/>
      <c r="HJL20" s="3507"/>
      <c r="HJM20" s="3507"/>
      <c r="HJN20" s="3507"/>
      <c r="HJO20" s="3507"/>
      <c r="HJP20" s="3507"/>
      <c r="HJQ20" s="3507"/>
      <c r="HJR20" s="3507"/>
      <c r="HJS20" s="3507"/>
      <c r="HJT20" s="3507"/>
      <c r="HJU20" s="3507"/>
      <c r="HJV20" s="3507"/>
      <c r="HJW20" s="3507"/>
      <c r="HJX20" s="3507"/>
      <c r="HJY20" s="3507"/>
      <c r="HJZ20" s="3507"/>
      <c r="HKA20" s="3507"/>
      <c r="HKB20" s="3507"/>
      <c r="HKC20" s="3507"/>
      <c r="HKD20" s="3507"/>
      <c r="HKE20" s="3507"/>
      <c r="HKF20" s="3507"/>
      <c r="HKG20" s="3507"/>
      <c r="HKH20" s="3507"/>
      <c r="HKI20" s="3507"/>
      <c r="HKJ20" s="3507"/>
      <c r="HKK20" s="3507"/>
      <c r="HKL20" s="3507"/>
      <c r="HKM20" s="3507"/>
      <c r="HKN20" s="3507"/>
      <c r="HKO20" s="3507"/>
      <c r="HKP20" s="3507"/>
      <c r="HKQ20" s="3507"/>
      <c r="HKR20" s="3507"/>
      <c r="HKS20" s="3507"/>
      <c r="HKT20" s="3507"/>
      <c r="HKU20" s="3507"/>
      <c r="HKV20" s="3507"/>
      <c r="HKW20" s="3507"/>
      <c r="HKX20" s="3507"/>
      <c r="HKY20" s="3507"/>
      <c r="HKZ20" s="3507"/>
      <c r="HLA20" s="3507"/>
      <c r="HLB20" s="3507"/>
      <c r="HLC20" s="3507"/>
      <c r="HLD20" s="3507"/>
      <c r="HLE20" s="3507"/>
      <c r="HLF20" s="3507"/>
      <c r="HLG20" s="3507"/>
      <c r="HLH20" s="3507"/>
      <c r="HLI20" s="3507"/>
      <c r="HLJ20" s="3507"/>
      <c r="HLK20" s="3507"/>
      <c r="HLL20" s="3507"/>
      <c r="HLM20" s="3507"/>
      <c r="HLN20" s="3507"/>
      <c r="HLO20" s="3507"/>
      <c r="HLP20" s="3507"/>
      <c r="HLQ20" s="3507"/>
      <c r="HLR20" s="3507"/>
      <c r="HLS20" s="3507"/>
      <c r="HLT20" s="3507"/>
      <c r="HLU20" s="3507"/>
      <c r="HLV20" s="3507"/>
      <c r="HLW20" s="3507"/>
      <c r="HLX20" s="3507"/>
      <c r="HLY20" s="3507"/>
      <c r="HLZ20" s="3507"/>
      <c r="HMA20" s="3507"/>
      <c r="HMB20" s="3507"/>
      <c r="HMC20" s="3507"/>
      <c r="HMD20" s="3507"/>
      <c r="HME20" s="3507"/>
      <c r="HMF20" s="3507"/>
      <c r="HMG20" s="3507"/>
      <c r="HMH20" s="3507"/>
      <c r="HMI20" s="3507"/>
      <c r="HMJ20" s="3507"/>
      <c r="HMK20" s="3507"/>
      <c r="HML20" s="3507"/>
      <c r="HMM20" s="3507"/>
      <c r="HMN20" s="3507"/>
      <c r="HMO20" s="3507"/>
      <c r="HMP20" s="3507"/>
      <c r="HMQ20" s="3507"/>
      <c r="HMR20" s="3507"/>
      <c r="HMS20" s="3507"/>
      <c r="HMT20" s="3507"/>
      <c r="HMU20" s="3507"/>
      <c r="HMV20" s="3507"/>
      <c r="HMW20" s="3507"/>
      <c r="HMX20" s="3507"/>
      <c r="HMY20" s="3507"/>
      <c r="HMZ20" s="3507"/>
      <c r="HNA20" s="3507"/>
      <c r="HNB20" s="3507"/>
      <c r="HNC20" s="3507"/>
      <c r="HND20" s="3507"/>
      <c r="HNE20" s="3507"/>
      <c r="HNF20" s="3507"/>
      <c r="HNG20" s="3507"/>
      <c r="HNH20" s="3507"/>
      <c r="HNI20" s="3507"/>
      <c r="HNJ20" s="3507"/>
      <c r="HNK20" s="3507"/>
      <c r="HNL20" s="3507"/>
      <c r="HNM20" s="3507"/>
      <c r="HNN20" s="3507"/>
      <c r="HNO20" s="3507"/>
      <c r="HNP20" s="3507"/>
      <c r="HNQ20" s="3507"/>
      <c r="HNR20" s="3507"/>
      <c r="HNS20" s="3507"/>
      <c r="HNT20" s="3507"/>
      <c r="HNU20" s="3507"/>
      <c r="HNV20" s="3507"/>
      <c r="HNW20" s="3507"/>
      <c r="HNX20" s="3507"/>
      <c r="HNY20" s="3507"/>
      <c r="HNZ20" s="3507"/>
      <c r="HOA20" s="3507"/>
      <c r="HOB20" s="3507"/>
      <c r="HOC20" s="3507"/>
      <c r="HOD20" s="3507"/>
      <c r="HOE20" s="3507"/>
      <c r="HOF20" s="3507"/>
      <c r="HOG20" s="3507"/>
      <c r="HOH20" s="3507"/>
      <c r="HOI20" s="3507"/>
      <c r="HOJ20" s="3507"/>
      <c r="HOK20" s="3507"/>
      <c r="HOL20" s="3507"/>
      <c r="HOM20" s="3507"/>
      <c r="HON20" s="3507"/>
      <c r="HOO20" s="3507"/>
      <c r="HOP20" s="3507"/>
      <c r="HOQ20" s="3507"/>
      <c r="HOR20" s="3507"/>
      <c r="HOS20" s="3507"/>
      <c r="HOT20" s="3507"/>
      <c r="HOU20" s="3507"/>
      <c r="HOV20" s="3507"/>
      <c r="HOW20" s="3507"/>
      <c r="HOX20" s="3507"/>
      <c r="HOY20" s="3507"/>
      <c r="HOZ20" s="3507"/>
      <c r="HPA20" s="3507"/>
      <c r="HPB20" s="3507"/>
      <c r="HPC20" s="3507"/>
      <c r="HPD20" s="3507"/>
      <c r="HPE20" s="3507"/>
      <c r="HPF20" s="3507"/>
      <c r="HPG20" s="3507"/>
      <c r="HPH20" s="3507"/>
      <c r="HPI20" s="3507"/>
      <c r="HPJ20" s="3507"/>
      <c r="HPK20" s="3507"/>
      <c r="HPL20" s="3507"/>
      <c r="HPM20" s="3507"/>
      <c r="HPN20" s="3507"/>
      <c r="HPO20" s="3507"/>
      <c r="HPP20" s="3507"/>
      <c r="HPQ20" s="3507"/>
      <c r="HPR20" s="3507"/>
      <c r="HPS20" s="3507"/>
      <c r="HPT20" s="3507"/>
      <c r="HPU20" s="3507"/>
      <c r="HPV20" s="3507"/>
      <c r="HPW20" s="3507"/>
      <c r="HPX20" s="3507"/>
      <c r="HPY20" s="3507"/>
      <c r="HPZ20" s="3507"/>
      <c r="HQA20" s="3507"/>
      <c r="HQB20" s="3507"/>
      <c r="HQC20" s="3507"/>
      <c r="HQD20" s="3507"/>
      <c r="HQE20" s="3507"/>
      <c r="HQF20" s="3507"/>
      <c r="HQG20" s="3507"/>
      <c r="HQH20" s="3507"/>
      <c r="HQI20" s="3507"/>
      <c r="HQJ20" s="3507"/>
      <c r="HQK20" s="3507"/>
      <c r="HQL20" s="3507"/>
      <c r="HQM20" s="3507"/>
      <c r="HQN20" s="3507"/>
      <c r="HQO20" s="3507"/>
      <c r="HQP20" s="3507"/>
      <c r="HQQ20" s="3507"/>
      <c r="HQR20" s="3507"/>
      <c r="HQS20" s="3507"/>
      <c r="HQT20" s="3507"/>
      <c r="HQU20" s="3507"/>
      <c r="HQV20" s="3507"/>
      <c r="HQW20" s="3507"/>
      <c r="HQX20" s="3507"/>
      <c r="HQY20" s="3507"/>
      <c r="HQZ20" s="3507"/>
      <c r="HRA20" s="3507"/>
      <c r="HRB20" s="3507"/>
      <c r="HRC20" s="3507"/>
      <c r="HRD20" s="3507"/>
      <c r="HRE20" s="3507"/>
      <c r="HRF20" s="3507"/>
      <c r="HRG20" s="3507"/>
      <c r="HRH20" s="3507"/>
      <c r="HRI20" s="3507"/>
      <c r="HRJ20" s="3507"/>
      <c r="HRK20" s="3507"/>
      <c r="HRL20" s="3507"/>
      <c r="HRM20" s="3507"/>
      <c r="HRN20" s="3507"/>
      <c r="HRO20" s="3507"/>
      <c r="HRP20" s="3507"/>
      <c r="HRQ20" s="3507"/>
      <c r="HRR20" s="3507"/>
      <c r="HRS20" s="3507"/>
      <c r="HRT20" s="3507"/>
      <c r="HRU20" s="3507"/>
      <c r="HRV20" s="3507"/>
      <c r="HRW20" s="3507"/>
      <c r="HRX20" s="3507"/>
      <c r="HRY20" s="3507"/>
      <c r="HRZ20" s="3507"/>
      <c r="HSA20" s="3507"/>
      <c r="HSB20" s="3507"/>
      <c r="HSC20" s="3507"/>
      <c r="HSD20" s="3507"/>
      <c r="HSE20" s="3507"/>
      <c r="HSF20" s="3507"/>
      <c r="HSG20" s="3507"/>
      <c r="HSH20" s="3507"/>
      <c r="HSI20" s="3507"/>
      <c r="HSJ20" s="3507"/>
      <c r="HSK20" s="3507"/>
      <c r="HSL20" s="3507"/>
      <c r="HSM20" s="3507"/>
      <c r="HSN20" s="3507"/>
      <c r="HSO20" s="3507"/>
      <c r="HSP20" s="3507"/>
      <c r="HSQ20" s="3507"/>
      <c r="HSR20" s="3507"/>
      <c r="HSS20" s="3507"/>
      <c r="HST20" s="3507"/>
      <c r="HSU20" s="3507"/>
      <c r="HSV20" s="3507"/>
      <c r="HSW20" s="3507"/>
      <c r="HSX20" s="3507"/>
      <c r="HSY20" s="3507"/>
      <c r="HSZ20" s="3507"/>
      <c r="HTA20" s="3507"/>
      <c r="HTB20" s="3507"/>
      <c r="HTC20" s="3507"/>
      <c r="HTD20" s="3507"/>
      <c r="HTE20" s="3507"/>
      <c r="HTF20" s="3507"/>
      <c r="HTG20" s="3507"/>
      <c r="HTH20" s="3507"/>
      <c r="HTI20" s="3507"/>
      <c r="HTJ20" s="3507"/>
      <c r="HTK20" s="3507"/>
      <c r="HTL20" s="3507"/>
      <c r="HTM20" s="3507"/>
      <c r="HTN20" s="3507"/>
      <c r="HTO20" s="3507"/>
      <c r="HTP20" s="3507"/>
      <c r="HTQ20" s="3507"/>
      <c r="HTR20" s="3507"/>
      <c r="HTS20" s="3507"/>
      <c r="HTT20" s="3507"/>
      <c r="HTU20" s="3507"/>
      <c r="HTV20" s="3507"/>
      <c r="HTW20" s="3507"/>
      <c r="HTX20" s="3507"/>
      <c r="HTY20" s="3507"/>
      <c r="HTZ20" s="3507"/>
      <c r="HUA20" s="3507"/>
      <c r="HUB20" s="3507"/>
      <c r="HUC20" s="3507"/>
      <c r="HUD20" s="3507"/>
      <c r="HUE20" s="3507"/>
      <c r="HUF20" s="3507"/>
      <c r="HUG20" s="3507"/>
      <c r="HUH20" s="3507"/>
      <c r="HUI20" s="3507"/>
      <c r="HUJ20" s="3507"/>
      <c r="HUK20" s="3507"/>
      <c r="HUL20" s="3507"/>
      <c r="HUM20" s="3507"/>
      <c r="HUN20" s="3507"/>
      <c r="HUO20" s="3507"/>
      <c r="HUP20" s="3507"/>
      <c r="HUQ20" s="3507"/>
      <c r="HUR20" s="3507"/>
      <c r="HUS20" s="3507"/>
      <c r="HUT20" s="3507"/>
      <c r="HUU20" s="3507"/>
      <c r="HUV20" s="3507"/>
      <c r="HUW20" s="3507"/>
      <c r="HUX20" s="3507"/>
      <c r="HUY20" s="3507"/>
      <c r="HUZ20" s="3507"/>
      <c r="HVA20" s="3507"/>
      <c r="HVB20" s="3507"/>
      <c r="HVC20" s="3507"/>
      <c r="HVD20" s="3507"/>
      <c r="HVE20" s="3507"/>
      <c r="HVF20" s="3507"/>
      <c r="HVG20" s="3507"/>
      <c r="HVH20" s="3507"/>
      <c r="HVI20" s="3507"/>
      <c r="HVJ20" s="3507"/>
      <c r="HVK20" s="3507"/>
      <c r="HVL20" s="3507"/>
      <c r="HVM20" s="3507"/>
      <c r="HVN20" s="3507"/>
      <c r="HVO20" s="3507"/>
      <c r="HVP20" s="3507"/>
      <c r="HVQ20" s="3507"/>
      <c r="HVR20" s="3507"/>
      <c r="HVS20" s="3507"/>
      <c r="HVT20" s="3507"/>
      <c r="HVU20" s="3507"/>
      <c r="HVV20" s="3507"/>
      <c r="HVW20" s="3507"/>
      <c r="HVX20" s="3507"/>
      <c r="HVY20" s="3507"/>
      <c r="HVZ20" s="3507"/>
      <c r="HWA20" s="3507"/>
      <c r="HWB20" s="3507"/>
      <c r="HWC20" s="3507"/>
      <c r="HWD20" s="3507"/>
      <c r="HWE20" s="3507"/>
      <c r="HWF20" s="3507"/>
      <c r="HWG20" s="3507"/>
      <c r="HWH20" s="3507"/>
      <c r="HWI20" s="3507"/>
      <c r="HWJ20" s="3507"/>
      <c r="HWK20" s="3507"/>
      <c r="HWL20" s="3507"/>
      <c r="HWM20" s="3507"/>
      <c r="HWN20" s="3507"/>
      <c r="HWO20" s="3507"/>
      <c r="HWP20" s="3507"/>
      <c r="HWQ20" s="3507"/>
      <c r="HWR20" s="3507"/>
      <c r="HWS20" s="3507"/>
      <c r="HWT20" s="3507"/>
      <c r="HWU20" s="3507"/>
      <c r="HWV20" s="3507"/>
      <c r="HWW20" s="3507"/>
      <c r="HWX20" s="3507"/>
      <c r="HWY20" s="3507"/>
      <c r="HWZ20" s="3507"/>
      <c r="HXA20" s="3507"/>
      <c r="HXB20" s="3507"/>
      <c r="HXC20" s="3507"/>
      <c r="HXD20" s="3507"/>
      <c r="HXE20" s="3507"/>
      <c r="HXF20" s="3507"/>
      <c r="HXG20" s="3507"/>
      <c r="HXH20" s="3507"/>
      <c r="HXI20" s="3507"/>
      <c r="HXJ20" s="3507"/>
      <c r="HXK20" s="3507"/>
      <c r="HXL20" s="3507"/>
      <c r="HXM20" s="3507"/>
      <c r="HXN20" s="3507"/>
      <c r="HXO20" s="3507"/>
      <c r="HXP20" s="3507"/>
      <c r="HXQ20" s="3507"/>
      <c r="HXR20" s="3507"/>
      <c r="HXS20" s="3507"/>
      <c r="HXT20" s="3507"/>
      <c r="HXU20" s="3507"/>
      <c r="HXV20" s="3507"/>
      <c r="HXW20" s="3507"/>
      <c r="HXX20" s="3507"/>
      <c r="HXY20" s="3507"/>
      <c r="HXZ20" s="3507"/>
      <c r="HYA20" s="3507"/>
      <c r="HYB20" s="3507"/>
      <c r="HYC20" s="3507"/>
      <c r="HYD20" s="3507"/>
      <c r="HYE20" s="3507"/>
      <c r="HYF20" s="3507"/>
      <c r="HYG20" s="3507"/>
      <c r="HYH20" s="3507"/>
      <c r="HYI20" s="3507"/>
      <c r="HYJ20" s="3507"/>
      <c r="HYK20" s="3507"/>
      <c r="HYL20" s="3507"/>
      <c r="HYM20" s="3507"/>
      <c r="HYN20" s="3507"/>
      <c r="HYO20" s="3507"/>
      <c r="HYP20" s="3507"/>
      <c r="HYQ20" s="3507"/>
      <c r="HYR20" s="3507"/>
      <c r="HYS20" s="3507"/>
      <c r="HYT20" s="3507"/>
      <c r="HYU20" s="3507"/>
      <c r="HYV20" s="3507"/>
      <c r="HYW20" s="3507"/>
      <c r="HYX20" s="3507"/>
      <c r="HYY20" s="3507"/>
      <c r="HYZ20" s="3507"/>
      <c r="HZA20" s="3507"/>
      <c r="HZB20" s="3507"/>
      <c r="HZC20" s="3507"/>
      <c r="HZD20" s="3507"/>
      <c r="HZE20" s="3507"/>
      <c r="HZF20" s="3507"/>
      <c r="HZG20" s="3507"/>
      <c r="HZH20" s="3507"/>
      <c r="HZI20" s="3507"/>
      <c r="HZJ20" s="3507"/>
      <c r="HZK20" s="3507"/>
      <c r="HZL20" s="3507"/>
      <c r="HZM20" s="3507"/>
      <c r="HZN20" s="3507"/>
      <c r="HZO20" s="3507"/>
      <c r="HZP20" s="3507"/>
      <c r="HZQ20" s="3507"/>
      <c r="HZR20" s="3507"/>
      <c r="HZS20" s="3507"/>
      <c r="HZT20" s="3507"/>
      <c r="HZU20" s="3507"/>
      <c r="HZV20" s="3507"/>
      <c r="HZW20" s="3507"/>
      <c r="HZX20" s="3507"/>
      <c r="HZY20" s="3507"/>
      <c r="HZZ20" s="3507"/>
      <c r="IAA20" s="3507"/>
      <c r="IAB20" s="3507"/>
      <c r="IAC20" s="3507"/>
      <c r="IAD20" s="3507"/>
      <c r="IAE20" s="3507"/>
      <c r="IAF20" s="3507"/>
      <c r="IAG20" s="3507"/>
      <c r="IAH20" s="3507"/>
      <c r="IAI20" s="3507"/>
      <c r="IAJ20" s="3507"/>
      <c r="IAK20" s="3507"/>
      <c r="IAL20" s="3507"/>
      <c r="IAM20" s="3507"/>
      <c r="IAN20" s="3507"/>
      <c r="IAO20" s="3507"/>
      <c r="IAP20" s="3507"/>
      <c r="IAQ20" s="3507"/>
      <c r="IAR20" s="3507"/>
      <c r="IAS20" s="3507"/>
      <c r="IAT20" s="3507"/>
      <c r="IAU20" s="3507"/>
      <c r="IAV20" s="3507"/>
      <c r="IAW20" s="3507"/>
      <c r="IAX20" s="3507"/>
      <c r="IAY20" s="3507"/>
      <c r="IAZ20" s="3507"/>
      <c r="IBA20" s="3507"/>
      <c r="IBB20" s="3507"/>
      <c r="IBC20" s="3507"/>
      <c r="IBD20" s="3507"/>
      <c r="IBE20" s="3507"/>
      <c r="IBF20" s="3507"/>
      <c r="IBG20" s="3507"/>
      <c r="IBH20" s="3507"/>
      <c r="IBI20" s="3507"/>
      <c r="IBJ20" s="3507"/>
      <c r="IBK20" s="3507"/>
      <c r="IBL20" s="3507"/>
      <c r="IBM20" s="3507"/>
      <c r="IBN20" s="3507"/>
      <c r="IBO20" s="3507"/>
      <c r="IBP20" s="3507"/>
      <c r="IBQ20" s="3507"/>
      <c r="IBR20" s="3507"/>
      <c r="IBS20" s="3507"/>
      <c r="IBT20" s="3507"/>
      <c r="IBU20" s="3507"/>
      <c r="IBV20" s="3507"/>
      <c r="IBW20" s="3507"/>
      <c r="IBX20" s="3507"/>
      <c r="IBY20" s="3507"/>
      <c r="IBZ20" s="3507"/>
      <c r="ICA20" s="3507"/>
      <c r="ICB20" s="3507"/>
      <c r="ICC20" s="3507"/>
      <c r="ICD20" s="3507"/>
      <c r="ICE20" s="3507"/>
      <c r="ICF20" s="3507"/>
      <c r="ICG20" s="3507"/>
      <c r="ICH20" s="3507"/>
      <c r="ICI20" s="3507"/>
      <c r="ICJ20" s="3507"/>
      <c r="ICK20" s="3507"/>
      <c r="ICL20" s="3507"/>
      <c r="ICM20" s="3507"/>
      <c r="ICN20" s="3507"/>
      <c r="ICO20" s="3507"/>
      <c r="ICP20" s="3507"/>
      <c r="ICQ20" s="3507"/>
      <c r="ICR20" s="3507"/>
      <c r="ICS20" s="3507"/>
      <c r="ICT20" s="3507"/>
      <c r="ICU20" s="3507"/>
      <c r="ICV20" s="3507"/>
      <c r="ICW20" s="3507"/>
      <c r="ICX20" s="3507"/>
      <c r="ICY20" s="3507"/>
      <c r="ICZ20" s="3507"/>
      <c r="IDA20" s="3507"/>
      <c r="IDB20" s="3507"/>
      <c r="IDC20" s="3507"/>
      <c r="IDD20" s="3507"/>
      <c r="IDE20" s="3507"/>
      <c r="IDF20" s="3507"/>
      <c r="IDG20" s="3507"/>
      <c r="IDH20" s="3507"/>
      <c r="IDI20" s="3507"/>
      <c r="IDJ20" s="3507"/>
      <c r="IDK20" s="3507"/>
      <c r="IDL20" s="3507"/>
      <c r="IDM20" s="3507"/>
      <c r="IDN20" s="3507"/>
      <c r="IDO20" s="3507"/>
      <c r="IDP20" s="3507"/>
      <c r="IDQ20" s="3507"/>
      <c r="IDR20" s="3507"/>
      <c r="IDS20" s="3507"/>
      <c r="IDT20" s="3507"/>
      <c r="IDU20" s="3507"/>
      <c r="IDV20" s="3507"/>
      <c r="IDW20" s="3507"/>
      <c r="IDX20" s="3507"/>
      <c r="IDY20" s="3507"/>
      <c r="IDZ20" s="3507"/>
      <c r="IEA20" s="3507"/>
      <c r="IEB20" s="3507"/>
      <c r="IEC20" s="3507"/>
      <c r="IED20" s="3507"/>
      <c r="IEE20" s="3507"/>
      <c r="IEF20" s="3507"/>
      <c r="IEG20" s="3507"/>
      <c r="IEH20" s="3507"/>
      <c r="IEI20" s="3507"/>
      <c r="IEJ20" s="3507"/>
      <c r="IEK20" s="3507"/>
      <c r="IEL20" s="3507"/>
      <c r="IEM20" s="3507"/>
      <c r="IEN20" s="3507"/>
      <c r="IEO20" s="3507"/>
      <c r="IEP20" s="3507"/>
      <c r="IEQ20" s="3507"/>
      <c r="IER20" s="3507"/>
      <c r="IES20" s="3507"/>
      <c r="IET20" s="3507"/>
      <c r="IEU20" s="3507"/>
      <c r="IEV20" s="3507"/>
      <c r="IEW20" s="3507"/>
      <c r="IEX20" s="3507"/>
      <c r="IEY20" s="3507"/>
      <c r="IEZ20" s="3507"/>
      <c r="IFA20" s="3507"/>
      <c r="IFB20" s="3507"/>
      <c r="IFC20" s="3507"/>
      <c r="IFD20" s="3507"/>
      <c r="IFE20" s="3507"/>
      <c r="IFF20" s="3507"/>
      <c r="IFG20" s="3507"/>
      <c r="IFH20" s="3507"/>
      <c r="IFI20" s="3507"/>
      <c r="IFJ20" s="3507"/>
      <c r="IFK20" s="3507"/>
      <c r="IFL20" s="3507"/>
      <c r="IFM20" s="3507"/>
      <c r="IFN20" s="3507"/>
      <c r="IFO20" s="3507"/>
      <c r="IFP20" s="3507"/>
      <c r="IFQ20" s="3507"/>
      <c r="IFR20" s="3507"/>
      <c r="IFS20" s="3507"/>
      <c r="IFT20" s="3507"/>
      <c r="IFU20" s="3507"/>
      <c r="IFV20" s="3507"/>
      <c r="IFW20" s="3507"/>
      <c r="IFX20" s="3507"/>
      <c r="IFY20" s="3507"/>
      <c r="IFZ20" s="3507"/>
      <c r="IGA20" s="3507"/>
      <c r="IGB20" s="3507"/>
      <c r="IGC20" s="3507"/>
      <c r="IGD20" s="3507"/>
      <c r="IGE20" s="3507"/>
      <c r="IGF20" s="3507"/>
      <c r="IGG20" s="3507"/>
      <c r="IGH20" s="3507"/>
      <c r="IGI20" s="3507"/>
      <c r="IGJ20" s="3507"/>
      <c r="IGK20" s="3507"/>
      <c r="IGL20" s="3507"/>
      <c r="IGM20" s="3507"/>
      <c r="IGN20" s="3507"/>
      <c r="IGO20" s="3507"/>
      <c r="IGP20" s="3507"/>
      <c r="IGQ20" s="3507"/>
      <c r="IGR20" s="3507"/>
      <c r="IGS20" s="3507"/>
      <c r="IGT20" s="3507"/>
      <c r="IGU20" s="3507"/>
      <c r="IGV20" s="3507"/>
      <c r="IGW20" s="3507"/>
      <c r="IGX20" s="3507"/>
      <c r="IGY20" s="3507"/>
      <c r="IGZ20" s="3507"/>
      <c r="IHA20" s="3507"/>
      <c r="IHB20" s="3507"/>
      <c r="IHC20" s="3507"/>
      <c r="IHD20" s="3507"/>
      <c r="IHE20" s="3507"/>
      <c r="IHF20" s="3507"/>
      <c r="IHG20" s="3507"/>
      <c r="IHH20" s="3507"/>
      <c r="IHI20" s="3507"/>
      <c r="IHJ20" s="3507"/>
      <c r="IHK20" s="3507"/>
      <c r="IHL20" s="3507"/>
      <c r="IHM20" s="3507"/>
      <c r="IHN20" s="3507"/>
      <c r="IHO20" s="3507"/>
      <c r="IHP20" s="3507"/>
      <c r="IHQ20" s="3507"/>
      <c r="IHR20" s="3507"/>
      <c r="IHS20" s="3507"/>
      <c r="IHT20" s="3507"/>
      <c r="IHU20" s="3507"/>
      <c r="IHV20" s="3507"/>
      <c r="IHW20" s="3507"/>
      <c r="IHX20" s="3507"/>
      <c r="IHY20" s="3507"/>
      <c r="IHZ20" s="3507"/>
      <c r="IIA20" s="3507"/>
      <c r="IIB20" s="3507"/>
      <c r="IIC20" s="3507"/>
      <c r="IID20" s="3507"/>
      <c r="IIE20" s="3507"/>
      <c r="IIF20" s="3507"/>
      <c r="IIG20" s="3507"/>
      <c r="IIH20" s="3507"/>
      <c r="III20" s="3507"/>
      <c r="IIJ20" s="3507"/>
      <c r="IIK20" s="3507"/>
      <c r="IIL20" s="3507"/>
      <c r="IIM20" s="3507"/>
      <c r="IIN20" s="3507"/>
      <c r="IIO20" s="3507"/>
      <c r="IIP20" s="3507"/>
      <c r="IIQ20" s="3507"/>
      <c r="IIR20" s="3507"/>
      <c r="IIS20" s="3507"/>
      <c r="IIT20" s="3507"/>
      <c r="IIU20" s="3507"/>
      <c r="IIV20" s="3507"/>
      <c r="IIW20" s="3507"/>
      <c r="IIX20" s="3507"/>
      <c r="IIY20" s="3507"/>
      <c r="IIZ20" s="3507"/>
      <c r="IJA20" s="3507"/>
      <c r="IJB20" s="3507"/>
      <c r="IJC20" s="3507"/>
      <c r="IJD20" s="3507"/>
      <c r="IJE20" s="3507"/>
      <c r="IJF20" s="3507"/>
      <c r="IJG20" s="3507"/>
      <c r="IJH20" s="3507"/>
      <c r="IJI20" s="3507"/>
      <c r="IJJ20" s="3507"/>
      <c r="IJK20" s="3507"/>
      <c r="IJL20" s="3507"/>
      <c r="IJM20" s="3507"/>
      <c r="IJN20" s="3507"/>
      <c r="IJO20" s="3507"/>
      <c r="IJP20" s="3507"/>
      <c r="IJQ20" s="3507"/>
      <c r="IJR20" s="3507"/>
      <c r="IJS20" s="3507"/>
      <c r="IJT20" s="3507"/>
      <c r="IJU20" s="3507"/>
      <c r="IJV20" s="3507"/>
      <c r="IJW20" s="3507"/>
      <c r="IJX20" s="3507"/>
      <c r="IJY20" s="3507"/>
      <c r="IJZ20" s="3507"/>
      <c r="IKA20" s="3507"/>
      <c r="IKB20" s="3507"/>
      <c r="IKC20" s="3507"/>
      <c r="IKD20" s="3507"/>
      <c r="IKE20" s="3507"/>
      <c r="IKF20" s="3507"/>
      <c r="IKG20" s="3507"/>
      <c r="IKH20" s="3507"/>
      <c r="IKI20" s="3507"/>
      <c r="IKJ20" s="3507"/>
      <c r="IKK20" s="3507"/>
      <c r="IKL20" s="3507"/>
      <c r="IKM20" s="3507"/>
      <c r="IKN20" s="3507"/>
      <c r="IKO20" s="3507"/>
      <c r="IKP20" s="3507"/>
      <c r="IKQ20" s="3507"/>
      <c r="IKR20" s="3507"/>
      <c r="IKS20" s="3507"/>
      <c r="IKT20" s="3507"/>
      <c r="IKU20" s="3507"/>
      <c r="IKV20" s="3507"/>
      <c r="IKW20" s="3507"/>
      <c r="IKX20" s="3507"/>
      <c r="IKY20" s="3507"/>
      <c r="IKZ20" s="3507"/>
      <c r="ILA20" s="3507"/>
      <c r="ILB20" s="3507"/>
      <c r="ILC20" s="3507"/>
      <c r="ILD20" s="3507"/>
      <c r="ILE20" s="3507"/>
      <c r="ILF20" s="3507"/>
      <c r="ILG20" s="3507"/>
      <c r="ILH20" s="3507"/>
      <c r="ILI20" s="3507"/>
      <c r="ILJ20" s="3507"/>
      <c r="ILK20" s="3507"/>
      <c r="ILL20" s="3507"/>
      <c r="ILM20" s="3507"/>
      <c r="ILN20" s="3507"/>
      <c r="ILO20" s="3507"/>
      <c r="ILP20" s="3507"/>
      <c r="ILQ20" s="3507"/>
      <c r="ILR20" s="3507"/>
      <c r="ILS20" s="3507"/>
      <c r="ILT20" s="3507"/>
      <c r="ILU20" s="3507"/>
      <c r="ILV20" s="3507"/>
      <c r="ILW20" s="3507"/>
      <c r="ILX20" s="3507"/>
      <c r="ILY20" s="3507"/>
      <c r="ILZ20" s="3507"/>
      <c r="IMA20" s="3507"/>
      <c r="IMB20" s="3507"/>
      <c r="IMC20" s="3507"/>
      <c r="IMD20" s="3507"/>
      <c r="IME20" s="3507"/>
      <c r="IMF20" s="3507"/>
      <c r="IMG20" s="3507"/>
      <c r="IMH20" s="3507"/>
      <c r="IMI20" s="3507"/>
      <c r="IMJ20" s="3507"/>
      <c r="IMK20" s="3507"/>
      <c r="IML20" s="3507"/>
      <c r="IMM20" s="3507"/>
      <c r="IMN20" s="3507"/>
      <c r="IMO20" s="3507"/>
      <c r="IMP20" s="3507"/>
      <c r="IMQ20" s="3507"/>
      <c r="IMR20" s="3507"/>
      <c r="IMS20" s="3507"/>
      <c r="IMT20" s="3507"/>
      <c r="IMU20" s="3507"/>
      <c r="IMV20" s="3507"/>
      <c r="IMW20" s="3507"/>
      <c r="IMX20" s="3507"/>
      <c r="IMY20" s="3507"/>
      <c r="IMZ20" s="3507"/>
      <c r="INA20" s="3507"/>
      <c r="INB20" s="3507"/>
      <c r="INC20" s="3507"/>
      <c r="IND20" s="3507"/>
      <c r="INE20" s="3507"/>
      <c r="INF20" s="3507"/>
      <c r="ING20" s="3507"/>
      <c r="INH20" s="3507"/>
      <c r="INI20" s="3507"/>
      <c r="INJ20" s="3507"/>
      <c r="INK20" s="3507"/>
      <c r="INL20" s="3507"/>
      <c r="INM20" s="3507"/>
      <c r="INN20" s="3507"/>
      <c r="INO20" s="3507"/>
      <c r="INP20" s="3507"/>
      <c r="INQ20" s="3507"/>
      <c r="INR20" s="3507"/>
      <c r="INS20" s="3507"/>
      <c r="INT20" s="3507"/>
      <c r="INU20" s="3507"/>
      <c r="INV20" s="3507"/>
      <c r="INW20" s="3507"/>
      <c r="INX20" s="3507"/>
      <c r="INY20" s="3507"/>
      <c r="INZ20" s="3507"/>
      <c r="IOA20" s="3507"/>
      <c r="IOB20" s="3507"/>
      <c r="IOC20" s="3507"/>
      <c r="IOD20" s="3507"/>
      <c r="IOE20" s="3507"/>
      <c r="IOF20" s="3507"/>
      <c r="IOG20" s="3507"/>
      <c r="IOH20" s="3507"/>
      <c r="IOI20" s="3507"/>
      <c r="IOJ20" s="3507"/>
      <c r="IOK20" s="3507"/>
      <c r="IOL20" s="3507"/>
      <c r="IOM20" s="3507"/>
      <c r="ION20" s="3507"/>
      <c r="IOO20" s="3507"/>
      <c r="IOP20" s="3507"/>
      <c r="IOQ20" s="3507"/>
      <c r="IOR20" s="3507"/>
      <c r="IOS20" s="3507"/>
      <c r="IOT20" s="3507"/>
      <c r="IOU20" s="3507"/>
      <c r="IOV20" s="3507"/>
      <c r="IOW20" s="3507"/>
      <c r="IOX20" s="3507"/>
      <c r="IOY20" s="3507"/>
      <c r="IOZ20" s="3507"/>
      <c r="IPA20" s="3507"/>
      <c r="IPB20" s="3507"/>
      <c r="IPC20" s="3507"/>
      <c r="IPD20" s="3507"/>
      <c r="IPE20" s="3507"/>
      <c r="IPF20" s="3507"/>
      <c r="IPG20" s="3507"/>
      <c r="IPH20" s="3507"/>
      <c r="IPI20" s="3507"/>
      <c r="IPJ20" s="3507"/>
      <c r="IPK20" s="3507"/>
      <c r="IPL20" s="3507"/>
      <c r="IPM20" s="3507"/>
      <c r="IPN20" s="3507"/>
      <c r="IPO20" s="3507"/>
      <c r="IPP20" s="3507"/>
      <c r="IPQ20" s="3507"/>
      <c r="IPR20" s="3507"/>
      <c r="IPS20" s="3507"/>
      <c r="IPT20" s="3507"/>
      <c r="IPU20" s="3507"/>
      <c r="IPV20" s="3507"/>
      <c r="IPW20" s="3507"/>
      <c r="IPX20" s="3507"/>
      <c r="IPY20" s="3507"/>
      <c r="IPZ20" s="3507"/>
      <c r="IQA20" s="3507"/>
      <c r="IQB20" s="3507"/>
      <c r="IQC20" s="3507"/>
      <c r="IQD20" s="3507"/>
      <c r="IQE20" s="3507"/>
      <c r="IQF20" s="3507"/>
      <c r="IQG20" s="3507"/>
      <c r="IQH20" s="3507"/>
      <c r="IQI20" s="3507"/>
      <c r="IQJ20" s="3507"/>
      <c r="IQK20" s="3507"/>
      <c r="IQL20" s="3507"/>
      <c r="IQM20" s="3507"/>
      <c r="IQN20" s="3507"/>
      <c r="IQO20" s="3507"/>
      <c r="IQP20" s="3507"/>
      <c r="IQQ20" s="3507"/>
      <c r="IQR20" s="3507"/>
      <c r="IQS20" s="3507"/>
      <c r="IQT20" s="3507"/>
      <c r="IQU20" s="3507"/>
      <c r="IQV20" s="3507"/>
      <c r="IQW20" s="3507"/>
      <c r="IQX20" s="3507"/>
      <c r="IQY20" s="3507"/>
      <c r="IQZ20" s="3507"/>
      <c r="IRA20" s="3507"/>
      <c r="IRB20" s="3507"/>
      <c r="IRC20" s="3507"/>
      <c r="IRD20" s="3507"/>
      <c r="IRE20" s="3507"/>
      <c r="IRF20" s="3507"/>
      <c r="IRG20" s="3507"/>
      <c r="IRH20" s="3507"/>
      <c r="IRI20" s="3507"/>
      <c r="IRJ20" s="3507"/>
      <c r="IRK20" s="3507"/>
      <c r="IRL20" s="3507"/>
      <c r="IRM20" s="3507"/>
      <c r="IRN20" s="3507"/>
      <c r="IRO20" s="3507"/>
      <c r="IRP20" s="3507"/>
      <c r="IRQ20" s="3507"/>
      <c r="IRR20" s="3507"/>
      <c r="IRS20" s="3507"/>
      <c r="IRT20" s="3507"/>
      <c r="IRU20" s="3507"/>
      <c r="IRV20" s="3507"/>
      <c r="IRW20" s="3507"/>
      <c r="IRX20" s="3507"/>
      <c r="IRY20" s="3507"/>
      <c r="IRZ20" s="3507"/>
      <c r="ISA20" s="3507"/>
      <c r="ISB20" s="3507"/>
      <c r="ISC20" s="3507"/>
      <c r="ISD20" s="3507"/>
      <c r="ISE20" s="3507"/>
      <c r="ISF20" s="3507"/>
      <c r="ISG20" s="3507"/>
      <c r="ISH20" s="3507"/>
      <c r="ISI20" s="3507"/>
      <c r="ISJ20" s="3507"/>
      <c r="ISK20" s="3507"/>
      <c r="ISL20" s="3507"/>
      <c r="ISM20" s="3507"/>
      <c r="ISN20" s="3507"/>
      <c r="ISO20" s="3507"/>
      <c r="ISP20" s="3507"/>
      <c r="ISQ20" s="3507"/>
      <c r="ISR20" s="3507"/>
      <c r="ISS20" s="3507"/>
      <c r="IST20" s="3507"/>
      <c r="ISU20" s="3507"/>
      <c r="ISV20" s="3507"/>
      <c r="ISW20" s="3507"/>
      <c r="ISX20" s="3507"/>
      <c r="ISY20" s="3507"/>
      <c r="ISZ20" s="3507"/>
      <c r="ITA20" s="3507"/>
      <c r="ITB20" s="3507"/>
      <c r="ITC20" s="3507"/>
      <c r="ITD20" s="3507"/>
      <c r="ITE20" s="3507"/>
      <c r="ITF20" s="3507"/>
      <c r="ITG20" s="3507"/>
      <c r="ITH20" s="3507"/>
      <c r="ITI20" s="3507"/>
      <c r="ITJ20" s="3507"/>
      <c r="ITK20" s="3507"/>
      <c r="ITL20" s="3507"/>
      <c r="ITM20" s="3507"/>
      <c r="ITN20" s="3507"/>
      <c r="ITO20" s="3507"/>
      <c r="ITP20" s="3507"/>
      <c r="ITQ20" s="3507"/>
      <c r="ITR20" s="3507"/>
      <c r="ITS20" s="3507"/>
      <c r="ITT20" s="3507"/>
      <c r="ITU20" s="3507"/>
      <c r="ITV20" s="3507"/>
      <c r="ITW20" s="3507"/>
      <c r="ITX20" s="3507"/>
      <c r="ITY20" s="3507"/>
      <c r="ITZ20" s="3507"/>
      <c r="IUA20" s="3507"/>
      <c r="IUB20" s="3507"/>
      <c r="IUC20" s="3507"/>
      <c r="IUD20" s="3507"/>
      <c r="IUE20" s="3507"/>
      <c r="IUF20" s="3507"/>
      <c r="IUG20" s="3507"/>
      <c r="IUH20" s="3507"/>
      <c r="IUI20" s="3507"/>
      <c r="IUJ20" s="3507"/>
      <c r="IUK20" s="3507"/>
      <c r="IUL20" s="3507"/>
      <c r="IUM20" s="3507"/>
      <c r="IUN20" s="3507"/>
      <c r="IUO20" s="3507"/>
      <c r="IUP20" s="3507"/>
      <c r="IUQ20" s="3507"/>
      <c r="IUR20" s="3507"/>
      <c r="IUS20" s="3507"/>
      <c r="IUT20" s="3507"/>
      <c r="IUU20" s="3507"/>
      <c r="IUV20" s="3507"/>
      <c r="IUW20" s="3507"/>
      <c r="IUX20" s="3507"/>
      <c r="IUY20" s="3507"/>
      <c r="IUZ20" s="3507"/>
      <c r="IVA20" s="3507"/>
      <c r="IVB20" s="3507"/>
      <c r="IVC20" s="3507"/>
      <c r="IVD20" s="3507"/>
      <c r="IVE20" s="3507"/>
      <c r="IVF20" s="3507"/>
      <c r="IVG20" s="3507"/>
      <c r="IVH20" s="3507"/>
      <c r="IVI20" s="3507"/>
      <c r="IVJ20" s="3507"/>
      <c r="IVK20" s="3507"/>
      <c r="IVL20" s="3507"/>
      <c r="IVM20" s="3507"/>
      <c r="IVN20" s="3507"/>
      <c r="IVO20" s="3507"/>
      <c r="IVP20" s="3507"/>
      <c r="IVQ20" s="3507"/>
      <c r="IVR20" s="3507"/>
      <c r="IVS20" s="3507"/>
      <c r="IVT20" s="3507"/>
      <c r="IVU20" s="3507"/>
      <c r="IVV20" s="3507"/>
      <c r="IVW20" s="3507"/>
      <c r="IVX20" s="3507"/>
      <c r="IVY20" s="3507"/>
      <c r="IVZ20" s="3507"/>
      <c r="IWA20" s="3507"/>
      <c r="IWB20" s="3507"/>
      <c r="IWC20" s="3507"/>
      <c r="IWD20" s="3507"/>
      <c r="IWE20" s="3507"/>
      <c r="IWF20" s="3507"/>
      <c r="IWG20" s="3507"/>
      <c r="IWH20" s="3507"/>
      <c r="IWI20" s="3507"/>
      <c r="IWJ20" s="3507"/>
      <c r="IWK20" s="3507"/>
      <c r="IWL20" s="3507"/>
      <c r="IWM20" s="3507"/>
      <c r="IWN20" s="3507"/>
      <c r="IWO20" s="3507"/>
      <c r="IWP20" s="3507"/>
      <c r="IWQ20" s="3507"/>
      <c r="IWR20" s="3507"/>
      <c r="IWS20" s="3507"/>
      <c r="IWT20" s="3507"/>
      <c r="IWU20" s="3507"/>
      <c r="IWV20" s="3507"/>
      <c r="IWW20" s="3507"/>
      <c r="IWX20" s="3507"/>
      <c r="IWY20" s="3507"/>
      <c r="IWZ20" s="3507"/>
      <c r="IXA20" s="3507"/>
      <c r="IXB20" s="3507"/>
      <c r="IXC20" s="3507"/>
      <c r="IXD20" s="3507"/>
      <c r="IXE20" s="3507"/>
      <c r="IXF20" s="3507"/>
      <c r="IXG20" s="3507"/>
      <c r="IXH20" s="3507"/>
      <c r="IXI20" s="3507"/>
      <c r="IXJ20" s="3507"/>
      <c r="IXK20" s="3507"/>
      <c r="IXL20" s="3507"/>
      <c r="IXM20" s="3507"/>
      <c r="IXN20" s="3507"/>
      <c r="IXO20" s="3507"/>
      <c r="IXP20" s="3507"/>
      <c r="IXQ20" s="3507"/>
      <c r="IXR20" s="3507"/>
      <c r="IXS20" s="3507"/>
      <c r="IXT20" s="3507"/>
      <c r="IXU20" s="3507"/>
      <c r="IXV20" s="3507"/>
      <c r="IXW20" s="3507"/>
      <c r="IXX20" s="3507"/>
      <c r="IXY20" s="3507"/>
      <c r="IXZ20" s="3507"/>
      <c r="IYA20" s="3507"/>
      <c r="IYB20" s="3507"/>
      <c r="IYC20" s="3507"/>
      <c r="IYD20" s="3507"/>
      <c r="IYE20" s="3507"/>
      <c r="IYF20" s="3507"/>
      <c r="IYG20" s="3507"/>
      <c r="IYH20" s="3507"/>
      <c r="IYI20" s="3507"/>
      <c r="IYJ20" s="3507"/>
      <c r="IYK20" s="3507"/>
      <c r="IYL20" s="3507"/>
      <c r="IYM20" s="3507"/>
      <c r="IYN20" s="3507"/>
      <c r="IYO20" s="3507"/>
      <c r="IYP20" s="3507"/>
      <c r="IYQ20" s="3507"/>
      <c r="IYR20" s="3507"/>
      <c r="IYS20" s="3507"/>
      <c r="IYT20" s="3507"/>
      <c r="IYU20" s="3507"/>
      <c r="IYV20" s="3507"/>
      <c r="IYW20" s="3507"/>
      <c r="IYX20" s="3507"/>
      <c r="IYY20" s="3507"/>
      <c r="IYZ20" s="3507"/>
      <c r="IZA20" s="3507"/>
      <c r="IZB20" s="3507"/>
      <c r="IZC20" s="3507"/>
      <c r="IZD20" s="3507"/>
      <c r="IZE20" s="3507"/>
      <c r="IZF20" s="3507"/>
      <c r="IZG20" s="3507"/>
      <c r="IZH20" s="3507"/>
      <c r="IZI20" s="3507"/>
      <c r="IZJ20" s="3507"/>
      <c r="IZK20" s="3507"/>
      <c r="IZL20" s="3507"/>
      <c r="IZM20" s="3507"/>
      <c r="IZN20" s="3507"/>
      <c r="IZO20" s="3507"/>
      <c r="IZP20" s="3507"/>
      <c r="IZQ20" s="3507"/>
      <c r="IZR20" s="3507"/>
      <c r="IZS20" s="3507"/>
      <c r="IZT20" s="3507"/>
      <c r="IZU20" s="3507"/>
      <c r="IZV20" s="3507"/>
      <c r="IZW20" s="3507"/>
      <c r="IZX20" s="3507"/>
      <c r="IZY20" s="3507"/>
      <c r="IZZ20" s="3507"/>
      <c r="JAA20" s="3507"/>
      <c r="JAB20" s="3507"/>
      <c r="JAC20" s="3507"/>
      <c r="JAD20" s="3507"/>
      <c r="JAE20" s="3507"/>
      <c r="JAF20" s="3507"/>
      <c r="JAG20" s="3507"/>
      <c r="JAH20" s="3507"/>
      <c r="JAI20" s="3507"/>
      <c r="JAJ20" s="3507"/>
      <c r="JAK20" s="3507"/>
      <c r="JAL20" s="3507"/>
      <c r="JAM20" s="3507"/>
      <c r="JAN20" s="3507"/>
      <c r="JAO20" s="3507"/>
      <c r="JAP20" s="3507"/>
      <c r="JAQ20" s="3507"/>
      <c r="JAR20" s="3507"/>
      <c r="JAS20" s="3507"/>
      <c r="JAT20" s="3507"/>
      <c r="JAU20" s="3507"/>
      <c r="JAV20" s="3507"/>
      <c r="JAW20" s="3507"/>
      <c r="JAX20" s="3507"/>
      <c r="JAY20" s="3507"/>
      <c r="JAZ20" s="3507"/>
      <c r="JBA20" s="3507"/>
      <c r="JBB20" s="3507"/>
      <c r="JBC20" s="3507"/>
      <c r="JBD20" s="3507"/>
      <c r="JBE20" s="3507"/>
      <c r="JBF20" s="3507"/>
      <c r="JBG20" s="3507"/>
      <c r="JBH20" s="3507"/>
      <c r="JBI20" s="3507"/>
      <c r="JBJ20" s="3507"/>
      <c r="JBK20" s="3507"/>
      <c r="JBL20" s="3507"/>
      <c r="JBM20" s="3507"/>
      <c r="JBN20" s="3507"/>
      <c r="JBO20" s="3507"/>
      <c r="JBP20" s="3507"/>
      <c r="JBQ20" s="3507"/>
      <c r="JBR20" s="3507"/>
      <c r="JBS20" s="3507"/>
      <c r="JBT20" s="3507"/>
      <c r="JBU20" s="3507"/>
      <c r="JBV20" s="3507"/>
      <c r="JBW20" s="3507"/>
      <c r="JBX20" s="3507"/>
      <c r="JBY20" s="3507"/>
      <c r="JBZ20" s="3507"/>
      <c r="JCA20" s="3507"/>
      <c r="JCB20" s="3507"/>
      <c r="JCC20" s="3507"/>
      <c r="JCD20" s="3507"/>
      <c r="JCE20" s="3507"/>
      <c r="JCF20" s="3507"/>
      <c r="JCG20" s="3507"/>
      <c r="JCH20" s="3507"/>
      <c r="JCI20" s="3507"/>
      <c r="JCJ20" s="3507"/>
      <c r="JCK20" s="3507"/>
      <c r="JCL20" s="3507"/>
      <c r="JCM20" s="3507"/>
      <c r="JCN20" s="3507"/>
      <c r="JCO20" s="3507"/>
      <c r="JCP20" s="3507"/>
      <c r="JCQ20" s="3507"/>
      <c r="JCR20" s="3507"/>
      <c r="JCS20" s="3507"/>
      <c r="JCT20" s="3507"/>
      <c r="JCU20" s="3507"/>
      <c r="JCV20" s="3507"/>
      <c r="JCW20" s="3507"/>
      <c r="JCX20" s="3507"/>
      <c r="JCY20" s="3507"/>
      <c r="JCZ20" s="3507"/>
      <c r="JDA20" s="3507"/>
      <c r="JDB20" s="3507"/>
      <c r="JDC20" s="3507"/>
      <c r="JDD20" s="3507"/>
      <c r="JDE20" s="3507"/>
      <c r="JDF20" s="3507"/>
      <c r="JDG20" s="3507"/>
      <c r="JDH20" s="3507"/>
      <c r="JDI20" s="3507"/>
      <c r="JDJ20" s="3507"/>
      <c r="JDK20" s="3507"/>
      <c r="JDL20" s="3507"/>
      <c r="JDM20" s="3507"/>
      <c r="JDN20" s="3507"/>
      <c r="JDO20" s="3507"/>
      <c r="JDP20" s="3507"/>
      <c r="JDQ20" s="3507"/>
      <c r="JDR20" s="3507"/>
      <c r="JDS20" s="3507"/>
      <c r="JDT20" s="3507"/>
      <c r="JDU20" s="3507"/>
      <c r="JDV20" s="3507"/>
      <c r="JDW20" s="3507"/>
      <c r="JDX20" s="3507"/>
      <c r="JDY20" s="3507"/>
      <c r="JDZ20" s="3507"/>
      <c r="JEA20" s="3507"/>
      <c r="JEB20" s="3507"/>
      <c r="JEC20" s="3507"/>
      <c r="JED20" s="3507"/>
      <c r="JEE20" s="3507"/>
      <c r="JEF20" s="3507"/>
      <c r="JEG20" s="3507"/>
      <c r="JEH20" s="3507"/>
      <c r="JEI20" s="3507"/>
      <c r="JEJ20" s="3507"/>
      <c r="JEK20" s="3507"/>
      <c r="JEL20" s="3507"/>
      <c r="JEM20" s="3507"/>
      <c r="JEN20" s="3507"/>
      <c r="JEO20" s="3507"/>
      <c r="JEP20" s="3507"/>
      <c r="JEQ20" s="3507"/>
      <c r="JER20" s="3507"/>
      <c r="JES20" s="3507"/>
      <c r="JET20" s="3507"/>
      <c r="JEU20" s="3507"/>
      <c r="JEV20" s="3507"/>
      <c r="JEW20" s="3507"/>
      <c r="JEX20" s="3507"/>
      <c r="JEY20" s="3507"/>
      <c r="JEZ20" s="3507"/>
      <c r="JFA20" s="3507"/>
      <c r="JFB20" s="3507"/>
      <c r="JFC20" s="3507"/>
      <c r="JFD20" s="3507"/>
      <c r="JFE20" s="3507"/>
      <c r="JFF20" s="3507"/>
      <c r="JFG20" s="3507"/>
      <c r="JFH20" s="3507"/>
      <c r="JFI20" s="3507"/>
      <c r="JFJ20" s="3507"/>
      <c r="JFK20" s="3507"/>
      <c r="JFL20" s="3507"/>
      <c r="JFM20" s="3507"/>
      <c r="JFN20" s="3507"/>
      <c r="JFO20" s="3507"/>
      <c r="JFP20" s="3507"/>
      <c r="JFQ20" s="3507"/>
      <c r="JFR20" s="3507"/>
      <c r="JFS20" s="3507"/>
      <c r="JFT20" s="3507"/>
      <c r="JFU20" s="3507"/>
      <c r="JFV20" s="3507"/>
      <c r="JFW20" s="3507"/>
      <c r="JFX20" s="3507"/>
      <c r="JFY20" s="3507"/>
      <c r="JFZ20" s="3507"/>
      <c r="JGA20" s="3507"/>
      <c r="JGB20" s="3507"/>
      <c r="JGC20" s="3507"/>
      <c r="JGD20" s="3507"/>
      <c r="JGE20" s="3507"/>
      <c r="JGF20" s="3507"/>
      <c r="JGG20" s="3507"/>
      <c r="JGH20" s="3507"/>
      <c r="JGI20" s="3507"/>
      <c r="JGJ20" s="3507"/>
      <c r="JGK20" s="3507"/>
      <c r="JGL20" s="3507"/>
      <c r="JGM20" s="3507"/>
      <c r="JGN20" s="3507"/>
      <c r="JGO20" s="3507"/>
      <c r="JGP20" s="3507"/>
      <c r="JGQ20" s="3507"/>
      <c r="JGR20" s="3507"/>
      <c r="JGS20" s="3507"/>
      <c r="JGT20" s="3507"/>
      <c r="JGU20" s="3507"/>
      <c r="JGV20" s="3507"/>
      <c r="JGW20" s="3507"/>
      <c r="JGX20" s="3507"/>
      <c r="JGY20" s="3507"/>
      <c r="JGZ20" s="3507"/>
      <c r="JHA20" s="3507"/>
      <c r="JHB20" s="3507"/>
      <c r="JHC20" s="3507"/>
      <c r="JHD20" s="3507"/>
      <c r="JHE20" s="3507"/>
      <c r="JHF20" s="3507"/>
      <c r="JHG20" s="3507"/>
      <c r="JHH20" s="3507"/>
      <c r="JHI20" s="3507"/>
      <c r="JHJ20" s="3507"/>
      <c r="JHK20" s="3507"/>
      <c r="JHL20" s="3507"/>
      <c r="JHM20" s="3507"/>
      <c r="JHN20" s="3507"/>
      <c r="JHO20" s="3507"/>
      <c r="JHP20" s="3507"/>
      <c r="JHQ20" s="3507"/>
      <c r="JHR20" s="3507"/>
      <c r="JHS20" s="3507"/>
      <c r="JHT20" s="3507"/>
      <c r="JHU20" s="3507"/>
      <c r="JHV20" s="3507"/>
      <c r="JHW20" s="3507"/>
      <c r="JHX20" s="3507"/>
      <c r="JHY20" s="3507"/>
      <c r="JHZ20" s="3507"/>
      <c r="JIA20" s="3507"/>
      <c r="JIB20" s="3507"/>
      <c r="JIC20" s="3507"/>
      <c r="JID20" s="3507"/>
      <c r="JIE20" s="3507"/>
      <c r="JIF20" s="3507"/>
      <c r="JIG20" s="3507"/>
      <c r="JIH20" s="3507"/>
      <c r="JII20" s="3507"/>
      <c r="JIJ20" s="3507"/>
      <c r="JIK20" s="3507"/>
      <c r="JIL20" s="3507"/>
      <c r="JIM20" s="3507"/>
      <c r="JIN20" s="3507"/>
      <c r="JIO20" s="3507"/>
      <c r="JIP20" s="3507"/>
      <c r="JIQ20" s="3507"/>
      <c r="JIR20" s="3507"/>
      <c r="JIS20" s="3507"/>
      <c r="JIT20" s="3507"/>
      <c r="JIU20" s="3507"/>
      <c r="JIV20" s="3507"/>
      <c r="JIW20" s="3507"/>
      <c r="JIX20" s="3507"/>
      <c r="JIY20" s="3507"/>
      <c r="JIZ20" s="3507"/>
      <c r="JJA20" s="3507"/>
      <c r="JJB20" s="3507"/>
      <c r="JJC20" s="3507"/>
      <c r="JJD20" s="3507"/>
      <c r="JJE20" s="3507"/>
      <c r="JJF20" s="3507"/>
      <c r="JJG20" s="3507"/>
      <c r="JJH20" s="3507"/>
      <c r="JJI20" s="3507"/>
      <c r="JJJ20" s="3507"/>
      <c r="JJK20" s="3507"/>
      <c r="JJL20" s="3507"/>
      <c r="JJM20" s="3507"/>
      <c r="JJN20" s="3507"/>
      <c r="JJO20" s="3507"/>
      <c r="JJP20" s="3507"/>
      <c r="JJQ20" s="3507"/>
      <c r="JJR20" s="3507"/>
      <c r="JJS20" s="3507"/>
      <c r="JJT20" s="3507"/>
      <c r="JJU20" s="3507"/>
      <c r="JJV20" s="3507"/>
      <c r="JJW20" s="3507"/>
      <c r="JJX20" s="3507"/>
      <c r="JJY20" s="3507"/>
      <c r="JJZ20" s="3507"/>
      <c r="JKA20" s="3507"/>
      <c r="JKB20" s="3507"/>
      <c r="JKC20" s="3507"/>
      <c r="JKD20" s="3507"/>
      <c r="JKE20" s="3507"/>
      <c r="JKF20" s="3507"/>
      <c r="JKG20" s="3507"/>
      <c r="JKH20" s="3507"/>
      <c r="JKI20" s="3507"/>
      <c r="JKJ20" s="3507"/>
      <c r="JKK20" s="3507"/>
      <c r="JKL20" s="3507"/>
      <c r="JKM20" s="3507"/>
      <c r="JKN20" s="3507"/>
      <c r="JKO20" s="3507"/>
      <c r="JKP20" s="3507"/>
      <c r="JKQ20" s="3507"/>
      <c r="JKR20" s="3507"/>
      <c r="JKS20" s="3507"/>
      <c r="JKT20" s="3507"/>
      <c r="JKU20" s="3507"/>
      <c r="JKV20" s="3507"/>
      <c r="JKW20" s="3507"/>
      <c r="JKX20" s="3507"/>
      <c r="JKY20" s="3507"/>
      <c r="JKZ20" s="3507"/>
      <c r="JLA20" s="3507"/>
      <c r="JLB20" s="3507"/>
      <c r="JLC20" s="3507"/>
      <c r="JLD20" s="3507"/>
      <c r="JLE20" s="3507"/>
      <c r="JLF20" s="3507"/>
      <c r="JLG20" s="3507"/>
      <c r="JLH20" s="3507"/>
      <c r="JLI20" s="3507"/>
      <c r="JLJ20" s="3507"/>
      <c r="JLK20" s="3507"/>
      <c r="JLL20" s="3507"/>
      <c r="JLM20" s="3507"/>
      <c r="JLN20" s="3507"/>
      <c r="JLO20" s="3507"/>
      <c r="JLP20" s="3507"/>
      <c r="JLQ20" s="3507"/>
      <c r="JLR20" s="3507"/>
      <c r="JLS20" s="3507"/>
      <c r="JLT20" s="3507"/>
      <c r="JLU20" s="3507"/>
      <c r="JLV20" s="3507"/>
      <c r="JLW20" s="3507"/>
      <c r="JLX20" s="3507"/>
      <c r="JLY20" s="3507"/>
      <c r="JLZ20" s="3507"/>
      <c r="JMA20" s="3507"/>
      <c r="JMB20" s="3507"/>
      <c r="JMC20" s="3507"/>
      <c r="JMD20" s="3507"/>
      <c r="JME20" s="3507"/>
      <c r="JMF20" s="3507"/>
      <c r="JMG20" s="3507"/>
      <c r="JMH20" s="3507"/>
      <c r="JMI20" s="3507"/>
      <c r="JMJ20" s="3507"/>
      <c r="JMK20" s="3507"/>
      <c r="JML20" s="3507"/>
      <c r="JMM20" s="3507"/>
      <c r="JMN20" s="3507"/>
      <c r="JMO20" s="3507"/>
      <c r="JMP20" s="3507"/>
      <c r="JMQ20" s="3507"/>
      <c r="JMR20" s="3507"/>
      <c r="JMS20" s="3507"/>
      <c r="JMT20" s="3507"/>
      <c r="JMU20" s="3507"/>
      <c r="JMV20" s="3507"/>
      <c r="JMW20" s="3507"/>
      <c r="JMX20" s="3507"/>
      <c r="JMY20" s="3507"/>
      <c r="JMZ20" s="3507"/>
      <c r="JNA20" s="3507"/>
      <c r="JNB20" s="3507"/>
      <c r="JNC20" s="3507"/>
      <c r="JND20" s="3507"/>
      <c r="JNE20" s="3507"/>
      <c r="JNF20" s="3507"/>
      <c r="JNG20" s="3507"/>
      <c r="JNH20" s="3507"/>
      <c r="JNI20" s="3507"/>
      <c r="JNJ20" s="3507"/>
      <c r="JNK20" s="3507"/>
      <c r="JNL20" s="3507"/>
      <c r="JNM20" s="3507"/>
      <c r="JNN20" s="3507"/>
      <c r="JNO20" s="3507"/>
      <c r="JNP20" s="3507"/>
      <c r="JNQ20" s="3507"/>
      <c r="JNR20" s="3507"/>
      <c r="JNS20" s="3507"/>
      <c r="JNT20" s="3507"/>
      <c r="JNU20" s="3507"/>
      <c r="JNV20" s="3507"/>
      <c r="JNW20" s="3507"/>
      <c r="JNX20" s="3507"/>
      <c r="JNY20" s="3507"/>
      <c r="JNZ20" s="3507"/>
      <c r="JOA20" s="3507"/>
      <c r="JOB20" s="3507"/>
      <c r="JOC20" s="3507"/>
      <c r="JOD20" s="3507"/>
      <c r="JOE20" s="3507"/>
      <c r="JOF20" s="3507"/>
      <c r="JOG20" s="3507"/>
      <c r="JOH20" s="3507"/>
      <c r="JOI20" s="3507"/>
      <c r="JOJ20" s="3507"/>
      <c r="JOK20" s="3507"/>
      <c r="JOL20" s="3507"/>
      <c r="JOM20" s="3507"/>
      <c r="JON20" s="3507"/>
      <c r="JOO20" s="3507"/>
      <c r="JOP20" s="3507"/>
      <c r="JOQ20" s="3507"/>
      <c r="JOR20" s="3507"/>
      <c r="JOS20" s="3507"/>
      <c r="JOT20" s="3507"/>
      <c r="JOU20" s="3507"/>
      <c r="JOV20" s="3507"/>
      <c r="JOW20" s="3507"/>
      <c r="JOX20" s="3507"/>
      <c r="JOY20" s="3507"/>
      <c r="JOZ20" s="3507"/>
      <c r="JPA20" s="3507"/>
      <c r="JPB20" s="3507"/>
      <c r="JPC20" s="3507"/>
      <c r="JPD20" s="3507"/>
      <c r="JPE20" s="3507"/>
      <c r="JPF20" s="3507"/>
      <c r="JPG20" s="3507"/>
      <c r="JPH20" s="3507"/>
      <c r="JPI20" s="3507"/>
      <c r="JPJ20" s="3507"/>
      <c r="JPK20" s="3507"/>
      <c r="JPL20" s="3507"/>
      <c r="JPM20" s="3507"/>
      <c r="JPN20" s="3507"/>
      <c r="JPO20" s="3507"/>
      <c r="JPP20" s="3507"/>
      <c r="JPQ20" s="3507"/>
      <c r="JPR20" s="3507"/>
      <c r="JPS20" s="3507"/>
      <c r="JPT20" s="3507"/>
      <c r="JPU20" s="3507"/>
      <c r="JPV20" s="3507"/>
      <c r="JPW20" s="3507"/>
      <c r="JPX20" s="3507"/>
      <c r="JPY20" s="3507"/>
      <c r="JPZ20" s="3507"/>
      <c r="JQA20" s="3507"/>
      <c r="JQB20" s="3507"/>
      <c r="JQC20" s="3507"/>
      <c r="JQD20" s="3507"/>
      <c r="JQE20" s="3507"/>
      <c r="JQF20" s="3507"/>
      <c r="JQG20" s="3507"/>
      <c r="JQH20" s="3507"/>
      <c r="JQI20" s="3507"/>
      <c r="JQJ20" s="3507"/>
      <c r="JQK20" s="3507"/>
      <c r="JQL20" s="3507"/>
      <c r="JQM20" s="3507"/>
      <c r="JQN20" s="3507"/>
      <c r="JQO20" s="3507"/>
      <c r="JQP20" s="3507"/>
      <c r="JQQ20" s="3507"/>
      <c r="JQR20" s="3507"/>
      <c r="JQS20" s="3507"/>
      <c r="JQT20" s="3507"/>
      <c r="JQU20" s="3507"/>
      <c r="JQV20" s="3507"/>
      <c r="JQW20" s="3507"/>
      <c r="JQX20" s="3507"/>
      <c r="JQY20" s="3507"/>
      <c r="JQZ20" s="3507"/>
      <c r="JRA20" s="3507"/>
      <c r="JRB20" s="3507"/>
      <c r="JRC20" s="3507"/>
      <c r="JRD20" s="3507"/>
      <c r="JRE20" s="3507"/>
      <c r="JRF20" s="3507"/>
      <c r="JRG20" s="3507"/>
      <c r="JRH20" s="3507"/>
      <c r="JRI20" s="3507"/>
      <c r="JRJ20" s="3507"/>
      <c r="JRK20" s="3507"/>
      <c r="JRL20" s="3507"/>
      <c r="JRM20" s="3507"/>
      <c r="JRN20" s="3507"/>
      <c r="JRO20" s="3507"/>
      <c r="JRP20" s="3507"/>
      <c r="JRQ20" s="3507"/>
      <c r="JRR20" s="3507"/>
      <c r="JRS20" s="3507"/>
      <c r="JRT20" s="3507"/>
      <c r="JRU20" s="3507"/>
      <c r="JRV20" s="3507"/>
      <c r="JRW20" s="3507"/>
      <c r="JRX20" s="3507"/>
      <c r="JRY20" s="3507"/>
      <c r="JRZ20" s="3507"/>
      <c r="JSA20" s="3507"/>
      <c r="JSB20" s="3507"/>
      <c r="JSC20" s="3507"/>
      <c r="JSD20" s="3507"/>
      <c r="JSE20" s="3507"/>
      <c r="JSF20" s="3507"/>
      <c r="JSG20" s="3507"/>
      <c r="JSH20" s="3507"/>
      <c r="JSI20" s="3507"/>
      <c r="JSJ20" s="3507"/>
      <c r="JSK20" s="3507"/>
      <c r="JSL20" s="3507"/>
      <c r="JSM20" s="3507"/>
      <c r="JSN20" s="3507"/>
      <c r="JSO20" s="3507"/>
      <c r="JSP20" s="3507"/>
      <c r="JSQ20" s="3507"/>
      <c r="JSR20" s="3507"/>
      <c r="JSS20" s="3507"/>
      <c r="JST20" s="3507"/>
      <c r="JSU20" s="3507"/>
      <c r="JSV20" s="3507"/>
      <c r="JSW20" s="3507"/>
      <c r="JSX20" s="3507"/>
      <c r="JSY20" s="3507"/>
      <c r="JSZ20" s="3507"/>
      <c r="JTA20" s="3507"/>
      <c r="JTB20" s="3507"/>
      <c r="JTC20" s="3507"/>
      <c r="JTD20" s="3507"/>
      <c r="JTE20" s="3507"/>
      <c r="JTF20" s="3507"/>
      <c r="JTG20" s="3507"/>
      <c r="JTH20" s="3507"/>
      <c r="JTI20" s="3507"/>
      <c r="JTJ20" s="3507"/>
      <c r="JTK20" s="3507"/>
      <c r="JTL20" s="3507"/>
      <c r="JTM20" s="3507"/>
      <c r="JTN20" s="3507"/>
      <c r="JTO20" s="3507"/>
      <c r="JTP20" s="3507"/>
      <c r="JTQ20" s="3507"/>
      <c r="JTR20" s="3507"/>
      <c r="JTS20" s="3507"/>
      <c r="JTT20" s="3507"/>
      <c r="JTU20" s="3507"/>
      <c r="JTV20" s="3507"/>
      <c r="JTW20" s="3507"/>
      <c r="JTX20" s="3507"/>
      <c r="JTY20" s="3507"/>
      <c r="JTZ20" s="3507"/>
      <c r="JUA20" s="3507"/>
      <c r="JUB20" s="3507"/>
      <c r="JUC20" s="3507"/>
      <c r="JUD20" s="3507"/>
      <c r="JUE20" s="3507"/>
      <c r="JUF20" s="3507"/>
      <c r="JUG20" s="3507"/>
      <c r="JUH20" s="3507"/>
      <c r="JUI20" s="3507"/>
      <c r="JUJ20" s="3507"/>
      <c r="JUK20" s="3507"/>
      <c r="JUL20" s="3507"/>
      <c r="JUM20" s="3507"/>
      <c r="JUN20" s="3507"/>
      <c r="JUO20" s="3507"/>
      <c r="JUP20" s="3507"/>
      <c r="JUQ20" s="3507"/>
      <c r="JUR20" s="3507"/>
      <c r="JUS20" s="3507"/>
      <c r="JUT20" s="3507"/>
      <c r="JUU20" s="3507"/>
      <c r="JUV20" s="3507"/>
      <c r="JUW20" s="3507"/>
      <c r="JUX20" s="3507"/>
      <c r="JUY20" s="3507"/>
      <c r="JUZ20" s="3507"/>
      <c r="JVA20" s="3507"/>
      <c r="JVB20" s="3507"/>
      <c r="JVC20" s="3507"/>
      <c r="JVD20" s="3507"/>
      <c r="JVE20" s="3507"/>
      <c r="JVF20" s="3507"/>
      <c r="JVG20" s="3507"/>
      <c r="JVH20" s="3507"/>
      <c r="JVI20" s="3507"/>
      <c r="JVJ20" s="3507"/>
      <c r="JVK20" s="3507"/>
      <c r="JVL20" s="3507"/>
      <c r="JVM20" s="3507"/>
      <c r="JVN20" s="3507"/>
      <c r="JVO20" s="3507"/>
      <c r="JVP20" s="3507"/>
      <c r="JVQ20" s="3507"/>
      <c r="JVR20" s="3507"/>
      <c r="JVS20" s="3507"/>
      <c r="JVT20" s="3507"/>
      <c r="JVU20" s="3507"/>
      <c r="JVV20" s="3507"/>
      <c r="JVW20" s="3507"/>
      <c r="JVX20" s="3507"/>
      <c r="JVY20" s="3507"/>
      <c r="JVZ20" s="3507"/>
      <c r="JWA20" s="3507"/>
      <c r="JWB20" s="3507"/>
      <c r="JWC20" s="3507"/>
      <c r="JWD20" s="3507"/>
      <c r="JWE20" s="3507"/>
      <c r="JWF20" s="3507"/>
      <c r="JWG20" s="3507"/>
      <c r="JWH20" s="3507"/>
      <c r="JWI20" s="3507"/>
      <c r="JWJ20" s="3507"/>
      <c r="JWK20" s="3507"/>
      <c r="JWL20" s="3507"/>
      <c r="JWM20" s="3507"/>
      <c r="JWN20" s="3507"/>
      <c r="JWO20" s="3507"/>
      <c r="JWP20" s="3507"/>
      <c r="JWQ20" s="3507"/>
      <c r="JWR20" s="3507"/>
      <c r="JWS20" s="3507"/>
      <c r="JWT20" s="3507"/>
      <c r="JWU20" s="3507"/>
      <c r="JWV20" s="3507"/>
      <c r="JWW20" s="3507"/>
      <c r="JWX20" s="3507"/>
      <c r="JWY20" s="3507"/>
      <c r="JWZ20" s="3507"/>
      <c r="JXA20" s="3507"/>
      <c r="JXB20" s="3507"/>
      <c r="JXC20" s="3507"/>
      <c r="JXD20" s="3507"/>
      <c r="JXE20" s="3507"/>
      <c r="JXF20" s="3507"/>
      <c r="JXG20" s="3507"/>
      <c r="JXH20" s="3507"/>
      <c r="JXI20" s="3507"/>
      <c r="JXJ20" s="3507"/>
      <c r="JXK20" s="3507"/>
      <c r="JXL20" s="3507"/>
      <c r="JXM20" s="3507"/>
      <c r="JXN20" s="3507"/>
      <c r="JXO20" s="3507"/>
      <c r="JXP20" s="3507"/>
      <c r="JXQ20" s="3507"/>
      <c r="JXR20" s="3507"/>
      <c r="JXS20" s="3507"/>
      <c r="JXT20" s="3507"/>
      <c r="JXU20" s="3507"/>
      <c r="JXV20" s="3507"/>
      <c r="JXW20" s="3507"/>
      <c r="JXX20" s="3507"/>
      <c r="JXY20" s="3507"/>
      <c r="JXZ20" s="3507"/>
      <c r="JYA20" s="3507"/>
      <c r="JYB20" s="3507"/>
      <c r="JYC20" s="3507"/>
      <c r="JYD20" s="3507"/>
      <c r="JYE20" s="3507"/>
      <c r="JYF20" s="3507"/>
      <c r="JYG20" s="3507"/>
      <c r="JYH20" s="3507"/>
      <c r="JYI20" s="3507"/>
      <c r="JYJ20" s="3507"/>
      <c r="JYK20" s="3507"/>
      <c r="JYL20" s="3507"/>
      <c r="JYM20" s="3507"/>
      <c r="JYN20" s="3507"/>
      <c r="JYO20" s="3507"/>
      <c r="JYP20" s="3507"/>
      <c r="JYQ20" s="3507"/>
      <c r="JYR20" s="3507"/>
      <c r="JYS20" s="3507"/>
      <c r="JYT20" s="3507"/>
      <c r="JYU20" s="3507"/>
      <c r="JYV20" s="3507"/>
      <c r="JYW20" s="3507"/>
      <c r="JYX20" s="3507"/>
      <c r="JYY20" s="3507"/>
      <c r="JYZ20" s="3507"/>
      <c r="JZA20" s="3507"/>
      <c r="JZB20" s="3507"/>
      <c r="JZC20" s="3507"/>
      <c r="JZD20" s="3507"/>
      <c r="JZE20" s="3507"/>
      <c r="JZF20" s="3507"/>
      <c r="JZG20" s="3507"/>
      <c r="JZH20" s="3507"/>
      <c r="JZI20" s="3507"/>
      <c r="JZJ20" s="3507"/>
      <c r="JZK20" s="3507"/>
      <c r="JZL20" s="3507"/>
      <c r="JZM20" s="3507"/>
      <c r="JZN20" s="3507"/>
      <c r="JZO20" s="3507"/>
      <c r="JZP20" s="3507"/>
      <c r="JZQ20" s="3507"/>
      <c r="JZR20" s="3507"/>
      <c r="JZS20" s="3507"/>
      <c r="JZT20" s="3507"/>
      <c r="JZU20" s="3507"/>
      <c r="JZV20" s="3507"/>
      <c r="JZW20" s="3507"/>
      <c r="JZX20" s="3507"/>
      <c r="JZY20" s="3507"/>
      <c r="JZZ20" s="3507"/>
      <c r="KAA20" s="3507"/>
      <c r="KAB20" s="3507"/>
      <c r="KAC20" s="3507"/>
      <c r="KAD20" s="3507"/>
      <c r="KAE20" s="3507"/>
      <c r="KAF20" s="3507"/>
      <c r="KAG20" s="3507"/>
      <c r="KAH20" s="3507"/>
      <c r="KAI20" s="3507"/>
      <c r="KAJ20" s="3507"/>
      <c r="KAK20" s="3507"/>
      <c r="KAL20" s="3507"/>
      <c r="KAM20" s="3507"/>
      <c r="KAN20" s="3507"/>
      <c r="KAO20" s="3507"/>
      <c r="KAP20" s="3507"/>
      <c r="KAQ20" s="3507"/>
      <c r="KAR20" s="3507"/>
      <c r="KAS20" s="3507"/>
      <c r="KAT20" s="3507"/>
      <c r="KAU20" s="3507"/>
      <c r="KAV20" s="3507"/>
      <c r="KAW20" s="3507"/>
      <c r="KAX20" s="3507"/>
      <c r="KAY20" s="3507"/>
      <c r="KAZ20" s="3507"/>
      <c r="KBA20" s="3507"/>
      <c r="KBB20" s="3507"/>
      <c r="KBC20" s="3507"/>
      <c r="KBD20" s="3507"/>
      <c r="KBE20" s="3507"/>
      <c r="KBF20" s="3507"/>
      <c r="KBG20" s="3507"/>
      <c r="KBH20" s="3507"/>
      <c r="KBI20" s="3507"/>
      <c r="KBJ20" s="3507"/>
      <c r="KBK20" s="3507"/>
      <c r="KBL20" s="3507"/>
      <c r="KBM20" s="3507"/>
      <c r="KBN20" s="3507"/>
      <c r="KBO20" s="3507"/>
      <c r="KBP20" s="3507"/>
      <c r="KBQ20" s="3507"/>
      <c r="KBR20" s="3507"/>
      <c r="KBS20" s="3507"/>
      <c r="KBT20" s="3507"/>
      <c r="KBU20" s="3507"/>
      <c r="KBV20" s="3507"/>
      <c r="KBW20" s="3507"/>
      <c r="KBX20" s="3507"/>
      <c r="KBY20" s="3507"/>
      <c r="KBZ20" s="3507"/>
      <c r="KCA20" s="3507"/>
      <c r="KCB20" s="3507"/>
      <c r="KCC20" s="3507"/>
      <c r="KCD20" s="3507"/>
      <c r="KCE20" s="3507"/>
      <c r="KCF20" s="3507"/>
      <c r="KCG20" s="3507"/>
      <c r="KCH20" s="3507"/>
      <c r="KCI20" s="3507"/>
      <c r="KCJ20" s="3507"/>
      <c r="KCK20" s="3507"/>
      <c r="KCL20" s="3507"/>
      <c r="KCM20" s="3507"/>
      <c r="KCN20" s="3507"/>
      <c r="KCO20" s="3507"/>
      <c r="KCP20" s="3507"/>
      <c r="KCQ20" s="3507"/>
      <c r="KCR20" s="3507"/>
      <c r="KCS20" s="3507"/>
      <c r="KCT20" s="3507"/>
      <c r="KCU20" s="3507"/>
      <c r="KCV20" s="3507"/>
      <c r="KCW20" s="3507"/>
      <c r="KCX20" s="3507"/>
      <c r="KCY20" s="3507"/>
      <c r="KCZ20" s="3507"/>
      <c r="KDA20" s="3507"/>
      <c r="KDB20" s="3507"/>
      <c r="KDC20" s="3507"/>
      <c r="KDD20" s="3507"/>
      <c r="KDE20" s="3507"/>
      <c r="KDF20" s="3507"/>
      <c r="KDG20" s="3507"/>
      <c r="KDH20" s="3507"/>
      <c r="KDI20" s="3507"/>
      <c r="KDJ20" s="3507"/>
      <c r="KDK20" s="3507"/>
      <c r="KDL20" s="3507"/>
      <c r="KDM20" s="3507"/>
      <c r="KDN20" s="3507"/>
      <c r="KDO20" s="3507"/>
      <c r="KDP20" s="3507"/>
      <c r="KDQ20" s="3507"/>
      <c r="KDR20" s="3507"/>
      <c r="KDS20" s="3507"/>
      <c r="KDT20" s="3507"/>
      <c r="KDU20" s="3507"/>
      <c r="KDV20" s="3507"/>
      <c r="KDW20" s="3507"/>
      <c r="KDX20" s="3507"/>
      <c r="KDY20" s="3507"/>
      <c r="KDZ20" s="3507"/>
      <c r="KEA20" s="3507"/>
      <c r="KEB20" s="3507"/>
      <c r="KEC20" s="3507"/>
      <c r="KED20" s="3507"/>
      <c r="KEE20" s="3507"/>
      <c r="KEF20" s="3507"/>
      <c r="KEG20" s="3507"/>
      <c r="KEH20" s="3507"/>
      <c r="KEI20" s="3507"/>
      <c r="KEJ20" s="3507"/>
      <c r="KEK20" s="3507"/>
      <c r="KEL20" s="3507"/>
      <c r="KEM20" s="3507"/>
      <c r="KEN20" s="3507"/>
      <c r="KEO20" s="3507"/>
      <c r="KEP20" s="3507"/>
      <c r="KEQ20" s="3507"/>
      <c r="KER20" s="3507"/>
      <c r="KES20" s="3507"/>
      <c r="KET20" s="3507"/>
      <c r="KEU20" s="3507"/>
      <c r="KEV20" s="3507"/>
      <c r="KEW20" s="3507"/>
      <c r="KEX20" s="3507"/>
      <c r="KEY20" s="3507"/>
      <c r="KEZ20" s="3507"/>
      <c r="KFA20" s="3507"/>
      <c r="KFB20" s="3507"/>
      <c r="KFC20" s="3507"/>
      <c r="KFD20" s="3507"/>
      <c r="KFE20" s="3507"/>
      <c r="KFF20" s="3507"/>
      <c r="KFG20" s="3507"/>
      <c r="KFH20" s="3507"/>
      <c r="KFI20" s="3507"/>
      <c r="KFJ20" s="3507"/>
      <c r="KFK20" s="3507"/>
      <c r="KFL20" s="3507"/>
      <c r="KFM20" s="3507"/>
      <c r="KFN20" s="3507"/>
      <c r="KFO20" s="3507"/>
      <c r="KFP20" s="3507"/>
      <c r="KFQ20" s="3507"/>
      <c r="KFR20" s="3507"/>
      <c r="KFS20" s="3507"/>
      <c r="KFT20" s="3507"/>
      <c r="KFU20" s="3507"/>
      <c r="KFV20" s="3507"/>
      <c r="KFW20" s="3507"/>
      <c r="KFX20" s="3507"/>
      <c r="KFY20" s="3507"/>
      <c r="KFZ20" s="3507"/>
      <c r="KGA20" s="3507"/>
      <c r="KGB20" s="3507"/>
      <c r="KGC20" s="3507"/>
      <c r="KGD20" s="3507"/>
      <c r="KGE20" s="3507"/>
      <c r="KGF20" s="3507"/>
      <c r="KGG20" s="3507"/>
      <c r="KGH20" s="3507"/>
      <c r="KGI20" s="3507"/>
      <c r="KGJ20" s="3507"/>
      <c r="KGK20" s="3507"/>
      <c r="KGL20" s="3507"/>
      <c r="KGM20" s="3507"/>
      <c r="KGN20" s="3507"/>
      <c r="KGO20" s="3507"/>
      <c r="KGP20" s="3507"/>
      <c r="KGQ20" s="3507"/>
      <c r="KGR20" s="3507"/>
      <c r="KGS20" s="3507"/>
      <c r="KGT20" s="3507"/>
      <c r="KGU20" s="3507"/>
      <c r="KGV20" s="3507"/>
      <c r="KGW20" s="3507"/>
      <c r="KGX20" s="3507"/>
      <c r="KGY20" s="3507"/>
      <c r="KGZ20" s="3507"/>
      <c r="KHA20" s="3507"/>
      <c r="KHB20" s="3507"/>
      <c r="KHC20" s="3507"/>
      <c r="KHD20" s="3507"/>
      <c r="KHE20" s="3507"/>
      <c r="KHF20" s="3507"/>
      <c r="KHG20" s="3507"/>
      <c r="KHH20" s="3507"/>
      <c r="KHI20" s="3507"/>
      <c r="KHJ20" s="3507"/>
      <c r="KHK20" s="3507"/>
      <c r="KHL20" s="3507"/>
      <c r="KHM20" s="3507"/>
      <c r="KHN20" s="3507"/>
      <c r="KHO20" s="3507"/>
      <c r="KHP20" s="3507"/>
      <c r="KHQ20" s="3507"/>
      <c r="KHR20" s="3507"/>
      <c r="KHS20" s="3507"/>
      <c r="KHT20" s="3507"/>
      <c r="KHU20" s="3507"/>
      <c r="KHV20" s="3507"/>
      <c r="KHW20" s="3507"/>
      <c r="KHX20" s="3507"/>
      <c r="KHY20" s="3507"/>
      <c r="KHZ20" s="3507"/>
      <c r="KIA20" s="3507"/>
      <c r="KIB20" s="3507"/>
      <c r="KIC20" s="3507"/>
      <c r="KID20" s="3507"/>
      <c r="KIE20" s="3507"/>
      <c r="KIF20" s="3507"/>
      <c r="KIG20" s="3507"/>
      <c r="KIH20" s="3507"/>
      <c r="KII20" s="3507"/>
      <c r="KIJ20" s="3507"/>
      <c r="KIK20" s="3507"/>
      <c r="KIL20" s="3507"/>
      <c r="KIM20" s="3507"/>
      <c r="KIN20" s="3507"/>
      <c r="KIO20" s="3507"/>
      <c r="KIP20" s="3507"/>
      <c r="KIQ20" s="3507"/>
      <c r="KIR20" s="3507"/>
      <c r="KIS20" s="3507"/>
      <c r="KIT20" s="3507"/>
      <c r="KIU20" s="3507"/>
      <c r="KIV20" s="3507"/>
      <c r="KIW20" s="3507"/>
      <c r="KIX20" s="3507"/>
      <c r="KIY20" s="3507"/>
      <c r="KIZ20" s="3507"/>
      <c r="KJA20" s="3507"/>
      <c r="KJB20" s="3507"/>
      <c r="KJC20" s="3507"/>
      <c r="KJD20" s="3507"/>
      <c r="KJE20" s="3507"/>
      <c r="KJF20" s="3507"/>
      <c r="KJG20" s="3507"/>
      <c r="KJH20" s="3507"/>
      <c r="KJI20" s="3507"/>
      <c r="KJJ20" s="3507"/>
      <c r="KJK20" s="3507"/>
      <c r="KJL20" s="3507"/>
      <c r="KJM20" s="3507"/>
      <c r="KJN20" s="3507"/>
      <c r="KJO20" s="3507"/>
      <c r="KJP20" s="3507"/>
      <c r="KJQ20" s="3507"/>
      <c r="KJR20" s="3507"/>
      <c r="KJS20" s="3507"/>
      <c r="KJT20" s="3507"/>
      <c r="KJU20" s="3507"/>
      <c r="KJV20" s="3507"/>
      <c r="KJW20" s="3507"/>
      <c r="KJX20" s="3507"/>
      <c r="KJY20" s="3507"/>
      <c r="KJZ20" s="3507"/>
      <c r="KKA20" s="3507"/>
      <c r="KKB20" s="3507"/>
      <c r="KKC20" s="3507"/>
      <c r="KKD20" s="3507"/>
      <c r="KKE20" s="3507"/>
      <c r="KKF20" s="3507"/>
      <c r="KKG20" s="3507"/>
      <c r="KKH20" s="3507"/>
      <c r="KKI20" s="3507"/>
      <c r="KKJ20" s="3507"/>
      <c r="KKK20" s="3507"/>
      <c r="KKL20" s="3507"/>
      <c r="KKM20" s="3507"/>
      <c r="KKN20" s="3507"/>
      <c r="KKO20" s="3507"/>
      <c r="KKP20" s="3507"/>
      <c r="KKQ20" s="3507"/>
      <c r="KKR20" s="3507"/>
      <c r="KKS20" s="3507"/>
      <c r="KKT20" s="3507"/>
      <c r="KKU20" s="3507"/>
      <c r="KKV20" s="3507"/>
      <c r="KKW20" s="3507"/>
      <c r="KKX20" s="3507"/>
      <c r="KKY20" s="3507"/>
      <c r="KKZ20" s="3507"/>
      <c r="KLA20" s="3507"/>
      <c r="KLB20" s="3507"/>
      <c r="KLC20" s="3507"/>
      <c r="KLD20" s="3507"/>
      <c r="KLE20" s="3507"/>
      <c r="KLF20" s="3507"/>
      <c r="KLG20" s="3507"/>
      <c r="KLH20" s="3507"/>
      <c r="KLI20" s="3507"/>
      <c r="KLJ20" s="3507"/>
      <c r="KLK20" s="3507"/>
      <c r="KLL20" s="3507"/>
      <c r="KLM20" s="3507"/>
      <c r="KLN20" s="3507"/>
      <c r="KLO20" s="3507"/>
      <c r="KLP20" s="3507"/>
      <c r="KLQ20" s="3507"/>
      <c r="KLR20" s="3507"/>
      <c r="KLS20" s="3507"/>
      <c r="KLT20" s="3507"/>
      <c r="KLU20" s="3507"/>
      <c r="KLV20" s="3507"/>
      <c r="KLW20" s="3507"/>
      <c r="KLX20" s="3507"/>
      <c r="KLY20" s="3507"/>
      <c r="KLZ20" s="3507"/>
      <c r="KMA20" s="3507"/>
      <c r="KMB20" s="3507"/>
      <c r="KMC20" s="3507"/>
      <c r="KMD20" s="3507"/>
      <c r="KME20" s="3507"/>
      <c r="KMF20" s="3507"/>
      <c r="KMG20" s="3507"/>
      <c r="KMH20" s="3507"/>
      <c r="KMI20" s="3507"/>
      <c r="KMJ20" s="3507"/>
      <c r="KMK20" s="3507"/>
      <c r="KML20" s="3507"/>
      <c r="KMM20" s="3507"/>
      <c r="KMN20" s="3507"/>
      <c r="KMO20" s="3507"/>
      <c r="KMP20" s="3507"/>
      <c r="KMQ20" s="3507"/>
      <c r="KMR20" s="3507"/>
      <c r="KMS20" s="3507"/>
      <c r="KMT20" s="3507"/>
      <c r="KMU20" s="3507"/>
      <c r="KMV20" s="3507"/>
      <c r="KMW20" s="3507"/>
      <c r="KMX20" s="3507"/>
      <c r="KMY20" s="3507"/>
      <c r="KMZ20" s="3507"/>
      <c r="KNA20" s="3507"/>
      <c r="KNB20" s="3507"/>
      <c r="KNC20" s="3507"/>
      <c r="KND20" s="3507"/>
      <c r="KNE20" s="3507"/>
      <c r="KNF20" s="3507"/>
      <c r="KNG20" s="3507"/>
      <c r="KNH20" s="3507"/>
      <c r="KNI20" s="3507"/>
      <c r="KNJ20" s="3507"/>
      <c r="KNK20" s="3507"/>
      <c r="KNL20" s="3507"/>
      <c r="KNM20" s="3507"/>
      <c r="KNN20" s="3507"/>
      <c r="KNO20" s="3507"/>
      <c r="KNP20" s="3507"/>
      <c r="KNQ20" s="3507"/>
      <c r="KNR20" s="3507"/>
      <c r="KNS20" s="3507"/>
      <c r="KNT20" s="3507"/>
      <c r="KNU20" s="3507"/>
      <c r="KNV20" s="3507"/>
      <c r="KNW20" s="3507"/>
      <c r="KNX20" s="3507"/>
      <c r="KNY20" s="3507"/>
      <c r="KNZ20" s="3507"/>
      <c r="KOA20" s="3507"/>
      <c r="KOB20" s="3507"/>
      <c r="KOC20" s="3507"/>
      <c r="KOD20" s="3507"/>
      <c r="KOE20" s="3507"/>
      <c r="KOF20" s="3507"/>
      <c r="KOG20" s="3507"/>
      <c r="KOH20" s="3507"/>
      <c r="KOI20" s="3507"/>
      <c r="KOJ20" s="3507"/>
      <c r="KOK20" s="3507"/>
      <c r="KOL20" s="3507"/>
      <c r="KOM20" s="3507"/>
      <c r="KON20" s="3507"/>
      <c r="KOO20" s="3507"/>
      <c r="KOP20" s="3507"/>
      <c r="KOQ20" s="3507"/>
      <c r="KOR20" s="3507"/>
      <c r="KOS20" s="3507"/>
      <c r="KOT20" s="3507"/>
      <c r="KOU20" s="3507"/>
      <c r="KOV20" s="3507"/>
      <c r="KOW20" s="3507"/>
      <c r="KOX20" s="3507"/>
      <c r="KOY20" s="3507"/>
      <c r="KOZ20" s="3507"/>
      <c r="KPA20" s="3507"/>
      <c r="KPB20" s="3507"/>
      <c r="KPC20" s="3507"/>
      <c r="KPD20" s="3507"/>
      <c r="KPE20" s="3507"/>
      <c r="KPF20" s="3507"/>
      <c r="KPG20" s="3507"/>
      <c r="KPH20" s="3507"/>
      <c r="KPI20" s="3507"/>
      <c r="KPJ20" s="3507"/>
      <c r="KPK20" s="3507"/>
      <c r="KPL20" s="3507"/>
      <c r="KPM20" s="3507"/>
      <c r="KPN20" s="3507"/>
      <c r="KPO20" s="3507"/>
      <c r="KPP20" s="3507"/>
      <c r="KPQ20" s="3507"/>
      <c r="KPR20" s="3507"/>
      <c r="KPS20" s="3507"/>
      <c r="KPT20" s="3507"/>
      <c r="KPU20" s="3507"/>
      <c r="KPV20" s="3507"/>
      <c r="KPW20" s="3507"/>
      <c r="KPX20" s="3507"/>
      <c r="KPY20" s="3507"/>
      <c r="KPZ20" s="3507"/>
      <c r="KQA20" s="3507"/>
      <c r="KQB20" s="3507"/>
      <c r="KQC20" s="3507"/>
      <c r="KQD20" s="3507"/>
      <c r="KQE20" s="3507"/>
      <c r="KQF20" s="3507"/>
      <c r="KQG20" s="3507"/>
      <c r="KQH20" s="3507"/>
      <c r="KQI20" s="3507"/>
      <c r="KQJ20" s="3507"/>
      <c r="KQK20" s="3507"/>
      <c r="KQL20" s="3507"/>
      <c r="KQM20" s="3507"/>
      <c r="KQN20" s="3507"/>
      <c r="KQO20" s="3507"/>
      <c r="KQP20" s="3507"/>
      <c r="KQQ20" s="3507"/>
      <c r="KQR20" s="3507"/>
      <c r="KQS20" s="3507"/>
      <c r="KQT20" s="3507"/>
      <c r="KQU20" s="3507"/>
      <c r="KQV20" s="3507"/>
      <c r="KQW20" s="3507"/>
      <c r="KQX20" s="3507"/>
      <c r="KQY20" s="3507"/>
      <c r="KQZ20" s="3507"/>
      <c r="KRA20" s="3507"/>
      <c r="KRB20" s="3507"/>
      <c r="KRC20" s="3507"/>
      <c r="KRD20" s="3507"/>
      <c r="KRE20" s="3507"/>
      <c r="KRF20" s="3507"/>
      <c r="KRG20" s="3507"/>
      <c r="KRH20" s="3507"/>
      <c r="KRI20" s="3507"/>
      <c r="KRJ20" s="3507"/>
      <c r="KRK20" s="3507"/>
      <c r="KRL20" s="3507"/>
      <c r="KRM20" s="3507"/>
      <c r="KRN20" s="3507"/>
      <c r="KRO20" s="3507"/>
      <c r="KRP20" s="3507"/>
      <c r="KRQ20" s="3507"/>
      <c r="KRR20" s="3507"/>
      <c r="KRS20" s="3507"/>
      <c r="KRT20" s="3507"/>
      <c r="KRU20" s="3507"/>
      <c r="KRV20" s="3507"/>
      <c r="KRW20" s="3507"/>
      <c r="KRX20" s="3507"/>
      <c r="KRY20" s="3507"/>
      <c r="KRZ20" s="3507"/>
      <c r="KSA20" s="3507"/>
      <c r="KSB20" s="3507"/>
      <c r="KSC20" s="3507"/>
      <c r="KSD20" s="3507"/>
      <c r="KSE20" s="3507"/>
      <c r="KSF20" s="3507"/>
      <c r="KSG20" s="3507"/>
      <c r="KSH20" s="3507"/>
      <c r="KSI20" s="3507"/>
      <c r="KSJ20" s="3507"/>
      <c r="KSK20" s="3507"/>
      <c r="KSL20" s="3507"/>
      <c r="KSM20" s="3507"/>
      <c r="KSN20" s="3507"/>
      <c r="KSO20" s="3507"/>
      <c r="KSP20" s="3507"/>
      <c r="KSQ20" s="3507"/>
      <c r="KSR20" s="3507"/>
      <c r="KSS20" s="3507"/>
      <c r="KST20" s="3507"/>
      <c r="KSU20" s="3507"/>
      <c r="KSV20" s="3507"/>
      <c r="KSW20" s="3507"/>
      <c r="KSX20" s="3507"/>
      <c r="KSY20" s="3507"/>
      <c r="KSZ20" s="3507"/>
      <c r="KTA20" s="3507"/>
      <c r="KTB20" s="3507"/>
      <c r="KTC20" s="3507"/>
      <c r="KTD20" s="3507"/>
      <c r="KTE20" s="3507"/>
      <c r="KTF20" s="3507"/>
      <c r="KTG20" s="3507"/>
      <c r="KTH20" s="3507"/>
      <c r="KTI20" s="3507"/>
      <c r="KTJ20" s="3507"/>
      <c r="KTK20" s="3507"/>
      <c r="KTL20" s="3507"/>
      <c r="KTM20" s="3507"/>
      <c r="KTN20" s="3507"/>
      <c r="KTO20" s="3507"/>
      <c r="KTP20" s="3507"/>
      <c r="KTQ20" s="3507"/>
      <c r="KTR20" s="3507"/>
      <c r="KTS20" s="3507"/>
      <c r="KTT20" s="3507"/>
      <c r="KTU20" s="3507"/>
      <c r="KTV20" s="3507"/>
      <c r="KTW20" s="3507"/>
      <c r="KTX20" s="3507"/>
      <c r="KTY20" s="3507"/>
      <c r="KTZ20" s="3507"/>
      <c r="KUA20" s="3507"/>
      <c r="KUB20" s="3507"/>
      <c r="KUC20" s="3507"/>
      <c r="KUD20" s="3507"/>
      <c r="KUE20" s="3507"/>
      <c r="KUF20" s="3507"/>
      <c r="KUG20" s="3507"/>
      <c r="KUH20" s="3507"/>
      <c r="KUI20" s="3507"/>
      <c r="KUJ20" s="3507"/>
      <c r="KUK20" s="3507"/>
      <c r="KUL20" s="3507"/>
      <c r="KUM20" s="3507"/>
      <c r="KUN20" s="3507"/>
      <c r="KUO20" s="3507"/>
      <c r="KUP20" s="3507"/>
      <c r="KUQ20" s="3507"/>
      <c r="KUR20" s="3507"/>
      <c r="KUS20" s="3507"/>
      <c r="KUT20" s="3507"/>
      <c r="KUU20" s="3507"/>
      <c r="KUV20" s="3507"/>
      <c r="KUW20" s="3507"/>
      <c r="KUX20" s="3507"/>
      <c r="KUY20" s="3507"/>
      <c r="KUZ20" s="3507"/>
      <c r="KVA20" s="3507"/>
      <c r="KVB20" s="3507"/>
      <c r="KVC20" s="3507"/>
      <c r="KVD20" s="3507"/>
      <c r="KVE20" s="3507"/>
      <c r="KVF20" s="3507"/>
      <c r="KVG20" s="3507"/>
      <c r="KVH20" s="3507"/>
      <c r="KVI20" s="3507"/>
      <c r="KVJ20" s="3507"/>
      <c r="KVK20" s="3507"/>
      <c r="KVL20" s="3507"/>
      <c r="KVM20" s="3507"/>
      <c r="KVN20" s="3507"/>
      <c r="KVO20" s="3507"/>
      <c r="KVP20" s="3507"/>
      <c r="KVQ20" s="3507"/>
      <c r="KVR20" s="3507"/>
      <c r="KVS20" s="3507"/>
      <c r="KVT20" s="3507"/>
      <c r="KVU20" s="3507"/>
      <c r="KVV20" s="3507"/>
      <c r="KVW20" s="3507"/>
      <c r="KVX20" s="3507"/>
      <c r="KVY20" s="3507"/>
      <c r="KVZ20" s="3507"/>
      <c r="KWA20" s="3507"/>
      <c r="KWB20" s="3507"/>
      <c r="KWC20" s="3507"/>
      <c r="KWD20" s="3507"/>
      <c r="KWE20" s="3507"/>
      <c r="KWF20" s="3507"/>
      <c r="KWG20" s="3507"/>
      <c r="KWH20" s="3507"/>
      <c r="KWI20" s="3507"/>
      <c r="KWJ20" s="3507"/>
      <c r="KWK20" s="3507"/>
      <c r="KWL20" s="3507"/>
      <c r="KWM20" s="3507"/>
      <c r="KWN20" s="3507"/>
      <c r="KWO20" s="3507"/>
      <c r="KWP20" s="3507"/>
      <c r="KWQ20" s="3507"/>
      <c r="KWR20" s="3507"/>
      <c r="KWS20" s="3507"/>
      <c r="KWT20" s="3507"/>
      <c r="KWU20" s="3507"/>
      <c r="KWV20" s="3507"/>
      <c r="KWW20" s="3507"/>
      <c r="KWX20" s="3507"/>
      <c r="KWY20" s="3507"/>
      <c r="KWZ20" s="3507"/>
      <c r="KXA20" s="3507"/>
      <c r="KXB20" s="3507"/>
      <c r="KXC20" s="3507"/>
      <c r="KXD20" s="3507"/>
      <c r="KXE20" s="3507"/>
      <c r="KXF20" s="3507"/>
      <c r="KXG20" s="3507"/>
      <c r="KXH20" s="3507"/>
      <c r="KXI20" s="3507"/>
      <c r="KXJ20" s="3507"/>
      <c r="KXK20" s="3507"/>
      <c r="KXL20" s="3507"/>
      <c r="KXM20" s="3507"/>
      <c r="KXN20" s="3507"/>
      <c r="KXO20" s="3507"/>
      <c r="KXP20" s="3507"/>
      <c r="KXQ20" s="3507"/>
      <c r="KXR20" s="3507"/>
      <c r="KXS20" s="3507"/>
      <c r="KXT20" s="3507"/>
      <c r="KXU20" s="3507"/>
      <c r="KXV20" s="3507"/>
      <c r="KXW20" s="3507"/>
      <c r="KXX20" s="3507"/>
      <c r="KXY20" s="3507"/>
      <c r="KXZ20" s="3507"/>
      <c r="KYA20" s="3507"/>
      <c r="KYB20" s="3507"/>
      <c r="KYC20" s="3507"/>
      <c r="KYD20" s="3507"/>
      <c r="KYE20" s="3507"/>
      <c r="KYF20" s="3507"/>
      <c r="KYG20" s="3507"/>
      <c r="KYH20" s="3507"/>
      <c r="KYI20" s="3507"/>
      <c r="KYJ20" s="3507"/>
      <c r="KYK20" s="3507"/>
      <c r="KYL20" s="3507"/>
      <c r="KYM20" s="3507"/>
      <c r="KYN20" s="3507"/>
      <c r="KYO20" s="3507"/>
      <c r="KYP20" s="3507"/>
      <c r="KYQ20" s="3507"/>
      <c r="KYR20" s="3507"/>
      <c r="KYS20" s="3507"/>
      <c r="KYT20" s="3507"/>
      <c r="KYU20" s="3507"/>
      <c r="KYV20" s="3507"/>
      <c r="KYW20" s="3507"/>
      <c r="KYX20" s="3507"/>
      <c r="KYY20" s="3507"/>
      <c r="KYZ20" s="3507"/>
      <c r="KZA20" s="3507"/>
      <c r="KZB20" s="3507"/>
      <c r="KZC20" s="3507"/>
      <c r="KZD20" s="3507"/>
      <c r="KZE20" s="3507"/>
      <c r="KZF20" s="3507"/>
      <c r="KZG20" s="3507"/>
      <c r="KZH20" s="3507"/>
      <c r="KZI20" s="3507"/>
      <c r="KZJ20" s="3507"/>
      <c r="KZK20" s="3507"/>
      <c r="KZL20" s="3507"/>
      <c r="KZM20" s="3507"/>
      <c r="KZN20" s="3507"/>
      <c r="KZO20" s="3507"/>
      <c r="KZP20" s="3507"/>
      <c r="KZQ20" s="3507"/>
      <c r="KZR20" s="3507"/>
      <c r="KZS20" s="3507"/>
      <c r="KZT20" s="3507"/>
      <c r="KZU20" s="3507"/>
      <c r="KZV20" s="3507"/>
      <c r="KZW20" s="3507"/>
      <c r="KZX20" s="3507"/>
      <c r="KZY20" s="3507"/>
      <c r="KZZ20" s="3507"/>
      <c r="LAA20" s="3507"/>
      <c r="LAB20" s="3507"/>
      <c r="LAC20" s="3507"/>
      <c r="LAD20" s="3507"/>
      <c r="LAE20" s="3507"/>
      <c r="LAF20" s="3507"/>
      <c r="LAG20" s="3507"/>
      <c r="LAH20" s="3507"/>
      <c r="LAI20" s="3507"/>
      <c r="LAJ20" s="3507"/>
      <c r="LAK20" s="3507"/>
      <c r="LAL20" s="3507"/>
      <c r="LAM20" s="3507"/>
      <c r="LAN20" s="3507"/>
      <c r="LAO20" s="3507"/>
      <c r="LAP20" s="3507"/>
      <c r="LAQ20" s="3507"/>
      <c r="LAR20" s="3507"/>
      <c r="LAS20" s="3507"/>
      <c r="LAT20" s="3507"/>
      <c r="LAU20" s="3507"/>
      <c r="LAV20" s="3507"/>
      <c r="LAW20" s="3507"/>
      <c r="LAX20" s="3507"/>
      <c r="LAY20" s="3507"/>
      <c r="LAZ20" s="3507"/>
      <c r="LBA20" s="3507"/>
      <c r="LBB20" s="3507"/>
      <c r="LBC20" s="3507"/>
      <c r="LBD20" s="3507"/>
      <c r="LBE20" s="3507"/>
      <c r="LBF20" s="3507"/>
      <c r="LBG20" s="3507"/>
      <c r="LBH20" s="3507"/>
      <c r="LBI20" s="3507"/>
      <c r="LBJ20" s="3507"/>
      <c r="LBK20" s="3507"/>
      <c r="LBL20" s="3507"/>
      <c r="LBM20" s="3507"/>
      <c r="LBN20" s="3507"/>
      <c r="LBO20" s="3507"/>
      <c r="LBP20" s="3507"/>
      <c r="LBQ20" s="3507"/>
      <c r="LBR20" s="3507"/>
      <c r="LBS20" s="3507"/>
      <c r="LBT20" s="3507"/>
      <c r="LBU20" s="3507"/>
      <c r="LBV20" s="3507"/>
      <c r="LBW20" s="3507"/>
      <c r="LBX20" s="3507"/>
      <c r="LBY20" s="3507"/>
      <c r="LBZ20" s="3507"/>
      <c r="LCA20" s="3507"/>
      <c r="LCB20" s="3507"/>
      <c r="LCC20" s="3507"/>
      <c r="LCD20" s="3507"/>
      <c r="LCE20" s="3507"/>
      <c r="LCF20" s="3507"/>
      <c r="LCG20" s="3507"/>
      <c r="LCH20" s="3507"/>
      <c r="LCI20" s="3507"/>
      <c r="LCJ20" s="3507"/>
      <c r="LCK20" s="3507"/>
      <c r="LCL20" s="3507"/>
      <c r="LCM20" s="3507"/>
      <c r="LCN20" s="3507"/>
      <c r="LCO20" s="3507"/>
      <c r="LCP20" s="3507"/>
      <c r="LCQ20" s="3507"/>
      <c r="LCR20" s="3507"/>
      <c r="LCS20" s="3507"/>
      <c r="LCT20" s="3507"/>
      <c r="LCU20" s="3507"/>
      <c r="LCV20" s="3507"/>
      <c r="LCW20" s="3507"/>
      <c r="LCX20" s="3507"/>
      <c r="LCY20" s="3507"/>
      <c r="LCZ20" s="3507"/>
      <c r="LDA20" s="3507"/>
      <c r="LDB20" s="3507"/>
      <c r="LDC20" s="3507"/>
      <c r="LDD20" s="3507"/>
      <c r="LDE20" s="3507"/>
      <c r="LDF20" s="3507"/>
      <c r="LDG20" s="3507"/>
      <c r="LDH20" s="3507"/>
      <c r="LDI20" s="3507"/>
      <c r="LDJ20" s="3507"/>
      <c r="LDK20" s="3507"/>
      <c r="LDL20" s="3507"/>
      <c r="LDM20" s="3507"/>
      <c r="LDN20" s="3507"/>
      <c r="LDO20" s="3507"/>
      <c r="LDP20" s="3507"/>
      <c r="LDQ20" s="3507"/>
      <c r="LDR20" s="3507"/>
      <c r="LDS20" s="3507"/>
      <c r="LDT20" s="3507"/>
      <c r="LDU20" s="3507"/>
      <c r="LDV20" s="3507"/>
      <c r="LDW20" s="3507"/>
      <c r="LDX20" s="3507"/>
      <c r="LDY20" s="3507"/>
      <c r="LDZ20" s="3507"/>
      <c r="LEA20" s="3507"/>
      <c r="LEB20" s="3507"/>
      <c r="LEC20" s="3507"/>
      <c r="LED20" s="3507"/>
      <c r="LEE20" s="3507"/>
      <c r="LEF20" s="3507"/>
      <c r="LEG20" s="3507"/>
      <c r="LEH20" s="3507"/>
      <c r="LEI20" s="3507"/>
      <c r="LEJ20" s="3507"/>
      <c r="LEK20" s="3507"/>
      <c r="LEL20" s="3507"/>
      <c r="LEM20" s="3507"/>
      <c r="LEN20" s="3507"/>
      <c r="LEO20" s="3507"/>
      <c r="LEP20" s="3507"/>
      <c r="LEQ20" s="3507"/>
      <c r="LER20" s="3507"/>
      <c r="LES20" s="3507"/>
      <c r="LET20" s="3507"/>
      <c r="LEU20" s="3507"/>
      <c r="LEV20" s="3507"/>
      <c r="LEW20" s="3507"/>
      <c r="LEX20" s="3507"/>
      <c r="LEY20" s="3507"/>
      <c r="LEZ20" s="3507"/>
      <c r="LFA20" s="3507"/>
      <c r="LFB20" s="3507"/>
      <c r="LFC20" s="3507"/>
      <c r="LFD20" s="3507"/>
      <c r="LFE20" s="3507"/>
      <c r="LFF20" s="3507"/>
      <c r="LFG20" s="3507"/>
      <c r="LFH20" s="3507"/>
      <c r="LFI20" s="3507"/>
      <c r="LFJ20" s="3507"/>
      <c r="LFK20" s="3507"/>
      <c r="LFL20" s="3507"/>
      <c r="LFM20" s="3507"/>
      <c r="LFN20" s="3507"/>
      <c r="LFO20" s="3507"/>
      <c r="LFP20" s="3507"/>
      <c r="LFQ20" s="3507"/>
      <c r="LFR20" s="3507"/>
      <c r="LFS20" s="3507"/>
      <c r="LFT20" s="3507"/>
      <c r="LFU20" s="3507"/>
      <c r="LFV20" s="3507"/>
      <c r="LFW20" s="3507"/>
      <c r="LFX20" s="3507"/>
      <c r="LFY20" s="3507"/>
      <c r="LFZ20" s="3507"/>
      <c r="LGA20" s="3507"/>
      <c r="LGB20" s="3507"/>
      <c r="LGC20" s="3507"/>
      <c r="LGD20" s="3507"/>
      <c r="LGE20" s="3507"/>
      <c r="LGF20" s="3507"/>
      <c r="LGG20" s="3507"/>
      <c r="LGH20" s="3507"/>
      <c r="LGI20" s="3507"/>
      <c r="LGJ20" s="3507"/>
      <c r="LGK20" s="3507"/>
      <c r="LGL20" s="3507"/>
      <c r="LGM20" s="3507"/>
      <c r="LGN20" s="3507"/>
      <c r="LGO20" s="3507"/>
      <c r="LGP20" s="3507"/>
      <c r="LGQ20" s="3507"/>
      <c r="LGR20" s="3507"/>
      <c r="LGS20" s="3507"/>
      <c r="LGT20" s="3507"/>
      <c r="LGU20" s="3507"/>
      <c r="LGV20" s="3507"/>
      <c r="LGW20" s="3507"/>
      <c r="LGX20" s="3507"/>
      <c r="LGY20" s="3507"/>
      <c r="LGZ20" s="3507"/>
      <c r="LHA20" s="3507"/>
      <c r="LHB20" s="3507"/>
      <c r="LHC20" s="3507"/>
      <c r="LHD20" s="3507"/>
      <c r="LHE20" s="3507"/>
      <c r="LHF20" s="3507"/>
      <c r="LHG20" s="3507"/>
      <c r="LHH20" s="3507"/>
      <c r="LHI20" s="3507"/>
      <c r="LHJ20" s="3507"/>
      <c r="LHK20" s="3507"/>
      <c r="LHL20" s="3507"/>
      <c r="LHM20" s="3507"/>
      <c r="LHN20" s="3507"/>
      <c r="LHO20" s="3507"/>
      <c r="LHP20" s="3507"/>
      <c r="LHQ20" s="3507"/>
      <c r="LHR20" s="3507"/>
      <c r="LHS20" s="3507"/>
      <c r="LHT20" s="3507"/>
      <c r="LHU20" s="3507"/>
      <c r="LHV20" s="3507"/>
      <c r="LHW20" s="3507"/>
      <c r="LHX20" s="3507"/>
      <c r="LHY20" s="3507"/>
      <c r="LHZ20" s="3507"/>
      <c r="LIA20" s="3507"/>
      <c r="LIB20" s="3507"/>
      <c r="LIC20" s="3507"/>
      <c r="LID20" s="3507"/>
      <c r="LIE20" s="3507"/>
      <c r="LIF20" s="3507"/>
      <c r="LIG20" s="3507"/>
      <c r="LIH20" s="3507"/>
      <c r="LII20" s="3507"/>
      <c r="LIJ20" s="3507"/>
      <c r="LIK20" s="3507"/>
      <c r="LIL20" s="3507"/>
      <c r="LIM20" s="3507"/>
      <c r="LIN20" s="3507"/>
      <c r="LIO20" s="3507"/>
      <c r="LIP20" s="3507"/>
      <c r="LIQ20" s="3507"/>
      <c r="LIR20" s="3507"/>
      <c r="LIS20" s="3507"/>
      <c r="LIT20" s="3507"/>
      <c r="LIU20" s="3507"/>
      <c r="LIV20" s="3507"/>
      <c r="LIW20" s="3507"/>
      <c r="LIX20" s="3507"/>
      <c r="LIY20" s="3507"/>
      <c r="LIZ20" s="3507"/>
      <c r="LJA20" s="3507"/>
      <c r="LJB20" s="3507"/>
      <c r="LJC20" s="3507"/>
      <c r="LJD20" s="3507"/>
      <c r="LJE20" s="3507"/>
      <c r="LJF20" s="3507"/>
      <c r="LJG20" s="3507"/>
      <c r="LJH20" s="3507"/>
      <c r="LJI20" s="3507"/>
      <c r="LJJ20" s="3507"/>
      <c r="LJK20" s="3507"/>
      <c r="LJL20" s="3507"/>
      <c r="LJM20" s="3507"/>
      <c r="LJN20" s="3507"/>
      <c r="LJO20" s="3507"/>
      <c r="LJP20" s="3507"/>
      <c r="LJQ20" s="3507"/>
      <c r="LJR20" s="3507"/>
      <c r="LJS20" s="3507"/>
      <c r="LJT20" s="3507"/>
      <c r="LJU20" s="3507"/>
      <c r="LJV20" s="3507"/>
      <c r="LJW20" s="3507"/>
      <c r="LJX20" s="3507"/>
      <c r="LJY20" s="3507"/>
      <c r="LJZ20" s="3507"/>
      <c r="LKA20" s="3507"/>
      <c r="LKB20" s="3507"/>
      <c r="LKC20" s="3507"/>
      <c r="LKD20" s="3507"/>
      <c r="LKE20" s="3507"/>
      <c r="LKF20" s="3507"/>
      <c r="LKG20" s="3507"/>
      <c r="LKH20" s="3507"/>
      <c r="LKI20" s="3507"/>
      <c r="LKJ20" s="3507"/>
      <c r="LKK20" s="3507"/>
      <c r="LKL20" s="3507"/>
      <c r="LKM20" s="3507"/>
      <c r="LKN20" s="3507"/>
      <c r="LKO20" s="3507"/>
      <c r="LKP20" s="3507"/>
      <c r="LKQ20" s="3507"/>
      <c r="LKR20" s="3507"/>
      <c r="LKS20" s="3507"/>
      <c r="LKT20" s="3507"/>
      <c r="LKU20" s="3507"/>
      <c r="LKV20" s="3507"/>
      <c r="LKW20" s="3507"/>
      <c r="LKX20" s="3507"/>
      <c r="LKY20" s="3507"/>
      <c r="LKZ20" s="3507"/>
      <c r="LLA20" s="3507"/>
      <c r="LLB20" s="3507"/>
      <c r="LLC20" s="3507"/>
      <c r="LLD20" s="3507"/>
      <c r="LLE20" s="3507"/>
      <c r="LLF20" s="3507"/>
      <c r="LLG20" s="3507"/>
      <c r="LLH20" s="3507"/>
      <c r="LLI20" s="3507"/>
      <c r="LLJ20" s="3507"/>
      <c r="LLK20" s="3507"/>
      <c r="LLL20" s="3507"/>
      <c r="LLM20" s="3507"/>
      <c r="LLN20" s="3507"/>
      <c r="LLO20" s="3507"/>
      <c r="LLP20" s="3507"/>
      <c r="LLQ20" s="3507"/>
      <c r="LLR20" s="3507"/>
      <c r="LLS20" s="3507"/>
      <c r="LLT20" s="3507"/>
      <c r="LLU20" s="3507"/>
      <c r="LLV20" s="3507"/>
      <c r="LLW20" s="3507"/>
      <c r="LLX20" s="3507"/>
      <c r="LLY20" s="3507"/>
      <c r="LLZ20" s="3507"/>
      <c r="LMA20" s="3507"/>
      <c r="LMB20" s="3507"/>
      <c r="LMC20" s="3507"/>
      <c r="LMD20" s="3507"/>
      <c r="LME20" s="3507"/>
      <c r="LMF20" s="3507"/>
      <c r="LMG20" s="3507"/>
      <c r="LMH20" s="3507"/>
      <c r="LMI20" s="3507"/>
      <c r="LMJ20" s="3507"/>
      <c r="LMK20" s="3507"/>
      <c r="LML20" s="3507"/>
      <c r="LMM20" s="3507"/>
      <c r="LMN20" s="3507"/>
      <c r="LMO20" s="3507"/>
      <c r="LMP20" s="3507"/>
      <c r="LMQ20" s="3507"/>
      <c r="LMR20" s="3507"/>
      <c r="LMS20" s="3507"/>
      <c r="LMT20" s="3507"/>
      <c r="LMU20" s="3507"/>
      <c r="LMV20" s="3507"/>
      <c r="LMW20" s="3507"/>
      <c r="LMX20" s="3507"/>
      <c r="LMY20" s="3507"/>
      <c r="LMZ20" s="3507"/>
      <c r="LNA20" s="3507"/>
      <c r="LNB20" s="3507"/>
      <c r="LNC20" s="3507"/>
      <c r="LND20" s="3507"/>
      <c r="LNE20" s="3507"/>
      <c r="LNF20" s="3507"/>
      <c r="LNG20" s="3507"/>
      <c r="LNH20" s="3507"/>
      <c r="LNI20" s="3507"/>
      <c r="LNJ20" s="3507"/>
      <c r="LNK20" s="3507"/>
      <c r="LNL20" s="3507"/>
      <c r="LNM20" s="3507"/>
      <c r="LNN20" s="3507"/>
      <c r="LNO20" s="3507"/>
      <c r="LNP20" s="3507"/>
      <c r="LNQ20" s="3507"/>
      <c r="LNR20" s="3507"/>
      <c r="LNS20" s="3507"/>
      <c r="LNT20" s="3507"/>
      <c r="LNU20" s="3507"/>
      <c r="LNV20" s="3507"/>
      <c r="LNW20" s="3507"/>
      <c r="LNX20" s="3507"/>
      <c r="LNY20" s="3507"/>
      <c r="LNZ20" s="3507"/>
      <c r="LOA20" s="3507"/>
      <c r="LOB20" s="3507"/>
      <c r="LOC20" s="3507"/>
      <c r="LOD20" s="3507"/>
      <c r="LOE20" s="3507"/>
      <c r="LOF20" s="3507"/>
      <c r="LOG20" s="3507"/>
      <c r="LOH20" s="3507"/>
      <c r="LOI20" s="3507"/>
      <c r="LOJ20" s="3507"/>
      <c r="LOK20" s="3507"/>
      <c r="LOL20" s="3507"/>
      <c r="LOM20" s="3507"/>
      <c r="LON20" s="3507"/>
      <c r="LOO20" s="3507"/>
      <c r="LOP20" s="3507"/>
      <c r="LOQ20" s="3507"/>
      <c r="LOR20" s="3507"/>
      <c r="LOS20" s="3507"/>
      <c r="LOT20" s="3507"/>
      <c r="LOU20" s="3507"/>
      <c r="LOV20" s="3507"/>
      <c r="LOW20" s="3507"/>
      <c r="LOX20" s="3507"/>
      <c r="LOY20" s="3507"/>
      <c r="LOZ20" s="3507"/>
      <c r="LPA20" s="3507"/>
      <c r="LPB20" s="3507"/>
      <c r="LPC20" s="3507"/>
      <c r="LPD20" s="3507"/>
      <c r="LPE20" s="3507"/>
      <c r="LPF20" s="3507"/>
      <c r="LPG20" s="3507"/>
      <c r="LPH20" s="3507"/>
      <c r="LPI20" s="3507"/>
      <c r="LPJ20" s="3507"/>
      <c r="LPK20" s="3507"/>
      <c r="LPL20" s="3507"/>
      <c r="LPM20" s="3507"/>
      <c r="LPN20" s="3507"/>
      <c r="LPO20" s="3507"/>
      <c r="LPP20" s="3507"/>
      <c r="LPQ20" s="3507"/>
      <c r="LPR20" s="3507"/>
      <c r="LPS20" s="3507"/>
      <c r="LPT20" s="3507"/>
      <c r="LPU20" s="3507"/>
      <c r="LPV20" s="3507"/>
      <c r="LPW20" s="3507"/>
      <c r="LPX20" s="3507"/>
      <c r="LPY20" s="3507"/>
      <c r="LPZ20" s="3507"/>
      <c r="LQA20" s="3507"/>
      <c r="LQB20" s="3507"/>
      <c r="LQC20" s="3507"/>
      <c r="LQD20" s="3507"/>
      <c r="LQE20" s="3507"/>
      <c r="LQF20" s="3507"/>
      <c r="LQG20" s="3507"/>
      <c r="LQH20" s="3507"/>
      <c r="LQI20" s="3507"/>
      <c r="LQJ20" s="3507"/>
      <c r="LQK20" s="3507"/>
      <c r="LQL20" s="3507"/>
      <c r="LQM20" s="3507"/>
      <c r="LQN20" s="3507"/>
      <c r="LQO20" s="3507"/>
      <c r="LQP20" s="3507"/>
      <c r="LQQ20" s="3507"/>
      <c r="LQR20" s="3507"/>
      <c r="LQS20" s="3507"/>
      <c r="LQT20" s="3507"/>
      <c r="LQU20" s="3507"/>
      <c r="LQV20" s="3507"/>
      <c r="LQW20" s="3507"/>
      <c r="LQX20" s="3507"/>
      <c r="LQY20" s="3507"/>
      <c r="LQZ20" s="3507"/>
      <c r="LRA20" s="3507"/>
      <c r="LRB20" s="3507"/>
      <c r="LRC20" s="3507"/>
      <c r="LRD20" s="3507"/>
      <c r="LRE20" s="3507"/>
      <c r="LRF20" s="3507"/>
      <c r="LRG20" s="3507"/>
      <c r="LRH20" s="3507"/>
      <c r="LRI20" s="3507"/>
      <c r="LRJ20" s="3507"/>
      <c r="LRK20" s="3507"/>
      <c r="LRL20" s="3507"/>
      <c r="LRM20" s="3507"/>
      <c r="LRN20" s="3507"/>
      <c r="LRO20" s="3507"/>
      <c r="LRP20" s="3507"/>
      <c r="LRQ20" s="3507"/>
      <c r="LRR20" s="3507"/>
      <c r="LRS20" s="3507"/>
      <c r="LRT20" s="3507"/>
      <c r="LRU20" s="3507"/>
      <c r="LRV20" s="3507"/>
      <c r="LRW20" s="3507"/>
      <c r="LRX20" s="3507"/>
      <c r="LRY20" s="3507"/>
      <c r="LRZ20" s="3507"/>
      <c r="LSA20" s="3507"/>
      <c r="LSB20" s="3507"/>
      <c r="LSC20" s="3507"/>
      <c r="LSD20" s="3507"/>
      <c r="LSE20" s="3507"/>
      <c r="LSF20" s="3507"/>
      <c r="LSG20" s="3507"/>
      <c r="LSH20" s="3507"/>
      <c r="LSI20" s="3507"/>
      <c r="LSJ20" s="3507"/>
      <c r="LSK20" s="3507"/>
      <c r="LSL20" s="3507"/>
      <c r="LSM20" s="3507"/>
      <c r="LSN20" s="3507"/>
      <c r="LSO20" s="3507"/>
      <c r="LSP20" s="3507"/>
      <c r="LSQ20" s="3507"/>
      <c r="LSR20" s="3507"/>
      <c r="LSS20" s="3507"/>
      <c r="LST20" s="3507"/>
      <c r="LSU20" s="3507"/>
      <c r="LSV20" s="3507"/>
      <c r="LSW20" s="3507"/>
      <c r="LSX20" s="3507"/>
      <c r="LSY20" s="3507"/>
      <c r="LSZ20" s="3507"/>
      <c r="LTA20" s="3507"/>
      <c r="LTB20" s="3507"/>
      <c r="LTC20" s="3507"/>
      <c r="LTD20" s="3507"/>
      <c r="LTE20" s="3507"/>
      <c r="LTF20" s="3507"/>
      <c r="LTG20" s="3507"/>
      <c r="LTH20" s="3507"/>
      <c r="LTI20" s="3507"/>
      <c r="LTJ20" s="3507"/>
      <c r="LTK20" s="3507"/>
      <c r="LTL20" s="3507"/>
      <c r="LTM20" s="3507"/>
      <c r="LTN20" s="3507"/>
      <c r="LTO20" s="3507"/>
      <c r="LTP20" s="3507"/>
      <c r="LTQ20" s="3507"/>
      <c r="LTR20" s="3507"/>
      <c r="LTS20" s="3507"/>
      <c r="LTT20" s="3507"/>
      <c r="LTU20" s="3507"/>
      <c r="LTV20" s="3507"/>
      <c r="LTW20" s="3507"/>
      <c r="LTX20" s="3507"/>
      <c r="LTY20" s="3507"/>
      <c r="LTZ20" s="3507"/>
      <c r="LUA20" s="3507"/>
      <c r="LUB20" s="3507"/>
      <c r="LUC20" s="3507"/>
      <c r="LUD20" s="3507"/>
      <c r="LUE20" s="3507"/>
      <c r="LUF20" s="3507"/>
      <c r="LUG20" s="3507"/>
      <c r="LUH20" s="3507"/>
      <c r="LUI20" s="3507"/>
      <c r="LUJ20" s="3507"/>
      <c r="LUK20" s="3507"/>
      <c r="LUL20" s="3507"/>
      <c r="LUM20" s="3507"/>
      <c r="LUN20" s="3507"/>
      <c r="LUO20" s="3507"/>
      <c r="LUP20" s="3507"/>
      <c r="LUQ20" s="3507"/>
      <c r="LUR20" s="3507"/>
      <c r="LUS20" s="3507"/>
      <c r="LUT20" s="3507"/>
      <c r="LUU20" s="3507"/>
      <c r="LUV20" s="3507"/>
      <c r="LUW20" s="3507"/>
      <c r="LUX20" s="3507"/>
      <c r="LUY20" s="3507"/>
      <c r="LUZ20" s="3507"/>
      <c r="LVA20" s="3507"/>
      <c r="LVB20" s="3507"/>
      <c r="LVC20" s="3507"/>
      <c r="LVD20" s="3507"/>
      <c r="LVE20" s="3507"/>
      <c r="LVF20" s="3507"/>
      <c r="LVG20" s="3507"/>
      <c r="LVH20" s="3507"/>
      <c r="LVI20" s="3507"/>
      <c r="LVJ20" s="3507"/>
      <c r="LVK20" s="3507"/>
      <c r="LVL20" s="3507"/>
      <c r="LVM20" s="3507"/>
      <c r="LVN20" s="3507"/>
      <c r="LVO20" s="3507"/>
      <c r="LVP20" s="3507"/>
      <c r="LVQ20" s="3507"/>
      <c r="LVR20" s="3507"/>
      <c r="LVS20" s="3507"/>
      <c r="LVT20" s="3507"/>
      <c r="LVU20" s="3507"/>
      <c r="LVV20" s="3507"/>
      <c r="LVW20" s="3507"/>
      <c r="LVX20" s="3507"/>
      <c r="LVY20" s="3507"/>
      <c r="LVZ20" s="3507"/>
      <c r="LWA20" s="3507"/>
      <c r="LWB20" s="3507"/>
      <c r="LWC20" s="3507"/>
      <c r="LWD20" s="3507"/>
      <c r="LWE20" s="3507"/>
      <c r="LWF20" s="3507"/>
      <c r="LWG20" s="3507"/>
      <c r="LWH20" s="3507"/>
      <c r="LWI20" s="3507"/>
      <c r="LWJ20" s="3507"/>
      <c r="LWK20" s="3507"/>
      <c r="LWL20" s="3507"/>
      <c r="LWM20" s="3507"/>
      <c r="LWN20" s="3507"/>
      <c r="LWO20" s="3507"/>
      <c r="LWP20" s="3507"/>
      <c r="LWQ20" s="3507"/>
      <c r="LWR20" s="3507"/>
      <c r="LWS20" s="3507"/>
      <c r="LWT20" s="3507"/>
      <c r="LWU20" s="3507"/>
      <c r="LWV20" s="3507"/>
      <c r="LWW20" s="3507"/>
      <c r="LWX20" s="3507"/>
      <c r="LWY20" s="3507"/>
      <c r="LWZ20" s="3507"/>
      <c r="LXA20" s="3507"/>
      <c r="LXB20" s="3507"/>
      <c r="LXC20" s="3507"/>
      <c r="LXD20" s="3507"/>
      <c r="LXE20" s="3507"/>
      <c r="LXF20" s="3507"/>
      <c r="LXG20" s="3507"/>
      <c r="LXH20" s="3507"/>
      <c r="LXI20" s="3507"/>
      <c r="LXJ20" s="3507"/>
      <c r="LXK20" s="3507"/>
      <c r="LXL20" s="3507"/>
      <c r="LXM20" s="3507"/>
      <c r="LXN20" s="3507"/>
      <c r="LXO20" s="3507"/>
      <c r="LXP20" s="3507"/>
      <c r="LXQ20" s="3507"/>
      <c r="LXR20" s="3507"/>
      <c r="LXS20" s="3507"/>
      <c r="LXT20" s="3507"/>
      <c r="LXU20" s="3507"/>
      <c r="LXV20" s="3507"/>
      <c r="LXW20" s="3507"/>
      <c r="LXX20" s="3507"/>
      <c r="LXY20" s="3507"/>
      <c r="LXZ20" s="3507"/>
      <c r="LYA20" s="3507"/>
      <c r="LYB20" s="3507"/>
      <c r="LYC20" s="3507"/>
      <c r="LYD20" s="3507"/>
      <c r="LYE20" s="3507"/>
      <c r="LYF20" s="3507"/>
      <c r="LYG20" s="3507"/>
      <c r="LYH20" s="3507"/>
      <c r="LYI20" s="3507"/>
      <c r="LYJ20" s="3507"/>
      <c r="LYK20" s="3507"/>
      <c r="LYL20" s="3507"/>
      <c r="LYM20" s="3507"/>
      <c r="LYN20" s="3507"/>
      <c r="LYO20" s="3507"/>
      <c r="LYP20" s="3507"/>
      <c r="LYQ20" s="3507"/>
      <c r="LYR20" s="3507"/>
      <c r="LYS20" s="3507"/>
      <c r="LYT20" s="3507"/>
      <c r="LYU20" s="3507"/>
      <c r="LYV20" s="3507"/>
      <c r="LYW20" s="3507"/>
      <c r="LYX20" s="3507"/>
      <c r="LYY20" s="3507"/>
      <c r="LYZ20" s="3507"/>
      <c r="LZA20" s="3507"/>
      <c r="LZB20" s="3507"/>
      <c r="LZC20" s="3507"/>
      <c r="LZD20" s="3507"/>
      <c r="LZE20" s="3507"/>
      <c r="LZF20" s="3507"/>
      <c r="LZG20" s="3507"/>
      <c r="LZH20" s="3507"/>
      <c r="LZI20" s="3507"/>
      <c r="LZJ20" s="3507"/>
      <c r="LZK20" s="3507"/>
      <c r="LZL20" s="3507"/>
      <c r="LZM20" s="3507"/>
      <c r="LZN20" s="3507"/>
      <c r="LZO20" s="3507"/>
      <c r="LZP20" s="3507"/>
      <c r="LZQ20" s="3507"/>
      <c r="LZR20" s="3507"/>
      <c r="LZS20" s="3507"/>
      <c r="LZT20" s="3507"/>
      <c r="LZU20" s="3507"/>
      <c r="LZV20" s="3507"/>
      <c r="LZW20" s="3507"/>
      <c r="LZX20" s="3507"/>
      <c r="LZY20" s="3507"/>
      <c r="LZZ20" s="3507"/>
      <c r="MAA20" s="3507"/>
      <c r="MAB20" s="3507"/>
      <c r="MAC20" s="3507"/>
      <c r="MAD20" s="3507"/>
      <c r="MAE20" s="3507"/>
      <c r="MAF20" s="3507"/>
      <c r="MAG20" s="3507"/>
      <c r="MAH20" s="3507"/>
      <c r="MAI20" s="3507"/>
      <c r="MAJ20" s="3507"/>
      <c r="MAK20" s="3507"/>
      <c r="MAL20" s="3507"/>
      <c r="MAM20" s="3507"/>
      <c r="MAN20" s="3507"/>
      <c r="MAO20" s="3507"/>
      <c r="MAP20" s="3507"/>
      <c r="MAQ20" s="3507"/>
      <c r="MAR20" s="3507"/>
      <c r="MAS20" s="3507"/>
      <c r="MAT20" s="3507"/>
      <c r="MAU20" s="3507"/>
      <c r="MAV20" s="3507"/>
      <c r="MAW20" s="3507"/>
      <c r="MAX20" s="3507"/>
      <c r="MAY20" s="3507"/>
      <c r="MAZ20" s="3507"/>
      <c r="MBA20" s="3507"/>
      <c r="MBB20" s="3507"/>
      <c r="MBC20" s="3507"/>
      <c r="MBD20" s="3507"/>
      <c r="MBE20" s="3507"/>
      <c r="MBF20" s="3507"/>
      <c r="MBG20" s="3507"/>
      <c r="MBH20" s="3507"/>
      <c r="MBI20" s="3507"/>
      <c r="MBJ20" s="3507"/>
      <c r="MBK20" s="3507"/>
      <c r="MBL20" s="3507"/>
      <c r="MBM20" s="3507"/>
      <c r="MBN20" s="3507"/>
      <c r="MBO20" s="3507"/>
      <c r="MBP20" s="3507"/>
      <c r="MBQ20" s="3507"/>
      <c r="MBR20" s="3507"/>
      <c r="MBS20" s="3507"/>
      <c r="MBT20" s="3507"/>
      <c r="MBU20" s="3507"/>
      <c r="MBV20" s="3507"/>
      <c r="MBW20" s="3507"/>
      <c r="MBX20" s="3507"/>
      <c r="MBY20" s="3507"/>
      <c r="MBZ20" s="3507"/>
      <c r="MCA20" s="3507"/>
      <c r="MCB20" s="3507"/>
      <c r="MCC20" s="3507"/>
      <c r="MCD20" s="3507"/>
      <c r="MCE20" s="3507"/>
      <c r="MCF20" s="3507"/>
      <c r="MCG20" s="3507"/>
      <c r="MCH20" s="3507"/>
      <c r="MCI20" s="3507"/>
      <c r="MCJ20" s="3507"/>
      <c r="MCK20" s="3507"/>
      <c r="MCL20" s="3507"/>
      <c r="MCM20" s="3507"/>
      <c r="MCN20" s="3507"/>
      <c r="MCO20" s="3507"/>
      <c r="MCP20" s="3507"/>
      <c r="MCQ20" s="3507"/>
      <c r="MCR20" s="3507"/>
      <c r="MCS20" s="3507"/>
      <c r="MCT20" s="3507"/>
      <c r="MCU20" s="3507"/>
      <c r="MCV20" s="3507"/>
      <c r="MCW20" s="3507"/>
      <c r="MCX20" s="3507"/>
      <c r="MCY20" s="3507"/>
      <c r="MCZ20" s="3507"/>
      <c r="MDA20" s="3507"/>
      <c r="MDB20" s="3507"/>
      <c r="MDC20" s="3507"/>
      <c r="MDD20" s="3507"/>
      <c r="MDE20" s="3507"/>
      <c r="MDF20" s="3507"/>
      <c r="MDG20" s="3507"/>
      <c r="MDH20" s="3507"/>
      <c r="MDI20" s="3507"/>
      <c r="MDJ20" s="3507"/>
      <c r="MDK20" s="3507"/>
      <c r="MDL20" s="3507"/>
      <c r="MDM20" s="3507"/>
      <c r="MDN20" s="3507"/>
      <c r="MDO20" s="3507"/>
      <c r="MDP20" s="3507"/>
      <c r="MDQ20" s="3507"/>
      <c r="MDR20" s="3507"/>
      <c r="MDS20" s="3507"/>
      <c r="MDT20" s="3507"/>
      <c r="MDU20" s="3507"/>
      <c r="MDV20" s="3507"/>
      <c r="MDW20" s="3507"/>
      <c r="MDX20" s="3507"/>
      <c r="MDY20" s="3507"/>
      <c r="MDZ20" s="3507"/>
      <c r="MEA20" s="3507"/>
      <c r="MEB20" s="3507"/>
      <c r="MEC20" s="3507"/>
      <c r="MED20" s="3507"/>
      <c r="MEE20" s="3507"/>
      <c r="MEF20" s="3507"/>
      <c r="MEG20" s="3507"/>
      <c r="MEH20" s="3507"/>
      <c r="MEI20" s="3507"/>
      <c r="MEJ20" s="3507"/>
      <c r="MEK20" s="3507"/>
      <c r="MEL20" s="3507"/>
      <c r="MEM20" s="3507"/>
      <c r="MEN20" s="3507"/>
      <c r="MEO20" s="3507"/>
      <c r="MEP20" s="3507"/>
      <c r="MEQ20" s="3507"/>
      <c r="MER20" s="3507"/>
      <c r="MES20" s="3507"/>
      <c r="MET20" s="3507"/>
      <c r="MEU20" s="3507"/>
      <c r="MEV20" s="3507"/>
      <c r="MEW20" s="3507"/>
      <c r="MEX20" s="3507"/>
      <c r="MEY20" s="3507"/>
      <c r="MEZ20" s="3507"/>
      <c r="MFA20" s="3507"/>
      <c r="MFB20" s="3507"/>
      <c r="MFC20" s="3507"/>
      <c r="MFD20" s="3507"/>
      <c r="MFE20" s="3507"/>
      <c r="MFF20" s="3507"/>
      <c r="MFG20" s="3507"/>
      <c r="MFH20" s="3507"/>
      <c r="MFI20" s="3507"/>
      <c r="MFJ20" s="3507"/>
      <c r="MFK20" s="3507"/>
      <c r="MFL20" s="3507"/>
      <c r="MFM20" s="3507"/>
      <c r="MFN20" s="3507"/>
      <c r="MFO20" s="3507"/>
      <c r="MFP20" s="3507"/>
      <c r="MFQ20" s="3507"/>
      <c r="MFR20" s="3507"/>
      <c r="MFS20" s="3507"/>
      <c r="MFT20" s="3507"/>
      <c r="MFU20" s="3507"/>
      <c r="MFV20" s="3507"/>
      <c r="MFW20" s="3507"/>
      <c r="MFX20" s="3507"/>
      <c r="MFY20" s="3507"/>
      <c r="MFZ20" s="3507"/>
      <c r="MGA20" s="3507"/>
      <c r="MGB20" s="3507"/>
      <c r="MGC20" s="3507"/>
      <c r="MGD20" s="3507"/>
      <c r="MGE20" s="3507"/>
      <c r="MGF20" s="3507"/>
      <c r="MGG20" s="3507"/>
      <c r="MGH20" s="3507"/>
      <c r="MGI20" s="3507"/>
      <c r="MGJ20" s="3507"/>
      <c r="MGK20" s="3507"/>
      <c r="MGL20" s="3507"/>
      <c r="MGM20" s="3507"/>
      <c r="MGN20" s="3507"/>
      <c r="MGO20" s="3507"/>
      <c r="MGP20" s="3507"/>
      <c r="MGQ20" s="3507"/>
      <c r="MGR20" s="3507"/>
      <c r="MGS20" s="3507"/>
      <c r="MGT20" s="3507"/>
      <c r="MGU20" s="3507"/>
      <c r="MGV20" s="3507"/>
      <c r="MGW20" s="3507"/>
      <c r="MGX20" s="3507"/>
      <c r="MGY20" s="3507"/>
      <c r="MGZ20" s="3507"/>
      <c r="MHA20" s="3507"/>
      <c r="MHB20" s="3507"/>
      <c r="MHC20" s="3507"/>
      <c r="MHD20" s="3507"/>
      <c r="MHE20" s="3507"/>
      <c r="MHF20" s="3507"/>
      <c r="MHG20" s="3507"/>
      <c r="MHH20" s="3507"/>
      <c r="MHI20" s="3507"/>
      <c r="MHJ20" s="3507"/>
      <c r="MHK20" s="3507"/>
      <c r="MHL20" s="3507"/>
      <c r="MHM20" s="3507"/>
      <c r="MHN20" s="3507"/>
      <c r="MHO20" s="3507"/>
      <c r="MHP20" s="3507"/>
      <c r="MHQ20" s="3507"/>
      <c r="MHR20" s="3507"/>
      <c r="MHS20" s="3507"/>
      <c r="MHT20" s="3507"/>
      <c r="MHU20" s="3507"/>
      <c r="MHV20" s="3507"/>
      <c r="MHW20" s="3507"/>
      <c r="MHX20" s="3507"/>
      <c r="MHY20" s="3507"/>
      <c r="MHZ20" s="3507"/>
      <c r="MIA20" s="3507"/>
      <c r="MIB20" s="3507"/>
      <c r="MIC20" s="3507"/>
      <c r="MID20" s="3507"/>
      <c r="MIE20" s="3507"/>
      <c r="MIF20" s="3507"/>
      <c r="MIG20" s="3507"/>
      <c r="MIH20" s="3507"/>
      <c r="MII20" s="3507"/>
      <c r="MIJ20" s="3507"/>
      <c r="MIK20" s="3507"/>
      <c r="MIL20" s="3507"/>
      <c r="MIM20" s="3507"/>
      <c r="MIN20" s="3507"/>
      <c r="MIO20" s="3507"/>
      <c r="MIP20" s="3507"/>
      <c r="MIQ20" s="3507"/>
      <c r="MIR20" s="3507"/>
      <c r="MIS20" s="3507"/>
      <c r="MIT20" s="3507"/>
      <c r="MIU20" s="3507"/>
      <c r="MIV20" s="3507"/>
      <c r="MIW20" s="3507"/>
      <c r="MIX20" s="3507"/>
      <c r="MIY20" s="3507"/>
      <c r="MIZ20" s="3507"/>
      <c r="MJA20" s="3507"/>
      <c r="MJB20" s="3507"/>
      <c r="MJC20" s="3507"/>
      <c r="MJD20" s="3507"/>
      <c r="MJE20" s="3507"/>
      <c r="MJF20" s="3507"/>
      <c r="MJG20" s="3507"/>
      <c r="MJH20" s="3507"/>
      <c r="MJI20" s="3507"/>
      <c r="MJJ20" s="3507"/>
      <c r="MJK20" s="3507"/>
      <c r="MJL20" s="3507"/>
      <c r="MJM20" s="3507"/>
      <c r="MJN20" s="3507"/>
      <c r="MJO20" s="3507"/>
      <c r="MJP20" s="3507"/>
      <c r="MJQ20" s="3507"/>
      <c r="MJR20" s="3507"/>
      <c r="MJS20" s="3507"/>
      <c r="MJT20" s="3507"/>
      <c r="MJU20" s="3507"/>
      <c r="MJV20" s="3507"/>
      <c r="MJW20" s="3507"/>
      <c r="MJX20" s="3507"/>
      <c r="MJY20" s="3507"/>
      <c r="MJZ20" s="3507"/>
      <c r="MKA20" s="3507"/>
      <c r="MKB20" s="3507"/>
      <c r="MKC20" s="3507"/>
      <c r="MKD20" s="3507"/>
      <c r="MKE20" s="3507"/>
      <c r="MKF20" s="3507"/>
      <c r="MKG20" s="3507"/>
      <c r="MKH20" s="3507"/>
      <c r="MKI20" s="3507"/>
      <c r="MKJ20" s="3507"/>
      <c r="MKK20" s="3507"/>
      <c r="MKL20" s="3507"/>
      <c r="MKM20" s="3507"/>
      <c r="MKN20" s="3507"/>
      <c r="MKO20" s="3507"/>
      <c r="MKP20" s="3507"/>
      <c r="MKQ20" s="3507"/>
      <c r="MKR20" s="3507"/>
      <c r="MKS20" s="3507"/>
      <c r="MKT20" s="3507"/>
      <c r="MKU20" s="3507"/>
      <c r="MKV20" s="3507"/>
      <c r="MKW20" s="3507"/>
      <c r="MKX20" s="3507"/>
      <c r="MKY20" s="3507"/>
      <c r="MKZ20" s="3507"/>
      <c r="MLA20" s="3507"/>
      <c r="MLB20" s="3507"/>
      <c r="MLC20" s="3507"/>
      <c r="MLD20" s="3507"/>
      <c r="MLE20" s="3507"/>
      <c r="MLF20" s="3507"/>
      <c r="MLG20" s="3507"/>
      <c r="MLH20" s="3507"/>
      <c r="MLI20" s="3507"/>
      <c r="MLJ20" s="3507"/>
      <c r="MLK20" s="3507"/>
      <c r="MLL20" s="3507"/>
      <c r="MLM20" s="3507"/>
      <c r="MLN20" s="3507"/>
      <c r="MLO20" s="3507"/>
      <c r="MLP20" s="3507"/>
      <c r="MLQ20" s="3507"/>
      <c r="MLR20" s="3507"/>
      <c r="MLS20" s="3507"/>
      <c r="MLT20" s="3507"/>
      <c r="MLU20" s="3507"/>
      <c r="MLV20" s="3507"/>
      <c r="MLW20" s="3507"/>
      <c r="MLX20" s="3507"/>
      <c r="MLY20" s="3507"/>
      <c r="MLZ20" s="3507"/>
      <c r="MMA20" s="3507"/>
      <c r="MMB20" s="3507"/>
      <c r="MMC20" s="3507"/>
      <c r="MMD20" s="3507"/>
      <c r="MME20" s="3507"/>
      <c r="MMF20" s="3507"/>
      <c r="MMG20" s="3507"/>
      <c r="MMH20" s="3507"/>
      <c r="MMI20" s="3507"/>
      <c r="MMJ20" s="3507"/>
      <c r="MMK20" s="3507"/>
      <c r="MML20" s="3507"/>
      <c r="MMM20" s="3507"/>
      <c r="MMN20" s="3507"/>
      <c r="MMO20" s="3507"/>
      <c r="MMP20" s="3507"/>
      <c r="MMQ20" s="3507"/>
      <c r="MMR20" s="3507"/>
      <c r="MMS20" s="3507"/>
      <c r="MMT20" s="3507"/>
      <c r="MMU20" s="3507"/>
      <c r="MMV20" s="3507"/>
      <c r="MMW20" s="3507"/>
      <c r="MMX20" s="3507"/>
      <c r="MMY20" s="3507"/>
      <c r="MMZ20" s="3507"/>
      <c r="MNA20" s="3507"/>
      <c r="MNB20" s="3507"/>
      <c r="MNC20" s="3507"/>
      <c r="MND20" s="3507"/>
      <c r="MNE20" s="3507"/>
      <c r="MNF20" s="3507"/>
      <c r="MNG20" s="3507"/>
      <c r="MNH20" s="3507"/>
      <c r="MNI20" s="3507"/>
      <c r="MNJ20" s="3507"/>
      <c r="MNK20" s="3507"/>
      <c r="MNL20" s="3507"/>
      <c r="MNM20" s="3507"/>
      <c r="MNN20" s="3507"/>
      <c r="MNO20" s="3507"/>
      <c r="MNP20" s="3507"/>
      <c r="MNQ20" s="3507"/>
      <c r="MNR20" s="3507"/>
      <c r="MNS20" s="3507"/>
      <c r="MNT20" s="3507"/>
      <c r="MNU20" s="3507"/>
      <c r="MNV20" s="3507"/>
      <c r="MNW20" s="3507"/>
      <c r="MNX20" s="3507"/>
      <c r="MNY20" s="3507"/>
      <c r="MNZ20" s="3507"/>
      <c r="MOA20" s="3507"/>
      <c r="MOB20" s="3507"/>
      <c r="MOC20" s="3507"/>
      <c r="MOD20" s="3507"/>
      <c r="MOE20" s="3507"/>
      <c r="MOF20" s="3507"/>
      <c r="MOG20" s="3507"/>
      <c r="MOH20" s="3507"/>
      <c r="MOI20" s="3507"/>
      <c r="MOJ20" s="3507"/>
      <c r="MOK20" s="3507"/>
      <c r="MOL20" s="3507"/>
      <c r="MOM20" s="3507"/>
      <c r="MON20" s="3507"/>
      <c r="MOO20" s="3507"/>
      <c r="MOP20" s="3507"/>
      <c r="MOQ20" s="3507"/>
      <c r="MOR20" s="3507"/>
      <c r="MOS20" s="3507"/>
      <c r="MOT20" s="3507"/>
      <c r="MOU20" s="3507"/>
      <c r="MOV20" s="3507"/>
      <c r="MOW20" s="3507"/>
      <c r="MOX20" s="3507"/>
      <c r="MOY20" s="3507"/>
      <c r="MOZ20" s="3507"/>
      <c r="MPA20" s="3507"/>
      <c r="MPB20" s="3507"/>
      <c r="MPC20" s="3507"/>
      <c r="MPD20" s="3507"/>
      <c r="MPE20" s="3507"/>
      <c r="MPF20" s="3507"/>
      <c r="MPG20" s="3507"/>
      <c r="MPH20" s="3507"/>
      <c r="MPI20" s="3507"/>
      <c r="MPJ20" s="3507"/>
      <c r="MPK20" s="3507"/>
      <c r="MPL20" s="3507"/>
      <c r="MPM20" s="3507"/>
      <c r="MPN20" s="3507"/>
      <c r="MPO20" s="3507"/>
      <c r="MPP20" s="3507"/>
      <c r="MPQ20" s="3507"/>
      <c r="MPR20" s="3507"/>
      <c r="MPS20" s="3507"/>
      <c r="MPT20" s="3507"/>
      <c r="MPU20" s="3507"/>
      <c r="MPV20" s="3507"/>
      <c r="MPW20" s="3507"/>
      <c r="MPX20" s="3507"/>
      <c r="MPY20" s="3507"/>
      <c r="MPZ20" s="3507"/>
      <c r="MQA20" s="3507"/>
      <c r="MQB20" s="3507"/>
      <c r="MQC20" s="3507"/>
      <c r="MQD20" s="3507"/>
      <c r="MQE20" s="3507"/>
      <c r="MQF20" s="3507"/>
      <c r="MQG20" s="3507"/>
      <c r="MQH20" s="3507"/>
      <c r="MQI20" s="3507"/>
      <c r="MQJ20" s="3507"/>
      <c r="MQK20" s="3507"/>
      <c r="MQL20" s="3507"/>
      <c r="MQM20" s="3507"/>
      <c r="MQN20" s="3507"/>
      <c r="MQO20" s="3507"/>
      <c r="MQP20" s="3507"/>
      <c r="MQQ20" s="3507"/>
      <c r="MQR20" s="3507"/>
      <c r="MQS20" s="3507"/>
      <c r="MQT20" s="3507"/>
      <c r="MQU20" s="3507"/>
      <c r="MQV20" s="3507"/>
      <c r="MQW20" s="3507"/>
      <c r="MQX20" s="3507"/>
      <c r="MQY20" s="3507"/>
      <c r="MQZ20" s="3507"/>
      <c r="MRA20" s="3507"/>
      <c r="MRB20" s="3507"/>
      <c r="MRC20" s="3507"/>
      <c r="MRD20" s="3507"/>
      <c r="MRE20" s="3507"/>
      <c r="MRF20" s="3507"/>
      <c r="MRG20" s="3507"/>
      <c r="MRH20" s="3507"/>
      <c r="MRI20" s="3507"/>
      <c r="MRJ20" s="3507"/>
      <c r="MRK20" s="3507"/>
      <c r="MRL20" s="3507"/>
      <c r="MRM20" s="3507"/>
      <c r="MRN20" s="3507"/>
      <c r="MRO20" s="3507"/>
      <c r="MRP20" s="3507"/>
      <c r="MRQ20" s="3507"/>
      <c r="MRR20" s="3507"/>
      <c r="MRS20" s="3507"/>
      <c r="MRT20" s="3507"/>
      <c r="MRU20" s="3507"/>
      <c r="MRV20" s="3507"/>
      <c r="MRW20" s="3507"/>
      <c r="MRX20" s="3507"/>
      <c r="MRY20" s="3507"/>
      <c r="MRZ20" s="3507"/>
      <c r="MSA20" s="3507"/>
      <c r="MSB20" s="3507"/>
      <c r="MSC20" s="3507"/>
      <c r="MSD20" s="3507"/>
      <c r="MSE20" s="3507"/>
      <c r="MSF20" s="3507"/>
      <c r="MSG20" s="3507"/>
      <c r="MSH20" s="3507"/>
      <c r="MSI20" s="3507"/>
      <c r="MSJ20" s="3507"/>
      <c r="MSK20" s="3507"/>
      <c r="MSL20" s="3507"/>
      <c r="MSM20" s="3507"/>
      <c r="MSN20" s="3507"/>
      <c r="MSO20" s="3507"/>
      <c r="MSP20" s="3507"/>
      <c r="MSQ20" s="3507"/>
      <c r="MSR20" s="3507"/>
      <c r="MSS20" s="3507"/>
      <c r="MST20" s="3507"/>
      <c r="MSU20" s="3507"/>
      <c r="MSV20" s="3507"/>
      <c r="MSW20" s="3507"/>
      <c r="MSX20" s="3507"/>
      <c r="MSY20" s="3507"/>
      <c r="MSZ20" s="3507"/>
      <c r="MTA20" s="3507"/>
      <c r="MTB20" s="3507"/>
      <c r="MTC20" s="3507"/>
      <c r="MTD20" s="3507"/>
      <c r="MTE20" s="3507"/>
      <c r="MTF20" s="3507"/>
      <c r="MTG20" s="3507"/>
      <c r="MTH20" s="3507"/>
      <c r="MTI20" s="3507"/>
      <c r="MTJ20" s="3507"/>
      <c r="MTK20" s="3507"/>
      <c r="MTL20" s="3507"/>
      <c r="MTM20" s="3507"/>
      <c r="MTN20" s="3507"/>
      <c r="MTO20" s="3507"/>
      <c r="MTP20" s="3507"/>
      <c r="MTQ20" s="3507"/>
      <c r="MTR20" s="3507"/>
      <c r="MTS20" s="3507"/>
      <c r="MTT20" s="3507"/>
      <c r="MTU20" s="3507"/>
      <c r="MTV20" s="3507"/>
      <c r="MTW20" s="3507"/>
      <c r="MTX20" s="3507"/>
      <c r="MTY20" s="3507"/>
      <c r="MTZ20" s="3507"/>
      <c r="MUA20" s="3507"/>
      <c r="MUB20" s="3507"/>
      <c r="MUC20" s="3507"/>
      <c r="MUD20" s="3507"/>
      <c r="MUE20" s="3507"/>
      <c r="MUF20" s="3507"/>
      <c r="MUG20" s="3507"/>
      <c r="MUH20" s="3507"/>
      <c r="MUI20" s="3507"/>
      <c r="MUJ20" s="3507"/>
      <c r="MUK20" s="3507"/>
      <c r="MUL20" s="3507"/>
      <c r="MUM20" s="3507"/>
      <c r="MUN20" s="3507"/>
      <c r="MUO20" s="3507"/>
      <c r="MUP20" s="3507"/>
      <c r="MUQ20" s="3507"/>
      <c r="MUR20" s="3507"/>
      <c r="MUS20" s="3507"/>
      <c r="MUT20" s="3507"/>
      <c r="MUU20" s="3507"/>
      <c r="MUV20" s="3507"/>
      <c r="MUW20" s="3507"/>
      <c r="MUX20" s="3507"/>
      <c r="MUY20" s="3507"/>
      <c r="MUZ20" s="3507"/>
      <c r="MVA20" s="3507"/>
      <c r="MVB20" s="3507"/>
      <c r="MVC20" s="3507"/>
      <c r="MVD20" s="3507"/>
      <c r="MVE20" s="3507"/>
      <c r="MVF20" s="3507"/>
      <c r="MVG20" s="3507"/>
      <c r="MVH20" s="3507"/>
      <c r="MVI20" s="3507"/>
      <c r="MVJ20" s="3507"/>
      <c r="MVK20" s="3507"/>
      <c r="MVL20" s="3507"/>
      <c r="MVM20" s="3507"/>
      <c r="MVN20" s="3507"/>
      <c r="MVO20" s="3507"/>
      <c r="MVP20" s="3507"/>
      <c r="MVQ20" s="3507"/>
      <c r="MVR20" s="3507"/>
      <c r="MVS20" s="3507"/>
      <c r="MVT20" s="3507"/>
      <c r="MVU20" s="3507"/>
      <c r="MVV20" s="3507"/>
      <c r="MVW20" s="3507"/>
      <c r="MVX20" s="3507"/>
      <c r="MVY20" s="3507"/>
      <c r="MVZ20" s="3507"/>
      <c r="MWA20" s="3507"/>
      <c r="MWB20" s="3507"/>
      <c r="MWC20" s="3507"/>
      <c r="MWD20" s="3507"/>
      <c r="MWE20" s="3507"/>
      <c r="MWF20" s="3507"/>
      <c r="MWG20" s="3507"/>
      <c r="MWH20" s="3507"/>
      <c r="MWI20" s="3507"/>
      <c r="MWJ20" s="3507"/>
      <c r="MWK20" s="3507"/>
      <c r="MWL20" s="3507"/>
      <c r="MWM20" s="3507"/>
      <c r="MWN20" s="3507"/>
      <c r="MWO20" s="3507"/>
      <c r="MWP20" s="3507"/>
      <c r="MWQ20" s="3507"/>
      <c r="MWR20" s="3507"/>
      <c r="MWS20" s="3507"/>
      <c r="MWT20" s="3507"/>
      <c r="MWU20" s="3507"/>
      <c r="MWV20" s="3507"/>
      <c r="MWW20" s="3507"/>
      <c r="MWX20" s="3507"/>
      <c r="MWY20" s="3507"/>
      <c r="MWZ20" s="3507"/>
      <c r="MXA20" s="3507"/>
      <c r="MXB20" s="3507"/>
      <c r="MXC20" s="3507"/>
      <c r="MXD20" s="3507"/>
      <c r="MXE20" s="3507"/>
      <c r="MXF20" s="3507"/>
      <c r="MXG20" s="3507"/>
      <c r="MXH20" s="3507"/>
      <c r="MXI20" s="3507"/>
      <c r="MXJ20" s="3507"/>
      <c r="MXK20" s="3507"/>
      <c r="MXL20" s="3507"/>
      <c r="MXM20" s="3507"/>
      <c r="MXN20" s="3507"/>
      <c r="MXO20" s="3507"/>
      <c r="MXP20" s="3507"/>
      <c r="MXQ20" s="3507"/>
      <c r="MXR20" s="3507"/>
      <c r="MXS20" s="3507"/>
      <c r="MXT20" s="3507"/>
      <c r="MXU20" s="3507"/>
      <c r="MXV20" s="3507"/>
      <c r="MXW20" s="3507"/>
      <c r="MXX20" s="3507"/>
      <c r="MXY20" s="3507"/>
      <c r="MXZ20" s="3507"/>
      <c r="MYA20" s="3507"/>
      <c r="MYB20" s="3507"/>
      <c r="MYC20" s="3507"/>
      <c r="MYD20" s="3507"/>
      <c r="MYE20" s="3507"/>
      <c r="MYF20" s="3507"/>
      <c r="MYG20" s="3507"/>
      <c r="MYH20" s="3507"/>
      <c r="MYI20" s="3507"/>
      <c r="MYJ20" s="3507"/>
      <c r="MYK20" s="3507"/>
      <c r="MYL20" s="3507"/>
      <c r="MYM20" s="3507"/>
      <c r="MYN20" s="3507"/>
      <c r="MYO20" s="3507"/>
      <c r="MYP20" s="3507"/>
      <c r="MYQ20" s="3507"/>
      <c r="MYR20" s="3507"/>
      <c r="MYS20" s="3507"/>
      <c r="MYT20" s="3507"/>
      <c r="MYU20" s="3507"/>
      <c r="MYV20" s="3507"/>
      <c r="MYW20" s="3507"/>
      <c r="MYX20" s="3507"/>
      <c r="MYY20" s="3507"/>
      <c r="MYZ20" s="3507"/>
      <c r="MZA20" s="3507"/>
      <c r="MZB20" s="3507"/>
      <c r="MZC20" s="3507"/>
      <c r="MZD20" s="3507"/>
      <c r="MZE20" s="3507"/>
      <c r="MZF20" s="3507"/>
      <c r="MZG20" s="3507"/>
      <c r="MZH20" s="3507"/>
      <c r="MZI20" s="3507"/>
      <c r="MZJ20" s="3507"/>
      <c r="MZK20" s="3507"/>
      <c r="MZL20" s="3507"/>
      <c r="MZM20" s="3507"/>
      <c r="MZN20" s="3507"/>
      <c r="MZO20" s="3507"/>
      <c r="MZP20" s="3507"/>
      <c r="MZQ20" s="3507"/>
      <c r="MZR20" s="3507"/>
      <c r="MZS20" s="3507"/>
      <c r="MZT20" s="3507"/>
      <c r="MZU20" s="3507"/>
      <c r="MZV20" s="3507"/>
      <c r="MZW20" s="3507"/>
      <c r="MZX20" s="3507"/>
      <c r="MZY20" s="3507"/>
      <c r="MZZ20" s="3507"/>
      <c r="NAA20" s="3507"/>
      <c r="NAB20" s="3507"/>
      <c r="NAC20" s="3507"/>
      <c r="NAD20" s="3507"/>
      <c r="NAE20" s="3507"/>
      <c r="NAF20" s="3507"/>
      <c r="NAG20" s="3507"/>
      <c r="NAH20" s="3507"/>
      <c r="NAI20" s="3507"/>
      <c r="NAJ20" s="3507"/>
      <c r="NAK20" s="3507"/>
      <c r="NAL20" s="3507"/>
      <c r="NAM20" s="3507"/>
      <c r="NAN20" s="3507"/>
      <c r="NAO20" s="3507"/>
      <c r="NAP20" s="3507"/>
      <c r="NAQ20" s="3507"/>
      <c r="NAR20" s="3507"/>
      <c r="NAS20" s="3507"/>
      <c r="NAT20" s="3507"/>
      <c r="NAU20" s="3507"/>
      <c r="NAV20" s="3507"/>
      <c r="NAW20" s="3507"/>
      <c r="NAX20" s="3507"/>
      <c r="NAY20" s="3507"/>
      <c r="NAZ20" s="3507"/>
      <c r="NBA20" s="3507"/>
      <c r="NBB20" s="3507"/>
      <c r="NBC20" s="3507"/>
      <c r="NBD20" s="3507"/>
      <c r="NBE20" s="3507"/>
      <c r="NBF20" s="3507"/>
      <c r="NBG20" s="3507"/>
      <c r="NBH20" s="3507"/>
      <c r="NBI20" s="3507"/>
      <c r="NBJ20" s="3507"/>
      <c r="NBK20" s="3507"/>
      <c r="NBL20" s="3507"/>
      <c r="NBM20" s="3507"/>
      <c r="NBN20" s="3507"/>
      <c r="NBO20" s="3507"/>
      <c r="NBP20" s="3507"/>
      <c r="NBQ20" s="3507"/>
      <c r="NBR20" s="3507"/>
      <c r="NBS20" s="3507"/>
      <c r="NBT20" s="3507"/>
      <c r="NBU20" s="3507"/>
      <c r="NBV20" s="3507"/>
      <c r="NBW20" s="3507"/>
      <c r="NBX20" s="3507"/>
      <c r="NBY20" s="3507"/>
      <c r="NBZ20" s="3507"/>
      <c r="NCA20" s="3507"/>
      <c r="NCB20" s="3507"/>
      <c r="NCC20" s="3507"/>
      <c r="NCD20" s="3507"/>
      <c r="NCE20" s="3507"/>
      <c r="NCF20" s="3507"/>
      <c r="NCG20" s="3507"/>
      <c r="NCH20" s="3507"/>
      <c r="NCI20" s="3507"/>
      <c r="NCJ20" s="3507"/>
      <c r="NCK20" s="3507"/>
      <c r="NCL20" s="3507"/>
      <c r="NCM20" s="3507"/>
      <c r="NCN20" s="3507"/>
      <c r="NCO20" s="3507"/>
      <c r="NCP20" s="3507"/>
      <c r="NCQ20" s="3507"/>
      <c r="NCR20" s="3507"/>
      <c r="NCS20" s="3507"/>
      <c r="NCT20" s="3507"/>
      <c r="NCU20" s="3507"/>
      <c r="NCV20" s="3507"/>
      <c r="NCW20" s="3507"/>
      <c r="NCX20" s="3507"/>
      <c r="NCY20" s="3507"/>
      <c r="NCZ20" s="3507"/>
      <c r="NDA20" s="3507"/>
      <c r="NDB20" s="3507"/>
      <c r="NDC20" s="3507"/>
      <c r="NDD20" s="3507"/>
      <c r="NDE20" s="3507"/>
      <c r="NDF20" s="3507"/>
      <c r="NDG20" s="3507"/>
      <c r="NDH20" s="3507"/>
      <c r="NDI20" s="3507"/>
      <c r="NDJ20" s="3507"/>
      <c r="NDK20" s="3507"/>
      <c r="NDL20" s="3507"/>
      <c r="NDM20" s="3507"/>
      <c r="NDN20" s="3507"/>
      <c r="NDO20" s="3507"/>
      <c r="NDP20" s="3507"/>
      <c r="NDQ20" s="3507"/>
      <c r="NDR20" s="3507"/>
      <c r="NDS20" s="3507"/>
      <c r="NDT20" s="3507"/>
      <c r="NDU20" s="3507"/>
      <c r="NDV20" s="3507"/>
      <c r="NDW20" s="3507"/>
      <c r="NDX20" s="3507"/>
      <c r="NDY20" s="3507"/>
      <c r="NDZ20" s="3507"/>
      <c r="NEA20" s="3507"/>
      <c r="NEB20" s="3507"/>
      <c r="NEC20" s="3507"/>
      <c r="NED20" s="3507"/>
      <c r="NEE20" s="3507"/>
      <c r="NEF20" s="3507"/>
      <c r="NEG20" s="3507"/>
      <c r="NEH20" s="3507"/>
      <c r="NEI20" s="3507"/>
      <c r="NEJ20" s="3507"/>
      <c r="NEK20" s="3507"/>
      <c r="NEL20" s="3507"/>
      <c r="NEM20" s="3507"/>
      <c r="NEN20" s="3507"/>
      <c r="NEO20" s="3507"/>
      <c r="NEP20" s="3507"/>
      <c r="NEQ20" s="3507"/>
      <c r="NER20" s="3507"/>
      <c r="NES20" s="3507"/>
      <c r="NET20" s="3507"/>
      <c r="NEU20" s="3507"/>
      <c r="NEV20" s="3507"/>
      <c r="NEW20" s="3507"/>
      <c r="NEX20" s="3507"/>
      <c r="NEY20" s="3507"/>
      <c r="NEZ20" s="3507"/>
      <c r="NFA20" s="3507"/>
      <c r="NFB20" s="3507"/>
      <c r="NFC20" s="3507"/>
      <c r="NFD20" s="3507"/>
      <c r="NFE20" s="3507"/>
      <c r="NFF20" s="3507"/>
      <c r="NFG20" s="3507"/>
      <c r="NFH20" s="3507"/>
      <c r="NFI20" s="3507"/>
      <c r="NFJ20" s="3507"/>
      <c r="NFK20" s="3507"/>
      <c r="NFL20" s="3507"/>
      <c r="NFM20" s="3507"/>
      <c r="NFN20" s="3507"/>
      <c r="NFO20" s="3507"/>
      <c r="NFP20" s="3507"/>
      <c r="NFQ20" s="3507"/>
      <c r="NFR20" s="3507"/>
      <c r="NFS20" s="3507"/>
      <c r="NFT20" s="3507"/>
      <c r="NFU20" s="3507"/>
      <c r="NFV20" s="3507"/>
      <c r="NFW20" s="3507"/>
      <c r="NFX20" s="3507"/>
      <c r="NFY20" s="3507"/>
      <c r="NFZ20" s="3507"/>
      <c r="NGA20" s="3507"/>
      <c r="NGB20" s="3507"/>
      <c r="NGC20" s="3507"/>
      <c r="NGD20" s="3507"/>
      <c r="NGE20" s="3507"/>
      <c r="NGF20" s="3507"/>
      <c r="NGG20" s="3507"/>
      <c r="NGH20" s="3507"/>
      <c r="NGI20" s="3507"/>
      <c r="NGJ20" s="3507"/>
      <c r="NGK20" s="3507"/>
      <c r="NGL20" s="3507"/>
      <c r="NGM20" s="3507"/>
      <c r="NGN20" s="3507"/>
      <c r="NGO20" s="3507"/>
      <c r="NGP20" s="3507"/>
      <c r="NGQ20" s="3507"/>
      <c r="NGR20" s="3507"/>
      <c r="NGS20" s="3507"/>
      <c r="NGT20" s="3507"/>
      <c r="NGU20" s="3507"/>
      <c r="NGV20" s="3507"/>
      <c r="NGW20" s="3507"/>
      <c r="NGX20" s="3507"/>
      <c r="NGY20" s="3507"/>
      <c r="NGZ20" s="3507"/>
      <c r="NHA20" s="3507"/>
      <c r="NHB20" s="3507"/>
      <c r="NHC20" s="3507"/>
      <c r="NHD20" s="3507"/>
      <c r="NHE20" s="3507"/>
      <c r="NHF20" s="3507"/>
      <c r="NHG20" s="3507"/>
      <c r="NHH20" s="3507"/>
      <c r="NHI20" s="3507"/>
      <c r="NHJ20" s="3507"/>
      <c r="NHK20" s="3507"/>
      <c r="NHL20" s="3507"/>
      <c r="NHM20" s="3507"/>
      <c r="NHN20" s="3507"/>
      <c r="NHO20" s="3507"/>
      <c r="NHP20" s="3507"/>
      <c r="NHQ20" s="3507"/>
      <c r="NHR20" s="3507"/>
      <c r="NHS20" s="3507"/>
      <c r="NHT20" s="3507"/>
      <c r="NHU20" s="3507"/>
      <c r="NHV20" s="3507"/>
      <c r="NHW20" s="3507"/>
      <c r="NHX20" s="3507"/>
      <c r="NHY20" s="3507"/>
      <c r="NHZ20" s="3507"/>
      <c r="NIA20" s="3507"/>
      <c r="NIB20" s="3507"/>
      <c r="NIC20" s="3507"/>
      <c r="NID20" s="3507"/>
      <c r="NIE20" s="3507"/>
      <c r="NIF20" s="3507"/>
      <c r="NIG20" s="3507"/>
      <c r="NIH20" s="3507"/>
      <c r="NII20" s="3507"/>
      <c r="NIJ20" s="3507"/>
      <c r="NIK20" s="3507"/>
      <c r="NIL20" s="3507"/>
      <c r="NIM20" s="3507"/>
      <c r="NIN20" s="3507"/>
      <c r="NIO20" s="3507"/>
      <c r="NIP20" s="3507"/>
      <c r="NIQ20" s="3507"/>
      <c r="NIR20" s="3507"/>
      <c r="NIS20" s="3507"/>
      <c r="NIT20" s="3507"/>
      <c r="NIU20" s="3507"/>
      <c r="NIV20" s="3507"/>
      <c r="NIW20" s="3507"/>
      <c r="NIX20" s="3507"/>
      <c r="NIY20" s="3507"/>
      <c r="NIZ20" s="3507"/>
      <c r="NJA20" s="3507"/>
      <c r="NJB20" s="3507"/>
      <c r="NJC20" s="3507"/>
      <c r="NJD20" s="3507"/>
      <c r="NJE20" s="3507"/>
      <c r="NJF20" s="3507"/>
      <c r="NJG20" s="3507"/>
      <c r="NJH20" s="3507"/>
      <c r="NJI20" s="3507"/>
      <c r="NJJ20" s="3507"/>
      <c r="NJK20" s="3507"/>
      <c r="NJL20" s="3507"/>
      <c r="NJM20" s="3507"/>
      <c r="NJN20" s="3507"/>
      <c r="NJO20" s="3507"/>
      <c r="NJP20" s="3507"/>
      <c r="NJQ20" s="3507"/>
      <c r="NJR20" s="3507"/>
      <c r="NJS20" s="3507"/>
      <c r="NJT20" s="3507"/>
      <c r="NJU20" s="3507"/>
      <c r="NJV20" s="3507"/>
      <c r="NJW20" s="3507"/>
      <c r="NJX20" s="3507"/>
      <c r="NJY20" s="3507"/>
      <c r="NJZ20" s="3507"/>
      <c r="NKA20" s="3507"/>
      <c r="NKB20" s="3507"/>
      <c r="NKC20" s="3507"/>
      <c r="NKD20" s="3507"/>
      <c r="NKE20" s="3507"/>
      <c r="NKF20" s="3507"/>
      <c r="NKG20" s="3507"/>
      <c r="NKH20" s="3507"/>
      <c r="NKI20" s="3507"/>
      <c r="NKJ20" s="3507"/>
      <c r="NKK20" s="3507"/>
      <c r="NKL20" s="3507"/>
      <c r="NKM20" s="3507"/>
      <c r="NKN20" s="3507"/>
      <c r="NKO20" s="3507"/>
      <c r="NKP20" s="3507"/>
      <c r="NKQ20" s="3507"/>
      <c r="NKR20" s="3507"/>
      <c r="NKS20" s="3507"/>
      <c r="NKT20" s="3507"/>
      <c r="NKU20" s="3507"/>
      <c r="NKV20" s="3507"/>
      <c r="NKW20" s="3507"/>
      <c r="NKX20" s="3507"/>
      <c r="NKY20" s="3507"/>
      <c r="NKZ20" s="3507"/>
      <c r="NLA20" s="3507"/>
      <c r="NLB20" s="3507"/>
      <c r="NLC20" s="3507"/>
      <c r="NLD20" s="3507"/>
      <c r="NLE20" s="3507"/>
      <c r="NLF20" s="3507"/>
      <c r="NLG20" s="3507"/>
      <c r="NLH20" s="3507"/>
      <c r="NLI20" s="3507"/>
      <c r="NLJ20" s="3507"/>
      <c r="NLK20" s="3507"/>
      <c r="NLL20" s="3507"/>
      <c r="NLM20" s="3507"/>
      <c r="NLN20" s="3507"/>
      <c r="NLO20" s="3507"/>
      <c r="NLP20" s="3507"/>
      <c r="NLQ20" s="3507"/>
      <c r="NLR20" s="3507"/>
      <c r="NLS20" s="3507"/>
      <c r="NLT20" s="3507"/>
      <c r="NLU20" s="3507"/>
      <c r="NLV20" s="3507"/>
      <c r="NLW20" s="3507"/>
      <c r="NLX20" s="3507"/>
      <c r="NLY20" s="3507"/>
      <c r="NLZ20" s="3507"/>
      <c r="NMA20" s="3507"/>
      <c r="NMB20" s="3507"/>
      <c r="NMC20" s="3507"/>
      <c r="NMD20" s="3507"/>
      <c r="NME20" s="3507"/>
      <c r="NMF20" s="3507"/>
      <c r="NMG20" s="3507"/>
      <c r="NMH20" s="3507"/>
      <c r="NMI20" s="3507"/>
      <c r="NMJ20" s="3507"/>
      <c r="NMK20" s="3507"/>
      <c r="NML20" s="3507"/>
      <c r="NMM20" s="3507"/>
      <c r="NMN20" s="3507"/>
      <c r="NMO20" s="3507"/>
      <c r="NMP20" s="3507"/>
      <c r="NMQ20" s="3507"/>
      <c r="NMR20" s="3507"/>
      <c r="NMS20" s="3507"/>
      <c r="NMT20" s="3507"/>
      <c r="NMU20" s="3507"/>
      <c r="NMV20" s="3507"/>
      <c r="NMW20" s="3507"/>
      <c r="NMX20" s="3507"/>
      <c r="NMY20" s="3507"/>
      <c r="NMZ20" s="3507"/>
      <c r="NNA20" s="3507"/>
      <c r="NNB20" s="3507"/>
      <c r="NNC20" s="3507"/>
      <c r="NND20" s="3507"/>
      <c r="NNE20" s="3507"/>
      <c r="NNF20" s="3507"/>
      <c r="NNG20" s="3507"/>
      <c r="NNH20" s="3507"/>
      <c r="NNI20" s="3507"/>
      <c r="NNJ20" s="3507"/>
      <c r="NNK20" s="3507"/>
      <c r="NNL20" s="3507"/>
      <c r="NNM20" s="3507"/>
      <c r="NNN20" s="3507"/>
      <c r="NNO20" s="3507"/>
      <c r="NNP20" s="3507"/>
      <c r="NNQ20" s="3507"/>
      <c r="NNR20" s="3507"/>
      <c r="NNS20" s="3507"/>
      <c r="NNT20" s="3507"/>
      <c r="NNU20" s="3507"/>
      <c r="NNV20" s="3507"/>
      <c r="NNW20" s="3507"/>
      <c r="NNX20" s="3507"/>
      <c r="NNY20" s="3507"/>
      <c r="NNZ20" s="3507"/>
      <c r="NOA20" s="3507"/>
      <c r="NOB20" s="3507"/>
      <c r="NOC20" s="3507"/>
      <c r="NOD20" s="3507"/>
      <c r="NOE20" s="3507"/>
      <c r="NOF20" s="3507"/>
      <c r="NOG20" s="3507"/>
      <c r="NOH20" s="3507"/>
      <c r="NOI20" s="3507"/>
      <c r="NOJ20" s="3507"/>
      <c r="NOK20" s="3507"/>
      <c r="NOL20" s="3507"/>
      <c r="NOM20" s="3507"/>
      <c r="NON20" s="3507"/>
      <c r="NOO20" s="3507"/>
      <c r="NOP20" s="3507"/>
      <c r="NOQ20" s="3507"/>
      <c r="NOR20" s="3507"/>
      <c r="NOS20" s="3507"/>
      <c r="NOT20" s="3507"/>
      <c r="NOU20" s="3507"/>
      <c r="NOV20" s="3507"/>
      <c r="NOW20" s="3507"/>
      <c r="NOX20" s="3507"/>
      <c r="NOY20" s="3507"/>
      <c r="NOZ20" s="3507"/>
      <c r="NPA20" s="3507"/>
      <c r="NPB20" s="3507"/>
      <c r="NPC20" s="3507"/>
      <c r="NPD20" s="3507"/>
      <c r="NPE20" s="3507"/>
      <c r="NPF20" s="3507"/>
      <c r="NPG20" s="3507"/>
      <c r="NPH20" s="3507"/>
      <c r="NPI20" s="3507"/>
      <c r="NPJ20" s="3507"/>
      <c r="NPK20" s="3507"/>
      <c r="NPL20" s="3507"/>
      <c r="NPM20" s="3507"/>
      <c r="NPN20" s="3507"/>
      <c r="NPO20" s="3507"/>
      <c r="NPP20" s="3507"/>
      <c r="NPQ20" s="3507"/>
      <c r="NPR20" s="3507"/>
      <c r="NPS20" s="3507"/>
      <c r="NPT20" s="3507"/>
      <c r="NPU20" s="3507"/>
      <c r="NPV20" s="3507"/>
      <c r="NPW20" s="3507"/>
      <c r="NPX20" s="3507"/>
      <c r="NPY20" s="3507"/>
      <c r="NPZ20" s="3507"/>
      <c r="NQA20" s="3507"/>
      <c r="NQB20" s="3507"/>
      <c r="NQC20" s="3507"/>
      <c r="NQD20" s="3507"/>
      <c r="NQE20" s="3507"/>
      <c r="NQF20" s="3507"/>
      <c r="NQG20" s="3507"/>
      <c r="NQH20" s="3507"/>
      <c r="NQI20" s="3507"/>
      <c r="NQJ20" s="3507"/>
      <c r="NQK20" s="3507"/>
      <c r="NQL20" s="3507"/>
      <c r="NQM20" s="3507"/>
      <c r="NQN20" s="3507"/>
      <c r="NQO20" s="3507"/>
      <c r="NQP20" s="3507"/>
      <c r="NQQ20" s="3507"/>
      <c r="NQR20" s="3507"/>
      <c r="NQS20" s="3507"/>
      <c r="NQT20" s="3507"/>
      <c r="NQU20" s="3507"/>
      <c r="NQV20" s="3507"/>
      <c r="NQW20" s="3507"/>
      <c r="NQX20" s="3507"/>
      <c r="NQY20" s="3507"/>
      <c r="NQZ20" s="3507"/>
      <c r="NRA20" s="3507"/>
      <c r="NRB20" s="3507"/>
      <c r="NRC20" s="3507"/>
      <c r="NRD20" s="3507"/>
      <c r="NRE20" s="3507"/>
      <c r="NRF20" s="3507"/>
      <c r="NRG20" s="3507"/>
      <c r="NRH20" s="3507"/>
      <c r="NRI20" s="3507"/>
      <c r="NRJ20" s="3507"/>
      <c r="NRK20" s="3507"/>
      <c r="NRL20" s="3507"/>
      <c r="NRM20" s="3507"/>
      <c r="NRN20" s="3507"/>
      <c r="NRO20" s="3507"/>
      <c r="NRP20" s="3507"/>
      <c r="NRQ20" s="3507"/>
      <c r="NRR20" s="3507"/>
      <c r="NRS20" s="3507"/>
      <c r="NRT20" s="3507"/>
      <c r="NRU20" s="3507"/>
      <c r="NRV20" s="3507"/>
      <c r="NRW20" s="3507"/>
      <c r="NRX20" s="3507"/>
      <c r="NRY20" s="3507"/>
      <c r="NRZ20" s="3507"/>
      <c r="NSA20" s="3507"/>
      <c r="NSB20" s="3507"/>
      <c r="NSC20" s="3507"/>
      <c r="NSD20" s="3507"/>
      <c r="NSE20" s="3507"/>
      <c r="NSF20" s="3507"/>
      <c r="NSG20" s="3507"/>
      <c r="NSH20" s="3507"/>
      <c r="NSI20" s="3507"/>
      <c r="NSJ20" s="3507"/>
      <c r="NSK20" s="3507"/>
      <c r="NSL20" s="3507"/>
      <c r="NSM20" s="3507"/>
      <c r="NSN20" s="3507"/>
      <c r="NSO20" s="3507"/>
      <c r="NSP20" s="3507"/>
      <c r="NSQ20" s="3507"/>
      <c r="NSR20" s="3507"/>
      <c r="NSS20" s="3507"/>
      <c r="NST20" s="3507"/>
      <c r="NSU20" s="3507"/>
      <c r="NSV20" s="3507"/>
      <c r="NSW20" s="3507"/>
      <c r="NSX20" s="3507"/>
      <c r="NSY20" s="3507"/>
      <c r="NSZ20" s="3507"/>
      <c r="NTA20" s="3507"/>
      <c r="NTB20" s="3507"/>
      <c r="NTC20" s="3507"/>
      <c r="NTD20" s="3507"/>
      <c r="NTE20" s="3507"/>
      <c r="NTF20" s="3507"/>
      <c r="NTG20" s="3507"/>
      <c r="NTH20" s="3507"/>
      <c r="NTI20" s="3507"/>
      <c r="NTJ20" s="3507"/>
      <c r="NTK20" s="3507"/>
      <c r="NTL20" s="3507"/>
      <c r="NTM20" s="3507"/>
      <c r="NTN20" s="3507"/>
      <c r="NTO20" s="3507"/>
      <c r="NTP20" s="3507"/>
      <c r="NTQ20" s="3507"/>
      <c r="NTR20" s="3507"/>
      <c r="NTS20" s="3507"/>
      <c r="NTT20" s="3507"/>
      <c r="NTU20" s="3507"/>
      <c r="NTV20" s="3507"/>
      <c r="NTW20" s="3507"/>
      <c r="NTX20" s="3507"/>
      <c r="NTY20" s="3507"/>
      <c r="NTZ20" s="3507"/>
      <c r="NUA20" s="3507"/>
      <c r="NUB20" s="3507"/>
      <c r="NUC20" s="3507"/>
      <c r="NUD20" s="3507"/>
      <c r="NUE20" s="3507"/>
      <c r="NUF20" s="3507"/>
      <c r="NUG20" s="3507"/>
      <c r="NUH20" s="3507"/>
      <c r="NUI20" s="3507"/>
      <c r="NUJ20" s="3507"/>
      <c r="NUK20" s="3507"/>
      <c r="NUL20" s="3507"/>
      <c r="NUM20" s="3507"/>
      <c r="NUN20" s="3507"/>
      <c r="NUO20" s="3507"/>
      <c r="NUP20" s="3507"/>
      <c r="NUQ20" s="3507"/>
      <c r="NUR20" s="3507"/>
      <c r="NUS20" s="3507"/>
      <c r="NUT20" s="3507"/>
      <c r="NUU20" s="3507"/>
      <c r="NUV20" s="3507"/>
      <c r="NUW20" s="3507"/>
      <c r="NUX20" s="3507"/>
      <c r="NUY20" s="3507"/>
      <c r="NUZ20" s="3507"/>
      <c r="NVA20" s="3507"/>
      <c r="NVB20" s="3507"/>
      <c r="NVC20" s="3507"/>
      <c r="NVD20" s="3507"/>
      <c r="NVE20" s="3507"/>
      <c r="NVF20" s="3507"/>
      <c r="NVG20" s="3507"/>
      <c r="NVH20" s="3507"/>
      <c r="NVI20" s="3507"/>
      <c r="NVJ20" s="3507"/>
      <c r="NVK20" s="3507"/>
      <c r="NVL20" s="3507"/>
      <c r="NVM20" s="3507"/>
      <c r="NVN20" s="3507"/>
      <c r="NVO20" s="3507"/>
      <c r="NVP20" s="3507"/>
      <c r="NVQ20" s="3507"/>
      <c r="NVR20" s="3507"/>
      <c r="NVS20" s="3507"/>
      <c r="NVT20" s="3507"/>
      <c r="NVU20" s="3507"/>
      <c r="NVV20" s="3507"/>
      <c r="NVW20" s="3507"/>
      <c r="NVX20" s="3507"/>
      <c r="NVY20" s="3507"/>
      <c r="NVZ20" s="3507"/>
      <c r="NWA20" s="3507"/>
      <c r="NWB20" s="3507"/>
      <c r="NWC20" s="3507"/>
      <c r="NWD20" s="3507"/>
      <c r="NWE20" s="3507"/>
      <c r="NWF20" s="3507"/>
      <c r="NWG20" s="3507"/>
      <c r="NWH20" s="3507"/>
      <c r="NWI20" s="3507"/>
      <c r="NWJ20" s="3507"/>
      <c r="NWK20" s="3507"/>
      <c r="NWL20" s="3507"/>
      <c r="NWM20" s="3507"/>
      <c r="NWN20" s="3507"/>
      <c r="NWO20" s="3507"/>
      <c r="NWP20" s="3507"/>
      <c r="NWQ20" s="3507"/>
      <c r="NWR20" s="3507"/>
      <c r="NWS20" s="3507"/>
      <c r="NWT20" s="3507"/>
      <c r="NWU20" s="3507"/>
      <c r="NWV20" s="3507"/>
      <c r="NWW20" s="3507"/>
      <c r="NWX20" s="3507"/>
      <c r="NWY20" s="3507"/>
      <c r="NWZ20" s="3507"/>
      <c r="NXA20" s="3507"/>
      <c r="NXB20" s="3507"/>
      <c r="NXC20" s="3507"/>
      <c r="NXD20" s="3507"/>
      <c r="NXE20" s="3507"/>
      <c r="NXF20" s="3507"/>
      <c r="NXG20" s="3507"/>
      <c r="NXH20" s="3507"/>
      <c r="NXI20" s="3507"/>
      <c r="NXJ20" s="3507"/>
      <c r="NXK20" s="3507"/>
      <c r="NXL20" s="3507"/>
      <c r="NXM20" s="3507"/>
      <c r="NXN20" s="3507"/>
      <c r="NXO20" s="3507"/>
      <c r="NXP20" s="3507"/>
      <c r="NXQ20" s="3507"/>
      <c r="NXR20" s="3507"/>
      <c r="NXS20" s="3507"/>
      <c r="NXT20" s="3507"/>
      <c r="NXU20" s="3507"/>
      <c r="NXV20" s="3507"/>
      <c r="NXW20" s="3507"/>
      <c r="NXX20" s="3507"/>
      <c r="NXY20" s="3507"/>
      <c r="NXZ20" s="3507"/>
      <c r="NYA20" s="3507"/>
      <c r="NYB20" s="3507"/>
      <c r="NYC20" s="3507"/>
      <c r="NYD20" s="3507"/>
      <c r="NYE20" s="3507"/>
      <c r="NYF20" s="3507"/>
      <c r="NYG20" s="3507"/>
      <c r="NYH20" s="3507"/>
      <c r="NYI20" s="3507"/>
      <c r="NYJ20" s="3507"/>
      <c r="NYK20" s="3507"/>
      <c r="NYL20" s="3507"/>
      <c r="NYM20" s="3507"/>
      <c r="NYN20" s="3507"/>
      <c r="NYO20" s="3507"/>
      <c r="NYP20" s="3507"/>
      <c r="NYQ20" s="3507"/>
      <c r="NYR20" s="3507"/>
      <c r="NYS20" s="3507"/>
      <c r="NYT20" s="3507"/>
      <c r="NYU20" s="3507"/>
      <c r="NYV20" s="3507"/>
      <c r="NYW20" s="3507"/>
      <c r="NYX20" s="3507"/>
      <c r="NYY20" s="3507"/>
      <c r="NYZ20" s="3507"/>
      <c r="NZA20" s="3507"/>
      <c r="NZB20" s="3507"/>
      <c r="NZC20" s="3507"/>
      <c r="NZD20" s="3507"/>
      <c r="NZE20" s="3507"/>
      <c r="NZF20" s="3507"/>
      <c r="NZG20" s="3507"/>
      <c r="NZH20" s="3507"/>
      <c r="NZI20" s="3507"/>
      <c r="NZJ20" s="3507"/>
      <c r="NZK20" s="3507"/>
      <c r="NZL20" s="3507"/>
      <c r="NZM20" s="3507"/>
      <c r="NZN20" s="3507"/>
      <c r="NZO20" s="3507"/>
      <c r="NZP20" s="3507"/>
      <c r="NZQ20" s="3507"/>
      <c r="NZR20" s="3507"/>
      <c r="NZS20" s="3507"/>
      <c r="NZT20" s="3507"/>
      <c r="NZU20" s="3507"/>
      <c r="NZV20" s="3507"/>
      <c r="NZW20" s="3507"/>
      <c r="NZX20" s="3507"/>
      <c r="NZY20" s="3507"/>
      <c r="NZZ20" s="3507"/>
      <c r="OAA20" s="3507"/>
      <c r="OAB20" s="3507"/>
      <c r="OAC20" s="3507"/>
      <c r="OAD20" s="3507"/>
      <c r="OAE20" s="3507"/>
      <c r="OAF20" s="3507"/>
      <c r="OAG20" s="3507"/>
      <c r="OAH20" s="3507"/>
      <c r="OAI20" s="3507"/>
      <c r="OAJ20" s="3507"/>
      <c r="OAK20" s="3507"/>
      <c r="OAL20" s="3507"/>
      <c r="OAM20" s="3507"/>
      <c r="OAN20" s="3507"/>
      <c r="OAO20" s="3507"/>
      <c r="OAP20" s="3507"/>
      <c r="OAQ20" s="3507"/>
      <c r="OAR20" s="3507"/>
      <c r="OAS20" s="3507"/>
      <c r="OAT20" s="3507"/>
      <c r="OAU20" s="3507"/>
      <c r="OAV20" s="3507"/>
      <c r="OAW20" s="3507"/>
      <c r="OAX20" s="3507"/>
      <c r="OAY20" s="3507"/>
      <c r="OAZ20" s="3507"/>
      <c r="OBA20" s="3507"/>
      <c r="OBB20" s="3507"/>
      <c r="OBC20" s="3507"/>
      <c r="OBD20" s="3507"/>
      <c r="OBE20" s="3507"/>
      <c r="OBF20" s="3507"/>
      <c r="OBG20" s="3507"/>
      <c r="OBH20" s="3507"/>
      <c r="OBI20" s="3507"/>
      <c r="OBJ20" s="3507"/>
      <c r="OBK20" s="3507"/>
      <c r="OBL20" s="3507"/>
      <c r="OBM20" s="3507"/>
      <c r="OBN20" s="3507"/>
      <c r="OBO20" s="3507"/>
      <c r="OBP20" s="3507"/>
      <c r="OBQ20" s="3507"/>
      <c r="OBR20" s="3507"/>
      <c r="OBS20" s="3507"/>
      <c r="OBT20" s="3507"/>
      <c r="OBU20" s="3507"/>
      <c r="OBV20" s="3507"/>
      <c r="OBW20" s="3507"/>
      <c r="OBX20" s="3507"/>
      <c r="OBY20" s="3507"/>
      <c r="OBZ20" s="3507"/>
      <c r="OCA20" s="3507"/>
      <c r="OCB20" s="3507"/>
      <c r="OCC20" s="3507"/>
      <c r="OCD20" s="3507"/>
      <c r="OCE20" s="3507"/>
      <c r="OCF20" s="3507"/>
      <c r="OCG20" s="3507"/>
      <c r="OCH20" s="3507"/>
      <c r="OCI20" s="3507"/>
      <c r="OCJ20" s="3507"/>
      <c r="OCK20" s="3507"/>
      <c r="OCL20" s="3507"/>
      <c r="OCM20" s="3507"/>
      <c r="OCN20" s="3507"/>
      <c r="OCO20" s="3507"/>
      <c r="OCP20" s="3507"/>
      <c r="OCQ20" s="3507"/>
      <c r="OCR20" s="3507"/>
      <c r="OCS20" s="3507"/>
      <c r="OCT20" s="3507"/>
      <c r="OCU20" s="3507"/>
      <c r="OCV20" s="3507"/>
      <c r="OCW20" s="3507"/>
      <c r="OCX20" s="3507"/>
      <c r="OCY20" s="3507"/>
      <c r="OCZ20" s="3507"/>
      <c r="ODA20" s="3507"/>
      <c r="ODB20" s="3507"/>
      <c r="ODC20" s="3507"/>
      <c r="ODD20" s="3507"/>
      <c r="ODE20" s="3507"/>
      <c r="ODF20" s="3507"/>
      <c r="ODG20" s="3507"/>
      <c r="ODH20" s="3507"/>
      <c r="ODI20" s="3507"/>
      <c r="ODJ20" s="3507"/>
      <c r="ODK20" s="3507"/>
      <c r="ODL20" s="3507"/>
      <c r="ODM20" s="3507"/>
      <c r="ODN20" s="3507"/>
      <c r="ODO20" s="3507"/>
      <c r="ODP20" s="3507"/>
      <c r="ODQ20" s="3507"/>
      <c r="ODR20" s="3507"/>
      <c r="ODS20" s="3507"/>
      <c r="ODT20" s="3507"/>
      <c r="ODU20" s="3507"/>
      <c r="ODV20" s="3507"/>
      <c r="ODW20" s="3507"/>
      <c r="ODX20" s="3507"/>
      <c r="ODY20" s="3507"/>
      <c r="ODZ20" s="3507"/>
      <c r="OEA20" s="3507"/>
      <c r="OEB20" s="3507"/>
      <c r="OEC20" s="3507"/>
      <c r="OED20" s="3507"/>
      <c r="OEE20" s="3507"/>
      <c r="OEF20" s="3507"/>
      <c r="OEG20" s="3507"/>
      <c r="OEH20" s="3507"/>
      <c r="OEI20" s="3507"/>
      <c r="OEJ20" s="3507"/>
      <c r="OEK20" s="3507"/>
      <c r="OEL20" s="3507"/>
      <c r="OEM20" s="3507"/>
      <c r="OEN20" s="3507"/>
      <c r="OEO20" s="3507"/>
      <c r="OEP20" s="3507"/>
      <c r="OEQ20" s="3507"/>
      <c r="OER20" s="3507"/>
      <c r="OES20" s="3507"/>
      <c r="OET20" s="3507"/>
      <c r="OEU20" s="3507"/>
      <c r="OEV20" s="3507"/>
      <c r="OEW20" s="3507"/>
      <c r="OEX20" s="3507"/>
      <c r="OEY20" s="3507"/>
      <c r="OEZ20" s="3507"/>
      <c r="OFA20" s="3507"/>
      <c r="OFB20" s="3507"/>
      <c r="OFC20" s="3507"/>
      <c r="OFD20" s="3507"/>
      <c r="OFE20" s="3507"/>
      <c r="OFF20" s="3507"/>
      <c r="OFG20" s="3507"/>
      <c r="OFH20" s="3507"/>
      <c r="OFI20" s="3507"/>
      <c r="OFJ20" s="3507"/>
      <c r="OFK20" s="3507"/>
      <c r="OFL20" s="3507"/>
      <c r="OFM20" s="3507"/>
      <c r="OFN20" s="3507"/>
      <c r="OFO20" s="3507"/>
      <c r="OFP20" s="3507"/>
      <c r="OFQ20" s="3507"/>
      <c r="OFR20" s="3507"/>
      <c r="OFS20" s="3507"/>
      <c r="OFT20" s="3507"/>
      <c r="OFU20" s="3507"/>
      <c r="OFV20" s="3507"/>
      <c r="OFW20" s="3507"/>
      <c r="OFX20" s="3507"/>
      <c r="OFY20" s="3507"/>
      <c r="OFZ20" s="3507"/>
      <c r="OGA20" s="3507"/>
      <c r="OGB20" s="3507"/>
      <c r="OGC20" s="3507"/>
      <c r="OGD20" s="3507"/>
      <c r="OGE20" s="3507"/>
      <c r="OGF20" s="3507"/>
      <c r="OGG20" s="3507"/>
      <c r="OGH20" s="3507"/>
      <c r="OGI20" s="3507"/>
      <c r="OGJ20" s="3507"/>
      <c r="OGK20" s="3507"/>
      <c r="OGL20" s="3507"/>
      <c r="OGM20" s="3507"/>
      <c r="OGN20" s="3507"/>
      <c r="OGO20" s="3507"/>
      <c r="OGP20" s="3507"/>
      <c r="OGQ20" s="3507"/>
      <c r="OGR20" s="3507"/>
      <c r="OGS20" s="3507"/>
      <c r="OGT20" s="3507"/>
      <c r="OGU20" s="3507"/>
      <c r="OGV20" s="3507"/>
      <c r="OGW20" s="3507"/>
      <c r="OGX20" s="3507"/>
      <c r="OGY20" s="3507"/>
      <c r="OGZ20" s="3507"/>
      <c r="OHA20" s="3507"/>
      <c r="OHB20" s="3507"/>
      <c r="OHC20" s="3507"/>
      <c r="OHD20" s="3507"/>
      <c r="OHE20" s="3507"/>
      <c r="OHF20" s="3507"/>
      <c r="OHG20" s="3507"/>
      <c r="OHH20" s="3507"/>
      <c r="OHI20" s="3507"/>
      <c r="OHJ20" s="3507"/>
      <c r="OHK20" s="3507"/>
      <c r="OHL20" s="3507"/>
      <c r="OHM20" s="3507"/>
      <c r="OHN20" s="3507"/>
      <c r="OHO20" s="3507"/>
      <c r="OHP20" s="3507"/>
      <c r="OHQ20" s="3507"/>
      <c r="OHR20" s="3507"/>
      <c r="OHS20" s="3507"/>
      <c r="OHT20" s="3507"/>
      <c r="OHU20" s="3507"/>
      <c r="OHV20" s="3507"/>
      <c r="OHW20" s="3507"/>
      <c r="OHX20" s="3507"/>
      <c r="OHY20" s="3507"/>
      <c r="OHZ20" s="3507"/>
      <c r="OIA20" s="3507"/>
      <c r="OIB20" s="3507"/>
      <c r="OIC20" s="3507"/>
      <c r="OID20" s="3507"/>
      <c r="OIE20" s="3507"/>
      <c r="OIF20" s="3507"/>
      <c r="OIG20" s="3507"/>
      <c r="OIH20" s="3507"/>
      <c r="OII20" s="3507"/>
      <c r="OIJ20" s="3507"/>
      <c r="OIK20" s="3507"/>
      <c r="OIL20" s="3507"/>
      <c r="OIM20" s="3507"/>
      <c r="OIN20" s="3507"/>
      <c r="OIO20" s="3507"/>
      <c r="OIP20" s="3507"/>
      <c r="OIQ20" s="3507"/>
      <c r="OIR20" s="3507"/>
      <c r="OIS20" s="3507"/>
      <c r="OIT20" s="3507"/>
      <c r="OIU20" s="3507"/>
      <c r="OIV20" s="3507"/>
      <c r="OIW20" s="3507"/>
      <c r="OIX20" s="3507"/>
      <c r="OIY20" s="3507"/>
      <c r="OIZ20" s="3507"/>
      <c r="OJA20" s="3507"/>
      <c r="OJB20" s="3507"/>
      <c r="OJC20" s="3507"/>
      <c r="OJD20" s="3507"/>
      <c r="OJE20" s="3507"/>
      <c r="OJF20" s="3507"/>
      <c r="OJG20" s="3507"/>
      <c r="OJH20" s="3507"/>
      <c r="OJI20" s="3507"/>
      <c r="OJJ20" s="3507"/>
      <c r="OJK20" s="3507"/>
      <c r="OJL20" s="3507"/>
      <c r="OJM20" s="3507"/>
      <c r="OJN20" s="3507"/>
      <c r="OJO20" s="3507"/>
      <c r="OJP20" s="3507"/>
      <c r="OJQ20" s="3507"/>
      <c r="OJR20" s="3507"/>
      <c r="OJS20" s="3507"/>
      <c r="OJT20" s="3507"/>
      <c r="OJU20" s="3507"/>
      <c r="OJV20" s="3507"/>
      <c r="OJW20" s="3507"/>
      <c r="OJX20" s="3507"/>
      <c r="OJY20" s="3507"/>
      <c r="OJZ20" s="3507"/>
      <c r="OKA20" s="3507"/>
      <c r="OKB20" s="3507"/>
      <c r="OKC20" s="3507"/>
      <c r="OKD20" s="3507"/>
      <c r="OKE20" s="3507"/>
      <c r="OKF20" s="3507"/>
      <c r="OKG20" s="3507"/>
      <c r="OKH20" s="3507"/>
      <c r="OKI20" s="3507"/>
      <c r="OKJ20" s="3507"/>
      <c r="OKK20" s="3507"/>
      <c r="OKL20" s="3507"/>
      <c r="OKM20" s="3507"/>
      <c r="OKN20" s="3507"/>
      <c r="OKO20" s="3507"/>
      <c r="OKP20" s="3507"/>
      <c r="OKQ20" s="3507"/>
      <c r="OKR20" s="3507"/>
      <c r="OKS20" s="3507"/>
      <c r="OKT20" s="3507"/>
      <c r="OKU20" s="3507"/>
      <c r="OKV20" s="3507"/>
      <c r="OKW20" s="3507"/>
      <c r="OKX20" s="3507"/>
      <c r="OKY20" s="3507"/>
      <c r="OKZ20" s="3507"/>
      <c r="OLA20" s="3507"/>
      <c r="OLB20" s="3507"/>
      <c r="OLC20" s="3507"/>
      <c r="OLD20" s="3507"/>
      <c r="OLE20" s="3507"/>
      <c r="OLF20" s="3507"/>
      <c r="OLG20" s="3507"/>
      <c r="OLH20" s="3507"/>
      <c r="OLI20" s="3507"/>
      <c r="OLJ20" s="3507"/>
      <c r="OLK20" s="3507"/>
      <c r="OLL20" s="3507"/>
      <c r="OLM20" s="3507"/>
      <c r="OLN20" s="3507"/>
      <c r="OLO20" s="3507"/>
      <c r="OLP20" s="3507"/>
      <c r="OLQ20" s="3507"/>
      <c r="OLR20" s="3507"/>
      <c r="OLS20" s="3507"/>
      <c r="OLT20" s="3507"/>
      <c r="OLU20" s="3507"/>
      <c r="OLV20" s="3507"/>
      <c r="OLW20" s="3507"/>
      <c r="OLX20" s="3507"/>
      <c r="OLY20" s="3507"/>
      <c r="OLZ20" s="3507"/>
      <c r="OMA20" s="3507"/>
      <c r="OMB20" s="3507"/>
      <c r="OMC20" s="3507"/>
      <c r="OMD20" s="3507"/>
      <c r="OME20" s="3507"/>
      <c r="OMF20" s="3507"/>
      <c r="OMG20" s="3507"/>
      <c r="OMH20" s="3507"/>
      <c r="OMI20" s="3507"/>
      <c r="OMJ20" s="3507"/>
      <c r="OMK20" s="3507"/>
      <c r="OML20" s="3507"/>
      <c r="OMM20" s="3507"/>
      <c r="OMN20" s="3507"/>
      <c r="OMO20" s="3507"/>
      <c r="OMP20" s="3507"/>
      <c r="OMQ20" s="3507"/>
      <c r="OMR20" s="3507"/>
      <c r="OMS20" s="3507"/>
      <c r="OMT20" s="3507"/>
      <c r="OMU20" s="3507"/>
      <c r="OMV20" s="3507"/>
      <c r="OMW20" s="3507"/>
      <c r="OMX20" s="3507"/>
      <c r="OMY20" s="3507"/>
      <c r="OMZ20" s="3507"/>
      <c r="ONA20" s="3507"/>
      <c r="ONB20" s="3507"/>
      <c r="ONC20" s="3507"/>
      <c r="OND20" s="3507"/>
      <c r="ONE20" s="3507"/>
      <c r="ONF20" s="3507"/>
      <c r="ONG20" s="3507"/>
      <c r="ONH20" s="3507"/>
      <c r="ONI20" s="3507"/>
      <c r="ONJ20" s="3507"/>
      <c r="ONK20" s="3507"/>
      <c r="ONL20" s="3507"/>
      <c r="ONM20" s="3507"/>
      <c r="ONN20" s="3507"/>
      <c r="ONO20" s="3507"/>
      <c r="ONP20" s="3507"/>
      <c r="ONQ20" s="3507"/>
      <c r="ONR20" s="3507"/>
      <c r="ONS20" s="3507"/>
      <c r="ONT20" s="3507"/>
      <c r="ONU20" s="3507"/>
      <c r="ONV20" s="3507"/>
      <c r="ONW20" s="3507"/>
      <c r="ONX20" s="3507"/>
      <c r="ONY20" s="3507"/>
      <c r="ONZ20" s="3507"/>
      <c r="OOA20" s="3507"/>
      <c r="OOB20" s="3507"/>
      <c r="OOC20" s="3507"/>
      <c r="OOD20" s="3507"/>
      <c r="OOE20" s="3507"/>
      <c r="OOF20" s="3507"/>
      <c r="OOG20" s="3507"/>
      <c r="OOH20" s="3507"/>
      <c r="OOI20" s="3507"/>
      <c r="OOJ20" s="3507"/>
      <c r="OOK20" s="3507"/>
      <c r="OOL20" s="3507"/>
      <c r="OOM20" s="3507"/>
      <c r="OON20" s="3507"/>
      <c r="OOO20" s="3507"/>
      <c r="OOP20" s="3507"/>
      <c r="OOQ20" s="3507"/>
      <c r="OOR20" s="3507"/>
      <c r="OOS20" s="3507"/>
      <c r="OOT20" s="3507"/>
      <c r="OOU20" s="3507"/>
      <c r="OOV20" s="3507"/>
      <c r="OOW20" s="3507"/>
      <c r="OOX20" s="3507"/>
      <c r="OOY20" s="3507"/>
      <c r="OOZ20" s="3507"/>
      <c r="OPA20" s="3507"/>
      <c r="OPB20" s="3507"/>
      <c r="OPC20" s="3507"/>
      <c r="OPD20" s="3507"/>
      <c r="OPE20" s="3507"/>
      <c r="OPF20" s="3507"/>
      <c r="OPG20" s="3507"/>
      <c r="OPH20" s="3507"/>
      <c r="OPI20" s="3507"/>
      <c r="OPJ20" s="3507"/>
      <c r="OPK20" s="3507"/>
      <c r="OPL20" s="3507"/>
      <c r="OPM20" s="3507"/>
      <c r="OPN20" s="3507"/>
      <c r="OPO20" s="3507"/>
      <c r="OPP20" s="3507"/>
      <c r="OPQ20" s="3507"/>
      <c r="OPR20" s="3507"/>
      <c r="OPS20" s="3507"/>
      <c r="OPT20" s="3507"/>
      <c r="OPU20" s="3507"/>
      <c r="OPV20" s="3507"/>
      <c r="OPW20" s="3507"/>
      <c r="OPX20" s="3507"/>
      <c r="OPY20" s="3507"/>
      <c r="OPZ20" s="3507"/>
      <c r="OQA20" s="3507"/>
      <c r="OQB20" s="3507"/>
      <c r="OQC20" s="3507"/>
      <c r="OQD20" s="3507"/>
      <c r="OQE20" s="3507"/>
      <c r="OQF20" s="3507"/>
      <c r="OQG20" s="3507"/>
      <c r="OQH20" s="3507"/>
      <c r="OQI20" s="3507"/>
      <c r="OQJ20" s="3507"/>
      <c r="OQK20" s="3507"/>
      <c r="OQL20" s="3507"/>
      <c r="OQM20" s="3507"/>
      <c r="OQN20" s="3507"/>
      <c r="OQO20" s="3507"/>
      <c r="OQP20" s="3507"/>
      <c r="OQQ20" s="3507"/>
      <c r="OQR20" s="3507"/>
      <c r="OQS20" s="3507"/>
      <c r="OQT20" s="3507"/>
      <c r="OQU20" s="3507"/>
      <c r="OQV20" s="3507"/>
      <c r="OQW20" s="3507"/>
      <c r="OQX20" s="3507"/>
      <c r="OQY20" s="3507"/>
      <c r="OQZ20" s="3507"/>
      <c r="ORA20" s="3507"/>
      <c r="ORB20" s="3507"/>
      <c r="ORC20" s="3507"/>
      <c r="ORD20" s="3507"/>
      <c r="ORE20" s="3507"/>
      <c r="ORF20" s="3507"/>
      <c r="ORG20" s="3507"/>
      <c r="ORH20" s="3507"/>
      <c r="ORI20" s="3507"/>
      <c r="ORJ20" s="3507"/>
      <c r="ORK20" s="3507"/>
      <c r="ORL20" s="3507"/>
      <c r="ORM20" s="3507"/>
      <c r="ORN20" s="3507"/>
      <c r="ORO20" s="3507"/>
      <c r="ORP20" s="3507"/>
      <c r="ORQ20" s="3507"/>
      <c r="ORR20" s="3507"/>
      <c r="ORS20" s="3507"/>
      <c r="ORT20" s="3507"/>
      <c r="ORU20" s="3507"/>
      <c r="ORV20" s="3507"/>
      <c r="ORW20" s="3507"/>
      <c r="ORX20" s="3507"/>
      <c r="ORY20" s="3507"/>
      <c r="ORZ20" s="3507"/>
      <c r="OSA20" s="3507"/>
      <c r="OSB20" s="3507"/>
      <c r="OSC20" s="3507"/>
      <c r="OSD20" s="3507"/>
      <c r="OSE20" s="3507"/>
      <c r="OSF20" s="3507"/>
      <c r="OSG20" s="3507"/>
      <c r="OSH20" s="3507"/>
      <c r="OSI20" s="3507"/>
      <c r="OSJ20" s="3507"/>
      <c r="OSK20" s="3507"/>
      <c r="OSL20" s="3507"/>
      <c r="OSM20" s="3507"/>
      <c r="OSN20" s="3507"/>
      <c r="OSO20" s="3507"/>
      <c r="OSP20" s="3507"/>
      <c r="OSQ20" s="3507"/>
      <c r="OSR20" s="3507"/>
      <c r="OSS20" s="3507"/>
      <c r="OST20" s="3507"/>
      <c r="OSU20" s="3507"/>
      <c r="OSV20" s="3507"/>
      <c r="OSW20" s="3507"/>
      <c r="OSX20" s="3507"/>
      <c r="OSY20" s="3507"/>
      <c r="OSZ20" s="3507"/>
      <c r="OTA20" s="3507"/>
      <c r="OTB20" s="3507"/>
      <c r="OTC20" s="3507"/>
      <c r="OTD20" s="3507"/>
      <c r="OTE20" s="3507"/>
      <c r="OTF20" s="3507"/>
      <c r="OTG20" s="3507"/>
      <c r="OTH20" s="3507"/>
      <c r="OTI20" s="3507"/>
      <c r="OTJ20" s="3507"/>
      <c r="OTK20" s="3507"/>
      <c r="OTL20" s="3507"/>
      <c r="OTM20" s="3507"/>
      <c r="OTN20" s="3507"/>
      <c r="OTO20" s="3507"/>
      <c r="OTP20" s="3507"/>
      <c r="OTQ20" s="3507"/>
      <c r="OTR20" s="3507"/>
      <c r="OTS20" s="3507"/>
      <c r="OTT20" s="3507"/>
      <c r="OTU20" s="3507"/>
      <c r="OTV20" s="3507"/>
      <c r="OTW20" s="3507"/>
      <c r="OTX20" s="3507"/>
      <c r="OTY20" s="3507"/>
      <c r="OTZ20" s="3507"/>
      <c r="OUA20" s="3507"/>
      <c r="OUB20" s="3507"/>
      <c r="OUC20" s="3507"/>
      <c r="OUD20" s="3507"/>
      <c r="OUE20" s="3507"/>
      <c r="OUF20" s="3507"/>
      <c r="OUG20" s="3507"/>
      <c r="OUH20" s="3507"/>
      <c r="OUI20" s="3507"/>
      <c r="OUJ20" s="3507"/>
      <c r="OUK20" s="3507"/>
      <c r="OUL20" s="3507"/>
      <c r="OUM20" s="3507"/>
      <c r="OUN20" s="3507"/>
      <c r="OUO20" s="3507"/>
      <c r="OUP20" s="3507"/>
      <c r="OUQ20" s="3507"/>
      <c r="OUR20" s="3507"/>
      <c r="OUS20" s="3507"/>
      <c r="OUT20" s="3507"/>
      <c r="OUU20" s="3507"/>
      <c r="OUV20" s="3507"/>
      <c r="OUW20" s="3507"/>
      <c r="OUX20" s="3507"/>
      <c r="OUY20" s="3507"/>
      <c r="OUZ20" s="3507"/>
      <c r="OVA20" s="3507"/>
      <c r="OVB20" s="3507"/>
      <c r="OVC20" s="3507"/>
      <c r="OVD20" s="3507"/>
      <c r="OVE20" s="3507"/>
      <c r="OVF20" s="3507"/>
      <c r="OVG20" s="3507"/>
      <c r="OVH20" s="3507"/>
      <c r="OVI20" s="3507"/>
      <c r="OVJ20" s="3507"/>
      <c r="OVK20" s="3507"/>
      <c r="OVL20" s="3507"/>
      <c r="OVM20" s="3507"/>
      <c r="OVN20" s="3507"/>
      <c r="OVO20" s="3507"/>
      <c r="OVP20" s="3507"/>
      <c r="OVQ20" s="3507"/>
      <c r="OVR20" s="3507"/>
      <c r="OVS20" s="3507"/>
      <c r="OVT20" s="3507"/>
      <c r="OVU20" s="3507"/>
      <c r="OVV20" s="3507"/>
      <c r="OVW20" s="3507"/>
      <c r="OVX20" s="3507"/>
      <c r="OVY20" s="3507"/>
      <c r="OVZ20" s="3507"/>
      <c r="OWA20" s="3507"/>
      <c r="OWB20" s="3507"/>
      <c r="OWC20" s="3507"/>
      <c r="OWD20" s="3507"/>
      <c r="OWE20" s="3507"/>
      <c r="OWF20" s="3507"/>
      <c r="OWG20" s="3507"/>
      <c r="OWH20" s="3507"/>
      <c r="OWI20" s="3507"/>
      <c r="OWJ20" s="3507"/>
      <c r="OWK20" s="3507"/>
      <c r="OWL20" s="3507"/>
      <c r="OWM20" s="3507"/>
      <c r="OWN20" s="3507"/>
      <c r="OWO20" s="3507"/>
      <c r="OWP20" s="3507"/>
      <c r="OWQ20" s="3507"/>
      <c r="OWR20" s="3507"/>
      <c r="OWS20" s="3507"/>
      <c r="OWT20" s="3507"/>
      <c r="OWU20" s="3507"/>
      <c r="OWV20" s="3507"/>
      <c r="OWW20" s="3507"/>
      <c r="OWX20" s="3507"/>
      <c r="OWY20" s="3507"/>
      <c r="OWZ20" s="3507"/>
      <c r="OXA20" s="3507"/>
      <c r="OXB20" s="3507"/>
      <c r="OXC20" s="3507"/>
      <c r="OXD20" s="3507"/>
      <c r="OXE20" s="3507"/>
      <c r="OXF20" s="3507"/>
      <c r="OXG20" s="3507"/>
      <c r="OXH20" s="3507"/>
      <c r="OXI20" s="3507"/>
      <c r="OXJ20" s="3507"/>
      <c r="OXK20" s="3507"/>
      <c r="OXL20" s="3507"/>
      <c r="OXM20" s="3507"/>
      <c r="OXN20" s="3507"/>
      <c r="OXO20" s="3507"/>
      <c r="OXP20" s="3507"/>
      <c r="OXQ20" s="3507"/>
      <c r="OXR20" s="3507"/>
      <c r="OXS20" s="3507"/>
      <c r="OXT20" s="3507"/>
      <c r="OXU20" s="3507"/>
      <c r="OXV20" s="3507"/>
      <c r="OXW20" s="3507"/>
      <c r="OXX20" s="3507"/>
      <c r="OXY20" s="3507"/>
      <c r="OXZ20" s="3507"/>
      <c r="OYA20" s="3507"/>
      <c r="OYB20" s="3507"/>
      <c r="OYC20" s="3507"/>
      <c r="OYD20" s="3507"/>
      <c r="OYE20" s="3507"/>
      <c r="OYF20" s="3507"/>
      <c r="OYG20" s="3507"/>
      <c r="OYH20" s="3507"/>
      <c r="OYI20" s="3507"/>
      <c r="OYJ20" s="3507"/>
      <c r="OYK20" s="3507"/>
      <c r="OYL20" s="3507"/>
      <c r="OYM20" s="3507"/>
      <c r="OYN20" s="3507"/>
      <c r="OYO20" s="3507"/>
      <c r="OYP20" s="3507"/>
      <c r="OYQ20" s="3507"/>
      <c r="OYR20" s="3507"/>
      <c r="OYS20" s="3507"/>
      <c r="OYT20" s="3507"/>
      <c r="OYU20" s="3507"/>
      <c r="OYV20" s="3507"/>
      <c r="OYW20" s="3507"/>
      <c r="OYX20" s="3507"/>
      <c r="OYY20" s="3507"/>
      <c r="OYZ20" s="3507"/>
      <c r="OZA20" s="3507"/>
      <c r="OZB20" s="3507"/>
      <c r="OZC20" s="3507"/>
      <c r="OZD20" s="3507"/>
      <c r="OZE20" s="3507"/>
      <c r="OZF20" s="3507"/>
      <c r="OZG20" s="3507"/>
      <c r="OZH20" s="3507"/>
      <c r="OZI20" s="3507"/>
      <c r="OZJ20" s="3507"/>
      <c r="OZK20" s="3507"/>
      <c r="OZL20" s="3507"/>
      <c r="OZM20" s="3507"/>
      <c r="OZN20" s="3507"/>
      <c r="OZO20" s="3507"/>
      <c r="OZP20" s="3507"/>
      <c r="OZQ20" s="3507"/>
      <c r="OZR20" s="3507"/>
      <c r="OZS20" s="3507"/>
      <c r="OZT20" s="3507"/>
      <c r="OZU20" s="3507"/>
      <c r="OZV20" s="3507"/>
      <c r="OZW20" s="3507"/>
      <c r="OZX20" s="3507"/>
      <c r="OZY20" s="3507"/>
      <c r="OZZ20" s="3507"/>
      <c r="PAA20" s="3507"/>
      <c r="PAB20" s="3507"/>
      <c r="PAC20" s="3507"/>
      <c r="PAD20" s="3507"/>
      <c r="PAE20" s="3507"/>
      <c r="PAF20" s="3507"/>
      <c r="PAG20" s="3507"/>
      <c r="PAH20" s="3507"/>
      <c r="PAI20" s="3507"/>
      <c r="PAJ20" s="3507"/>
      <c r="PAK20" s="3507"/>
      <c r="PAL20" s="3507"/>
      <c r="PAM20" s="3507"/>
      <c r="PAN20" s="3507"/>
      <c r="PAO20" s="3507"/>
      <c r="PAP20" s="3507"/>
      <c r="PAQ20" s="3507"/>
      <c r="PAR20" s="3507"/>
      <c r="PAS20" s="3507"/>
      <c r="PAT20" s="3507"/>
      <c r="PAU20" s="3507"/>
      <c r="PAV20" s="3507"/>
      <c r="PAW20" s="3507"/>
      <c r="PAX20" s="3507"/>
      <c r="PAY20" s="3507"/>
      <c r="PAZ20" s="3507"/>
      <c r="PBA20" s="3507"/>
      <c r="PBB20" s="3507"/>
      <c r="PBC20" s="3507"/>
      <c r="PBD20" s="3507"/>
      <c r="PBE20" s="3507"/>
      <c r="PBF20" s="3507"/>
      <c r="PBG20" s="3507"/>
      <c r="PBH20" s="3507"/>
      <c r="PBI20" s="3507"/>
      <c r="PBJ20" s="3507"/>
      <c r="PBK20" s="3507"/>
      <c r="PBL20" s="3507"/>
      <c r="PBM20" s="3507"/>
      <c r="PBN20" s="3507"/>
      <c r="PBO20" s="3507"/>
      <c r="PBP20" s="3507"/>
      <c r="PBQ20" s="3507"/>
      <c r="PBR20" s="3507"/>
      <c r="PBS20" s="3507"/>
      <c r="PBT20" s="3507"/>
      <c r="PBU20" s="3507"/>
      <c r="PBV20" s="3507"/>
      <c r="PBW20" s="3507"/>
      <c r="PBX20" s="3507"/>
      <c r="PBY20" s="3507"/>
      <c r="PBZ20" s="3507"/>
      <c r="PCA20" s="3507"/>
      <c r="PCB20" s="3507"/>
      <c r="PCC20" s="3507"/>
      <c r="PCD20" s="3507"/>
      <c r="PCE20" s="3507"/>
      <c r="PCF20" s="3507"/>
      <c r="PCG20" s="3507"/>
      <c r="PCH20" s="3507"/>
      <c r="PCI20" s="3507"/>
      <c r="PCJ20" s="3507"/>
      <c r="PCK20" s="3507"/>
      <c r="PCL20" s="3507"/>
      <c r="PCM20" s="3507"/>
      <c r="PCN20" s="3507"/>
      <c r="PCO20" s="3507"/>
      <c r="PCP20" s="3507"/>
      <c r="PCQ20" s="3507"/>
      <c r="PCR20" s="3507"/>
      <c r="PCS20" s="3507"/>
      <c r="PCT20" s="3507"/>
      <c r="PCU20" s="3507"/>
      <c r="PCV20" s="3507"/>
      <c r="PCW20" s="3507"/>
      <c r="PCX20" s="3507"/>
      <c r="PCY20" s="3507"/>
      <c r="PCZ20" s="3507"/>
      <c r="PDA20" s="3507"/>
      <c r="PDB20" s="3507"/>
      <c r="PDC20" s="3507"/>
      <c r="PDD20" s="3507"/>
      <c r="PDE20" s="3507"/>
      <c r="PDF20" s="3507"/>
      <c r="PDG20" s="3507"/>
      <c r="PDH20" s="3507"/>
      <c r="PDI20" s="3507"/>
      <c r="PDJ20" s="3507"/>
      <c r="PDK20" s="3507"/>
      <c r="PDL20" s="3507"/>
      <c r="PDM20" s="3507"/>
      <c r="PDN20" s="3507"/>
      <c r="PDO20" s="3507"/>
      <c r="PDP20" s="3507"/>
      <c r="PDQ20" s="3507"/>
      <c r="PDR20" s="3507"/>
      <c r="PDS20" s="3507"/>
      <c r="PDT20" s="3507"/>
      <c r="PDU20" s="3507"/>
      <c r="PDV20" s="3507"/>
      <c r="PDW20" s="3507"/>
      <c r="PDX20" s="3507"/>
      <c r="PDY20" s="3507"/>
      <c r="PDZ20" s="3507"/>
      <c r="PEA20" s="3507"/>
      <c r="PEB20" s="3507"/>
      <c r="PEC20" s="3507"/>
      <c r="PED20" s="3507"/>
      <c r="PEE20" s="3507"/>
      <c r="PEF20" s="3507"/>
      <c r="PEG20" s="3507"/>
      <c r="PEH20" s="3507"/>
      <c r="PEI20" s="3507"/>
      <c r="PEJ20" s="3507"/>
      <c r="PEK20" s="3507"/>
      <c r="PEL20" s="3507"/>
      <c r="PEM20" s="3507"/>
      <c r="PEN20" s="3507"/>
      <c r="PEO20" s="3507"/>
      <c r="PEP20" s="3507"/>
      <c r="PEQ20" s="3507"/>
      <c r="PER20" s="3507"/>
      <c r="PES20" s="3507"/>
      <c r="PET20" s="3507"/>
      <c r="PEU20" s="3507"/>
      <c r="PEV20" s="3507"/>
      <c r="PEW20" s="3507"/>
      <c r="PEX20" s="3507"/>
      <c r="PEY20" s="3507"/>
      <c r="PEZ20" s="3507"/>
      <c r="PFA20" s="3507"/>
      <c r="PFB20" s="3507"/>
      <c r="PFC20" s="3507"/>
      <c r="PFD20" s="3507"/>
      <c r="PFE20" s="3507"/>
      <c r="PFF20" s="3507"/>
      <c r="PFG20" s="3507"/>
      <c r="PFH20" s="3507"/>
      <c r="PFI20" s="3507"/>
      <c r="PFJ20" s="3507"/>
      <c r="PFK20" s="3507"/>
      <c r="PFL20" s="3507"/>
      <c r="PFM20" s="3507"/>
      <c r="PFN20" s="3507"/>
      <c r="PFO20" s="3507"/>
      <c r="PFP20" s="3507"/>
      <c r="PFQ20" s="3507"/>
      <c r="PFR20" s="3507"/>
      <c r="PFS20" s="3507"/>
      <c r="PFT20" s="3507"/>
      <c r="PFU20" s="3507"/>
      <c r="PFV20" s="3507"/>
      <c r="PFW20" s="3507"/>
      <c r="PFX20" s="3507"/>
      <c r="PFY20" s="3507"/>
      <c r="PFZ20" s="3507"/>
      <c r="PGA20" s="3507"/>
      <c r="PGB20" s="3507"/>
      <c r="PGC20" s="3507"/>
      <c r="PGD20" s="3507"/>
      <c r="PGE20" s="3507"/>
      <c r="PGF20" s="3507"/>
      <c r="PGG20" s="3507"/>
      <c r="PGH20" s="3507"/>
      <c r="PGI20" s="3507"/>
      <c r="PGJ20" s="3507"/>
      <c r="PGK20" s="3507"/>
      <c r="PGL20" s="3507"/>
      <c r="PGM20" s="3507"/>
      <c r="PGN20" s="3507"/>
      <c r="PGO20" s="3507"/>
      <c r="PGP20" s="3507"/>
      <c r="PGQ20" s="3507"/>
      <c r="PGR20" s="3507"/>
      <c r="PGS20" s="3507"/>
      <c r="PGT20" s="3507"/>
      <c r="PGU20" s="3507"/>
      <c r="PGV20" s="3507"/>
      <c r="PGW20" s="3507"/>
      <c r="PGX20" s="3507"/>
      <c r="PGY20" s="3507"/>
      <c r="PGZ20" s="3507"/>
      <c r="PHA20" s="3507"/>
      <c r="PHB20" s="3507"/>
      <c r="PHC20" s="3507"/>
      <c r="PHD20" s="3507"/>
      <c r="PHE20" s="3507"/>
      <c r="PHF20" s="3507"/>
      <c r="PHG20" s="3507"/>
      <c r="PHH20" s="3507"/>
      <c r="PHI20" s="3507"/>
      <c r="PHJ20" s="3507"/>
      <c r="PHK20" s="3507"/>
      <c r="PHL20" s="3507"/>
      <c r="PHM20" s="3507"/>
      <c r="PHN20" s="3507"/>
      <c r="PHO20" s="3507"/>
      <c r="PHP20" s="3507"/>
      <c r="PHQ20" s="3507"/>
      <c r="PHR20" s="3507"/>
      <c r="PHS20" s="3507"/>
      <c r="PHT20" s="3507"/>
      <c r="PHU20" s="3507"/>
      <c r="PHV20" s="3507"/>
      <c r="PHW20" s="3507"/>
      <c r="PHX20" s="3507"/>
      <c r="PHY20" s="3507"/>
      <c r="PHZ20" s="3507"/>
      <c r="PIA20" s="3507"/>
      <c r="PIB20" s="3507"/>
      <c r="PIC20" s="3507"/>
      <c r="PID20" s="3507"/>
      <c r="PIE20" s="3507"/>
      <c r="PIF20" s="3507"/>
      <c r="PIG20" s="3507"/>
      <c r="PIH20" s="3507"/>
      <c r="PII20" s="3507"/>
      <c r="PIJ20" s="3507"/>
      <c r="PIK20" s="3507"/>
      <c r="PIL20" s="3507"/>
      <c r="PIM20" s="3507"/>
      <c r="PIN20" s="3507"/>
      <c r="PIO20" s="3507"/>
      <c r="PIP20" s="3507"/>
      <c r="PIQ20" s="3507"/>
      <c r="PIR20" s="3507"/>
      <c r="PIS20" s="3507"/>
      <c r="PIT20" s="3507"/>
      <c r="PIU20" s="3507"/>
      <c r="PIV20" s="3507"/>
      <c r="PIW20" s="3507"/>
      <c r="PIX20" s="3507"/>
      <c r="PIY20" s="3507"/>
      <c r="PIZ20" s="3507"/>
      <c r="PJA20" s="3507"/>
      <c r="PJB20" s="3507"/>
      <c r="PJC20" s="3507"/>
      <c r="PJD20" s="3507"/>
      <c r="PJE20" s="3507"/>
      <c r="PJF20" s="3507"/>
      <c r="PJG20" s="3507"/>
      <c r="PJH20" s="3507"/>
      <c r="PJI20" s="3507"/>
      <c r="PJJ20" s="3507"/>
      <c r="PJK20" s="3507"/>
      <c r="PJL20" s="3507"/>
      <c r="PJM20" s="3507"/>
      <c r="PJN20" s="3507"/>
      <c r="PJO20" s="3507"/>
      <c r="PJP20" s="3507"/>
      <c r="PJQ20" s="3507"/>
      <c r="PJR20" s="3507"/>
      <c r="PJS20" s="3507"/>
      <c r="PJT20" s="3507"/>
      <c r="PJU20" s="3507"/>
      <c r="PJV20" s="3507"/>
      <c r="PJW20" s="3507"/>
      <c r="PJX20" s="3507"/>
      <c r="PJY20" s="3507"/>
      <c r="PJZ20" s="3507"/>
      <c r="PKA20" s="3507"/>
      <c r="PKB20" s="3507"/>
      <c r="PKC20" s="3507"/>
      <c r="PKD20" s="3507"/>
      <c r="PKE20" s="3507"/>
      <c r="PKF20" s="3507"/>
      <c r="PKG20" s="3507"/>
      <c r="PKH20" s="3507"/>
      <c r="PKI20" s="3507"/>
      <c r="PKJ20" s="3507"/>
      <c r="PKK20" s="3507"/>
      <c r="PKL20" s="3507"/>
      <c r="PKM20" s="3507"/>
      <c r="PKN20" s="3507"/>
      <c r="PKO20" s="3507"/>
      <c r="PKP20" s="3507"/>
      <c r="PKQ20" s="3507"/>
      <c r="PKR20" s="3507"/>
      <c r="PKS20" s="3507"/>
      <c r="PKT20" s="3507"/>
      <c r="PKU20" s="3507"/>
      <c r="PKV20" s="3507"/>
      <c r="PKW20" s="3507"/>
      <c r="PKX20" s="3507"/>
      <c r="PKY20" s="3507"/>
      <c r="PKZ20" s="3507"/>
      <c r="PLA20" s="3507"/>
      <c r="PLB20" s="3507"/>
      <c r="PLC20" s="3507"/>
      <c r="PLD20" s="3507"/>
      <c r="PLE20" s="3507"/>
      <c r="PLF20" s="3507"/>
      <c r="PLG20" s="3507"/>
      <c r="PLH20" s="3507"/>
      <c r="PLI20" s="3507"/>
      <c r="PLJ20" s="3507"/>
      <c r="PLK20" s="3507"/>
      <c r="PLL20" s="3507"/>
      <c r="PLM20" s="3507"/>
      <c r="PLN20" s="3507"/>
      <c r="PLO20" s="3507"/>
      <c r="PLP20" s="3507"/>
      <c r="PLQ20" s="3507"/>
      <c r="PLR20" s="3507"/>
      <c r="PLS20" s="3507"/>
      <c r="PLT20" s="3507"/>
      <c r="PLU20" s="3507"/>
      <c r="PLV20" s="3507"/>
      <c r="PLW20" s="3507"/>
      <c r="PLX20" s="3507"/>
      <c r="PLY20" s="3507"/>
      <c r="PLZ20" s="3507"/>
      <c r="PMA20" s="3507"/>
      <c r="PMB20" s="3507"/>
      <c r="PMC20" s="3507"/>
      <c r="PMD20" s="3507"/>
      <c r="PME20" s="3507"/>
      <c r="PMF20" s="3507"/>
      <c r="PMG20" s="3507"/>
      <c r="PMH20" s="3507"/>
      <c r="PMI20" s="3507"/>
      <c r="PMJ20" s="3507"/>
      <c r="PMK20" s="3507"/>
      <c r="PML20" s="3507"/>
      <c r="PMM20" s="3507"/>
      <c r="PMN20" s="3507"/>
      <c r="PMO20" s="3507"/>
      <c r="PMP20" s="3507"/>
      <c r="PMQ20" s="3507"/>
      <c r="PMR20" s="3507"/>
      <c r="PMS20" s="3507"/>
      <c r="PMT20" s="3507"/>
      <c r="PMU20" s="3507"/>
      <c r="PMV20" s="3507"/>
      <c r="PMW20" s="3507"/>
      <c r="PMX20" s="3507"/>
      <c r="PMY20" s="3507"/>
      <c r="PMZ20" s="3507"/>
      <c r="PNA20" s="3507"/>
      <c r="PNB20" s="3507"/>
      <c r="PNC20" s="3507"/>
      <c r="PND20" s="3507"/>
      <c r="PNE20" s="3507"/>
      <c r="PNF20" s="3507"/>
      <c r="PNG20" s="3507"/>
      <c r="PNH20" s="3507"/>
      <c r="PNI20" s="3507"/>
      <c r="PNJ20" s="3507"/>
      <c r="PNK20" s="3507"/>
      <c r="PNL20" s="3507"/>
      <c r="PNM20" s="3507"/>
      <c r="PNN20" s="3507"/>
      <c r="PNO20" s="3507"/>
      <c r="PNP20" s="3507"/>
      <c r="PNQ20" s="3507"/>
      <c r="PNR20" s="3507"/>
      <c r="PNS20" s="3507"/>
      <c r="PNT20" s="3507"/>
      <c r="PNU20" s="3507"/>
      <c r="PNV20" s="3507"/>
      <c r="PNW20" s="3507"/>
      <c r="PNX20" s="3507"/>
      <c r="PNY20" s="3507"/>
      <c r="PNZ20" s="3507"/>
      <c r="POA20" s="3507"/>
      <c r="POB20" s="3507"/>
      <c r="POC20" s="3507"/>
      <c r="POD20" s="3507"/>
      <c r="POE20" s="3507"/>
      <c r="POF20" s="3507"/>
      <c r="POG20" s="3507"/>
      <c r="POH20" s="3507"/>
      <c r="POI20" s="3507"/>
      <c r="POJ20" s="3507"/>
      <c r="POK20" s="3507"/>
      <c r="POL20" s="3507"/>
      <c r="POM20" s="3507"/>
      <c r="PON20" s="3507"/>
      <c r="POO20" s="3507"/>
      <c r="POP20" s="3507"/>
      <c r="POQ20" s="3507"/>
      <c r="POR20" s="3507"/>
      <c r="POS20" s="3507"/>
      <c r="POT20" s="3507"/>
      <c r="POU20" s="3507"/>
      <c r="POV20" s="3507"/>
      <c r="POW20" s="3507"/>
      <c r="POX20" s="3507"/>
      <c r="POY20" s="3507"/>
      <c r="POZ20" s="3507"/>
      <c r="PPA20" s="3507"/>
      <c r="PPB20" s="3507"/>
      <c r="PPC20" s="3507"/>
      <c r="PPD20" s="3507"/>
      <c r="PPE20" s="3507"/>
      <c r="PPF20" s="3507"/>
      <c r="PPG20" s="3507"/>
      <c r="PPH20" s="3507"/>
      <c r="PPI20" s="3507"/>
      <c r="PPJ20" s="3507"/>
      <c r="PPK20" s="3507"/>
      <c r="PPL20" s="3507"/>
      <c r="PPM20" s="3507"/>
      <c r="PPN20" s="3507"/>
      <c r="PPO20" s="3507"/>
      <c r="PPP20" s="3507"/>
      <c r="PPQ20" s="3507"/>
      <c r="PPR20" s="3507"/>
      <c r="PPS20" s="3507"/>
      <c r="PPT20" s="3507"/>
      <c r="PPU20" s="3507"/>
      <c r="PPV20" s="3507"/>
      <c r="PPW20" s="3507"/>
      <c r="PPX20" s="3507"/>
      <c r="PPY20" s="3507"/>
      <c r="PPZ20" s="3507"/>
      <c r="PQA20" s="3507"/>
      <c r="PQB20" s="3507"/>
      <c r="PQC20" s="3507"/>
      <c r="PQD20" s="3507"/>
      <c r="PQE20" s="3507"/>
      <c r="PQF20" s="3507"/>
      <c r="PQG20" s="3507"/>
      <c r="PQH20" s="3507"/>
      <c r="PQI20" s="3507"/>
      <c r="PQJ20" s="3507"/>
      <c r="PQK20" s="3507"/>
      <c r="PQL20" s="3507"/>
      <c r="PQM20" s="3507"/>
      <c r="PQN20" s="3507"/>
      <c r="PQO20" s="3507"/>
      <c r="PQP20" s="3507"/>
      <c r="PQQ20" s="3507"/>
      <c r="PQR20" s="3507"/>
      <c r="PQS20" s="3507"/>
      <c r="PQT20" s="3507"/>
      <c r="PQU20" s="3507"/>
      <c r="PQV20" s="3507"/>
      <c r="PQW20" s="3507"/>
      <c r="PQX20" s="3507"/>
      <c r="PQY20" s="3507"/>
      <c r="PQZ20" s="3507"/>
      <c r="PRA20" s="3507"/>
      <c r="PRB20" s="3507"/>
      <c r="PRC20" s="3507"/>
      <c r="PRD20" s="3507"/>
      <c r="PRE20" s="3507"/>
      <c r="PRF20" s="3507"/>
      <c r="PRG20" s="3507"/>
      <c r="PRH20" s="3507"/>
      <c r="PRI20" s="3507"/>
      <c r="PRJ20" s="3507"/>
      <c r="PRK20" s="3507"/>
      <c r="PRL20" s="3507"/>
      <c r="PRM20" s="3507"/>
      <c r="PRN20" s="3507"/>
      <c r="PRO20" s="3507"/>
      <c r="PRP20" s="3507"/>
      <c r="PRQ20" s="3507"/>
      <c r="PRR20" s="3507"/>
      <c r="PRS20" s="3507"/>
      <c r="PRT20" s="3507"/>
      <c r="PRU20" s="3507"/>
      <c r="PRV20" s="3507"/>
      <c r="PRW20" s="3507"/>
      <c r="PRX20" s="3507"/>
      <c r="PRY20" s="3507"/>
      <c r="PRZ20" s="3507"/>
      <c r="PSA20" s="3507"/>
      <c r="PSB20" s="3507"/>
      <c r="PSC20" s="3507"/>
      <c r="PSD20" s="3507"/>
      <c r="PSE20" s="3507"/>
      <c r="PSF20" s="3507"/>
      <c r="PSG20" s="3507"/>
      <c r="PSH20" s="3507"/>
      <c r="PSI20" s="3507"/>
      <c r="PSJ20" s="3507"/>
      <c r="PSK20" s="3507"/>
      <c r="PSL20" s="3507"/>
      <c r="PSM20" s="3507"/>
      <c r="PSN20" s="3507"/>
      <c r="PSO20" s="3507"/>
      <c r="PSP20" s="3507"/>
      <c r="PSQ20" s="3507"/>
      <c r="PSR20" s="3507"/>
      <c r="PSS20" s="3507"/>
      <c r="PST20" s="3507"/>
      <c r="PSU20" s="3507"/>
      <c r="PSV20" s="3507"/>
      <c r="PSW20" s="3507"/>
      <c r="PSX20" s="3507"/>
      <c r="PSY20" s="3507"/>
      <c r="PSZ20" s="3507"/>
      <c r="PTA20" s="3507"/>
      <c r="PTB20" s="3507"/>
      <c r="PTC20" s="3507"/>
      <c r="PTD20" s="3507"/>
      <c r="PTE20" s="3507"/>
      <c r="PTF20" s="3507"/>
      <c r="PTG20" s="3507"/>
      <c r="PTH20" s="3507"/>
      <c r="PTI20" s="3507"/>
      <c r="PTJ20" s="3507"/>
      <c r="PTK20" s="3507"/>
      <c r="PTL20" s="3507"/>
      <c r="PTM20" s="3507"/>
      <c r="PTN20" s="3507"/>
      <c r="PTO20" s="3507"/>
      <c r="PTP20" s="3507"/>
      <c r="PTQ20" s="3507"/>
      <c r="PTR20" s="3507"/>
      <c r="PTS20" s="3507"/>
      <c r="PTT20" s="3507"/>
      <c r="PTU20" s="3507"/>
      <c r="PTV20" s="3507"/>
      <c r="PTW20" s="3507"/>
      <c r="PTX20" s="3507"/>
      <c r="PTY20" s="3507"/>
      <c r="PTZ20" s="3507"/>
      <c r="PUA20" s="3507"/>
      <c r="PUB20" s="3507"/>
      <c r="PUC20" s="3507"/>
      <c r="PUD20" s="3507"/>
      <c r="PUE20" s="3507"/>
      <c r="PUF20" s="3507"/>
      <c r="PUG20" s="3507"/>
      <c r="PUH20" s="3507"/>
      <c r="PUI20" s="3507"/>
      <c r="PUJ20" s="3507"/>
      <c r="PUK20" s="3507"/>
      <c r="PUL20" s="3507"/>
      <c r="PUM20" s="3507"/>
      <c r="PUN20" s="3507"/>
      <c r="PUO20" s="3507"/>
      <c r="PUP20" s="3507"/>
      <c r="PUQ20" s="3507"/>
      <c r="PUR20" s="3507"/>
      <c r="PUS20" s="3507"/>
      <c r="PUT20" s="3507"/>
      <c r="PUU20" s="3507"/>
      <c r="PUV20" s="3507"/>
      <c r="PUW20" s="3507"/>
      <c r="PUX20" s="3507"/>
      <c r="PUY20" s="3507"/>
      <c r="PUZ20" s="3507"/>
      <c r="PVA20" s="3507"/>
      <c r="PVB20" s="3507"/>
      <c r="PVC20" s="3507"/>
      <c r="PVD20" s="3507"/>
      <c r="PVE20" s="3507"/>
      <c r="PVF20" s="3507"/>
      <c r="PVG20" s="3507"/>
      <c r="PVH20" s="3507"/>
      <c r="PVI20" s="3507"/>
      <c r="PVJ20" s="3507"/>
      <c r="PVK20" s="3507"/>
      <c r="PVL20" s="3507"/>
      <c r="PVM20" s="3507"/>
      <c r="PVN20" s="3507"/>
      <c r="PVO20" s="3507"/>
      <c r="PVP20" s="3507"/>
      <c r="PVQ20" s="3507"/>
      <c r="PVR20" s="3507"/>
      <c r="PVS20" s="3507"/>
      <c r="PVT20" s="3507"/>
      <c r="PVU20" s="3507"/>
      <c r="PVV20" s="3507"/>
      <c r="PVW20" s="3507"/>
      <c r="PVX20" s="3507"/>
      <c r="PVY20" s="3507"/>
      <c r="PVZ20" s="3507"/>
      <c r="PWA20" s="3507"/>
      <c r="PWB20" s="3507"/>
      <c r="PWC20" s="3507"/>
      <c r="PWD20" s="3507"/>
      <c r="PWE20" s="3507"/>
      <c r="PWF20" s="3507"/>
      <c r="PWG20" s="3507"/>
      <c r="PWH20" s="3507"/>
      <c r="PWI20" s="3507"/>
      <c r="PWJ20" s="3507"/>
      <c r="PWK20" s="3507"/>
      <c r="PWL20" s="3507"/>
      <c r="PWM20" s="3507"/>
      <c r="PWN20" s="3507"/>
      <c r="PWO20" s="3507"/>
      <c r="PWP20" s="3507"/>
      <c r="PWQ20" s="3507"/>
      <c r="PWR20" s="3507"/>
      <c r="PWS20" s="3507"/>
      <c r="PWT20" s="3507"/>
      <c r="PWU20" s="3507"/>
      <c r="PWV20" s="3507"/>
      <c r="PWW20" s="3507"/>
      <c r="PWX20" s="3507"/>
      <c r="PWY20" s="3507"/>
      <c r="PWZ20" s="3507"/>
      <c r="PXA20" s="3507"/>
      <c r="PXB20" s="3507"/>
      <c r="PXC20" s="3507"/>
      <c r="PXD20" s="3507"/>
      <c r="PXE20" s="3507"/>
      <c r="PXF20" s="3507"/>
      <c r="PXG20" s="3507"/>
      <c r="PXH20" s="3507"/>
      <c r="PXI20" s="3507"/>
      <c r="PXJ20" s="3507"/>
      <c r="PXK20" s="3507"/>
      <c r="PXL20" s="3507"/>
      <c r="PXM20" s="3507"/>
      <c r="PXN20" s="3507"/>
      <c r="PXO20" s="3507"/>
      <c r="PXP20" s="3507"/>
      <c r="PXQ20" s="3507"/>
      <c r="PXR20" s="3507"/>
      <c r="PXS20" s="3507"/>
      <c r="PXT20" s="3507"/>
      <c r="PXU20" s="3507"/>
      <c r="PXV20" s="3507"/>
      <c r="PXW20" s="3507"/>
      <c r="PXX20" s="3507"/>
      <c r="PXY20" s="3507"/>
      <c r="PXZ20" s="3507"/>
      <c r="PYA20" s="3507"/>
      <c r="PYB20" s="3507"/>
      <c r="PYC20" s="3507"/>
      <c r="PYD20" s="3507"/>
      <c r="PYE20" s="3507"/>
      <c r="PYF20" s="3507"/>
      <c r="PYG20" s="3507"/>
      <c r="PYH20" s="3507"/>
      <c r="PYI20" s="3507"/>
      <c r="PYJ20" s="3507"/>
      <c r="PYK20" s="3507"/>
      <c r="PYL20" s="3507"/>
      <c r="PYM20" s="3507"/>
      <c r="PYN20" s="3507"/>
      <c r="PYO20" s="3507"/>
      <c r="PYP20" s="3507"/>
      <c r="PYQ20" s="3507"/>
      <c r="PYR20" s="3507"/>
      <c r="PYS20" s="3507"/>
      <c r="PYT20" s="3507"/>
      <c r="PYU20" s="3507"/>
      <c r="PYV20" s="3507"/>
      <c r="PYW20" s="3507"/>
      <c r="PYX20" s="3507"/>
      <c r="PYY20" s="3507"/>
      <c r="PYZ20" s="3507"/>
      <c r="PZA20" s="3507"/>
      <c r="PZB20" s="3507"/>
      <c r="PZC20" s="3507"/>
      <c r="PZD20" s="3507"/>
      <c r="PZE20" s="3507"/>
      <c r="PZF20" s="3507"/>
      <c r="PZG20" s="3507"/>
      <c r="PZH20" s="3507"/>
      <c r="PZI20" s="3507"/>
      <c r="PZJ20" s="3507"/>
      <c r="PZK20" s="3507"/>
      <c r="PZL20" s="3507"/>
      <c r="PZM20" s="3507"/>
      <c r="PZN20" s="3507"/>
      <c r="PZO20" s="3507"/>
      <c r="PZP20" s="3507"/>
      <c r="PZQ20" s="3507"/>
      <c r="PZR20" s="3507"/>
      <c r="PZS20" s="3507"/>
      <c r="PZT20" s="3507"/>
      <c r="PZU20" s="3507"/>
      <c r="PZV20" s="3507"/>
      <c r="PZW20" s="3507"/>
      <c r="PZX20" s="3507"/>
      <c r="PZY20" s="3507"/>
      <c r="PZZ20" s="3507"/>
      <c r="QAA20" s="3507"/>
      <c r="QAB20" s="3507"/>
      <c r="QAC20" s="3507"/>
      <c r="QAD20" s="3507"/>
      <c r="QAE20" s="3507"/>
      <c r="QAF20" s="3507"/>
      <c r="QAG20" s="3507"/>
      <c r="QAH20" s="3507"/>
      <c r="QAI20" s="3507"/>
      <c r="QAJ20" s="3507"/>
      <c r="QAK20" s="3507"/>
      <c r="QAL20" s="3507"/>
      <c r="QAM20" s="3507"/>
      <c r="QAN20" s="3507"/>
      <c r="QAO20" s="3507"/>
      <c r="QAP20" s="3507"/>
      <c r="QAQ20" s="3507"/>
      <c r="QAR20" s="3507"/>
      <c r="QAS20" s="3507"/>
      <c r="QAT20" s="3507"/>
      <c r="QAU20" s="3507"/>
      <c r="QAV20" s="3507"/>
      <c r="QAW20" s="3507"/>
      <c r="QAX20" s="3507"/>
      <c r="QAY20" s="3507"/>
      <c r="QAZ20" s="3507"/>
      <c r="QBA20" s="3507"/>
      <c r="QBB20" s="3507"/>
      <c r="QBC20" s="3507"/>
      <c r="QBD20" s="3507"/>
      <c r="QBE20" s="3507"/>
      <c r="QBF20" s="3507"/>
      <c r="QBG20" s="3507"/>
      <c r="QBH20" s="3507"/>
      <c r="QBI20" s="3507"/>
      <c r="QBJ20" s="3507"/>
      <c r="QBK20" s="3507"/>
      <c r="QBL20" s="3507"/>
      <c r="QBM20" s="3507"/>
      <c r="QBN20" s="3507"/>
      <c r="QBO20" s="3507"/>
      <c r="QBP20" s="3507"/>
      <c r="QBQ20" s="3507"/>
      <c r="QBR20" s="3507"/>
      <c r="QBS20" s="3507"/>
      <c r="QBT20" s="3507"/>
      <c r="QBU20" s="3507"/>
      <c r="QBV20" s="3507"/>
      <c r="QBW20" s="3507"/>
      <c r="QBX20" s="3507"/>
      <c r="QBY20" s="3507"/>
      <c r="QBZ20" s="3507"/>
      <c r="QCA20" s="3507"/>
      <c r="QCB20" s="3507"/>
      <c r="QCC20" s="3507"/>
      <c r="QCD20" s="3507"/>
      <c r="QCE20" s="3507"/>
      <c r="QCF20" s="3507"/>
      <c r="QCG20" s="3507"/>
      <c r="QCH20" s="3507"/>
      <c r="QCI20" s="3507"/>
      <c r="QCJ20" s="3507"/>
      <c r="QCK20" s="3507"/>
      <c r="QCL20" s="3507"/>
      <c r="QCM20" s="3507"/>
      <c r="QCN20" s="3507"/>
      <c r="QCO20" s="3507"/>
      <c r="QCP20" s="3507"/>
      <c r="QCQ20" s="3507"/>
      <c r="QCR20" s="3507"/>
      <c r="QCS20" s="3507"/>
      <c r="QCT20" s="3507"/>
      <c r="QCU20" s="3507"/>
      <c r="QCV20" s="3507"/>
      <c r="QCW20" s="3507"/>
      <c r="QCX20" s="3507"/>
      <c r="QCY20" s="3507"/>
      <c r="QCZ20" s="3507"/>
      <c r="QDA20" s="3507"/>
      <c r="QDB20" s="3507"/>
      <c r="QDC20" s="3507"/>
      <c r="QDD20" s="3507"/>
      <c r="QDE20" s="3507"/>
      <c r="QDF20" s="3507"/>
      <c r="QDG20" s="3507"/>
      <c r="QDH20" s="3507"/>
      <c r="QDI20" s="3507"/>
      <c r="QDJ20" s="3507"/>
      <c r="QDK20" s="3507"/>
      <c r="QDL20" s="3507"/>
      <c r="QDM20" s="3507"/>
      <c r="QDN20" s="3507"/>
      <c r="QDO20" s="3507"/>
      <c r="QDP20" s="3507"/>
      <c r="QDQ20" s="3507"/>
      <c r="QDR20" s="3507"/>
      <c r="QDS20" s="3507"/>
      <c r="QDT20" s="3507"/>
      <c r="QDU20" s="3507"/>
      <c r="QDV20" s="3507"/>
      <c r="QDW20" s="3507"/>
      <c r="QDX20" s="3507"/>
      <c r="QDY20" s="3507"/>
      <c r="QDZ20" s="3507"/>
      <c r="QEA20" s="3507"/>
      <c r="QEB20" s="3507"/>
      <c r="QEC20" s="3507"/>
      <c r="QED20" s="3507"/>
      <c r="QEE20" s="3507"/>
      <c r="QEF20" s="3507"/>
      <c r="QEG20" s="3507"/>
      <c r="QEH20" s="3507"/>
      <c r="QEI20" s="3507"/>
      <c r="QEJ20" s="3507"/>
      <c r="QEK20" s="3507"/>
      <c r="QEL20" s="3507"/>
      <c r="QEM20" s="3507"/>
      <c r="QEN20" s="3507"/>
      <c r="QEO20" s="3507"/>
      <c r="QEP20" s="3507"/>
      <c r="QEQ20" s="3507"/>
      <c r="QER20" s="3507"/>
      <c r="QES20" s="3507"/>
      <c r="QET20" s="3507"/>
      <c r="QEU20" s="3507"/>
      <c r="QEV20" s="3507"/>
      <c r="QEW20" s="3507"/>
      <c r="QEX20" s="3507"/>
      <c r="QEY20" s="3507"/>
      <c r="QEZ20" s="3507"/>
      <c r="QFA20" s="3507"/>
      <c r="QFB20" s="3507"/>
      <c r="QFC20" s="3507"/>
      <c r="QFD20" s="3507"/>
      <c r="QFE20" s="3507"/>
      <c r="QFF20" s="3507"/>
      <c r="QFG20" s="3507"/>
      <c r="QFH20" s="3507"/>
      <c r="QFI20" s="3507"/>
      <c r="QFJ20" s="3507"/>
      <c r="QFK20" s="3507"/>
      <c r="QFL20" s="3507"/>
      <c r="QFM20" s="3507"/>
      <c r="QFN20" s="3507"/>
      <c r="QFO20" s="3507"/>
      <c r="QFP20" s="3507"/>
      <c r="QFQ20" s="3507"/>
      <c r="QFR20" s="3507"/>
      <c r="QFS20" s="3507"/>
      <c r="QFT20" s="3507"/>
      <c r="QFU20" s="3507"/>
      <c r="QFV20" s="3507"/>
      <c r="QFW20" s="3507"/>
      <c r="QFX20" s="3507"/>
      <c r="QFY20" s="3507"/>
      <c r="QFZ20" s="3507"/>
      <c r="QGA20" s="3507"/>
      <c r="QGB20" s="3507"/>
      <c r="QGC20" s="3507"/>
      <c r="QGD20" s="3507"/>
      <c r="QGE20" s="3507"/>
      <c r="QGF20" s="3507"/>
      <c r="QGG20" s="3507"/>
      <c r="QGH20" s="3507"/>
      <c r="QGI20" s="3507"/>
      <c r="QGJ20" s="3507"/>
      <c r="QGK20" s="3507"/>
      <c r="QGL20" s="3507"/>
      <c r="QGM20" s="3507"/>
      <c r="QGN20" s="3507"/>
      <c r="QGO20" s="3507"/>
      <c r="QGP20" s="3507"/>
      <c r="QGQ20" s="3507"/>
      <c r="QGR20" s="3507"/>
      <c r="QGS20" s="3507"/>
      <c r="QGT20" s="3507"/>
      <c r="QGU20" s="3507"/>
      <c r="QGV20" s="3507"/>
      <c r="QGW20" s="3507"/>
      <c r="QGX20" s="3507"/>
      <c r="QGY20" s="3507"/>
      <c r="QGZ20" s="3507"/>
      <c r="QHA20" s="3507"/>
      <c r="QHB20" s="3507"/>
      <c r="QHC20" s="3507"/>
      <c r="QHD20" s="3507"/>
      <c r="QHE20" s="3507"/>
      <c r="QHF20" s="3507"/>
      <c r="QHG20" s="3507"/>
      <c r="QHH20" s="3507"/>
      <c r="QHI20" s="3507"/>
      <c r="QHJ20" s="3507"/>
      <c r="QHK20" s="3507"/>
      <c r="QHL20" s="3507"/>
      <c r="QHM20" s="3507"/>
      <c r="QHN20" s="3507"/>
      <c r="QHO20" s="3507"/>
      <c r="QHP20" s="3507"/>
      <c r="QHQ20" s="3507"/>
      <c r="QHR20" s="3507"/>
      <c r="QHS20" s="3507"/>
      <c r="QHT20" s="3507"/>
      <c r="QHU20" s="3507"/>
      <c r="QHV20" s="3507"/>
      <c r="QHW20" s="3507"/>
      <c r="QHX20" s="3507"/>
      <c r="QHY20" s="3507"/>
      <c r="QHZ20" s="3507"/>
      <c r="QIA20" s="3507"/>
      <c r="QIB20" s="3507"/>
      <c r="QIC20" s="3507"/>
      <c r="QID20" s="3507"/>
      <c r="QIE20" s="3507"/>
      <c r="QIF20" s="3507"/>
      <c r="QIG20" s="3507"/>
      <c r="QIH20" s="3507"/>
      <c r="QII20" s="3507"/>
      <c r="QIJ20" s="3507"/>
      <c r="QIK20" s="3507"/>
      <c r="QIL20" s="3507"/>
      <c r="QIM20" s="3507"/>
      <c r="QIN20" s="3507"/>
      <c r="QIO20" s="3507"/>
      <c r="QIP20" s="3507"/>
      <c r="QIQ20" s="3507"/>
      <c r="QIR20" s="3507"/>
      <c r="QIS20" s="3507"/>
      <c r="QIT20" s="3507"/>
      <c r="QIU20" s="3507"/>
      <c r="QIV20" s="3507"/>
      <c r="QIW20" s="3507"/>
      <c r="QIX20" s="3507"/>
      <c r="QIY20" s="3507"/>
      <c r="QIZ20" s="3507"/>
      <c r="QJA20" s="3507"/>
      <c r="QJB20" s="3507"/>
      <c r="QJC20" s="3507"/>
      <c r="QJD20" s="3507"/>
      <c r="QJE20" s="3507"/>
      <c r="QJF20" s="3507"/>
      <c r="QJG20" s="3507"/>
      <c r="QJH20" s="3507"/>
      <c r="QJI20" s="3507"/>
      <c r="QJJ20" s="3507"/>
      <c r="QJK20" s="3507"/>
      <c r="QJL20" s="3507"/>
      <c r="QJM20" s="3507"/>
      <c r="QJN20" s="3507"/>
      <c r="QJO20" s="3507"/>
      <c r="QJP20" s="3507"/>
      <c r="QJQ20" s="3507"/>
      <c r="QJR20" s="3507"/>
      <c r="QJS20" s="3507"/>
      <c r="QJT20" s="3507"/>
      <c r="QJU20" s="3507"/>
      <c r="QJV20" s="3507"/>
      <c r="QJW20" s="3507"/>
      <c r="QJX20" s="3507"/>
      <c r="QJY20" s="3507"/>
      <c r="QJZ20" s="3507"/>
      <c r="QKA20" s="3507"/>
      <c r="QKB20" s="3507"/>
      <c r="QKC20" s="3507"/>
      <c r="QKD20" s="3507"/>
      <c r="QKE20" s="3507"/>
      <c r="QKF20" s="3507"/>
      <c r="QKG20" s="3507"/>
      <c r="QKH20" s="3507"/>
      <c r="QKI20" s="3507"/>
      <c r="QKJ20" s="3507"/>
      <c r="QKK20" s="3507"/>
      <c r="QKL20" s="3507"/>
      <c r="QKM20" s="3507"/>
      <c r="QKN20" s="3507"/>
      <c r="QKO20" s="3507"/>
      <c r="QKP20" s="3507"/>
      <c r="QKQ20" s="3507"/>
      <c r="QKR20" s="3507"/>
      <c r="QKS20" s="3507"/>
      <c r="QKT20" s="3507"/>
      <c r="QKU20" s="3507"/>
      <c r="QKV20" s="3507"/>
      <c r="QKW20" s="3507"/>
      <c r="QKX20" s="3507"/>
      <c r="QKY20" s="3507"/>
      <c r="QKZ20" s="3507"/>
      <c r="QLA20" s="3507"/>
      <c r="QLB20" s="3507"/>
      <c r="QLC20" s="3507"/>
      <c r="QLD20" s="3507"/>
      <c r="QLE20" s="3507"/>
      <c r="QLF20" s="3507"/>
      <c r="QLG20" s="3507"/>
      <c r="QLH20" s="3507"/>
      <c r="QLI20" s="3507"/>
      <c r="QLJ20" s="3507"/>
      <c r="QLK20" s="3507"/>
      <c r="QLL20" s="3507"/>
      <c r="QLM20" s="3507"/>
      <c r="QLN20" s="3507"/>
      <c r="QLO20" s="3507"/>
      <c r="QLP20" s="3507"/>
      <c r="QLQ20" s="3507"/>
      <c r="QLR20" s="3507"/>
      <c r="QLS20" s="3507"/>
      <c r="QLT20" s="3507"/>
      <c r="QLU20" s="3507"/>
      <c r="QLV20" s="3507"/>
      <c r="QLW20" s="3507"/>
      <c r="QLX20" s="3507"/>
      <c r="QLY20" s="3507"/>
      <c r="QLZ20" s="3507"/>
      <c r="QMA20" s="3507"/>
      <c r="QMB20" s="3507"/>
      <c r="QMC20" s="3507"/>
      <c r="QMD20" s="3507"/>
      <c r="QME20" s="3507"/>
      <c r="QMF20" s="3507"/>
      <c r="QMG20" s="3507"/>
      <c r="QMH20" s="3507"/>
      <c r="QMI20" s="3507"/>
      <c r="QMJ20" s="3507"/>
      <c r="QMK20" s="3507"/>
      <c r="QML20" s="3507"/>
      <c r="QMM20" s="3507"/>
      <c r="QMN20" s="3507"/>
      <c r="QMO20" s="3507"/>
      <c r="QMP20" s="3507"/>
      <c r="QMQ20" s="3507"/>
      <c r="QMR20" s="3507"/>
      <c r="QMS20" s="3507"/>
      <c r="QMT20" s="3507"/>
      <c r="QMU20" s="3507"/>
      <c r="QMV20" s="3507"/>
      <c r="QMW20" s="3507"/>
      <c r="QMX20" s="3507"/>
      <c r="QMY20" s="3507"/>
      <c r="QMZ20" s="3507"/>
      <c r="QNA20" s="3507"/>
      <c r="QNB20" s="3507"/>
      <c r="QNC20" s="3507"/>
      <c r="QND20" s="3507"/>
      <c r="QNE20" s="3507"/>
      <c r="QNF20" s="3507"/>
      <c r="QNG20" s="3507"/>
      <c r="QNH20" s="3507"/>
      <c r="QNI20" s="3507"/>
      <c r="QNJ20" s="3507"/>
      <c r="QNK20" s="3507"/>
      <c r="QNL20" s="3507"/>
      <c r="QNM20" s="3507"/>
      <c r="QNN20" s="3507"/>
      <c r="QNO20" s="3507"/>
      <c r="QNP20" s="3507"/>
      <c r="QNQ20" s="3507"/>
      <c r="QNR20" s="3507"/>
      <c r="QNS20" s="3507"/>
      <c r="QNT20" s="3507"/>
      <c r="QNU20" s="3507"/>
      <c r="QNV20" s="3507"/>
      <c r="QNW20" s="3507"/>
      <c r="QNX20" s="3507"/>
      <c r="QNY20" s="3507"/>
      <c r="QNZ20" s="3507"/>
      <c r="QOA20" s="3507"/>
      <c r="QOB20" s="3507"/>
      <c r="QOC20" s="3507"/>
      <c r="QOD20" s="3507"/>
      <c r="QOE20" s="3507"/>
      <c r="QOF20" s="3507"/>
      <c r="QOG20" s="3507"/>
      <c r="QOH20" s="3507"/>
      <c r="QOI20" s="3507"/>
      <c r="QOJ20" s="3507"/>
      <c r="QOK20" s="3507"/>
      <c r="QOL20" s="3507"/>
      <c r="QOM20" s="3507"/>
      <c r="QON20" s="3507"/>
      <c r="QOO20" s="3507"/>
      <c r="QOP20" s="3507"/>
      <c r="QOQ20" s="3507"/>
      <c r="QOR20" s="3507"/>
      <c r="QOS20" s="3507"/>
      <c r="QOT20" s="3507"/>
      <c r="QOU20" s="3507"/>
      <c r="QOV20" s="3507"/>
      <c r="QOW20" s="3507"/>
      <c r="QOX20" s="3507"/>
      <c r="QOY20" s="3507"/>
      <c r="QOZ20" s="3507"/>
      <c r="QPA20" s="3507"/>
      <c r="QPB20" s="3507"/>
      <c r="QPC20" s="3507"/>
      <c r="QPD20" s="3507"/>
      <c r="QPE20" s="3507"/>
      <c r="QPF20" s="3507"/>
      <c r="QPG20" s="3507"/>
      <c r="QPH20" s="3507"/>
      <c r="QPI20" s="3507"/>
      <c r="QPJ20" s="3507"/>
      <c r="QPK20" s="3507"/>
      <c r="QPL20" s="3507"/>
      <c r="QPM20" s="3507"/>
      <c r="QPN20" s="3507"/>
      <c r="QPO20" s="3507"/>
      <c r="QPP20" s="3507"/>
      <c r="QPQ20" s="3507"/>
      <c r="QPR20" s="3507"/>
      <c r="QPS20" s="3507"/>
      <c r="QPT20" s="3507"/>
      <c r="QPU20" s="3507"/>
      <c r="QPV20" s="3507"/>
      <c r="QPW20" s="3507"/>
      <c r="QPX20" s="3507"/>
      <c r="QPY20" s="3507"/>
      <c r="QPZ20" s="3507"/>
      <c r="QQA20" s="3507"/>
      <c r="QQB20" s="3507"/>
      <c r="QQC20" s="3507"/>
      <c r="QQD20" s="3507"/>
      <c r="QQE20" s="3507"/>
      <c r="QQF20" s="3507"/>
      <c r="QQG20" s="3507"/>
      <c r="QQH20" s="3507"/>
      <c r="QQI20" s="3507"/>
      <c r="QQJ20" s="3507"/>
      <c r="QQK20" s="3507"/>
      <c r="QQL20" s="3507"/>
      <c r="QQM20" s="3507"/>
      <c r="QQN20" s="3507"/>
      <c r="QQO20" s="3507"/>
      <c r="QQP20" s="3507"/>
      <c r="QQQ20" s="3507"/>
      <c r="QQR20" s="3507"/>
      <c r="QQS20" s="3507"/>
      <c r="QQT20" s="3507"/>
      <c r="QQU20" s="3507"/>
      <c r="QQV20" s="3507"/>
      <c r="QQW20" s="3507"/>
      <c r="QQX20" s="3507"/>
      <c r="QQY20" s="3507"/>
      <c r="QQZ20" s="3507"/>
      <c r="QRA20" s="3507"/>
      <c r="QRB20" s="3507"/>
      <c r="QRC20" s="3507"/>
      <c r="QRD20" s="3507"/>
      <c r="QRE20" s="3507"/>
      <c r="QRF20" s="3507"/>
      <c r="QRG20" s="3507"/>
      <c r="QRH20" s="3507"/>
      <c r="QRI20" s="3507"/>
      <c r="QRJ20" s="3507"/>
      <c r="QRK20" s="3507"/>
      <c r="QRL20" s="3507"/>
      <c r="QRM20" s="3507"/>
      <c r="QRN20" s="3507"/>
      <c r="QRO20" s="3507"/>
      <c r="QRP20" s="3507"/>
      <c r="QRQ20" s="3507"/>
      <c r="QRR20" s="3507"/>
      <c r="QRS20" s="3507"/>
      <c r="QRT20" s="3507"/>
      <c r="QRU20" s="3507"/>
      <c r="QRV20" s="3507"/>
      <c r="QRW20" s="3507"/>
      <c r="QRX20" s="3507"/>
      <c r="QRY20" s="3507"/>
      <c r="QRZ20" s="3507"/>
      <c r="QSA20" s="3507"/>
      <c r="QSB20" s="3507"/>
      <c r="QSC20" s="3507"/>
      <c r="QSD20" s="3507"/>
      <c r="QSE20" s="3507"/>
      <c r="QSF20" s="3507"/>
      <c r="QSG20" s="3507"/>
      <c r="QSH20" s="3507"/>
      <c r="QSI20" s="3507"/>
      <c r="QSJ20" s="3507"/>
      <c r="QSK20" s="3507"/>
      <c r="QSL20" s="3507"/>
      <c r="QSM20" s="3507"/>
      <c r="QSN20" s="3507"/>
      <c r="QSO20" s="3507"/>
      <c r="QSP20" s="3507"/>
      <c r="QSQ20" s="3507"/>
      <c r="QSR20" s="3507"/>
      <c r="QSS20" s="3507"/>
      <c r="QST20" s="3507"/>
      <c r="QSU20" s="3507"/>
      <c r="QSV20" s="3507"/>
      <c r="QSW20" s="3507"/>
      <c r="QSX20" s="3507"/>
      <c r="QSY20" s="3507"/>
      <c r="QSZ20" s="3507"/>
      <c r="QTA20" s="3507"/>
      <c r="QTB20" s="3507"/>
      <c r="QTC20" s="3507"/>
      <c r="QTD20" s="3507"/>
      <c r="QTE20" s="3507"/>
      <c r="QTF20" s="3507"/>
      <c r="QTG20" s="3507"/>
      <c r="QTH20" s="3507"/>
      <c r="QTI20" s="3507"/>
      <c r="QTJ20" s="3507"/>
      <c r="QTK20" s="3507"/>
      <c r="QTL20" s="3507"/>
      <c r="QTM20" s="3507"/>
      <c r="QTN20" s="3507"/>
      <c r="QTO20" s="3507"/>
      <c r="QTP20" s="3507"/>
      <c r="QTQ20" s="3507"/>
      <c r="QTR20" s="3507"/>
      <c r="QTS20" s="3507"/>
      <c r="QTT20" s="3507"/>
      <c r="QTU20" s="3507"/>
      <c r="QTV20" s="3507"/>
      <c r="QTW20" s="3507"/>
      <c r="QTX20" s="3507"/>
      <c r="QTY20" s="3507"/>
      <c r="QTZ20" s="3507"/>
      <c r="QUA20" s="3507"/>
      <c r="QUB20" s="3507"/>
      <c r="QUC20" s="3507"/>
      <c r="QUD20" s="3507"/>
      <c r="QUE20" s="3507"/>
      <c r="QUF20" s="3507"/>
      <c r="QUG20" s="3507"/>
      <c r="QUH20" s="3507"/>
      <c r="QUI20" s="3507"/>
      <c r="QUJ20" s="3507"/>
      <c r="QUK20" s="3507"/>
      <c r="QUL20" s="3507"/>
      <c r="QUM20" s="3507"/>
      <c r="QUN20" s="3507"/>
      <c r="QUO20" s="3507"/>
      <c r="QUP20" s="3507"/>
      <c r="QUQ20" s="3507"/>
      <c r="QUR20" s="3507"/>
      <c r="QUS20" s="3507"/>
      <c r="QUT20" s="3507"/>
      <c r="QUU20" s="3507"/>
      <c r="QUV20" s="3507"/>
      <c r="QUW20" s="3507"/>
      <c r="QUX20" s="3507"/>
      <c r="QUY20" s="3507"/>
      <c r="QUZ20" s="3507"/>
      <c r="QVA20" s="3507"/>
      <c r="QVB20" s="3507"/>
      <c r="QVC20" s="3507"/>
      <c r="QVD20" s="3507"/>
      <c r="QVE20" s="3507"/>
      <c r="QVF20" s="3507"/>
      <c r="QVG20" s="3507"/>
      <c r="QVH20" s="3507"/>
      <c r="QVI20" s="3507"/>
      <c r="QVJ20" s="3507"/>
      <c r="QVK20" s="3507"/>
      <c r="QVL20" s="3507"/>
      <c r="QVM20" s="3507"/>
      <c r="QVN20" s="3507"/>
      <c r="QVO20" s="3507"/>
      <c r="QVP20" s="3507"/>
      <c r="QVQ20" s="3507"/>
      <c r="QVR20" s="3507"/>
      <c r="QVS20" s="3507"/>
      <c r="QVT20" s="3507"/>
      <c r="QVU20" s="3507"/>
      <c r="QVV20" s="3507"/>
      <c r="QVW20" s="3507"/>
      <c r="QVX20" s="3507"/>
      <c r="QVY20" s="3507"/>
      <c r="QVZ20" s="3507"/>
      <c r="QWA20" s="3507"/>
      <c r="QWB20" s="3507"/>
      <c r="QWC20" s="3507"/>
      <c r="QWD20" s="3507"/>
      <c r="QWE20" s="3507"/>
      <c r="QWF20" s="3507"/>
      <c r="QWG20" s="3507"/>
      <c r="QWH20" s="3507"/>
      <c r="QWI20" s="3507"/>
      <c r="QWJ20" s="3507"/>
      <c r="QWK20" s="3507"/>
      <c r="QWL20" s="3507"/>
      <c r="QWM20" s="3507"/>
      <c r="QWN20" s="3507"/>
      <c r="QWO20" s="3507"/>
      <c r="QWP20" s="3507"/>
      <c r="QWQ20" s="3507"/>
      <c r="QWR20" s="3507"/>
      <c r="QWS20" s="3507"/>
      <c r="QWT20" s="3507"/>
      <c r="QWU20" s="3507"/>
      <c r="QWV20" s="3507"/>
      <c r="QWW20" s="3507"/>
      <c r="QWX20" s="3507"/>
      <c r="QWY20" s="3507"/>
      <c r="QWZ20" s="3507"/>
      <c r="QXA20" s="3507"/>
      <c r="QXB20" s="3507"/>
      <c r="QXC20" s="3507"/>
      <c r="QXD20" s="3507"/>
      <c r="QXE20" s="3507"/>
      <c r="QXF20" s="3507"/>
      <c r="QXG20" s="3507"/>
      <c r="QXH20" s="3507"/>
      <c r="QXI20" s="3507"/>
      <c r="QXJ20" s="3507"/>
      <c r="QXK20" s="3507"/>
      <c r="QXL20" s="3507"/>
      <c r="QXM20" s="3507"/>
      <c r="QXN20" s="3507"/>
      <c r="QXO20" s="3507"/>
      <c r="QXP20" s="3507"/>
      <c r="QXQ20" s="3507"/>
      <c r="QXR20" s="3507"/>
      <c r="QXS20" s="3507"/>
      <c r="QXT20" s="3507"/>
      <c r="QXU20" s="3507"/>
      <c r="QXV20" s="3507"/>
      <c r="QXW20" s="3507"/>
      <c r="QXX20" s="3507"/>
      <c r="QXY20" s="3507"/>
      <c r="QXZ20" s="3507"/>
      <c r="QYA20" s="3507"/>
      <c r="QYB20" s="3507"/>
      <c r="QYC20" s="3507"/>
      <c r="QYD20" s="3507"/>
      <c r="QYE20" s="3507"/>
      <c r="QYF20" s="3507"/>
      <c r="QYG20" s="3507"/>
      <c r="QYH20" s="3507"/>
      <c r="QYI20" s="3507"/>
      <c r="QYJ20" s="3507"/>
      <c r="QYK20" s="3507"/>
      <c r="QYL20" s="3507"/>
      <c r="QYM20" s="3507"/>
      <c r="QYN20" s="3507"/>
      <c r="QYO20" s="3507"/>
      <c r="QYP20" s="3507"/>
      <c r="QYQ20" s="3507"/>
      <c r="QYR20" s="3507"/>
      <c r="QYS20" s="3507"/>
      <c r="QYT20" s="3507"/>
      <c r="QYU20" s="3507"/>
      <c r="QYV20" s="3507"/>
      <c r="QYW20" s="3507"/>
      <c r="QYX20" s="3507"/>
      <c r="QYY20" s="3507"/>
      <c r="QYZ20" s="3507"/>
      <c r="QZA20" s="3507"/>
      <c r="QZB20" s="3507"/>
      <c r="QZC20" s="3507"/>
      <c r="QZD20" s="3507"/>
      <c r="QZE20" s="3507"/>
      <c r="QZF20" s="3507"/>
      <c r="QZG20" s="3507"/>
      <c r="QZH20" s="3507"/>
      <c r="QZI20" s="3507"/>
      <c r="QZJ20" s="3507"/>
      <c r="QZK20" s="3507"/>
      <c r="QZL20" s="3507"/>
      <c r="QZM20" s="3507"/>
      <c r="QZN20" s="3507"/>
      <c r="QZO20" s="3507"/>
      <c r="QZP20" s="3507"/>
      <c r="QZQ20" s="3507"/>
      <c r="QZR20" s="3507"/>
      <c r="QZS20" s="3507"/>
      <c r="QZT20" s="3507"/>
      <c r="QZU20" s="3507"/>
      <c r="QZV20" s="3507"/>
      <c r="QZW20" s="3507"/>
      <c r="QZX20" s="3507"/>
      <c r="QZY20" s="3507"/>
      <c r="QZZ20" s="3507"/>
      <c r="RAA20" s="3507"/>
      <c r="RAB20" s="3507"/>
      <c r="RAC20" s="3507"/>
      <c r="RAD20" s="3507"/>
      <c r="RAE20" s="3507"/>
      <c r="RAF20" s="3507"/>
      <c r="RAG20" s="3507"/>
      <c r="RAH20" s="3507"/>
      <c r="RAI20" s="3507"/>
      <c r="RAJ20" s="3507"/>
      <c r="RAK20" s="3507"/>
      <c r="RAL20" s="3507"/>
      <c r="RAM20" s="3507"/>
      <c r="RAN20" s="3507"/>
      <c r="RAO20" s="3507"/>
      <c r="RAP20" s="3507"/>
      <c r="RAQ20" s="3507"/>
      <c r="RAR20" s="3507"/>
      <c r="RAS20" s="3507"/>
      <c r="RAT20" s="3507"/>
      <c r="RAU20" s="3507"/>
      <c r="RAV20" s="3507"/>
      <c r="RAW20" s="3507"/>
      <c r="RAX20" s="3507"/>
      <c r="RAY20" s="3507"/>
      <c r="RAZ20" s="3507"/>
      <c r="RBA20" s="3507"/>
      <c r="RBB20" s="3507"/>
      <c r="RBC20" s="3507"/>
      <c r="RBD20" s="3507"/>
      <c r="RBE20" s="3507"/>
      <c r="RBF20" s="3507"/>
      <c r="RBG20" s="3507"/>
      <c r="RBH20" s="3507"/>
      <c r="RBI20" s="3507"/>
      <c r="RBJ20" s="3507"/>
      <c r="RBK20" s="3507"/>
      <c r="RBL20" s="3507"/>
      <c r="RBM20" s="3507"/>
      <c r="RBN20" s="3507"/>
      <c r="RBO20" s="3507"/>
      <c r="RBP20" s="3507"/>
      <c r="RBQ20" s="3507"/>
      <c r="RBR20" s="3507"/>
      <c r="RBS20" s="3507"/>
      <c r="RBT20" s="3507"/>
      <c r="RBU20" s="3507"/>
      <c r="RBV20" s="3507"/>
      <c r="RBW20" s="3507"/>
      <c r="RBX20" s="3507"/>
      <c r="RBY20" s="3507"/>
      <c r="RBZ20" s="3507"/>
      <c r="RCA20" s="3507"/>
      <c r="RCB20" s="3507"/>
      <c r="RCC20" s="3507"/>
      <c r="RCD20" s="3507"/>
      <c r="RCE20" s="3507"/>
      <c r="RCF20" s="3507"/>
      <c r="RCG20" s="3507"/>
      <c r="RCH20" s="3507"/>
      <c r="RCI20" s="3507"/>
      <c r="RCJ20" s="3507"/>
      <c r="RCK20" s="3507"/>
      <c r="RCL20" s="3507"/>
      <c r="RCM20" s="3507"/>
      <c r="RCN20" s="3507"/>
      <c r="RCO20" s="3507"/>
      <c r="RCP20" s="3507"/>
      <c r="RCQ20" s="3507"/>
      <c r="RCR20" s="3507"/>
      <c r="RCS20" s="3507"/>
      <c r="RCT20" s="3507"/>
      <c r="RCU20" s="3507"/>
      <c r="RCV20" s="3507"/>
      <c r="RCW20" s="3507"/>
      <c r="RCX20" s="3507"/>
      <c r="RCY20" s="3507"/>
      <c r="RCZ20" s="3507"/>
      <c r="RDA20" s="3507"/>
      <c r="RDB20" s="3507"/>
      <c r="RDC20" s="3507"/>
      <c r="RDD20" s="3507"/>
      <c r="RDE20" s="3507"/>
      <c r="RDF20" s="3507"/>
      <c r="RDG20" s="3507"/>
      <c r="RDH20" s="3507"/>
      <c r="RDI20" s="3507"/>
      <c r="RDJ20" s="3507"/>
      <c r="RDK20" s="3507"/>
      <c r="RDL20" s="3507"/>
      <c r="RDM20" s="3507"/>
      <c r="RDN20" s="3507"/>
      <c r="RDO20" s="3507"/>
      <c r="RDP20" s="3507"/>
      <c r="RDQ20" s="3507"/>
      <c r="RDR20" s="3507"/>
      <c r="RDS20" s="3507"/>
      <c r="RDT20" s="3507"/>
      <c r="RDU20" s="3507"/>
      <c r="RDV20" s="3507"/>
      <c r="RDW20" s="3507"/>
      <c r="RDX20" s="3507"/>
      <c r="RDY20" s="3507"/>
      <c r="RDZ20" s="3507"/>
      <c r="REA20" s="3507"/>
      <c r="REB20" s="3507"/>
      <c r="REC20" s="3507"/>
      <c r="RED20" s="3507"/>
      <c r="REE20" s="3507"/>
      <c r="REF20" s="3507"/>
      <c r="REG20" s="3507"/>
      <c r="REH20" s="3507"/>
      <c r="REI20" s="3507"/>
      <c r="REJ20" s="3507"/>
      <c r="REK20" s="3507"/>
      <c r="REL20" s="3507"/>
      <c r="REM20" s="3507"/>
      <c r="REN20" s="3507"/>
      <c r="REO20" s="3507"/>
      <c r="REP20" s="3507"/>
      <c r="REQ20" s="3507"/>
      <c r="RER20" s="3507"/>
      <c r="RES20" s="3507"/>
      <c r="RET20" s="3507"/>
      <c r="REU20" s="3507"/>
      <c r="REV20" s="3507"/>
      <c r="REW20" s="3507"/>
      <c r="REX20" s="3507"/>
      <c r="REY20" s="3507"/>
      <c r="REZ20" s="3507"/>
      <c r="RFA20" s="3507"/>
      <c r="RFB20" s="3507"/>
      <c r="RFC20" s="3507"/>
      <c r="RFD20" s="3507"/>
      <c r="RFE20" s="3507"/>
      <c r="RFF20" s="3507"/>
      <c r="RFG20" s="3507"/>
      <c r="RFH20" s="3507"/>
      <c r="RFI20" s="3507"/>
      <c r="RFJ20" s="3507"/>
      <c r="RFK20" s="3507"/>
      <c r="RFL20" s="3507"/>
      <c r="RFM20" s="3507"/>
      <c r="RFN20" s="3507"/>
      <c r="RFO20" s="3507"/>
      <c r="RFP20" s="3507"/>
      <c r="RFQ20" s="3507"/>
      <c r="RFR20" s="3507"/>
      <c r="RFS20" s="3507"/>
      <c r="RFT20" s="3507"/>
      <c r="RFU20" s="3507"/>
      <c r="RFV20" s="3507"/>
      <c r="RFW20" s="3507"/>
      <c r="RFX20" s="3507"/>
      <c r="RFY20" s="3507"/>
      <c r="RFZ20" s="3507"/>
      <c r="RGA20" s="3507"/>
      <c r="RGB20" s="3507"/>
      <c r="RGC20" s="3507"/>
      <c r="RGD20" s="3507"/>
      <c r="RGE20" s="3507"/>
      <c r="RGF20" s="3507"/>
      <c r="RGG20" s="3507"/>
      <c r="RGH20" s="3507"/>
      <c r="RGI20" s="3507"/>
      <c r="RGJ20" s="3507"/>
      <c r="RGK20" s="3507"/>
      <c r="RGL20" s="3507"/>
      <c r="RGM20" s="3507"/>
      <c r="RGN20" s="3507"/>
      <c r="RGO20" s="3507"/>
      <c r="RGP20" s="3507"/>
      <c r="RGQ20" s="3507"/>
      <c r="RGR20" s="3507"/>
      <c r="RGS20" s="3507"/>
      <c r="RGT20" s="3507"/>
      <c r="RGU20" s="3507"/>
      <c r="RGV20" s="3507"/>
      <c r="RGW20" s="3507"/>
      <c r="RGX20" s="3507"/>
      <c r="RGY20" s="3507"/>
      <c r="RGZ20" s="3507"/>
      <c r="RHA20" s="3507"/>
      <c r="RHB20" s="3507"/>
      <c r="RHC20" s="3507"/>
      <c r="RHD20" s="3507"/>
      <c r="RHE20" s="3507"/>
      <c r="RHF20" s="3507"/>
      <c r="RHG20" s="3507"/>
      <c r="RHH20" s="3507"/>
      <c r="RHI20" s="3507"/>
      <c r="RHJ20" s="3507"/>
      <c r="RHK20" s="3507"/>
      <c r="RHL20" s="3507"/>
      <c r="RHM20" s="3507"/>
      <c r="RHN20" s="3507"/>
      <c r="RHO20" s="3507"/>
      <c r="RHP20" s="3507"/>
      <c r="RHQ20" s="3507"/>
      <c r="RHR20" s="3507"/>
      <c r="RHS20" s="3507"/>
      <c r="RHT20" s="3507"/>
      <c r="RHU20" s="3507"/>
      <c r="RHV20" s="3507"/>
      <c r="RHW20" s="3507"/>
      <c r="RHX20" s="3507"/>
      <c r="RHY20" s="3507"/>
      <c r="RHZ20" s="3507"/>
      <c r="RIA20" s="3507"/>
      <c r="RIB20" s="3507"/>
      <c r="RIC20" s="3507"/>
      <c r="RID20" s="3507"/>
      <c r="RIE20" s="3507"/>
      <c r="RIF20" s="3507"/>
      <c r="RIG20" s="3507"/>
      <c r="RIH20" s="3507"/>
      <c r="RII20" s="3507"/>
      <c r="RIJ20" s="3507"/>
      <c r="RIK20" s="3507"/>
      <c r="RIL20" s="3507"/>
      <c r="RIM20" s="3507"/>
      <c r="RIN20" s="3507"/>
      <c r="RIO20" s="3507"/>
      <c r="RIP20" s="3507"/>
      <c r="RIQ20" s="3507"/>
      <c r="RIR20" s="3507"/>
      <c r="RIS20" s="3507"/>
      <c r="RIT20" s="3507"/>
      <c r="RIU20" s="3507"/>
      <c r="RIV20" s="3507"/>
      <c r="RIW20" s="3507"/>
      <c r="RIX20" s="3507"/>
      <c r="RIY20" s="3507"/>
      <c r="RIZ20" s="3507"/>
      <c r="RJA20" s="3507"/>
      <c r="RJB20" s="3507"/>
      <c r="RJC20" s="3507"/>
      <c r="RJD20" s="3507"/>
      <c r="RJE20" s="3507"/>
      <c r="RJF20" s="3507"/>
      <c r="RJG20" s="3507"/>
      <c r="RJH20" s="3507"/>
      <c r="RJI20" s="3507"/>
      <c r="RJJ20" s="3507"/>
      <c r="RJK20" s="3507"/>
      <c r="RJL20" s="3507"/>
      <c r="RJM20" s="3507"/>
      <c r="RJN20" s="3507"/>
      <c r="RJO20" s="3507"/>
      <c r="RJP20" s="3507"/>
      <c r="RJQ20" s="3507"/>
      <c r="RJR20" s="3507"/>
      <c r="RJS20" s="3507"/>
      <c r="RJT20" s="3507"/>
      <c r="RJU20" s="3507"/>
      <c r="RJV20" s="3507"/>
      <c r="RJW20" s="3507"/>
      <c r="RJX20" s="3507"/>
      <c r="RJY20" s="3507"/>
      <c r="RJZ20" s="3507"/>
      <c r="RKA20" s="3507"/>
      <c r="RKB20" s="3507"/>
      <c r="RKC20" s="3507"/>
      <c r="RKD20" s="3507"/>
      <c r="RKE20" s="3507"/>
      <c r="RKF20" s="3507"/>
      <c r="RKG20" s="3507"/>
      <c r="RKH20" s="3507"/>
      <c r="RKI20" s="3507"/>
      <c r="RKJ20" s="3507"/>
      <c r="RKK20" s="3507"/>
      <c r="RKL20" s="3507"/>
      <c r="RKM20" s="3507"/>
      <c r="RKN20" s="3507"/>
      <c r="RKO20" s="3507"/>
      <c r="RKP20" s="3507"/>
      <c r="RKQ20" s="3507"/>
      <c r="RKR20" s="3507"/>
      <c r="RKS20" s="3507"/>
      <c r="RKT20" s="3507"/>
      <c r="RKU20" s="3507"/>
      <c r="RKV20" s="3507"/>
      <c r="RKW20" s="3507"/>
      <c r="RKX20" s="3507"/>
      <c r="RKY20" s="3507"/>
      <c r="RKZ20" s="3507"/>
      <c r="RLA20" s="3507"/>
      <c r="RLB20" s="3507"/>
      <c r="RLC20" s="3507"/>
      <c r="RLD20" s="3507"/>
      <c r="RLE20" s="3507"/>
      <c r="RLF20" s="3507"/>
      <c r="RLG20" s="3507"/>
      <c r="RLH20" s="3507"/>
      <c r="RLI20" s="3507"/>
      <c r="RLJ20" s="3507"/>
      <c r="RLK20" s="3507"/>
      <c r="RLL20" s="3507"/>
      <c r="RLM20" s="3507"/>
      <c r="RLN20" s="3507"/>
      <c r="RLO20" s="3507"/>
      <c r="RLP20" s="3507"/>
      <c r="RLQ20" s="3507"/>
      <c r="RLR20" s="3507"/>
      <c r="RLS20" s="3507"/>
      <c r="RLT20" s="3507"/>
      <c r="RLU20" s="3507"/>
      <c r="RLV20" s="3507"/>
      <c r="RLW20" s="3507"/>
      <c r="RLX20" s="3507"/>
      <c r="RLY20" s="3507"/>
      <c r="RLZ20" s="3507"/>
      <c r="RMA20" s="3507"/>
      <c r="RMB20" s="3507"/>
      <c r="RMC20" s="3507"/>
      <c r="RMD20" s="3507"/>
      <c r="RME20" s="3507"/>
      <c r="RMF20" s="3507"/>
      <c r="RMG20" s="3507"/>
      <c r="RMH20" s="3507"/>
      <c r="RMI20" s="3507"/>
      <c r="RMJ20" s="3507"/>
      <c r="RMK20" s="3507"/>
      <c r="RML20" s="3507"/>
      <c r="RMM20" s="3507"/>
      <c r="RMN20" s="3507"/>
      <c r="RMO20" s="3507"/>
      <c r="RMP20" s="3507"/>
      <c r="RMQ20" s="3507"/>
      <c r="RMR20" s="3507"/>
      <c r="RMS20" s="3507"/>
      <c r="RMT20" s="3507"/>
      <c r="RMU20" s="3507"/>
      <c r="RMV20" s="3507"/>
      <c r="RMW20" s="3507"/>
      <c r="RMX20" s="3507"/>
      <c r="RMY20" s="3507"/>
      <c r="RMZ20" s="3507"/>
      <c r="RNA20" s="3507"/>
      <c r="RNB20" s="3507"/>
      <c r="RNC20" s="3507"/>
      <c r="RND20" s="3507"/>
      <c r="RNE20" s="3507"/>
      <c r="RNF20" s="3507"/>
      <c r="RNG20" s="3507"/>
      <c r="RNH20" s="3507"/>
      <c r="RNI20" s="3507"/>
      <c r="RNJ20" s="3507"/>
      <c r="RNK20" s="3507"/>
      <c r="RNL20" s="3507"/>
      <c r="RNM20" s="3507"/>
      <c r="RNN20" s="3507"/>
      <c r="RNO20" s="3507"/>
      <c r="RNP20" s="3507"/>
      <c r="RNQ20" s="3507"/>
      <c r="RNR20" s="3507"/>
      <c r="RNS20" s="3507"/>
      <c r="RNT20" s="3507"/>
      <c r="RNU20" s="3507"/>
      <c r="RNV20" s="3507"/>
      <c r="RNW20" s="3507"/>
      <c r="RNX20" s="3507"/>
      <c r="RNY20" s="3507"/>
      <c r="RNZ20" s="3507"/>
      <c r="ROA20" s="3507"/>
      <c r="ROB20" s="3507"/>
      <c r="ROC20" s="3507"/>
      <c r="ROD20" s="3507"/>
      <c r="ROE20" s="3507"/>
      <c r="ROF20" s="3507"/>
      <c r="ROG20" s="3507"/>
      <c r="ROH20" s="3507"/>
      <c r="ROI20" s="3507"/>
      <c r="ROJ20" s="3507"/>
      <c r="ROK20" s="3507"/>
      <c r="ROL20" s="3507"/>
      <c r="ROM20" s="3507"/>
      <c r="RON20" s="3507"/>
      <c r="ROO20" s="3507"/>
      <c r="ROP20" s="3507"/>
      <c r="ROQ20" s="3507"/>
      <c r="ROR20" s="3507"/>
      <c r="ROS20" s="3507"/>
      <c r="ROT20" s="3507"/>
      <c r="ROU20" s="3507"/>
      <c r="ROV20" s="3507"/>
      <c r="ROW20" s="3507"/>
      <c r="ROX20" s="3507"/>
      <c r="ROY20" s="3507"/>
      <c r="ROZ20" s="3507"/>
      <c r="RPA20" s="3507"/>
      <c r="RPB20" s="3507"/>
      <c r="RPC20" s="3507"/>
      <c r="RPD20" s="3507"/>
      <c r="RPE20" s="3507"/>
      <c r="RPF20" s="3507"/>
      <c r="RPG20" s="3507"/>
      <c r="RPH20" s="3507"/>
      <c r="RPI20" s="3507"/>
      <c r="RPJ20" s="3507"/>
      <c r="RPK20" s="3507"/>
      <c r="RPL20" s="3507"/>
      <c r="RPM20" s="3507"/>
      <c r="RPN20" s="3507"/>
      <c r="RPO20" s="3507"/>
      <c r="RPP20" s="3507"/>
      <c r="RPQ20" s="3507"/>
      <c r="RPR20" s="3507"/>
      <c r="RPS20" s="3507"/>
      <c r="RPT20" s="3507"/>
      <c r="RPU20" s="3507"/>
      <c r="RPV20" s="3507"/>
      <c r="RPW20" s="3507"/>
      <c r="RPX20" s="3507"/>
      <c r="RPY20" s="3507"/>
      <c r="RPZ20" s="3507"/>
      <c r="RQA20" s="3507"/>
      <c r="RQB20" s="3507"/>
      <c r="RQC20" s="3507"/>
      <c r="RQD20" s="3507"/>
      <c r="RQE20" s="3507"/>
      <c r="RQF20" s="3507"/>
      <c r="RQG20" s="3507"/>
      <c r="RQH20" s="3507"/>
      <c r="RQI20" s="3507"/>
      <c r="RQJ20" s="3507"/>
      <c r="RQK20" s="3507"/>
      <c r="RQL20" s="3507"/>
      <c r="RQM20" s="3507"/>
      <c r="RQN20" s="3507"/>
      <c r="RQO20" s="3507"/>
      <c r="RQP20" s="3507"/>
      <c r="RQQ20" s="3507"/>
      <c r="RQR20" s="3507"/>
      <c r="RQS20" s="3507"/>
      <c r="RQT20" s="3507"/>
      <c r="RQU20" s="3507"/>
      <c r="RQV20" s="3507"/>
      <c r="RQW20" s="3507"/>
      <c r="RQX20" s="3507"/>
      <c r="RQY20" s="3507"/>
      <c r="RQZ20" s="3507"/>
      <c r="RRA20" s="3507"/>
      <c r="RRB20" s="3507"/>
      <c r="RRC20" s="3507"/>
      <c r="RRD20" s="3507"/>
      <c r="RRE20" s="3507"/>
      <c r="RRF20" s="3507"/>
      <c r="RRG20" s="3507"/>
      <c r="RRH20" s="3507"/>
      <c r="RRI20" s="3507"/>
      <c r="RRJ20" s="3507"/>
      <c r="RRK20" s="3507"/>
      <c r="RRL20" s="3507"/>
      <c r="RRM20" s="3507"/>
      <c r="RRN20" s="3507"/>
      <c r="RRO20" s="3507"/>
      <c r="RRP20" s="3507"/>
      <c r="RRQ20" s="3507"/>
      <c r="RRR20" s="3507"/>
      <c r="RRS20" s="3507"/>
      <c r="RRT20" s="3507"/>
      <c r="RRU20" s="3507"/>
      <c r="RRV20" s="3507"/>
      <c r="RRW20" s="3507"/>
      <c r="RRX20" s="3507"/>
      <c r="RRY20" s="3507"/>
      <c r="RRZ20" s="3507"/>
      <c r="RSA20" s="3507"/>
      <c r="RSB20" s="3507"/>
      <c r="RSC20" s="3507"/>
      <c r="RSD20" s="3507"/>
      <c r="RSE20" s="3507"/>
      <c r="RSF20" s="3507"/>
      <c r="RSG20" s="3507"/>
      <c r="RSH20" s="3507"/>
      <c r="RSI20" s="3507"/>
      <c r="RSJ20" s="3507"/>
      <c r="RSK20" s="3507"/>
      <c r="RSL20" s="3507"/>
      <c r="RSM20" s="3507"/>
      <c r="RSN20" s="3507"/>
      <c r="RSO20" s="3507"/>
      <c r="RSP20" s="3507"/>
      <c r="RSQ20" s="3507"/>
      <c r="RSR20" s="3507"/>
      <c r="RSS20" s="3507"/>
      <c r="RST20" s="3507"/>
      <c r="RSU20" s="3507"/>
      <c r="RSV20" s="3507"/>
      <c r="RSW20" s="3507"/>
      <c r="RSX20" s="3507"/>
      <c r="RSY20" s="3507"/>
      <c r="RSZ20" s="3507"/>
      <c r="RTA20" s="3507"/>
      <c r="RTB20" s="3507"/>
      <c r="RTC20" s="3507"/>
      <c r="RTD20" s="3507"/>
      <c r="RTE20" s="3507"/>
      <c r="RTF20" s="3507"/>
      <c r="RTG20" s="3507"/>
      <c r="RTH20" s="3507"/>
      <c r="RTI20" s="3507"/>
      <c r="RTJ20" s="3507"/>
      <c r="RTK20" s="3507"/>
      <c r="RTL20" s="3507"/>
      <c r="RTM20" s="3507"/>
      <c r="RTN20" s="3507"/>
      <c r="RTO20" s="3507"/>
      <c r="RTP20" s="3507"/>
      <c r="RTQ20" s="3507"/>
      <c r="RTR20" s="3507"/>
      <c r="RTS20" s="3507"/>
      <c r="RTT20" s="3507"/>
      <c r="RTU20" s="3507"/>
      <c r="RTV20" s="3507"/>
      <c r="RTW20" s="3507"/>
      <c r="RTX20" s="3507"/>
      <c r="RTY20" s="3507"/>
      <c r="RTZ20" s="3507"/>
      <c r="RUA20" s="3507"/>
      <c r="RUB20" s="3507"/>
      <c r="RUC20" s="3507"/>
      <c r="RUD20" s="3507"/>
      <c r="RUE20" s="3507"/>
      <c r="RUF20" s="3507"/>
      <c r="RUG20" s="3507"/>
      <c r="RUH20" s="3507"/>
      <c r="RUI20" s="3507"/>
      <c r="RUJ20" s="3507"/>
      <c r="RUK20" s="3507"/>
      <c r="RUL20" s="3507"/>
      <c r="RUM20" s="3507"/>
      <c r="RUN20" s="3507"/>
      <c r="RUO20" s="3507"/>
      <c r="RUP20" s="3507"/>
      <c r="RUQ20" s="3507"/>
      <c r="RUR20" s="3507"/>
      <c r="RUS20" s="3507"/>
      <c r="RUT20" s="3507"/>
      <c r="RUU20" s="3507"/>
      <c r="RUV20" s="3507"/>
      <c r="RUW20" s="3507"/>
      <c r="RUX20" s="3507"/>
      <c r="RUY20" s="3507"/>
      <c r="RUZ20" s="3507"/>
      <c r="RVA20" s="3507"/>
      <c r="RVB20" s="3507"/>
      <c r="RVC20" s="3507"/>
      <c r="RVD20" s="3507"/>
      <c r="RVE20" s="3507"/>
      <c r="RVF20" s="3507"/>
      <c r="RVG20" s="3507"/>
      <c r="RVH20" s="3507"/>
      <c r="RVI20" s="3507"/>
      <c r="RVJ20" s="3507"/>
      <c r="RVK20" s="3507"/>
      <c r="RVL20" s="3507"/>
      <c r="RVM20" s="3507"/>
      <c r="RVN20" s="3507"/>
      <c r="RVO20" s="3507"/>
      <c r="RVP20" s="3507"/>
      <c r="RVQ20" s="3507"/>
      <c r="RVR20" s="3507"/>
      <c r="RVS20" s="3507"/>
      <c r="RVT20" s="3507"/>
      <c r="RVU20" s="3507"/>
      <c r="RVV20" s="3507"/>
      <c r="RVW20" s="3507"/>
      <c r="RVX20" s="3507"/>
      <c r="RVY20" s="3507"/>
      <c r="RVZ20" s="3507"/>
      <c r="RWA20" s="3507"/>
      <c r="RWB20" s="3507"/>
      <c r="RWC20" s="3507"/>
      <c r="RWD20" s="3507"/>
      <c r="RWE20" s="3507"/>
      <c r="RWF20" s="3507"/>
      <c r="RWG20" s="3507"/>
      <c r="RWH20" s="3507"/>
      <c r="RWI20" s="3507"/>
      <c r="RWJ20" s="3507"/>
      <c r="RWK20" s="3507"/>
      <c r="RWL20" s="3507"/>
      <c r="RWM20" s="3507"/>
      <c r="RWN20" s="3507"/>
      <c r="RWO20" s="3507"/>
      <c r="RWP20" s="3507"/>
      <c r="RWQ20" s="3507"/>
      <c r="RWR20" s="3507"/>
      <c r="RWS20" s="3507"/>
      <c r="RWT20" s="3507"/>
      <c r="RWU20" s="3507"/>
      <c r="RWV20" s="3507"/>
      <c r="RWW20" s="3507"/>
      <c r="RWX20" s="3507"/>
      <c r="RWY20" s="3507"/>
      <c r="RWZ20" s="3507"/>
      <c r="RXA20" s="3507"/>
      <c r="RXB20" s="3507"/>
      <c r="RXC20" s="3507"/>
      <c r="RXD20" s="3507"/>
      <c r="RXE20" s="3507"/>
      <c r="RXF20" s="3507"/>
      <c r="RXG20" s="3507"/>
      <c r="RXH20" s="3507"/>
      <c r="RXI20" s="3507"/>
      <c r="RXJ20" s="3507"/>
      <c r="RXK20" s="3507"/>
      <c r="RXL20" s="3507"/>
      <c r="RXM20" s="3507"/>
      <c r="RXN20" s="3507"/>
      <c r="RXO20" s="3507"/>
      <c r="RXP20" s="3507"/>
      <c r="RXQ20" s="3507"/>
      <c r="RXR20" s="3507"/>
      <c r="RXS20" s="3507"/>
      <c r="RXT20" s="3507"/>
      <c r="RXU20" s="3507"/>
      <c r="RXV20" s="3507"/>
      <c r="RXW20" s="3507"/>
      <c r="RXX20" s="3507"/>
      <c r="RXY20" s="3507"/>
      <c r="RXZ20" s="3507"/>
      <c r="RYA20" s="3507"/>
      <c r="RYB20" s="3507"/>
      <c r="RYC20" s="3507"/>
      <c r="RYD20" s="3507"/>
      <c r="RYE20" s="3507"/>
      <c r="RYF20" s="3507"/>
      <c r="RYG20" s="3507"/>
      <c r="RYH20" s="3507"/>
      <c r="RYI20" s="3507"/>
      <c r="RYJ20" s="3507"/>
      <c r="RYK20" s="3507"/>
      <c r="RYL20" s="3507"/>
      <c r="RYM20" s="3507"/>
      <c r="RYN20" s="3507"/>
      <c r="RYO20" s="3507"/>
      <c r="RYP20" s="3507"/>
      <c r="RYQ20" s="3507"/>
      <c r="RYR20" s="3507"/>
      <c r="RYS20" s="3507"/>
      <c r="RYT20" s="3507"/>
      <c r="RYU20" s="3507"/>
      <c r="RYV20" s="3507"/>
      <c r="RYW20" s="3507"/>
      <c r="RYX20" s="3507"/>
      <c r="RYY20" s="3507"/>
      <c r="RYZ20" s="3507"/>
      <c r="RZA20" s="3507"/>
      <c r="RZB20" s="3507"/>
      <c r="RZC20" s="3507"/>
      <c r="RZD20" s="3507"/>
      <c r="RZE20" s="3507"/>
      <c r="RZF20" s="3507"/>
      <c r="RZG20" s="3507"/>
      <c r="RZH20" s="3507"/>
      <c r="RZI20" s="3507"/>
      <c r="RZJ20" s="3507"/>
      <c r="RZK20" s="3507"/>
      <c r="RZL20" s="3507"/>
      <c r="RZM20" s="3507"/>
      <c r="RZN20" s="3507"/>
      <c r="RZO20" s="3507"/>
      <c r="RZP20" s="3507"/>
      <c r="RZQ20" s="3507"/>
      <c r="RZR20" s="3507"/>
      <c r="RZS20" s="3507"/>
      <c r="RZT20" s="3507"/>
      <c r="RZU20" s="3507"/>
      <c r="RZV20" s="3507"/>
      <c r="RZW20" s="3507"/>
      <c r="RZX20" s="3507"/>
      <c r="RZY20" s="3507"/>
      <c r="RZZ20" s="3507"/>
      <c r="SAA20" s="3507"/>
      <c r="SAB20" s="3507"/>
      <c r="SAC20" s="3507"/>
      <c r="SAD20" s="3507"/>
      <c r="SAE20" s="3507"/>
      <c r="SAF20" s="3507"/>
      <c r="SAG20" s="3507"/>
      <c r="SAH20" s="3507"/>
      <c r="SAI20" s="3507"/>
      <c r="SAJ20" s="3507"/>
      <c r="SAK20" s="3507"/>
      <c r="SAL20" s="3507"/>
      <c r="SAM20" s="3507"/>
      <c r="SAN20" s="3507"/>
      <c r="SAO20" s="3507"/>
      <c r="SAP20" s="3507"/>
      <c r="SAQ20" s="3507"/>
      <c r="SAR20" s="3507"/>
      <c r="SAS20" s="3507"/>
      <c r="SAT20" s="3507"/>
      <c r="SAU20" s="3507"/>
      <c r="SAV20" s="3507"/>
      <c r="SAW20" s="3507"/>
      <c r="SAX20" s="3507"/>
      <c r="SAY20" s="3507"/>
      <c r="SAZ20" s="3507"/>
      <c r="SBA20" s="3507"/>
      <c r="SBB20" s="3507"/>
      <c r="SBC20" s="3507"/>
      <c r="SBD20" s="3507"/>
      <c r="SBE20" s="3507"/>
      <c r="SBF20" s="3507"/>
      <c r="SBG20" s="3507"/>
      <c r="SBH20" s="3507"/>
      <c r="SBI20" s="3507"/>
      <c r="SBJ20" s="3507"/>
      <c r="SBK20" s="3507"/>
      <c r="SBL20" s="3507"/>
      <c r="SBM20" s="3507"/>
      <c r="SBN20" s="3507"/>
      <c r="SBO20" s="3507"/>
      <c r="SBP20" s="3507"/>
      <c r="SBQ20" s="3507"/>
      <c r="SBR20" s="3507"/>
      <c r="SBS20" s="3507"/>
      <c r="SBT20" s="3507"/>
      <c r="SBU20" s="3507"/>
      <c r="SBV20" s="3507"/>
      <c r="SBW20" s="3507"/>
      <c r="SBX20" s="3507"/>
      <c r="SBY20" s="3507"/>
      <c r="SBZ20" s="3507"/>
      <c r="SCA20" s="3507"/>
      <c r="SCB20" s="3507"/>
      <c r="SCC20" s="3507"/>
      <c r="SCD20" s="3507"/>
      <c r="SCE20" s="3507"/>
      <c r="SCF20" s="3507"/>
      <c r="SCG20" s="3507"/>
      <c r="SCH20" s="3507"/>
      <c r="SCI20" s="3507"/>
      <c r="SCJ20" s="3507"/>
      <c r="SCK20" s="3507"/>
      <c r="SCL20" s="3507"/>
      <c r="SCM20" s="3507"/>
      <c r="SCN20" s="3507"/>
      <c r="SCO20" s="3507"/>
      <c r="SCP20" s="3507"/>
      <c r="SCQ20" s="3507"/>
      <c r="SCR20" s="3507"/>
      <c r="SCS20" s="3507"/>
      <c r="SCT20" s="3507"/>
      <c r="SCU20" s="3507"/>
      <c r="SCV20" s="3507"/>
      <c r="SCW20" s="3507"/>
      <c r="SCX20" s="3507"/>
      <c r="SCY20" s="3507"/>
      <c r="SCZ20" s="3507"/>
      <c r="SDA20" s="3507"/>
      <c r="SDB20" s="3507"/>
      <c r="SDC20" s="3507"/>
      <c r="SDD20" s="3507"/>
      <c r="SDE20" s="3507"/>
      <c r="SDF20" s="3507"/>
      <c r="SDG20" s="3507"/>
      <c r="SDH20" s="3507"/>
      <c r="SDI20" s="3507"/>
      <c r="SDJ20" s="3507"/>
      <c r="SDK20" s="3507"/>
      <c r="SDL20" s="3507"/>
      <c r="SDM20" s="3507"/>
      <c r="SDN20" s="3507"/>
      <c r="SDO20" s="3507"/>
      <c r="SDP20" s="3507"/>
      <c r="SDQ20" s="3507"/>
      <c r="SDR20" s="3507"/>
      <c r="SDS20" s="3507"/>
      <c r="SDT20" s="3507"/>
      <c r="SDU20" s="3507"/>
      <c r="SDV20" s="3507"/>
      <c r="SDW20" s="3507"/>
      <c r="SDX20" s="3507"/>
      <c r="SDY20" s="3507"/>
      <c r="SDZ20" s="3507"/>
      <c r="SEA20" s="3507"/>
      <c r="SEB20" s="3507"/>
      <c r="SEC20" s="3507"/>
      <c r="SED20" s="3507"/>
      <c r="SEE20" s="3507"/>
      <c r="SEF20" s="3507"/>
      <c r="SEG20" s="3507"/>
      <c r="SEH20" s="3507"/>
      <c r="SEI20" s="3507"/>
      <c r="SEJ20" s="3507"/>
      <c r="SEK20" s="3507"/>
      <c r="SEL20" s="3507"/>
      <c r="SEM20" s="3507"/>
      <c r="SEN20" s="3507"/>
      <c r="SEO20" s="3507"/>
      <c r="SEP20" s="3507"/>
      <c r="SEQ20" s="3507"/>
      <c r="SER20" s="3507"/>
      <c r="SES20" s="3507"/>
      <c r="SET20" s="3507"/>
      <c r="SEU20" s="3507"/>
      <c r="SEV20" s="3507"/>
      <c r="SEW20" s="3507"/>
      <c r="SEX20" s="3507"/>
      <c r="SEY20" s="3507"/>
      <c r="SEZ20" s="3507"/>
      <c r="SFA20" s="3507"/>
      <c r="SFB20" s="3507"/>
      <c r="SFC20" s="3507"/>
      <c r="SFD20" s="3507"/>
      <c r="SFE20" s="3507"/>
      <c r="SFF20" s="3507"/>
      <c r="SFG20" s="3507"/>
      <c r="SFH20" s="3507"/>
      <c r="SFI20" s="3507"/>
      <c r="SFJ20" s="3507"/>
      <c r="SFK20" s="3507"/>
      <c r="SFL20" s="3507"/>
      <c r="SFM20" s="3507"/>
      <c r="SFN20" s="3507"/>
      <c r="SFO20" s="3507"/>
      <c r="SFP20" s="3507"/>
      <c r="SFQ20" s="3507"/>
      <c r="SFR20" s="3507"/>
      <c r="SFS20" s="3507"/>
      <c r="SFT20" s="3507"/>
      <c r="SFU20" s="3507"/>
      <c r="SFV20" s="3507"/>
      <c r="SFW20" s="3507"/>
      <c r="SFX20" s="3507"/>
      <c r="SFY20" s="3507"/>
      <c r="SFZ20" s="3507"/>
      <c r="SGA20" s="3507"/>
      <c r="SGB20" s="3507"/>
      <c r="SGC20" s="3507"/>
      <c r="SGD20" s="3507"/>
      <c r="SGE20" s="3507"/>
      <c r="SGF20" s="3507"/>
      <c r="SGG20" s="3507"/>
      <c r="SGH20" s="3507"/>
      <c r="SGI20" s="3507"/>
      <c r="SGJ20" s="3507"/>
      <c r="SGK20" s="3507"/>
      <c r="SGL20" s="3507"/>
      <c r="SGM20" s="3507"/>
      <c r="SGN20" s="3507"/>
      <c r="SGO20" s="3507"/>
      <c r="SGP20" s="3507"/>
      <c r="SGQ20" s="3507"/>
      <c r="SGR20" s="3507"/>
      <c r="SGS20" s="3507"/>
      <c r="SGT20" s="3507"/>
      <c r="SGU20" s="3507"/>
      <c r="SGV20" s="3507"/>
      <c r="SGW20" s="3507"/>
      <c r="SGX20" s="3507"/>
      <c r="SGY20" s="3507"/>
      <c r="SGZ20" s="3507"/>
      <c r="SHA20" s="3507"/>
      <c r="SHB20" s="3507"/>
      <c r="SHC20" s="3507"/>
      <c r="SHD20" s="3507"/>
      <c r="SHE20" s="3507"/>
      <c r="SHF20" s="3507"/>
      <c r="SHG20" s="3507"/>
      <c r="SHH20" s="3507"/>
      <c r="SHI20" s="3507"/>
      <c r="SHJ20" s="3507"/>
      <c r="SHK20" s="3507"/>
      <c r="SHL20" s="3507"/>
      <c r="SHM20" s="3507"/>
      <c r="SHN20" s="3507"/>
      <c r="SHO20" s="3507"/>
      <c r="SHP20" s="3507"/>
      <c r="SHQ20" s="3507"/>
      <c r="SHR20" s="3507"/>
      <c r="SHS20" s="3507"/>
      <c r="SHT20" s="3507"/>
      <c r="SHU20" s="3507"/>
      <c r="SHV20" s="3507"/>
      <c r="SHW20" s="3507"/>
      <c r="SHX20" s="3507"/>
      <c r="SHY20" s="3507"/>
      <c r="SHZ20" s="3507"/>
      <c r="SIA20" s="3507"/>
      <c r="SIB20" s="3507"/>
      <c r="SIC20" s="3507"/>
      <c r="SID20" s="3507"/>
      <c r="SIE20" s="3507"/>
      <c r="SIF20" s="3507"/>
      <c r="SIG20" s="3507"/>
      <c r="SIH20" s="3507"/>
      <c r="SII20" s="3507"/>
      <c r="SIJ20" s="3507"/>
      <c r="SIK20" s="3507"/>
      <c r="SIL20" s="3507"/>
      <c r="SIM20" s="3507"/>
      <c r="SIN20" s="3507"/>
      <c r="SIO20" s="3507"/>
      <c r="SIP20" s="3507"/>
      <c r="SIQ20" s="3507"/>
      <c r="SIR20" s="3507"/>
      <c r="SIS20" s="3507"/>
      <c r="SIT20" s="3507"/>
      <c r="SIU20" s="3507"/>
      <c r="SIV20" s="3507"/>
      <c r="SIW20" s="3507"/>
      <c r="SIX20" s="3507"/>
      <c r="SIY20" s="3507"/>
      <c r="SIZ20" s="3507"/>
      <c r="SJA20" s="3507"/>
      <c r="SJB20" s="3507"/>
      <c r="SJC20" s="3507"/>
      <c r="SJD20" s="3507"/>
      <c r="SJE20" s="3507"/>
      <c r="SJF20" s="3507"/>
      <c r="SJG20" s="3507"/>
      <c r="SJH20" s="3507"/>
      <c r="SJI20" s="3507"/>
      <c r="SJJ20" s="3507"/>
      <c r="SJK20" s="3507"/>
      <c r="SJL20" s="3507"/>
      <c r="SJM20" s="3507"/>
      <c r="SJN20" s="3507"/>
      <c r="SJO20" s="3507"/>
      <c r="SJP20" s="3507"/>
      <c r="SJQ20" s="3507"/>
      <c r="SJR20" s="3507"/>
      <c r="SJS20" s="3507"/>
      <c r="SJT20" s="3507"/>
      <c r="SJU20" s="3507"/>
      <c r="SJV20" s="3507"/>
      <c r="SJW20" s="3507"/>
      <c r="SJX20" s="3507"/>
      <c r="SJY20" s="3507"/>
      <c r="SJZ20" s="3507"/>
      <c r="SKA20" s="3507"/>
      <c r="SKB20" s="3507"/>
      <c r="SKC20" s="3507"/>
      <c r="SKD20" s="3507"/>
      <c r="SKE20" s="3507"/>
      <c r="SKF20" s="3507"/>
      <c r="SKG20" s="3507"/>
      <c r="SKH20" s="3507"/>
      <c r="SKI20" s="3507"/>
      <c r="SKJ20" s="3507"/>
      <c r="SKK20" s="3507"/>
      <c r="SKL20" s="3507"/>
      <c r="SKM20" s="3507"/>
      <c r="SKN20" s="3507"/>
      <c r="SKO20" s="3507"/>
      <c r="SKP20" s="3507"/>
      <c r="SKQ20" s="3507"/>
      <c r="SKR20" s="3507"/>
      <c r="SKS20" s="3507"/>
      <c r="SKT20" s="3507"/>
      <c r="SKU20" s="3507"/>
      <c r="SKV20" s="3507"/>
      <c r="SKW20" s="3507"/>
      <c r="SKX20" s="3507"/>
      <c r="SKY20" s="3507"/>
      <c r="SKZ20" s="3507"/>
      <c r="SLA20" s="3507"/>
      <c r="SLB20" s="3507"/>
      <c r="SLC20" s="3507"/>
      <c r="SLD20" s="3507"/>
      <c r="SLE20" s="3507"/>
      <c r="SLF20" s="3507"/>
      <c r="SLG20" s="3507"/>
      <c r="SLH20" s="3507"/>
      <c r="SLI20" s="3507"/>
      <c r="SLJ20" s="3507"/>
      <c r="SLK20" s="3507"/>
      <c r="SLL20" s="3507"/>
      <c r="SLM20" s="3507"/>
      <c r="SLN20" s="3507"/>
      <c r="SLO20" s="3507"/>
      <c r="SLP20" s="3507"/>
      <c r="SLQ20" s="3507"/>
      <c r="SLR20" s="3507"/>
      <c r="SLS20" s="3507"/>
      <c r="SLT20" s="3507"/>
      <c r="SLU20" s="3507"/>
      <c r="SLV20" s="3507"/>
      <c r="SLW20" s="3507"/>
      <c r="SLX20" s="3507"/>
      <c r="SLY20" s="3507"/>
      <c r="SLZ20" s="3507"/>
      <c r="SMA20" s="3507"/>
      <c r="SMB20" s="3507"/>
      <c r="SMC20" s="3507"/>
      <c r="SMD20" s="3507"/>
      <c r="SME20" s="3507"/>
      <c r="SMF20" s="3507"/>
      <c r="SMG20" s="3507"/>
      <c r="SMH20" s="3507"/>
      <c r="SMI20" s="3507"/>
      <c r="SMJ20" s="3507"/>
      <c r="SMK20" s="3507"/>
      <c r="SML20" s="3507"/>
      <c r="SMM20" s="3507"/>
      <c r="SMN20" s="3507"/>
      <c r="SMO20" s="3507"/>
      <c r="SMP20" s="3507"/>
      <c r="SMQ20" s="3507"/>
      <c r="SMR20" s="3507"/>
      <c r="SMS20" s="3507"/>
      <c r="SMT20" s="3507"/>
      <c r="SMU20" s="3507"/>
      <c r="SMV20" s="3507"/>
      <c r="SMW20" s="3507"/>
      <c r="SMX20" s="3507"/>
      <c r="SMY20" s="3507"/>
      <c r="SMZ20" s="3507"/>
      <c r="SNA20" s="3507"/>
      <c r="SNB20" s="3507"/>
      <c r="SNC20" s="3507"/>
      <c r="SND20" s="3507"/>
      <c r="SNE20" s="3507"/>
      <c r="SNF20" s="3507"/>
      <c r="SNG20" s="3507"/>
      <c r="SNH20" s="3507"/>
      <c r="SNI20" s="3507"/>
      <c r="SNJ20" s="3507"/>
      <c r="SNK20" s="3507"/>
      <c r="SNL20" s="3507"/>
      <c r="SNM20" s="3507"/>
      <c r="SNN20" s="3507"/>
      <c r="SNO20" s="3507"/>
      <c r="SNP20" s="3507"/>
      <c r="SNQ20" s="3507"/>
      <c r="SNR20" s="3507"/>
      <c r="SNS20" s="3507"/>
      <c r="SNT20" s="3507"/>
      <c r="SNU20" s="3507"/>
      <c r="SNV20" s="3507"/>
      <c r="SNW20" s="3507"/>
      <c r="SNX20" s="3507"/>
      <c r="SNY20" s="3507"/>
      <c r="SNZ20" s="3507"/>
      <c r="SOA20" s="3507"/>
      <c r="SOB20" s="3507"/>
      <c r="SOC20" s="3507"/>
      <c r="SOD20" s="3507"/>
      <c r="SOE20" s="3507"/>
      <c r="SOF20" s="3507"/>
      <c r="SOG20" s="3507"/>
      <c r="SOH20" s="3507"/>
      <c r="SOI20" s="3507"/>
      <c r="SOJ20" s="3507"/>
      <c r="SOK20" s="3507"/>
      <c r="SOL20" s="3507"/>
      <c r="SOM20" s="3507"/>
      <c r="SON20" s="3507"/>
      <c r="SOO20" s="3507"/>
      <c r="SOP20" s="3507"/>
      <c r="SOQ20" s="3507"/>
      <c r="SOR20" s="3507"/>
      <c r="SOS20" s="3507"/>
      <c r="SOT20" s="3507"/>
      <c r="SOU20" s="3507"/>
      <c r="SOV20" s="3507"/>
      <c r="SOW20" s="3507"/>
      <c r="SOX20" s="3507"/>
      <c r="SOY20" s="3507"/>
      <c r="SOZ20" s="3507"/>
      <c r="SPA20" s="3507"/>
      <c r="SPB20" s="3507"/>
      <c r="SPC20" s="3507"/>
      <c r="SPD20" s="3507"/>
      <c r="SPE20" s="3507"/>
      <c r="SPF20" s="3507"/>
      <c r="SPG20" s="3507"/>
      <c r="SPH20" s="3507"/>
      <c r="SPI20" s="3507"/>
      <c r="SPJ20" s="3507"/>
      <c r="SPK20" s="3507"/>
      <c r="SPL20" s="3507"/>
      <c r="SPM20" s="3507"/>
      <c r="SPN20" s="3507"/>
      <c r="SPO20" s="3507"/>
      <c r="SPP20" s="3507"/>
      <c r="SPQ20" s="3507"/>
      <c r="SPR20" s="3507"/>
      <c r="SPS20" s="3507"/>
      <c r="SPT20" s="3507"/>
      <c r="SPU20" s="3507"/>
      <c r="SPV20" s="3507"/>
      <c r="SPW20" s="3507"/>
      <c r="SPX20" s="3507"/>
      <c r="SPY20" s="3507"/>
      <c r="SPZ20" s="3507"/>
      <c r="SQA20" s="3507"/>
      <c r="SQB20" s="3507"/>
      <c r="SQC20" s="3507"/>
      <c r="SQD20" s="3507"/>
      <c r="SQE20" s="3507"/>
      <c r="SQF20" s="3507"/>
      <c r="SQG20" s="3507"/>
      <c r="SQH20" s="3507"/>
      <c r="SQI20" s="3507"/>
      <c r="SQJ20" s="3507"/>
      <c r="SQK20" s="3507"/>
      <c r="SQL20" s="3507"/>
      <c r="SQM20" s="3507"/>
      <c r="SQN20" s="3507"/>
      <c r="SQO20" s="3507"/>
      <c r="SQP20" s="3507"/>
      <c r="SQQ20" s="3507"/>
      <c r="SQR20" s="3507"/>
      <c r="SQS20" s="3507"/>
      <c r="SQT20" s="3507"/>
      <c r="SQU20" s="3507"/>
      <c r="SQV20" s="3507"/>
      <c r="SQW20" s="3507"/>
      <c r="SQX20" s="3507"/>
      <c r="SQY20" s="3507"/>
      <c r="SQZ20" s="3507"/>
      <c r="SRA20" s="3507"/>
      <c r="SRB20" s="3507"/>
      <c r="SRC20" s="3507"/>
      <c r="SRD20" s="3507"/>
      <c r="SRE20" s="3507"/>
      <c r="SRF20" s="3507"/>
      <c r="SRG20" s="3507"/>
      <c r="SRH20" s="3507"/>
      <c r="SRI20" s="3507"/>
      <c r="SRJ20" s="3507"/>
      <c r="SRK20" s="3507"/>
      <c r="SRL20" s="3507"/>
      <c r="SRM20" s="3507"/>
      <c r="SRN20" s="3507"/>
      <c r="SRO20" s="3507"/>
      <c r="SRP20" s="3507"/>
      <c r="SRQ20" s="3507"/>
      <c r="SRR20" s="3507"/>
      <c r="SRS20" s="3507"/>
      <c r="SRT20" s="3507"/>
      <c r="SRU20" s="3507"/>
      <c r="SRV20" s="3507"/>
      <c r="SRW20" s="3507"/>
      <c r="SRX20" s="3507"/>
      <c r="SRY20" s="3507"/>
      <c r="SRZ20" s="3507"/>
      <c r="SSA20" s="3507"/>
      <c r="SSB20" s="3507"/>
      <c r="SSC20" s="3507"/>
      <c r="SSD20" s="3507"/>
      <c r="SSE20" s="3507"/>
      <c r="SSF20" s="3507"/>
      <c r="SSG20" s="3507"/>
      <c r="SSH20" s="3507"/>
      <c r="SSI20" s="3507"/>
      <c r="SSJ20" s="3507"/>
      <c r="SSK20" s="3507"/>
      <c r="SSL20" s="3507"/>
      <c r="SSM20" s="3507"/>
      <c r="SSN20" s="3507"/>
      <c r="SSO20" s="3507"/>
      <c r="SSP20" s="3507"/>
      <c r="SSQ20" s="3507"/>
      <c r="SSR20" s="3507"/>
      <c r="SSS20" s="3507"/>
      <c r="SST20" s="3507"/>
      <c r="SSU20" s="3507"/>
      <c r="SSV20" s="3507"/>
      <c r="SSW20" s="3507"/>
      <c r="SSX20" s="3507"/>
      <c r="SSY20" s="3507"/>
      <c r="SSZ20" s="3507"/>
      <c r="STA20" s="3507"/>
      <c r="STB20" s="3507"/>
      <c r="STC20" s="3507"/>
      <c r="STD20" s="3507"/>
      <c r="STE20" s="3507"/>
      <c r="STF20" s="3507"/>
      <c r="STG20" s="3507"/>
      <c r="STH20" s="3507"/>
      <c r="STI20" s="3507"/>
      <c r="STJ20" s="3507"/>
      <c r="STK20" s="3507"/>
      <c r="STL20" s="3507"/>
      <c r="STM20" s="3507"/>
      <c r="STN20" s="3507"/>
      <c r="STO20" s="3507"/>
      <c r="STP20" s="3507"/>
      <c r="STQ20" s="3507"/>
      <c r="STR20" s="3507"/>
      <c r="STS20" s="3507"/>
      <c r="STT20" s="3507"/>
      <c r="STU20" s="3507"/>
      <c r="STV20" s="3507"/>
      <c r="STW20" s="3507"/>
      <c r="STX20" s="3507"/>
      <c r="STY20" s="3507"/>
      <c r="STZ20" s="3507"/>
      <c r="SUA20" s="3507"/>
      <c r="SUB20" s="3507"/>
      <c r="SUC20" s="3507"/>
      <c r="SUD20" s="3507"/>
      <c r="SUE20" s="3507"/>
      <c r="SUF20" s="3507"/>
      <c r="SUG20" s="3507"/>
      <c r="SUH20" s="3507"/>
      <c r="SUI20" s="3507"/>
      <c r="SUJ20" s="3507"/>
      <c r="SUK20" s="3507"/>
      <c r="SUL20" s="3507"/>
      <c r="SUM20" s="3507"/>
      <c r="SUN20" s="3507"/>
      <c r="SUO20" s="3507"/>
      <c r="SUP20" s="3507"/>
      <c r="SUQ20" s="3507"/>
      <c r="SUR20" s="3507"/>
      <c r="SUS20" s="3507"/>
      <c r="SUT20" s="3507"/>
      <c r="SUU20" s="3507"/>
      <c r="SUV20" s="3507"/>
      <c r="SUW20" s="3507"/>
      <c r="SUX20" s="3507"/>
      <c r="SUY20" s="3507"/>
      <c r="SUZ20" s="3507"/>
      <c r="SVA20" s="3507"/>
      <c r="SVB20" s="3507"/>
      <c r="SVC20" s="3507"/>
      <c r="SVD20" s="3507"/>
      <c r="SVE20" s="3507"/>
      <c r="SVF20" s="3507"/>
      <c r="SVG20" s="3507"/>
      <c r="SVH20" s="3507"/>
      <c r="SVI20" s="3507"/>
      <c r="SVJ20" s="3507"/>
      <c r="SVK20" s="3507"/>
      <c r="SVL20" s="3507"/>
      <c r="SVM20" s="3507"/>
      <c r="SVN20" s="3507"/>
      <c r="SVO20" s="3507"/>
      <c r="SVP20" s="3507"/>
      <c r="SVQ20" s="3507"/>
      <c r="SVR20" s="3507"/>
      <c r="SVS20" s="3507"/>
      <c r="SVT20" s="3507"/>
      <c r="SVU20" s="3507"/>
      <c r="SVV20" s="3507"/>
      <c r="SVW20" s="3507"/>
      <c r="SVX20" s="3507"/>
      <c r="SVY20" s="3507"/>
      <c r="SVZ20" s="3507"/>
      <c r="SWA20" s="3507"/>
      <c r="SWB20" s="3507"/>
      <c r="SWC20" s="3507"/>
      <c r="SWD20" s="3507"/>
      <c r="SWE20" s="3507"/>
      <c r="SWF20" s="3507"/>
      <c r="SWG20" s="3507"/>
      <c r="SWH20" s="3507"/>
      <c r="SWI20" s="3507"/>
      <c r="SWJ20" s="3507"/>
      <c r="SWK20" s="3507"/>
      <c r="SWL20" s="3507"/>
      <c r="SWM20" s="3507"/>
      <c r="SWN20" s="3507"/>
      <c r="SWO20" s="3507"/>
      <c r="SWP20" s="3507"/>
      <c r="SWQ20" s="3507"/>
      <c r="SWR20" s="3507"/>
      <c r="SWS20" s="3507"/>
      <c r="SWT20" s="3507"/>
      <c r="SWU20" s="3507"/>
      <c r="SWV20" s="3507"/>
      <c r="SWW20" s="3507"/>
      <c r="SWX20" s="3507"/>
      <c r="SWY20" s="3507"/>
      <c r="SWZ20" s="3507"/>
      <c r="SXA20" s="3507"/>
      <c r="SXB20" s="3507"/>
      <c r="SXC20" s="3507"/>
      <c r="SXD20" s="3507"/>
      <c r="SXE20" s="3507"/>
      <c r="SXF20" s="3507"/>
      <c r="SXG20" s="3507"/>
      <c r="SXH20" s="3507"/>
      <c r="SXI20" s="3507"/>
      <c r="SXJ20" s="3507"/>
      <c r="SXK20" s="3507"/>
      <c r="SXL20" s="3507"/>
      <c r="SXM20" s="3507"/>
      <c r="SXN20" s="3507"/>
      <c r="SXO20" s="3507"/>
      <c r="SXP20" s="3507"/>
      <c r="SXQ20" s="3507"/>
      <c r="SXR20" s="3507"/>
      <c r="SXS20" s="3507"/>
      <c r="SXT20" s="3507"/>
      <c r="SXU20" s="3507"/>
      <c r="SXV20" s="3507"/>
      <c r="SXW20" s="3507"/>
      <c r="SXX20" s="3507"/>
      <c r="SXY20" s="3507"/>
      <c r="SXZ20" s="3507"/>
      <c r="SYA20" s="3507"/>
      <c r="SYB20" s="3507"/>
      <c r="SYC20" s="3507"/>
      <c r="SYD20" s="3507"/>
      <c r="SYE20" s="3507"/>
      <c r="SYF20" s="3507"/>
      <c r="SYG20" s="3507"/>
      <c r="SYH20" s="3507"/>
      <c r="SYI20" s="3507"/>
      <c r="SYJ20" s="3507"/>
      <c r="SYK20" s="3507"/>
      <c r="SYL20" s="3507"/>
      <c r="SYM20" s="3507"/>
      <c r="SYN20" s="3507"/>
      <c r="SYO20" s="3507"/>
      <c r="SYP20" s="3507"/>
      <c r="SYQ20" s="3507"/>
      <c r="SYR20" s="3507"/>
      <c r="SYS20" s="3507"/>
      <c r="SYT20" s="3507"/>
      <c r="SYU20" s="3507"/>
      <c r="SYV20" s="3507"/>
      <c r="SYW20" s="3507"/>
      <c r="SYX20" s="3507"/>
      <c r="SYY20" s="3507"/>
      <c r="SYZ20" s="3507"/>
      <c r="SZA20" s="3507"/>
      <c r="SZB20" s="3507"/>
      <c r="SZC20" s="3507"/>
      <c r="SZD20" s="3507"/>
      <c r="SZE20" s="3507"/>
      <c r="SZF20" s="3507"/>
      <c r="SZG20" s="3507"/>
      <c r="SZH20" s="3507"/>
      <c r="SZI20" s="3507"/>
      <c r="SZJ20" s="3507"/>
      <c r="SZK20" s="3507"/>
      <c r="SZL20" s="3507"/>
      <c r="SZM20" s="3507"/>
      <c r="SZN20" s="3507"/>
      <c r="SZO20" s="3507"/>
      <c r="SZP20" s="3507"/>
      <c r="SZQ20" s="3507"/>
      <c r="SZR20" s="3507"/>
      <c r="SZS20" s="3507"/>
      <c r="SZT20" s="3507"/>
      <c r="SZU20" s="3507"/>
      <c r="SZV20" s="3507"/>
      <c r="SZW20" s="3507"/>
      <c r="SZX20" s="3507"/>
      <c r="SZY20" s="3507"/>
      <c r="SZZ20" s="3507"/>
      <c r="TAA20" s="3507"/>
      <c r="TAB20" s="3507"/>
      <c r="TAC20" s="3507"/>
      <c r="TAD20" s="3507"/>
      <c r="TAE20" s="3507"/>
      <c r="TAF20" s="3507"/>
      <c r="TAG20" s="3507"/>
      <c r="TAH20" s="3507"/>
      <c r="TAI20" s="3507"/>
      <c r="TAJ20" s="3507"/>
      <c r="TAK20" s="3507"/>
      <c r="TAL20" s="3507"/>
      <c r="TAM20" s="3507"/>
      <c r="TAN20" s="3507"/>
      <c r="TAO20" s="3507"/>
      <c r="TAP20" s="3507"/>
      <c r="TAQ20" s="3507"/>
      <c r="TAR20" s="3507"/>
      <c r="TAS20" s="3507"/>
      <c r="TAT20" s="3507"/>
      <c r="TAU20" s="3507"/>
      <c r="TAV20" s="3507"/>
      <c r="TAW20" s="3507"/>
      <c r="TAX20" s="3507"/>
      <c r="TAY20" s="3507"/>
      <c r="TAZ20" s="3507"/>
      <c r="TBA20" s="3507"/>
      <c r="TBB20" s="3507"/>
      <c r="TBC20" s="3507"/>
      <c r="TBD20" s="3507"/>
      <c r="TBE20" s="3507"/>
      <c r="TBF20" s="3507"/>
      <c r="TBG20" s="3507"/>
      <c r="TBH20" s="3507"/>
      <c r="TBI20" s="3507"/>
      <c r="TBJ20" s="3507"/>
      <c r="TBK20" s="3507"/>
      <c r="TBL20" s="3507"/>
      <c r="TBM20" s="3507"/>
      <c r="TBN20" s="3507"/>
      <c r="TBO20" s="3507"/>
      <c r="TBP20" s="3507"/>
      <c r="TBQ20" s="3507"/>
      <c r="TBR20" s="3507"/>
      <c r="TBS20" s="3507"/>
      <c r="TBT20" s="3507"/>
      <c r="TBU20" s="3507"/>
      <c r="TBV20" s="3507"/>
      <c r="TBW20" s="3507"/>
      <c r="TBX20" s="3507"/>
      <c r="TBY20" s="3507"/>
      <c r="TBZ20" s="3507"/>
      <c r="TCA20" s="3507"/>
      <c r="TCB20" s="3507"/>
      <c r="TCC20" s="3507"/>
      <c r="TCD20" s="3507"/>
      <c r="TCE20" s="3507"/>
      <c r="TCF20" s="3507"/>
      <c r="TCG20" s="3507"/>
      <c r="TCH20" s="3507"/>
      <c r="TCI20" s="3507"/>
      <c r="TCJ20" s="3507"/>
      <c r="TCK20" s="3507"/>
      <c r="TCL20" s="3507"/>
      <c r="TCM20" s="3507"/>
      <c r="TCN20" s="3507"/>
      <c r="TCO20" s="3507"/>
      <c r="TCP20" s="3507"/>
      <c r="TCQ20" s="3507"/>
      <c r="TCR20" s="3507"/>
      <c r="TCS20" s="3507"/>
      <c r="TCT20" s="3507"/>
      <c r="TCU20" s="3507"/>
      <c r="TCV20" s="3507"/>
      <c r="TCW20" s="3507"/>
      <c r="TCX20" s="3507"/>
      <c r="TCY20" s="3507"/>
      <c r="TCZ20" s="3507"/>
      <c r="TDA20" s="3507"/>
      <c r="TDB20" s="3507"/>
      <c r="TDC20" s="3507"/>
      <c r="TDD20" s="3507"/>
      <c r="TDE20" s="3507"/>
      <c r="TDF20" s="3507"/>
      <c r="TDG20" s="3507"/>
      <c r="TDH20" s="3507"/>
      <c r="TDI20" s="3507"/>
      <c r="TDJ20" s="3507"/>
      <c r="TDK20" s="3507"/>
      <c r="TDL20" s="3507"/>
      <c r="TDM20" s="3507"/>
      <c r="TDN20" s="3507"/>
      <c r="TDO20" s="3507"/>
      <c r="TDP20" s="3507"/>
      <c r="TDQ20" s="3507"/>
      <c r="TDR20" s="3507"/>
      <c r="TDS20" s="3507"/>
      <c r="TDT20" s="3507"/>
      <c r="TDU20" s="3507"/>
      <c r="TDV20" s="3507"/>
      <c r="TDW20" s="3507"/>
      <c r="TDX20" s="3507"/>
      <c r="TDY20" s="3507"/>
      <c r="TDZ20" s="3507"/>
      <c r="TEA20" s="3507"/>
      <c r="TEB20" s="3507"/>
      <c r="TEC20" s="3507"/>
      <c r="TED20" s="3507"/>
      <c r="TEE20" s="3507"/>
      <c r="TEF20" s="3507"/>
      <c r="TEG20" s="3507"/>
      <c r="TEH20" s="3507"/>
      <c r="TEI20" s="3507"/>
      <c r="TEJ20" s="3507"/>
      <c r="TEK20" s="3507"/>
      <c r="TEL20" s="3507"/>
      <c r="TEM20" s="3507"/>
      <c r="TEN20" s="3507"/>
      <c r="TEO20" s="3507"/>
      <c r="TEP20" s="3507"/>
      <c r="TEQ20" s="3507"/>
      <c r="TER20" s="3507"/>
      <c r="TES20" s="3507"/>
      <c r="TET20" s="3507"/>
      <c r="TEU20" s="3507"/>
      <c r="TEV20" s="3507"/>
      <c r="TEW20" s="3507"/>
      <c r="TEX20" s="3507"/>
      <c r="TEY20" s="3507"/>
      <c r="TEZ20" s="3507"/>
      <c r="TFA20" s="3507"/>
      <c r="TFB20" s="3507"/>
      <c r="TFC20" s="3507"/>
      <c r="TFD20" s="3507"/>
      <c r="TFE20" s="3507"/>
      <c r="TFF20" s="3507"/>
      <c r="TFG20" s="3507"/>
      <c r="TFH20" s="3507"/>
      <c r="TFI20" s="3507"/>
      <c r="TFJ20" s="3507"/>
      <c r="TFK20" s="3507"/>
      <c r="TFL20" s="3507"/>
      <c r="TFM20" s="3507"/>
      <c r="TFN20" s="3507"/>
      <c r="TFO20" s="3507"/>
      <c r="TFP20" s="3507"/>
      <c r="TFQ20" s="3507"/>
      <c r="TFR20" s="3507"/>
      <c r="TFS20" s="3507"/>
      <c r="TFT20" s="3507"/>
      <c r="TFU20" s="3507"/>
      <c r="TFV20" s="3507"/>
      <c r="TFW20" s="3507"/>
      <c r="TFX20" s="3507"/>
      <c r="TFY20" s="3507"/>
      <c r="TFZ20" s="3507"/>
      <c r="TGA20" s="3507"/>
      <c r="TGB20" s="3507"/>
      <c r="TGC20" s="3507"/>
      <c r="TGD20" s="3507"/>
      <c r="TGE20" s="3507"/>
      <c r="TGF20" s="3507"/>
      <c r="TGG20" s="3507"/>
      <c r="TGH20" s="3507"/>
      <c r="TGI20" s="3507"/>
      <c r="TGJ20" s="3507"/>
      <c r="TGK20" s="3507"/>
      <c r="TGL20" s="3507"/>
      <c r="TGM20" s="3507"/>
      <c r="TGN20" s="3507"/>
      <c r="TGO20" s="3507"/>
      <c r="TGP20" s="3507"/>
      <c r="TGQ20" s="3507"/>
      <c r="TGR20" s="3507"/>
      <c r="TGS20" s="3507"/>
      <c r="TGT20" s="3507"/>
      <c r="TGU20" s="3507"/>
      <c r="TGV20" s="3507"/>
      <c r="TGW20" s="3507"/>
      <c r="TGX20" s="3507"/>
      <c r="TGY20" s="3507"/>
      <c r="TGZ20" s="3507"/>
      <c r="THA20" s="3507"/>
      <c r="THB20" s="3507"/>
      <c r="THC20" s="3507"/>
      <c r="THD20" s="3507"/>
      <c r="THE20" s="3507"/>
      <c r="THF20" s="3507"/>
      <c r="THG20" s="3507"/>
      <c r="THH20" s="3507"/>
      <c r="THI20" s="3507"/>
      <c r="THJ20" s="3507"/>
      <c r="THK20" s="3507"/>
      <c r="THL20" s="3507"/>
      <c r="THM20" s="3507"/>
      <c r="THN20" s="3507"/>
      <c r="THO20" s="3507"/>
      <c r="THP20" s="3507"/>
      <c r="THQ20" s="3507"/>
      <c r="THR20" s="3507"/>
      <c r="THS20" s="3507"/>
      <c r="THT20" s="3507"/>
      <c r="THU20" s="3507"/>
      <c r="THV20" s="3507"/>
      <c r="THW20" s="3507"/>
      <c r="THX20" s="3507"/>
      <c r="THY20" s="3507"/>
      <c r="THZ20" s="3507"/>
      <c r="TIA20" s="3507"/>
      <c r="TIB20" s="3507"/>
      <c r="TIC20" s="3507"/>
      <c r="TID20" s="3507"/>
      <c r="TIE20" s="3507"/>
      <c r="TIF20" s="3507"/>
      <c r="TIG20" s="3507"/>
      <c r="TIH20" s="3507"/>
      <c r="TII20" s="3507"/>
      <c r="TIJ20" s="3507"/>
      <c r="TIK20" s="3507"/>
      <c r="TIL20" s="3507"/>
      <c r="TIM20" s="3507"/>
      <c r="TIN20" s="3507"/>
      <c r="TIO20" s="3507"/>
      <c r="TIP20" s="3507"/>
      <c r="TIQ20" s="3507"/>
      <c r="TIR20" s="3507"/>
      <c r="TIS20" s="3507"/>
      <c r="TIT20" s="3507"/>
      <c r="TIU20" s="3507"/>
      <c r="TIV20" s="3507"/>
      <c r="TIW20" s="3507"/>
      <c r="TIX20" s="3507"/>
      <c r="TIY20" s="3507"/>
      <c r="TIZ20" s="3507"/>
      <c r="TJA20" s="3507"/>
      <c r="TJB20" s="3507"/>
      <c r="TJC20" s="3507"/>
      <c r="TJD20" s="3507"/>
      <c r="TJE20" s="3507"/>
      <c r="TJF20" s="3507"/>
      <c r="TJG20" s="3507"/>
      <c r="TJH20" s="3507"/>
      <c r="TJI20" s="3507"/>
      <c r="TJJ20" s="3507"/>
      <c r="TJK20" s="3507"/>
      <c r="TJL20" s="3507"/>
      <c r="TJM20" s="3507"/>
      <c r="TJN20" s="3507"/>
      <c r="TJO20" s="3507"/>
      <c r="TJP20" s="3507"/>
      <c r="TJQ20" s="3507"/>
      <c r="TJR20" s="3507"/>
      <c r="TJS20" s="3507"/>
      <c r="TJT20" s="3507"/>
      <c r="TJU20" s="3507"/>
      <c r="TJV20" s="3507"/>
      <c r="TJW20" s="3507"/>
      <c r="TJX20" s="3507"/>
      <c r="TJY20" s="3507"/>
      <c r="TJZ20" s="3507"/>
      <c r="TKA20" s="3507"/>
      <c r="TKB20" s="3507"/>
      <c r="TKC20" s="3507"/>
      <c r="TKD20" s="3507"/>
      <c r="TKE20" s="3507"/>
      <c r="TKF20" s="3507"/>
      <c r="TKG20" s="3507"/>
      <c r="TKH20" s="3507"/>
      <c r="TKI20" s="3507"/>
      <c r="TKJ20" s="3507"/>
      <c r="TKK20" s="3507"/>
      <c r="TKL20" s="3507"/>
      <c r="TKM20" s="3507"/>
      <c r="TKN20" s="3507"/>
      <c r="TKO20" s="3507"/>
      <c r="TKP20" s="3507"/>
      <c r="TKQ20" s="3507"/>
      <c r="TKR20" s="3507"/>
      <c r="TKS20" s="3507"/>
      <c r="TKT20" s="3507"/>
      <c r="TKU20" s="3507"/>
      <c r="TKV20" s="3507"/>
      <c r="TKW20" s="3507"/>
      <c r="TKX20" s="3507"/>
      <c r="TKY20" s="3507"/>
      <c r="TKZ20" s="3507"/>
      <c r="TLA20" s="3507"/>
      <c r="TLB20" s="3507"/>
      <c r="TLC20" s="3507"/>
      <c r="TLD20" s="3507"/>
      <c r="TLE20" s="3507"/>
      <c r="TLF20" s="3507"/>
      <c r="TLG20" s="3507"/>
      <c r="TLH20" s="3507"/>
      <c r="TLI20" s="3507"/>
      <c r="TLJ20" s="3507"/>
      <c r="TLK20" s="3507"/>
      <c r="TLL20" s="3507"/>
      <c r="TLM20" s="3507"/>
      <c r="TLN20" s="3507"/>
      <c r="TLO20" s="3507"/>
      <c r="TLP20" s="3507"/>
      <c r="TLQ20" s="3507"/>
      <c r="TLR20" s="3507"/>
      <c r="TLS20" s="3507"/>
      <c r="TLT20" s="3507"/>
      <c r="TLU20" s="3507"/>
      <c r="TLV20" s="3507"/>
      <c r="TLW20" s="3507"/>
      <c r="TLX20" s="3507"/>
      <c r="TLY20" s="3507"/>
      <c r="TLZ20" s="3507"/>
      <c r="TMA20" s="3507"/>
      <c r="TMB20" s="3507"/>
      <c r="TMC20" s="3507"/>
      <c r="TMD20" s="3507"/>
      <c r="TME20" s="3507"/>
      <c r="TMF20" s="3507"/>
      <c r="TMG20" s="3507"/>
      <c r="TMH20" s="3507"/>
      <c r="TMI20" s="3507"/>
      <c r="TMJ20" s="3507"/>
      <c r="TMK20" s="3507"/>
      <c r="TML20" s="3507"/>
      <c r="TMM20" s="3507"/>
      <c r="TMN20" s="3507"/>
      <c r="TMO20" s="3507"/>
      <c r="TMP20" s="3507"/>
      <c r="TMQ20" s="3507"/>
      <c r="TMR20" s="3507"/>
      <c r="TMS20" s="3507"/>
      <c r="TMT20" s="3507"/>
      <c r="TMU20" s="3507"/>
      <c r="TMV20" s="3507"/>
      <c r="TMW20" s="3507"/>
      <c r="TMX20" s="3507"/>
      <c r="TMY20" s="3507"/>
      <c r="TMZ20" s="3507"/>
      <c r="TNA20" s="3507"/>
      <c r="TNB20" s="3507"/>
      <c r="TNC20" s="3507"/>
      <c r="TND20" s="3507"/>
      <c r="TNE20" s="3507"/>
      <c r="TNF20" s="3507"/>
      <c r="TNG20" s="3507"/>
      <c r="TNH20" s="3507"/>
      <c r="TNI20" s="3507"/>
      <c r="TNJ20" s="3507"/>
      <c r="TNK20" s="3507"/>
      <c r="TNL20" s="3507"/>
      <c r="TNM20" s="3507"/>
      <c r="TNN20" s="3507"/>
      <c r="TNO20" s="3507"/>
      <c r="TNP20" s="3507"/>
      <c r="TNQ20" s="3507"/>
      <c r="TNR20" s="3507"/>
      <c r="TNS20" s="3507"/>
      <c r="TNT20" s="3507"/>
      <c r="TNU20" s="3507"/>
      <c r="TNV20" s="3507"/>
      <c r="TNW20" s="3507"/>
      <c r="TNX20" s="3507"/>
      <c r="TNY20" s="3507"/>
      <c r="TNZ20" s="3507"/>
      <c r="TOA20" s="3507"/>
      <c r="TOB20" s="3507"/>
      <c r="TOC20" s="3507"/>
      <c r="TOD20" s="3507"/>
      <c r="TOE20" s="3507"/>
      <c r="TOF20" s="3507"/>
      <c r="TOG20" s="3507"/>
      <c r="TOH20" s="3507"/>
      <c r="TOI20" s="3507"/>
      <c r="TOJ20" s="3507"/>
      <c r="TOK20" s="3507"/>
      <c r="TOL20" s="3507"/>
      <c r="TOM20" s="3507"/>
      <c r="TON20" s="3507"/>
      <c r="TOO20" s="3507"/>
      <c r="TOP20" s="3507"/>
      <c r="TOQ20" s="3507"/>
      <c r="TOR20" s="3507"/>
      <c r="TOS20" s="3507"/>
      <c r="TOT20" s="3507"/>
      <c r="TOU20" s="3507"/>
      <c r="TOV20" s="3507"/>
      <c r="TOW20" s="3507"/>
      <c r="TOX20" s="3507"/>
      <c r="TOY20" s="3507"/>
      <c r="TOZ20" s="3507"/>
      <c r="TPA20" s="3507"/>
      <c r="TPB20" s="3507"/>
      <c r="TPC20" s="3507"/>
      <c r="TPD20" s="3507"/>
      <c r="TPE20" s="3507"/>
      <c r="TPF20" s="3507"/>
      <c r="TPG20" s="3507"/>
      <c r="TPH20" s="3507"/>
      <c r="TPI20" s="3507"/>
      <c r="TPJ20" s="3507"/>
      <c r="TPK20" s="3507"/>
      <c r="TPL20" s="3507"/>
      <c r="TPM20" s="3507"/>
      <c r="TPN20" s="3507"/>
      <c r="TPO20" s="3507"/>
      <c r="TPP20" s="3507"/>
      <c r="TPQ20" s="3507"/>
      <c r="TPR20" s="3507"/>
      <c r="TPS20" s="3507"/>
      <c r="TPT20" s="3507"/>
      <c r="TPU20" s="3507"/>
      <c r="TPV20" s="3507"/>
      <c r="TPW20" s="3507"/>
      <c r="TPX20" s="3507"/>
      <c r="TPY20" s="3507"/>
      <c r="TPZ20" s="3507"/>
      <c r="TQA20" s="3507"/>
      <c r="TQB20" s="3507"/>
      <c r="TQC20" s="3507"/>
      <c r="TQD20" s="3507"/>
      <c r="TQE20" s="3507"/>
      <c r="TQF20" s="3507"/>
      <c r="TQG20" s="3507"/>
      <c r="TQH20" s="3507"/>
      <c r="TQI20" s="3507"/>
      <c r="TQJ20" s="3507"/>
      <c r="TQK20" s="3507"/>
      <c r="TQL20" s="3507"/>
      <c r="TQM20" s="3507"/>
      <c r="TQN20" s="3507"/>
      <c r="TQO20" s="3507"/>
      <c r="TQP20" s="3507"/>
      <c r="TQQ20" s="3507"/>
      <c r="TQR20" s="3507"/>
      <c r="TQS20" s="3507"/>
      <c r="TQT20" s="3507"/>
      <c r="TQU20" s="3507"/>
      <c r="TQV20" s="3507"/>
      <c r="TQW20" s="3507"/>
      <c r="TQX20" s="3507"/>
      <c r="TQY20" s="3507"/>
      <c r="TQZ20" s="3507"/>
      <c r="TRA20" s="3507"/>
      <c r="TRB20" s="3507"/>
      <c r="TRC20" s="3507"/>
      <c r="TRD20" s="3507"/>
      <c r="TRE20" s="3507"/>
      <c r="TRF20" s="3507"/>
      <c r="TRG20" s="3507"/>
      <c r="TRH20" s="3507"/>
      <c r="TRI20" s="3507"/>
      <c r="TRJ20" s="3507"/>
      <c r="TRK20" s="3507"/>
      <c r="TRL20" s="3507"/>
      <c r="TRM20" s="3507"/>
      <c r="TRN20" s="3507"/>
      <c r="TRO20" s="3507"/>
      <c r="TRP20" s="3507"/>
      <c r="TRQ20" s="3507"/>
      <c r="TRR20" s="3507"/>
      <c r="TRS20" s="3507"/>
      <c r="TRT20" s="3507"/>
      <c r="TRU20" s="3507"/>
      <c r="TRV20" s="3507"/>
      <c r="TRW20" s="3507"/>
      <c r="TRX20" s="3507"/>
      <c r="TRY20" s="3507"/>
      <c r="TRZ20" s="3507"/>
      <c r="TSA20" s="3507"/>
      <c r="TSB20" s="3507"/>
      <c r="TSC20" s="3507"/>
      <c r="TSD20" s="3507"/>
      <c r="TSE20" s="3507"/>
      <c r="TSF20" s="3507"/>
      <c r="TSG20" s="3507"/>
      <c r="TSH20" s="3507"/>
      <c r="TSI20" s="3507"/>
      <c r="TSJ20" s="3507"/>
      <c r="TSK20" s="3507"/>
      <c r="TSL20" s="3507"/>
      <c r="TSM20" s="3507"/>
      <c r="TSN20" s="3507"/>
      <c r="TSO20" s="3507"/>
      <c r="TSP20" s="3507"/>
      <c r="TSQ20" s="3507"/>
      <c r="TSR20" s="3507"/>
      <c r="TSS20" s="3507"/>
      <c r="TST20" s="3507"/>
      <c r="TSU20" s="3507"/>
      <c r="TSV20" s="3507"/>
      <c r="TSW20" s="3507"/>
      <c r="TSX20" s="3507"/>
      <c r="TSY20" s="3507"/>
      <c r="TSZ20" s="3507"/>
      <c r="TTA20" s="3507"/>
      <c r="TTB20" s="3507"/>
      <c r="TTC20" s="3507"/>
      <c r="TTD20" s="3507"/>
      <c r="TTE20" s="3507"/>
      <c r="TTF20" s="3507"/>
      <c r="TTG20" s="3507"/>
      <c r="TTH20" s="3507"/>
      <c r="TTI20" s="3507"/>
      <c r="TTJ20" s="3507"/>
      <c r="TTK20" s="3507"/>
      <c r="TTL20" s="3507"/>
      <c r="TTM20" s="3507"/>
      <c r="TTN20" s="3507"/>
      <c r="TTO20" s="3507"/>
      <c r="TTP20" s="3507"/>
      <c r="TTQ20" s="3507"/>
      <c r="TTR20" s="3507"/>
      <c r="TTS20" s="3507"/>
      <c r="TTT20" s="3507"/>
      <c r="TTU20" s="3507"/>
      <c r="TTV20" s="3507"/>
      <c r="TTW20" s="3507"/>
      <c r="TTX20" s="3507"/>
      <c r="TTY20" s="3507"/>
      <c r="TTZ20" s="3507"/>
      <c r="TUA20" s="3507"/>
      <c r="TUB20" s="3507"/>
      <c r="TUC20" s="3507"/>
      <c r="TUD20" s="3507"/>
      <c r="TUE20" s="3507"/>
      <c r="TUF20" s="3507"/>
      <c r="TUG20" s="3507"/>
      <c r="TUH20" s="3507"/>
      <c r="TUI20" s="3507"/>
      <c r="TUJ20" s="3507"/>
      <c r="TUK20" s="3507"/>
      <c r="TUL20" s="3507"/>
      <c r="TUM20" s="3507"/>
      <c r="TUN20" s="3507"/>
      <c r="TUO20" s="3507"/>
      <c r="TUP20" s="3507"/>
      <c r="TUQ20" s="3507"/>
      <c r="TUR20" s="3507"/>
      <c r="TUS20" s="3507"/>
      <c r="TUT20" s="3507"/>
      <c r="TUU20" s="3507"/>
      <c r="TUV20" s="3507"/>
      <c r="TUW20" s="3507"/>
      <c r="TUX20" s="3507"/>
      <c r="TUY20" s="3507"/>
      <c r="TUZ20" s="3507"/>
      <c r="TVA20" s="3507"/>
      <c r="TVB20" s="3507"/>
      <c r="TVC20" s="3507"/>
      <c r="TVD20" s="3507"/>
      <c r="TVE20" s="3507"/>
      <c r="TVF20" s="3507"/>
      <c r="TVG20" s="3507"/>
      <c r="TVH20" s="3507"/>
      <c r="TVI20" s="3507"/>
      <c r="TVJ20" s="3507"/>
      <c r="TVK20" s="3507"/>
      <c r="TVL20" s="3507"/>
      <c r="TVM20" s="3507"/>
      <c r="TVN20" s="3507"/>
      <c r="TVO20" s="3507"/>
      <c r="TVP20" s="3507"/>
      <c r="TVQ20" s="3507"/>
      <c r="TVR20" s="3507"/>
      <c r="TVS20" s="3507"/>
      <c r="TVT20" s="3507"/>
      <c r="TVU20" s="3507"/>
      <c r="TVV20" s="3507"/>
      <c r="TVW20" s="3507"/>
      <c r="TVX20" s="3507"/>
      <c r="TVY20" s="3507"/>
      <c r="TVZ20" s="3507"/>
      <c r="TWA20" s="3507"/>
      <c r="TWB20" s="3507"/>
      <c r="TWC20" s="3507"/>
      <c r="TWD20" s="3507"/>
      <c r="TWE20" s="3507"/>
      <c r="TWF20" s="3507"/>
      <c r="TWG20" s="3507"/>
      <c r="TWH20" s="3507"/>
      <c r="TWI20" s="3507"/>
      <c r="TWJ20" s="3507"/>
      <c r="TWK20" s="3507"/>
      <c r="TWL20" s="3507"/>
      <c r="TWM20" s="3507"/>
      <c r="TWN20" s="3507"/>
      <c r="TWO20" s="3507"/>
      <c r="TWP20" s="3507"/>
      <c r="TWQ20" s="3507"/>
      <c r="TWR20" s="3507"/>
      <c r="TWS20" s="3507"/>
      <c r="TWT20" s="3507"/>
      <c r="TWU20" s="3507"/>
      <c r="TWV20" s="3507"/>
      <c r="TWW20" s="3507"/>
      <c r="TWX20" s="3507"/>
      <c r="TWY20" s="3507"/>
      <c r="TWZ20" s="3507"/>
      <c r="TXA20" s="3507"/>
      <c r="TXB20" s="3507"/>
      <c r="TXC20" s="3507"/>
      <c r="TXD20" s="3507"/>
      <c r="TXE20" s="3507"/>
      <c r="TXF20" s="3507"/>
      <c r="TXG20" s="3507"/>
      <c r="TXH20" s="3507"/>
      <c r="TXI20" s="3507"/>
      <c r="TXJ20" s="3507"/>
      <c r="TXK20" s="3507"/>
      <c r="TXL20" s="3507"/>
      <c r="TXM20" s="3507"/>
      <c r="TXN20" s="3507"/>
      <c r="TXO20" s="3507"/>
      <c r="TXP20" s="3507"/>
      <c r="TXQ20" s="3507"/>
      <c r="TXR20" s="3507"/>
      <c r="TXS20" s="3507"/>
      <c r="TXT20" s="3507"/>
      <c r="TXU20" s="3507"/>
      <c r="TXV20" s="3507"/>
      <c r="TXW20" s="3507"/>
      <c r="TXX20" s="3507"/>
      <c r="TXY20" s="3507"/>
      <c r="TXZ20" s="3507"/>
      <c r="TYA20" s="3507"/>
      <c r="TYB20" s="3507"/>
      <c r="TYC20" s="3507"/>
      <c r="TYD20" s="3507"/>
      <c r="TYE20" s="3507"/>
      <c r="TYF20" s="3507"/>
      <c r="TYG20" s="3507"/>
      <c r="TYH20" s="3507"/>
      <c r="TYI20" s="3507"/>
      <c r="TYJ20" s="3507"/>
      <c r="TYK20" s="3507"/>
      <c r="TYL20" s="3507"/>
      <c r="TYM20" s="3507"/>
      <c r="TYN20" s="3507"/>
      <c r="TYO20" s="3507"/>
      <c r="TYP20" s="3507"/>
      <c r="TYQ20" s="3507"/>
      <c r="TYR20" s="3507"/>
      <c r="TYS20" s="3507"/>
      <c r="TYT20" s="3507"/>
      <c r="TYU20" s="3507"/>
      <c r="TYV20" s="3507"/>
      <c r="TYW20" s="3507"/>
      <c r="TYX20" s="3507"/>
      <c r="TYY20" s="3507"/>
      <c r="TYZ20" s="3507"/>
      <c r="TZA20" s="3507"/>
      <c r="TZB20" s="3507"/>
      <c r="TZC20" s="3507"/>
      <c r="TZD20" s="3507"/>
      <c r="TZE20" s="3507"/>
      <c r="TZF20" s="3507"/>
      <c r="TZG20" s="3507"/>
      <c r="TZH20" s="3507"/>
      <c r="TZI20" s="3507"/>
      <c r="TZJ20" s="3507"/>
      <c r="TZK20" s="3507"/>
      <c r="TZL20" s="3507"/>
      <c r="TZM20" s="3507"/>
      <c r="TZN20" s="3507"/>
      <c r="TZO20" s="3507"/>
      <c r="TZP20" s="3507"/>
      <c r="TZQ20" s="3507"/>
      <c r="TZR20" s="3507"/>
      <c r="TZS20" s="3507"/>
      <c r="TZT20" s="3507"/>
      <c r="TZU20" s="3507"/>
      <c r="TZV20" s="3507"/>
      <c r="TZW20" s="3507"/>
      <c r="TZX20" s="3507"/>
      <c r="TZY20" s="3507"/>
      <c r="TZZ20" s="3507"/>
      <c r="UAA20" s="3507"/>
      <c r="UAB20" s="3507"/>
      <c r="UAC20" s="3507"/>
      <c r="UAD20" s="3507"/>
      <c r="UAE20" s="3507"/>
      <c r="UAF20" s="3507"/>
      <c r="UAG20" s="3507"/>
      <c r="UAH20" s="3507"/>
      <c r="UAI20" s="3507"/>
      <c r="UAJ20" s="3507"/>
      <c r="UAK20" s="3507"/>
      <c r="UAL20" s="3507"/>
      <c r="UAM20" s="3507"/>
      <c r="UAN20" s="3507"/>
      <c r="UAO20" s="3507"/>
      <c r="UAP20" s="3507"/>
      <c r="UAQ20" s="3507"/>
      <c r="UAR20" s="3507"/>
      <c r="UAS20" s="3507"/>
      <c r="UAT20" s="3507"/>
      <c r="UAU20" s="3507"/>
      <c r="UAV20" s="3507"/>
      <c r="UAW20" s="3507"/>
      <c r="UAX20" s="3507"/>
      <c r="UAY20" s="3507"/>
      <c r="UAZ20" s="3507"/>
      <c r="UBA20" s="3507"/>
      <c r="UBB20" s="3507"/>
      <c r="UBC20" s="3507"/>
      <c r="UBD20" s="3507"/>
      <c r="UBE20" s="3507"/>
      <c r="UBF20" s="3507"/>
      <c r="UBG20" s="3507"/>
      <c r="UBH20" s="3507"/>
      <c r="UBI20" s="3507"/>
      <c r="UBJ20" s="3507"/>
      <c r="UBK20" s="3507"/>
      <c r="UBL20" s="3507"/>
      <c r="UBM20" s="3507"/>
      <c r="UBN20" s="3507"/>
      <c r="UBO20" s="3507"/>
      <c r="UBP20" s="3507"/>
      <c r="UBQ20" s="3507"/>
      <c r="UBR20" s="3507"/>
      <c r="UBS20" s="3507"/>
      <c r="UBT20" s="3507"/>
      <c r="UBU20" s="3507"/>
      <c r="UBV20" s="3507"/>
      <c r="UBW20" s="3507"/>
      <c r="UBX20" s="3507"/>
      <c r="UBY20" s="3507"/>
      <c r="UBZ20" s="3507"/>
      <c r="UCA20" s="3507"/>
      <c r="UCB20" s="3507"/>
      <c r="UCC20" s="3507"/>
      <c r="UCD20" s="3507"/>
      <c r="UCE20" s="3507"/>
      <c r="UCF20" s="3507"/>
      <c r="UCG20" s="3507"/>
      <c r="UCH20" s="3507"/>
      <c r="UCI20" s="3507"/>
      <c r="UCJ20" s="3507"/>
      <c r="UCK20" s="3507"/>
      <c r="UCL20" s="3507"/>
      <c r="UCM20" s="3507"/>
      <c r="UCN20" s="3507"/>
      <c r="UCO20" s="3507"/>
      <c r="UCP20" s="3507"/>
      <c r="UCQ20" s="3507"/>
      <c r="UCR20" s="3507"/>
      <c r="UCS20" s="3507"/>
      <c r="UCT20" s="3507"/>
      <c r="UCU20" s="3507"/>
      <c r="UCV20" s="3507"/>
      <c r="UCW20" s="3507"/>
      <c r="UCX20" s="3507"/>
      <c r="UCY20" s="3507"/>
      <c r="UCZ20" s="3507"/>
      <c r="UDA20" s="3507"/>
      <c r="UDB20" s="3507"/>
      <c r="UDC20" s="3507"/>
      <c r="UDD20" s="3507"/>
      <c r="UDE20" s="3507"/>
      <c r="UDF20" s="3507"/>
      <c r="UDG20" s="3507"/>
      <c r="UDH20" s="3507"/>
      <c r="UDI20" s="3507"/>
      <c r="UDJ20" s="3507"/>
      <c r="UDK20" s="3507"/>
      <c r="UDL20" s="3507"/>
      <c r="UDM20" s="3507"/>
      <c r="UDN20" s="3507"/>
      <c r="UDO20" s="3507"/>
      <c r="UDP20" s="3507"/>
      <c r="UDQ20" s="3507"/>
      <c r="UDR20" s="3507"/>
      <c r="UDS20" s="3507"/>
      <c r="UDT20" s="3507"/>
      <c r="UDU20" s="3507"/>
      <c r="UDV20" s="3507"/>
      <c r="UDW20" s="3507"/>
      <c r="UDX20" s="3507"/>
      <c r="UDY20" s="3507"/>
      <c r="UDZ20" s="3507"/>
      <c r="UEA20" s="3507"/>
      <c r="UEB20" s="3507"/>
      <c r="UEC20" s="3507"/>
      <c r="UED20" s="3507"/>
      <c r="UEE20" s="3507"/>
      <c r="UEF20" s="3507"/>
      <c r="UEG20" s="3507"/>
      <c r="UEH20" s="3507"/>
      <c r="UEI20" s="3507"/>
      <c r="UEJ20" s="3507"/>
      <c r="UEK20" s="3507"/>
      <c r="UEL20" s="3507"/>
      <c r="UEM20" s="3507"/>
      <c r="UEN20" s="3507"/>
      <c r="UEO20" s="3507"/>
      <c r="UEP20" s="3507"/>
      <c r="UEQ20" s="3507"/>
      <c r="UER20" s="3507"/>
      <c r="UES20" s="3507"/>
      <c r="UET20" s="3507"/>
      <c r="UEU20" s="3507"/>
      <c r="UEV20" s="3507"/>
      <c r="UEW20" s="3507"/>
      <c r="UEX20" s="3507"/>
      <c r="UEY20" s="3507"/>
      <c r="UEZ20" s="3507"/>
      <c r="UFA20" s="3507"/>
      <c r="UFB20" s="3507"/>
      <c r="UFC20" s="3507"/>
      <c r="UFD20" s="3507"/>
      <c r="UFE20" s="3507"/>
      <c r="UFF20" s="3507"/>
      <c r="UFG20" s="3507"/>
      <c r="UFH20" s="3507"/>
      <c r="UFI20" s="3507"/>
      <c r="UFJ20" s="3507"/>
      <c r="UFK20" s="3507"/>
      <c r="UFL20" s="3507"/>
      <c r="UFM20" s="3507"/>
      <c r="UFN20" s="3507"/>
      <c r="UFO20" s="3507"/>
      <c r="UFP20" s="3507"/>
      <c r="UFQ20" s="3507"/>
      <c r="UFR20" s="3507"/>
      <c r="UFS20" s="3507"/>
      <c r="UFT20" s="3507"/>
      <c r="UFU20" s="3507"/>
      <c r="UFV20" s="3507"/>
      <c r="UFW20" s="3507"/>
      <c r="UFX20" s="3507"/>
      <c r="UFY20" s="3507"/>
      <c r="UFZ20" s="3507"/>
      <c r="UGA20" s="3507"/>
      <c r="UGB20" s="3507"/>
      <c r="UGC20" s="3507"/>
      <c r="UGD20" s="3507"/>
      <c r="UGE20" s="3507"/>
      <c r="UGF20" s="3507"/>
      <c r="UGG20" s="3507"/>
      <c r="UGH20" s="3507"/>
      <c r="UGI20" s="3507"/>
      <c r="UGJ20" s="3507"/>
      <c r="UGK20" s="3507"/>
      <c r="UGL20" s="3507"/>
      <c r="UGM20" s="3507"/>
      <c r="UGN20" s="3507"/>
      <c r="UGO20" s="3507"/>
      <c r="UGP20" s="3507"/>
      <c r="UGQ20" s="3507"/>
      <c r="UGR20" s="3507"/>
      <c r="UGS20" s="3507"/>
      <c r="UGT20" s="3507"/>
      <c r="UGU20" s="3507"/>
      <c r="UGV20" s="3507"/>
      <c r="UGW20" s="3507"/>
      <c r="UGX20" s="3507"/>
      <c r="UGY20" s="3507"/>
      <c r="UGZ20" s="3507"/>
      <c r="UHA20" s="3507"/>
      <c r="UHB20" s="3507"/>
      <c r="UHC20" s="3507"/>
      <c r="UHD20" s="3507"/>
      <c r="UHE20" s="3507"/>
      <c r="UHF20" s="3507"/>
      <c r="UHG20" s="3507"/>
      <c r="UHH20" s="3507"/>
      <c r="UHI20" s="3507"/>
      <c r="UHJ20" s="3507"/>
      <c r="UHK20" s="3507"/>
      <c r="UHL20" s="3507"/>
      <c r="UHM20" s="3507"/>
      <c r="UHN20" s="3507"/>
      <c r="UHO20" s="3507"/>
      <c r="UHP20" s="3507"/>
      <c r="UHQ20" s="3507"/>
      <c r="UHR20" s="3507"/>
      <c r="UHS20" s="3507"/>
      <c r="UHT20" s="3507"/>
      <c r="UHU20" s="3507"/>
      <c r="UHV20" s="3507"/>
      <c r="UHW20" s="3507"/>
      <c r="UHX20" s="3507"/>
      <c r="UHY20" s="3507"/>
      <c r="UHZ20" s="3507"/>
      <c r="UIA20" s="3507"/>
      <c r="UIB20" s="3507"/>
      <c r="UIC20" s="3507"/>
      <c r="UID20" s="3507"/>
      <c r="UIE20" s="3507"/>
      <c r="UIF20" s="3507"/>
      <c r="UIG20" s="3507"/>
      <c r="UIH20" s="3507"/>
      <c r="UII20" s="3507"/>
      <c r="UIJ20" s="3507"/>
      <c r="UIK20" s="3507"/>
      <c r="UIL20" s="3507"/>
      <c r="UIM20" s="3507"/>
      <c r="UIN20" s="3507"/>
      <c r="UIO20" s="3507"/>
      <c r="UIP20" s="3507"/>
      <c r="UIQ20" s="3507"/>
      <c r="UIR20" s="3507"/>
      <c r="UIS20" s="3507"/>
      <c r="UIT20" s="3507"/>
      <c r="UIU20" s="3507"/>
      <c r="UIV20" s="3507"/>
      <c r="UIW20" s="3507"/>
      <c r="UIX20" s="3507"/>
      <c r="UIY20" s="3507"/>
      <c r="UIZ20" s="3507"/>
      <c r="UJA20" s="3507"/>
      <c r="UJB20" s="3507"/>
      <c r="UJC20" s="3507"/>
      <c r="UJD20" s="3507"/>
      <c r="UJE20" s="3507"/>
      <c r="UJF20" s="3507"/>
      <c r="UJG20" s="3507"/>
      <c r="UJH20" s="3507"/>
      <c r="UJI20" s="3507"/>
      <c r="UJJ20" s="3507"/>
      <c r="UJK20" s="3507"/>
      <c r="UJL20" s="3507"/>
      <c r="UJM20" s="3507"/>
      <c r="UJN20" s="3507"/>
      <c r="UJO20" s="3507"/>
      <c r="UJP20" s="3507"/>
      <c r="UJQ20" s="3507"/>
      <c r="UJR20" s="3507"/>
      <c r="UJS20" s="3507"/>
      <c r="UJT20" s="3507"/>
      <c r="UJU20" s="3507"/>
      <c r="UJV20" s="3507"/>
      <c r="UJW20" s="3507"/>
      <c r="UJX20" s="3507"/>
      <c r="UJY20" s="3507"/>
      <c r="UJZ20" s="3507"/>
      <c r="UKA20" s="3507"/>
      <c r="UKB20" s="3507"/>
      <c r="UKC20" s="3507"/>
      <c r="UKD20" s="3507"/>
      <c r="UKE20" s="3507"/>
      <c r="UKF20" s="3507"/>
      <c r="UKG20" s="3507"/>
      <c r="UKH20" s="3507"/>
      <c r="UKI20" s="3507"/>
      <c r="UKJ20" s="3507"/>
      <c r="UKK20" s="3507"/>
      <c r="UKL20" s="3507"/>
      <c r="UKM20" s="3507"/>
      <c r="UKN20" s="3507"/>
      <c r="UKO20" s="3507"/>
      <c r="UKP20" s="3507"/>
      <c r="UKQ20" s="3507"/>
      <c r="UKR20" s="3507"/>
      <c r="UKS20" s="3507"/>
      <c r="UKT20" s="3507"/>
      <c r="UKU20" s="3507"/>
      <c r="UKV20" s="3507"/>
      <c r="UKW20" s="3507"/>
      <c r="UKX20" s="3507"/>
      <c r="UKY20" s="3507"/>
      <c r="UKZ20" s="3507"/>
      <c r="ULA20" s="3507"/>
      <c r="ULB20" s="3507"/>
      <c r="ULC20" s="3507"/>
      <c r="ULD20" s="3507"/>
      <c r="ULE20" s="3507"/>
      <c r="ULF20" s="3507"/>
      <c r="ULG20" s="3507"/>
      <c r="ULH20" s="3507"/>
      <c r="ULI20" s="3507"/>
      <c r="ULJ20" s="3507"/>
      <c r="ULK20" s="3507"/>
      <c r="ULL20" s="3507"/>
      <c r="ULM20" s="3507"/>
      <c r="ULN20" s="3507"/>
      <c r="ULO20" s="3507"/>
      <c r="ULP20" s="3507"/>
      <c r="ULQ20" s="3507"/>
      <c r="ULR20" s="3507"/>
      <c r="ULS20" s="3507"/>
      <c r="ULT20" s="3507"/>
      <c r="ULU20" s="3507"/>
      <c r="ULV20" s="3507"/>
      <c r="ULW20" s="3507"/>
      <c r="ULX20" s="3507"/>
      <c r="ULY20" s="3507"/>
      <c r="ULZ20" s="3507"/>
      <c r="UMA20" s="3507"/>
      <c r="UMB20" s="3507"/>
      <c r="UMC20" s="3507"/>
      <c r="UMD20" s="3507"/>
      <c r="UME20" s="3507"/>
      <c r="UMF20" s="3507"/>
      <c r="UMG20" s="3507"/>
      <c r="UMH20" s="3507"/>
      <c r="UMI20" s="3507"/>
      <c r="UMJ20" s="3507"/>
      <c r="UMK20" s="3507"/>
      <c r="UML20" s="3507"/>
      <c r="UMM20" s="3507"/>
      <c r="UMN20" s="3507"/>
      <c r="UMO20" s="3507"/>
      <c r="UMP20" s="3507"/>
      <c r="UMQ20" s="3507"/>
      <c r="UMR20" s="3507"/>
      <c r="UMS20" s="3507"/>
      <c r="UMT20" s="3507"/>
      <c r="UMU20" s="3507"/>
      <c r="UMV20" s="3507"/>
      <c r="UMW20" s="3507"/>
      <c r="UMX20" s="3507"/>
      <c r="UMY20" s="3507"/>
      <c r="UMZ20" s="3507"/>
      <c r="UNA20" s="3507"/>
      <c r="UNB20" s="3507"/>
      <c r="UNC20" s="3507"/>
      <c r="UND20" s="3507"/>
      <c r="UNE20" s="3507"/>
      <c r="UNF20" s="3507"/>
      <c r="UNG20" s="3507"/>
      <c r="UNH20" s="3507"/>
      <c r="UNI20" s="3507"/>
      <c r="UNJ20" s="3507"/>
      <c r="UNK20" s="3507"/>
      <c r="UNL20" s="3507"/>
      <c r="UNM20" s="3507"/>
      <c r="UNN20" s="3507"/>
      <c r="UNO20" s="3507"/>
      <c r="UNP20" s="3507"/>
      <c r="UNQ20" s="3507"/>
      <c r="UNR20" s="3507"/>
      <c r="UNS20" s="3507"/>
      <c r="UNT20" s="3507"/>
      <c r="UNU20" s="3507"/>
      <c r="UNV20" s="3507"/>
      <c r="UNW20" s="3507"/>
      <c r="UNX20" s="3507"/>
      <c r="UNY20" s="3507"/>
      <c r="UNZ20" s="3507"/>
      <c r="UOA20" s="3507"/>
      <c r="UOB20" s="3507"/>
      <c r="UOC20" s="3507"/>
      <c r="UOD20" s="3507"/>
      <c r="UOE20" s="3507"/>
      <c r="UOF20" s="3507"/>
      <c r="UOG20" s="3507"/>
      <c r="UOH20" s="3507"/>
      <c r="UOI20" s="3507"/>
      <c r="UOJ20" s="3507"/>
      <c r="UOK20" s="3507"/>
      <c r="UOL20" s="3507"/>
      <c r="UOM20" s="3507"/>
      <c r="UON20" s="3507"/>
      <c r="UOO20" s="3507"/>
      <c r="UOP20" s="3507"/>
      <c r="UOQ20" s="3507"/>
      <c r="UOR20" s="3507"/>
      <c r="UOS20" s="3507"/>
      <c r="UOT20" s="3507"/>
      <c r="UOU20" s="3507"/>
      <c r="UOV20" s="3507"/>
      <c r="UOW20" s="3507"/>
      <c r="UOX20" s="3507"/>
      <c r="UOY20" s="3507"/>
      <c r="UOZ20" s="3507"/>
      <c r="UPA20" s="3507"/>
      <c r="UPB20" s="3507"/>
      <c r="UPC20" s="3507"/>
      <c r="UPD20" s="3507"/>
      <c r="UPE20" s="3507"/>
      <c r="UPF20" s="3507"/>
      <c r="UPG20" s="3507"/>
      <c r="UPH20" s="3507"/>
      <c r="UPI20" s="3507"/>
      <c r="UPJ20" s="3507"/>
      <c r="UPK20" s="3507"/>
      <c r="UPL20" s="3507"/>
      <c r="UPM20" s="3507"/>
      <c r="UPN20" s="3507"/>
      <c r="UPO20" s="3507"/>
      <c r="UPP20" s="3507"/>
      <c r="UPQ20" s="3507"/>
      <c r="UPR20" s="3507"/>
      <c r="UPS20" s="3507"/>
      <c r="UPT20" s="3507"/>
      <c r="UPU20" s="3507"/>
      <c r="UPV20" s="3507"/>
      <c r="UPW20" s="3507"/>
      <c r="UPX20" s="3507"/>
      <c r="UPY20" s="3507"/>
      <c r="UPZ20" s="3507"/>
      <c r="UQA20" s="3507"/>
      <c r="UQB20" s="3507"/>
      <c r="UQC20" s="3507"/>
      <c r="UQD20" s="3507"/>
      <c r="UQE20" s="3507"/>
      <c r="UQF20" s="3507"/>
      <c r="UQG20" s="3507"/>
      <c r="UQH20" s="3507"/>
      <c r="UQI20" s="3507"/>
      <c r="UQJ20" s="3507"/>
      <c r="UQK20" s="3507"/>
      <c r="UQL20" s="3507"/>
      <c r="UQM20" s="3507"/>
      <c r="UQN20" s="3507"/>
      <c r="UQO20" s="3507"/>
      <c r="UQP20" s="3507"/>
      <c r="UQQ20" s="3507"/>
      <c r="UQR20" s="3507"/>
      <c r="UQS20" s="3507"/>
      <c r="UQT20" s="3507"/>
      <c r="UQU20" s="3507"/>
      <c r="UQV20" s="3507"/>
      <c r="UQW20" s="3507"/>
      <c r="UQX20" s="3507"/>
      <c r="UQY20" s="3507"/>
      <c r="UQZ20" s="3507"/>
      <c r="URA20" s="3507"/>
      <c r="URB20" s="3507"/>
      <c r="URC20" s="3507"/>
      <c r="URD20" s="3507"/>
      <c r="URE20" s="3507"/>
      <c r="URF20" s="3507"/>
      <c r="URG20" s="3507"/>
      <c r="URH20" s="3507"/>
      <c r="URI20" s="3507"/>
      <c r="URJ20" s="3507"/>
      <c r="URK20" s="3507"/>
      <c r="URL20" s="3507"/>
      <c r="URM20" s="3507"/>
      <c r="URN20" s="3507"/>
      <c r="URO20" s="3507"/>
      <c r="URP20" s="3507"/>
      <c r="URQ20" s="3507"/>
      <c r="URR20" s="3507"/>
      <c r="URS20" s="3507"/>
      <c r="URT20" s="3507"/>
      <c r="URU20" s="3507"/>
      <c r="URV20" s="3507"/>
      <c r="URW20" s="3507"/>
      <c r="URX20" s="3507"/>
      <c r="URY20" s="3507"/>
      <c r="URZ20" s="3507"/>
      <c r="USA20" s="3507"/>
      <c r="USB20" s="3507"/>
      <c r="USC20" s="3507"/>
      <c r="USD20" s="3507"/>
      <c r="USE20" s="3507"/>
      <c r="USF20" s="3507"/>
      <c r="USG20" s="3507"/>
      <c r="USH20" s="3507"/>
      <c r="USI20" s="3507"/>
      <c r="USJ20" s="3507"/>
      <c r="USK20" s="3507"/>
      <c r="USL20" s="3507"/>
      <c r="USM20" s="3507"/>
      <c r="USN20" s="3507"/>
      <c r="USO20" s="3507"/>
      <c r="USP20" s="3507"/>
      <c r="USQ20" s="3507"/>
      <c r="USR20" s="3507"/>
      <c r="USS20" s="3507"/>
      <c r="UST20" s="3507"/>
      <c r="USU20" s="3507"/>
      <c r="USV20" s="3507"/>
      <c r="USW20" s="3507"/>
      <c r="USX20" s="3507"/>
      <c r="USY20" s="3507"/>
      <c r="USZ20" s="3507"/>
      <c r="UTA20" s="3507"/>
      <c r="UTB20" s="3507"/>
      <c r="UTC20" s="3507"/>
      <c r="UTD20" s="3507"/>
      <c r="UTE20" s="3507"/>
      <c r="UTF20" s="3507"/>
      <c r="UTG20" s="3507"/>
      <c r="UTH20" s="3507"/>
      <c r="UTI20" s="3507"/>
      <c r="UTJ20" s="3507"/>
      <c r="UTK20" s="3507"/>
      <c r="UTL20" s="3507"/>
      <c r="UTM20" s="3507"/>
      <c r="UTN20" s="3507"/>
      <c r="UTO20" s="3507"/>
      <c r="UTP20" s="3507"/>
      <c r="UTQ20" s="3507"/>
      <c r="UTR20" s="3507"/>
      <c r="UTS20" s="3507"/>
      <c r="UTT20" s="3507"/>
      <c r="UTU20" s="3507"/>
      <c r="UTV20" s="3507"/>
      <c r="UTW20" s="3507"/>
      <c r="UTX20" s="3507"/>
      <c r="UTY20" s="3507"/>
      <c r="UTZ20" s="3507"/>
      <c r="UUA20" s="3507"/>
      <c r="UUB20" s="3507"/>
      <c r="UUC20" s="3507"/>
      <c r="UUD20" s="3507"/>
      <c r="UUE20" s="3507"/>
      <c r="UUF20" s="3507"/>
      <c r="UUG20" s="3507"/>
      <c r="UUH20" s="3507"/>
      <c r="UUI20" s="3507"/>
      <c r="UUJ20" s="3507"/>
      <c r="UUK20" s="3507"/>
      <c r="UUL20" s="3507"/>
      <c r="UUM20" s="3507"/>
      <c r="UUN20" s="3507"/>
      <c r="UUO20" s="3507"/>
      <c r="UUP20" s="3507"/>
      <c r="UUQ20" s="3507"/>
      <c r="UUR20" s="3507"/>
      <c r="UUS20" s="3507"/>
      <c r="UUT20" s="3507"/>
      <c r="UUU20" s="3507"/>
      <c r="UUV20" s="3507"/>
      <c r="UUW20" s="3507"/>
      <c r="UUX20" s="3507"/>
      <c r="UUY20" s="3507"/>
      <c r="UUZ20" s="3507"/>
      <c r="UVA20" s="3507"/>
      <c r="UVB20" s="3507"/>
      <c r="UVC20" s="3507"/>
      <c r="UVD20" s="3507"/>
      <c r="UVE20" s="3507"/>
      <c r="UVF20" s="3507"/>
      <c r="UVG20" s="3507"/>
      <c r="UVH20" s="3507"/>
      <c r="UVI20" s="3507"/>
      <c r="UVJ20" s="3507"/>
      <c r="UVK20" s="3507"/>
      <c r="UVL20" s="3507"/>
      <c r="UVM20" s="3507"/>
      <c r="UVN20" s="3507"/>
      <c r="UVO20" s="3507"/>
      <c r="UVP20" s="3507"/>
      <c r="UVQ20" s="3507"/>
      <c r="UVR20" s="3507"/>
      <c r="UVS20" s="3507"/>
      <c r="UVT20" s="3507"/>
      <c r="UVU20" s="3507"/>
      <c r="UVV20" s="3507"/>
      <c r="UVW20" s="3507"/>
      <c r="UVX20" s="3507"/>
      <c r="UVY20" s="3507"/>
      <c r="UVZ20" s="3507"/>
      <c r="UWA20" s="3507"/>
      <c r="UWB20" s="3507"/>
      <c r="UWC20" s="3507"/>
      <c r="UWD20" s="3507"/>
      <c r="UWE20" s="3507"/>
      <c r="UWF20" s="3507"/>
      <c r="UWG20" s="3507"/>
      <c r="UWH20" s="3507"/>
      <c r="UWI20" s="3507"/>
      <c r="UWJ20" s="3507"/>
      <c r="UWK20" s="3507"/>
      <c r="UWL20" s="3507"/>
      <c r="UWM20" s="3507"/>
      <c r="UWN20" s="3507"/>
      <c r="UWO20" s="3507"/>
      <c r="UWP20" s="3507"/>
      <c r="UWQ20" s="3507"/>
      <c r="UWR20" s="3507"/>
      <c r="UWS20" s="3507"/>
      <c r="UWT20" s="3507"/>
      <c r="UWU20" s="3507"/>
      <c r="UWV20" s="3507"/>
      <c r="UWW20" s="3507"/>
      <c r="UWX20" s="3507"/>
      <c r="UWY20" s="3507"/>
      <c r="UWZ20" s="3507"/>
      <c r="UXA20" s="3507"/>
      <c r="UXB20" s="3507"/>
      <c r="UXC20" s="3507"/>
      <c r="UXD20" s="3507"/>
      <c r="UXE20" s="3507"/>
      <c r="UXF20" s="3507"/>
      <c r="UXG20" s="3507"/>
      <c r="UXH20" s="3507"/>
      <c r="UXI20" s="3507"/>
      <c r="UXJ20" s="3507"/>
      <c r="UXK20" s="3507"/>
      <c r="UXL20" s="3507"/>
      <c r="UXM20" s="3507"/>
      <c r="UXN20" s="3507"/>
      <c r="UXO20" s="3507"/>
      <c r="UXP20" s="3507"/>
      <c r="UXQ20" s="3507"/>
      <c r="UXR20" s="3507"/>
      <c r="UXS20" s="3507"/>
      <c r="UXT20" s="3507"/>
      <c r="UXU20" s="3507"/>
      <c r="UXV20" s="3507"/>
      <c r="UXW20" s="3507"/>
      <c r="UXX20" s="3507"/>
      <c r="UXY20" s="3507"/>
      <c r="UXZ20" s="3507"/>
      <c r="UYA20" s="3507"/>
      <c r="UYB20" s="3507"/>
      <c r="UYC20" s="3507"/>
      <c r="UYD20" s="3507"/>
      <c r="UYE20" s="3507"/>
      <c r="UYF20" s="3507"/>
      <c r="UYG20" s="3507"/>
      <c r="UYH20" s="3507"/>
      <c r="UYI20" s="3507"/>
      <c r="UYJ20" s="3507"/>
      <c r="UYK20" s="3507"/>
      <c r="UYL20" s="3507"/>
      <c r="UYM20" s="3507"/>
      <c r="UYN20" s="3507"/>
      <c r="UYO20" s="3507"/>
      <c r="UYP20" s="3507"/>
      <c r="UYQ20" s="3507"/>
      <c r="UYR20" s="3507"/>
      <c r="UYS20" s="3507"/>
      <c r="UYT20" s="3507"/>
      <c r="UYU20" s="3507"/>
      <c r="UYV20" s="3507"/>
      <c r="UYW20" s="3507"/>
      <c r="UYX20" s="3507"/>
      <c r="UYY20" s="3507"/>
      <c r="UYZ20" s="3507"/>
      <c r="UZA20" s="3507"/>
      <c r="UZB20" s="3507"/>
      <c r="UZC20" s="3507"/>
      <c r="UZD20" s="3507"/>
      <c r="UZE20" s="3507"/>
      <c r="UZF20" s="3507"/>
      <c r="UZG20" s="3507"/>
      <c r="UZH20" s="3507"/>
      <c r="UZI20" s="3507"/>
      <c r="UZJ20" s="3507"/>
      <c r="UZK20" s="3507"/>
      <c r="UZL20" s="3507"/>
      <c r="UZM20" s="3507"/>
      <c r="UZN20" s="3507"/>
      <c r="UZO20" s="3507"/>
      <c r="UZP20" s="3507"/>
      <c r="UZQ20" s="3507"/>
      <c r="UZR20" s="3507"/>
      <c r="UZS20" s="3507"/>
      <c r="UZT20" s="3507"/>
      <c r="UZU20" s="3507"/>
      <c r="UZV20" s="3507"/>
      <c r="UZW20" s="3507"/>
      <c r="UZX20" s="3507"/>
      <c r="UZY20" s="3507"/>
      <c r="UZZ20" s="3507"/>
      <c r="VAA20" s="3507"/>
      <c r="VAB20" s="3507"/>
      <c r="VAC20" s="3507"/>
      <c r="VAD20" s="3507"/>
      <c r="VAE20" s="3507"/>
      <c r="VAF20" s="3507"/>
      <c r="VAG20" s="3507"/>
      <c r="VAH20" s="3507"/>
      <c r="VAI20" s="3507"/>
      <c r="VAJ20" s="3507"/>
      <c r="VAK20" s="3507"/>
      <c r="VAL20" s="3507"/>
      <c r="VAM20" s="3507"/>
      <c r="VAN20" s="3507"/>
      <c r="VAO20" s="3507"/>
      <c r="VAP20" s="3507"/>
      <c r="VAQ20" s="3507"/>
      <c r="VAR20" s="3507"/>
      <c r="VAS20" s="3507"/>
      <c r="VAT20" s="3507"/>
      <c r="VAU20" s="3507"/>
      <c r="VAV20" s="3507"/>
      <c r="VAW20" s="3507"/>
      <c r="VAX20" s="3507"/>
      <c r="VAY20" s="3507"/>
      <c r="VAZ20" s="3507"/>
      <c r="VBA20" s="3507"/>
      <c r="VBB20" s="3507"/>
      <c r="VBC20" s="3507"/>
      <c r="VBD20" s="3507"/>
      <c r="VBE20" s="3507"/>
      <c r="VBF20" s="3507"/>
      <c r="VBG20" s="3507"/>
      <c r="VBH20" s="3507"/>
      <c r="VBI20" s="3507"/>
      <c r="VBJ20" s="3507"/>
      <c r="VBK20" s="3507"/>
      <c r="VBL20" s="3507"/>
      <c r="VBM20" s="3507"/>
      <c r="VBN20" s="3507"/>
      <c r="VBO20" s="3507"/>
      <c r="VBP20" s="3507"/>
      <c r="VBQ20" s="3507"/>
      <c r="VBR20" s="3507"/>
      <c r="VBS20" s="3507"/>
      <c r="VBT20" s="3507"/>
      <c r="VBU20" s="3507"/>
      <c r="VBV20" s="3507"/>
      <c r="VBW20" s="3507"/>
      <c r="VBX20" s="3507"/>
      <c r="VBY20" s="3507"/>
      <c r="VBZ20" s="3507"/>
      <c r="VCA20" s="3507"/>
      <c r="VCB20" s="3507"/>
      <c r="VCC20" s="3507"/>
      <c r="VCD20" s="3507"/>
      <c r="VCE20" s="3507"/>
      <c r="VCF20" s="3507"/>
      <c r="VCG20" s="3507"/>
      <c r="VCH20" s="3507"/>
      <c r="VCI20" s="3507"/>
      <c r="VCJ20" s="3507"/>
      <c r="VCK20" s="3507"/>
      <c r="VCL20" s="3507"/>
      <c r="VCM20" s="3507"/>
      <c r="VCN20" s="3507"/>
      <c r="VCO20" s="3507"/>
      <c r="VCP20" s="3507"/>
      <c r="VCQ20" s="3507"/>
      <c r="VCR20" s="3507"/>
      <c r="VCS20" s="3507"/>
      <c r="VCT20" s="3507"/>
      <c r="VCU20" s="3507"/>
      <c r="VCV20" s="3507"/>
      <c r="VCW20" s="3507"/>
      <c r="VCX20" s="3507"/>
      <c r="VCY20" s="3507"/>
      <c r="VCZ20" s="3507"/>
      <c r="VDA20" s="3507"/>
      <c r="VDB20" s="3507"/>
      <c r="VDC20" s="3507"/>
      <c r="VDD20" s="3507"/>
      <c r="VDE20" s="3507"/>
      <c r="VDF20" s="3507"/>
      <c r="VDG20" s="3507"/>
      <c r="VDH20" s="3507"/>
      <c r="VDI20" s="3507"/>
      <c r="VDJ20" s="3507"/>
      <c r="VDK20" s="3507"/>
      <c r="VDL20" s="3507"/>
      <c r="VDM20" s="3507"/>
      <c r="VDN20" s="3507"/>
      <c r="VDO20" s="3507"/>
      <c r="VDP20" s="3507"/>
      <c r="VDQ20" s="3507"/>
      <c r="VDR20" s="3507"/>
      <c r="VDS20" s="3507"/>
      <c r="VDT20" s="3507"/>
      <c r="VDU20" s="3507"/>
      <c r="VDV20" s="3507"/>
      <c r="VDW20" s="3507"/>
      <c r="VDX20" s="3507"/>
      <c r="VDY20" s="3507"/>
      <c r="VDZ20" s="3507"/>
      <c r="VEA20" s="3507"/>
      <c r="VEB20" s="3507"/>
      <c r="VEC20" s="3507"/>
      <c r="VED20" s="3507"/>
      <c r="VEE20" s="3507"/>
      <c r="VEF20" s="3507"/>
      <c r="VEG20" s="3507"/>
      <c r="VEH20" s="3507"/>
      <c r="VEI20" s="3507"/>
      <c r="VEJ20" s="3507"/>
      <c r="VEK20" s="3507"/>
      <c r="VEL20" s="3507"/>
      <c r="VEM20" s="3507"/>
      <c r="VEN20" s="3507"/>
      <c r="VEO20" s="3507"/>
      <c r="VEP20" s="3507"/>
      <c r="VEQ20" s="3507"/>
      <c r="VER20" s="3507"/>
      <c r="VES20" s="3507"/>
      <c r="VET20" s="3507"/>
      <c r="VEU20" s="3507"/>
      <c r="VEV20" s="3507"/>
      <c r="VEW20" s="3507"/>
      <c r="VEX20" s="3507"/>
      <c r="VEY20" s="3507"/>
      <c r="VEZ20" s="3507"/>
      <c r="VFA20" s="3507"/>
      <c r="VFB20" s="3507"/>
      <c r="VFC20" s="3507"/>
      <c r="VFD20" s="3507"/>
      <c r="VFE20" s="3507"/>
      <c r="VFF20" s="3507"/>
      <c r="VFG20" s="3507"/>
      <c r="VFH20" s="3507"/>
      <c r="VFI20" s="3507"/>
      <c r="VFJ20" s="3507"/>
      <c r="VFK20" s="3507"/>
      <c r="VFL20" s="3507"/>
      <c r="VFM20" s="3507"/>
      <c r="VFN20" s="3507"/>
      <c r="VFO20" s="3507"/>
      <c r="VFP20" s="3507"/>
      <c r="VFQ20" s="3507"/>
      <c r="VFR20" s="3507"/>
      <c r="VFS20" s="3507"/>
      <c r="VFT20" s="3507"/>
      <c r="VFU20" s="3507"/>
      <c r="VFV20" s="3507"/>
      <c r="VFW20" s="3507"/>
      <c r="VFX20" s="3507"/>
      <c r="VFY20" s="3507"/>
      <c r="VFZ20" s="3507"/>
      <c r="VGA20" s="3507"/>
      <c r="VGB20" s="3507"/>
      <c r="VGC20" s="3507"/>
      <c r="VGD20" s="3507"/>
      <c r="VGE20" s="3507"/>
      <c r="VGF20" s="3507"/>
      <c r="VGG20" s="3507"/>
      <c r="VGH20" s="3507"/>
      <c r="VGI20" s="3507"/>
      <c r="VGJ20" s="3507"/>
      <c r="VGK20" s="3507"/>
      <c r="VGL20" s="3507"/>
      <c r="VGM20" s="3507"/>
      <c r="VGN20" s="3507"/>
      <c r="VGO20" s="3507"/>
      <c r="VGP20" s="3507"/>
      <c r="VGQ20" s="3507"/>
      <c r="VGR20" s="3507"/>
      <c r="VGS20" s="3507"/>
      <c r="VGT20" s="3507"/>
      <c r="VGU20" s="3507"/>
      <c r="VGV20" s="3507"/>
      <c r="VGW20" s="3507"/>
      <c r="VGX20" s="3507"/>
      <c r="VGY20" s="3507"/>
      <c r="VGZ20" s="3507"/>
      <c r="VHA20" s="3507"/>
      <c r="VHB20" s="3507"/>
      <c r="VHC20" s="3507"/>
      <c r="VHD20" s="3507"/>
      <c r="VHE20" s="3507"/>
      <c r="VHF20" s="3507"/>
      <c r="VHG20" s="3507"/>
      <c r="VHH20" s="3507"/>
      <c r="VHI20" s="3507"/>
      <c r="VHJ20" s="3507"/>
      <c r="VHK20" s="3507"/>
      <c r="VHL20" s="3507"/>
      <c r="VHM20" s="3507"/>
      <c r="VHN20" s="3507"/>
      <c r="VHO20" s="3507"/>
      <c r="VHP20" s="3507"/>
      <c r="VHQ20" s="3507"/>
      <c r="VHR20" s="3507"/>
      <c r="VHS20" s="3507"/>
      <c r="VHT20" s="3507"/>
      <c r="VHU20" s="3507"/>
      <c r="VHV20" s="3507"/>
      <c r="VHW20" s="3507"/>
      <c r="VHX20" s="3507"/>
      <c r="VHY20" s="3507"/>
      <c r="VHZ20" s="3507"/>
      <c r="VIA20" s="3507"/>
      <c r="VIB20" s="3507"/>
      <c r="VIC20" s="3507"/>
      <c r="VID20" s="3507"/>
      <c r="VIE20" s="3507"/>
      <c r="VIF20" s="3507"/>
      <c r="VIG20" s="3507"/>
      <c r="VIH20" s="3507"/>
      <c r="VII20" s="3507"/>
      <c r="VIJ20" s="3507"/>
      <c r="VIK20" s="3507"/>
      <c r="VIL20" s="3507"/>
      <c r="VIM20" s="3507"/>
      <c r="VIN20" s="3507"/>
      <c r="VIO20" s="3507"/>
      <c r="VIP20" s="3507"/>
      <c r="VIQ20" s="3507"/>
      <c r="VIR20" s="3507"/>
      <c r="VIS20" s="3507"/>
      <c r="VIT20" s="3507"/>
      <c r="VIU20" s="3507"/>
      <c r="VIV20" s="3507"/>
      <c r="VIW20" s="3507"/>
      <c r="VIX20" s="3507"/>
      <c r="VIY20" s="3507"/>
      <c r="VIZ20" s="3507"/>
      <c r="VJA20" s="3507"/>
      <c r="VJB20" s="3507"/>
      <c r="VJC20" s="3507"/>
      <c r="VJD20" s="3507"/>
      <c r="VJE20" s="3507"/>
      <c r="VJF20" s="3507"/>
      <c r="VJG20" s="3507"/>
      <c r="VJH20" s="3507"/>
      <c r="VJI20" s="3507"/>
      <c r="VJJ20" s="3507"/>
      <c r="VJK20" s="3507"/>
      <c r="VJL20" s="3507"/>
      <c r="VJM20" s="3507"/>
      <c r="VJN20" s="3507"/>
      <c r="VJO20" s="3507"/>
      <c r="VJP20" s="3507"/>
      <c r="VJQ20" s="3507"/>
      <c r="VJR20" s="3507"/>
      <c r="VJS20" s="3507"/>
      <c r="VJT20" s="3507"/>
      <c r="VJU20" s="3507"/>
      <c r="VJV20" s="3507"/>
      <c r="VJW20" s="3507"/>
      <c r="VJX20" s="3507"/>
      <c r="VJY20" s="3507"/>
      <c r="VJZ20" s="3507"/>
      <c r="VKA20" s="3507"/>
      <c r="VKB20" s="3507"/>
      <c r="VKC20" s="3507"/>
      <c r="VKD20" s="3507"/>
      <c r="VKE20" s="3507"/>
      <c r="VKF20" s="3507"/>
      <c r="VKG20" s="3507"/>
      <c r="VKH20" s="3507"/>
      <c r="VKI20" s="3507"/>
      <c r="VKJ20" s="3507"/>
      <c r="VKK20" s="3507"/>
      <c r="VKL20" s="3507"/>
      <c r="VKM20" s="3507"/>
      <c r="VKN20" s="3507"/>
      <c r="VKO20" s="3507"/>
      <c r="VKP20" s="3507"/>
      <c r="VKQ20" s="3507"/>
      <c r="VKR20" s="3507"/>
      <c r="VKS20" s="3507"/>
      <c r="VKT20" s="3507"/>
      <c r="VKU20" s="3507"/>
      <c r="VKV20" s="3507"/>
      <c r="VKW20" s="3507"/>
      <c r="VKX20" s="3507"/>
      <c r="VKY20" s="3507"/>
      <c r="VKZ20" s="3507"/>
      <c r="VLA20" s="3507"/>
      <c r="VLB20" s="3507"/>
      <c r="VLC20" s="3507"/>
      <c r="VLD20" s="3507"/>
      <c r="VLE20" s="3507"/>
      <c r="VLF20" s="3507"/>
      <c r="VLG20" s="3507"/>
      <c r="VLH20" s="3507"/>
      <c r="VLI20" s="3507"/>
      <c r="VLJ20" s="3507"/>
      <c r="VLK20" s="3507"/>
      <c r="VLL20" s="3507"/>
      <c r="VLM20" s="3507"/>
      <c r="VLN20" s="3507"/>
      <c r="VLO20" s="3507"/>
      <c r="VLP20" s="3507"/>
      <c r="VLQ20" s="3507"/>
      <c r="VLR20" s="3507"/>
      <c r="VLS20" s="3507"/>
      <c r="VLT20" s="3507"/>
      <c r="VLU20" s="3507"/>
      <c r="VLV20" s="3507"/>
      <c r="VLW20" s="3507"/>
      <c r="VLX20" s="3507"/>
      <c r="VLY20" s="3507"/>
      <c r="VLZ20" s="3507"/>
      <c r="VMA20" s="3507"/>
      <c r="VMB20" s="3507"/>
      <c r="VMC20" s="3507"/>
      <c r="VMD20" s="3507"/>
      <c r="VME20" s="3507"/>
      <c r="VMF20" s="3507"/>
      <c r="VMG20" s="3507"/>
      <c r="VMH20" s="3507"/>
      <c r="VMI20" s="3507"/>
      <c r="VMJ20" s="3507"/>
      <c r="VMK20" s="3507"/>
      <c r="VML20" s="3507"/>
      <c r="VMM20" s="3507"/>
      <c r="VMN20" s="3507"/>
      <c r="VMO20" s="3507"/>
      <c r="VMP20" s="3507"/>
      <c r="VMQ20" s="3507"/>
      <c r="VMR20" s="3507"/>
      <c r="VMS20" s="3507"/>
      <c r="VMT20" s="3507"/>
      <c r="VMU20" s="3507"/>
      <c r="VMV20" s="3507"/>
      <c r="VMW20" s="3507"/>
      <c r="VMX20" s="3507"/>
      <c r="VMY20" s="3507"/>
      <c r="VMZ20" s="3507"/>
      <c r="VNA20" s="3507"/>
      <c r="VNB20" s="3507"/>
      <c r="VNC20" s="3507"/>
      <c r="VND20" s="3507"/>
      <c r="VNE20" s="3507"/>
      <c r="VNF20" s="3507"/>
      <c r="VNG20" s="3507"/>
      <c r="VNH20" s="3507"/>
      <c r="VNI20" s="3507"/>
      <c r="VNJ20" s="3507"/>
      <c r="VNK20" s="3507"/>
      <c r="VNL20" s="3507"/>
      <c r="VNM20" s="3507"/>
      <c r="VNN20" s="3507"/>
      <c r="VNO20" s="3507"/>
      <c r="VNP20" s="3507"/>
      <c r="VNQ20" s="3507"/>
      <c r="VNR20" s="3507"/>
      <c r="VNS20" s="3507"/>
      <c r="VNT20" s="3507"/>
      <c r="VNU20" s="3507"/>
      <c r="VNV20" s="3507"/>
      <c r="VNW20" s="3507"/>
      <c r="VNX20" s="3507"/>
      <c r="VNY20" s="3507"/>
      <c r="VNZ20" s="3507"/>
      <c r="VOA20" s="3507"/>
      <c r="VOB20" s="3507"/>
      <c r="VOC20" s="3507"/>
      <c r="VOD20" s="3507"/>
      <c r="VOE20" s="3507"/>
      <c r="VOF20" s="3507"/>
      <c r="VOG20" s="3507"/>
      <c r="VOH20" s="3507"/>
      <c r="VOI20" s="3507"/>
      <c r="VOJ20" s="3507"/>
      <c r="VOK20" s="3507"/>
      <c r="VOL20" s="3507"/>
      <c r="VOM20" s="3507"/>
      <c r="VON20" s="3507"/>
      <c r="VOO20" s="3507"/>
      <c r="VOP20" s="3507"/>
      <c r="VOQ20" s="3507"/>
      <c r="VOR20" s="3507"/>
      <c r="VOS20" s="3507"/>
      <c r="VOT20" s="3507"/>
      <c r="VOU20" s="3507"/>
      <c r="VOV20" s="3507"/>
      <c r="VOW20" s="3507"/>
      <c r="VOX20" s="3507"/>
      <c r="VOY20" s="3507"/>
      <c r="VOZ20" s="3507"/>
      <c r="VPA20" s="3507"/>
      <c r="VPB20" s="3507"/>
      <c r="VPC20" s="3507"/>
      <c r="VPD20" s="3507"/>
      <c r="VPE20" s="3507"/>
      <c r="VPF20" s="3507"/>
      <c r="VPG20" s="3507"/>
      <c r="VPH20" s="3507"/>
      <c r="VPI20" s="3507"/>
      <c r="VPJ20" s="3507"/>
      <c r="VPK20" s="3507"/>
      <c r="VPL20" s="3507"/>
      <c r="VPM20" s="3507"/>
      <c r="VPN20" s="3507"/>
      <c r="VPO20" s="3507"/>
      <c r="VPP20" s="3507"/>
      <c r="VPQ20" s="3507"/>
      <c r="VPR20" s="3507"/>
      <c r="VPS20" s="3507"/>
      <c r="VPT20" s="3507"/>
      <c r="VPU20" s="3507"/>
      <c r="VPV20" s="3507"/>
      <c r="VPW20" s="3507"/>
      <c r="VPX20" s="3507"/>
      <c r="VPY20" s="3507"/>
      <c r="VPZ20" s="3507"/>
      <c r="VQA20" s="3507"/>
      <c r="VQB20" s="3507"/>
      <c r="VQC20" s="3507"/>
      <c r="VQD20" s="3507"/>
      <c r="VQE20" s="3507"/>
      <c r="VQF20" s="3507"/>
      <c r="VQG20" s="3507"/>
      <c r="VQH20" s="3507"/>
      <c r="VQI20" s="3507"/>
      <c r="VQJ20" s="3507"/>
      <c r="VQK20" s="3507"/>
      <c r="VQL20" s="3507"/>
      <c r="VQM20" s="3507"/>
      <c r="VQN20" s="3507"/>
      <c r="VQO20" s="3507"/>
      <c r="VQP20" s="3507"/>
      <c r="VQQ20" s="3507"/>
      <c r="VQR20" s="3507"/>
      <c r="VQS20" s="3507"/>
      <c r="VQT20" s="3507"/>
      <c r="VQU20" s="3507"/>
      <c r="VQV20" s="3507"/>
      <c r="VQW20" s="3507"/>
      <c r="VQX20" s="3507"/>
      <c r="VQY20" s="3507"/>
      <c r="VQZ20" s="3507"/>
      <c r="VRA20" s="3507"/>
      <c r="VRB20" s="3507"/>
      <c r="VRC20" s="3507"/>
      <c r="VRD20" s="3507"/>
      <c r="VRE20" s="3507"/>
      <c r="VRF20" s="3507"/>
      <c r="VRG20" s="3507"/>
      <c r="VRH20" s="3507"/>
      <c r="VRI20" s="3507"/>
      <c r="VRJ20" s="3507"/>
      <c r="VRK20" s="3507"/>
      <c r="VRL20" s="3507"/>
      <c r="VRM20" s="3507"/>
      <c r="VRN20" s="3507"/>
      <c r="VRO20" s="3507"/>
      <c r="VRP20" s="3507"/>
      <c r="VRQ20" s="3507"/>
      <c r="VRR20" s="3507"/>
      <c r="VRS20" s="3507"/>
      <c r="VRT20" s="3507"/>
      <c r="VRU20" s="3507"/>
      <c r="VRV20" s="3507"/>
      <c r="VRW20" s="3507"/>
      <c r="VRX20" s="3507"/>
      <c r="VRY20" s="3507"/>
      <c r="VRZ20" s="3507"/>
      <c r="VSA20" s="3507"/>
      <c r="VSB20" s="3507"/>
      <c r="VSC20" s="3507"/>
      <c r="VSD20" s="3507"/>
      <c r="VSE20" s="3507"/>
      <c r="VSF20" s="3507"/>
      <c r="VSG20" s="3507"/>
      <c r="VSH20" s="3507"/>
      <c r="VSI20" s="3507"/>
      <c r="VSJ20" s="3507"/>
      <c r="VSK20" s="3507"/>
      <c r="VSL20" s="3507"/>
      <c r="VSM20" s="3507"/>
      <c r="VSN20" s="3507"/>
      <c r="VSO20" s="3507"/>
      <c r="VSP20" s="3507"/>
      <c r="VSQ20" s="3507"/>
      <c r="VSR20" s="3507"/>
      <c r="VSS20" s="3507"/>
      <c r="VST20" s="3507"/>
      <c r="VSU20" s="3507"/>
      <c r="VSV20" s="3507"/>
      <c r="VSW20" s="3507"/>
      <c r="VSX20" s="3507"/>
      <c r="VSY20" s="3507"/>
      <c r="VSZ20" s="3507"/>
      <c r="VTA20" s="3507"/>
      <c r="VTB20" s="3507"/>
      <c r="VTC20" s="3507"/>
      <c r="VTD20" s="3507"/>
      <c r="VTE20" s="3507"/>
      <c r="VTF20" s="3507"/>
      <c r="VTG20" s="3507"/>
      <c r="VTH20" s="3507"/>
      <c r="VTI20" s="3507"/>
      <c r="VTJ20" s="3507"/>
      <c r="VTK20" s="3507"/>
      <c r="VTL20" s="3507"/>
      <c r="VTM20" s="3507"/>
      <c r="VTN20" s="3507"/>
      <c r="VTO20" s="3507"/>
      <c r="VTP20" s="3507"/>
      <c r="VTQ20" s="3507"/>
      <c r="VTR20" s="3507"/>
      <c r="VTS20" s="3507"/>
      <c r="VTT20" s="3507"/>
      <c r="VTU20" s="3507"/>
      <c r="VTV20" s="3507"/>
      <c r="VTW20" s="3507"/>
      <c r="VTX20" s="3507"/>
      <c r="VTY20" s="3507"/>
      <c r="VTZ20" s="3507"/>
      <c r="VUA20" s="3507"/>
      <c r="VUB20" s="3507"/>
      <c r="VUC20" s="3507"/>
      <c r="VUD20" s="3507"/>
      <c r="VUE20" s="3507"/>
      <c r="VUF20" s="3507"/>
      <c r="VUG20" s="3507"/>
      <c r="VUH20" s="3507"/>
      <c r="VUI20" s="3507"/>
      <c r="VUJ20" s="3507"/>
      <c r="VUK20" s="3507"/>
      <c r="VUL20" s="3507"/>
      <c r="VUM20" s="3507"/>
      <c r="VUN20" s="3507"/>
      <c r="VUO20" s="3507"/>
      <c r="VUP20" s="3507"/>
      <c r="VUQ20" s="3507"/>
      <c r="VUR20" s="3507"/>
      <c r="VUS20" s="3507"/>
      <c r="VUT20" s="3507"/>
      <c r="VUU20" s="3507"/>
      <c r="VUV20" s="3507"/>
      <c r="VUW20" s="3507"/>
      <c r="VUX20" s="3507"/>
      <c r="VUY20" s="3507"/>
      <c r="VUZ20" s="3507"/>
      <c r="VVA20" s="3507"/>
      <c r="VVB20" s="3507"/>
      <c r="VVC20" s="3507"/>
      <c r="VVD20" s="3507"/>
      <c r="VVE20" s="3507"/>
      <c r="VVF20" s="3507"/>
      <c r="VVG20" s="3507"/>
      <c r="VVH20" s="3507"/>
      <c r="VVI20" s="3507"/>
      <c r="VVJ20" s="3507"/>
      <c r="VVK20" s="3507"/>
      <c r="VVL20" s="3507"/>
      <c r="VVM20" s="3507"/>
      <c r="VVN20" s="3507"/>
      <c r="VVO20" s="3507"/>
      <c r="VVP20" s="3507"/>
      <c r="VVQ20" s="3507"/>
      <c r="VVR20" s="3507"/>
      <c r="VVS20" s="3507"/>
      <c r="VVT20" s="3507"/>
      <c r="VVU20" s="3507"/>
      <c r="VVV20" s="3507"/>
      <c r="VVW20" s="3507"/>
      <c r="VVX20" s="3507"/>
      <c r="VVY20" s="3507"/>
      <c r="VVZ20" s="3507"/>
      <c r="VWA20" s="3507"/>
      <c r="VWB20" s="3507"/>
      <c r="VWC20" s="3507"/>
      <c r="VWD20" s="3507"/>
      <c r="VWE20" s="3507"/>
      <c r="VWF20" s="3507"/>
      <c r="VWG20" s="3507"/>
      <c r="VWH20" s="3507"/>
      <c r="VWI20" s="3507"/>
      <c r="VWJ20" s="3507"/>
      <c r="VWK20" s="3507"/>
      <c r="VWL20" s="3507"/>
      <c r="VWM20" s="3507"/>
      <c r="VWN20" s="3507"/>
      <c r="VWO20" s="3507"/>
      <c r="VWP20" s="3507"/>
      <c r="VWQ20" s="3507"/>
      <c r="VWR20" s="3507"/>
      <c r="VWS20" s="3507"/>
      <c r="VWT20" s="3507"/>
      <c r="VWU20" s="3507"/>
      <c r="VWV20" s="3507"/>
      <c r="VWW20" s="3507"/>
      <c r="VWX20" s="3507"/>
      <c r="VWY20" s="3507"/>
      <c r="VWZ20" s="3507"/>
      <c r="VXA20" s="3507"/>
      <c r="VXB20" s="3507"/>
      <c r="VXC20" s="3507"/>
      <c r="VXD20" s="3507"/>
      <c r="VXE20" s="3507"/>
      <c r="VXF20" s="3507"/>
      <c r="VXG20" s="3507"/>
      <c r="VXH20" s="3507"/>
      <c r="VXI20" s="3507"/>
      <c r="VXJ20" s="3507"/>
      <c r="VXK20" s="3507"/>
      <c r="VXL20" s="3507"/>
      <c r="VXM20" s="3507"/>
      <c r="VXN20" s="3507"/>
      <c r="VXO20" s="3507"/>
      <c r="VXP20" s="3507"/>
      <c r="VXQ20" s="3507"/>
      <c r="VXR20" s="3507"/>
      <c r="VXS20" s="3507"/>
      <c r="VXT20" s="3507"/>
      <c r="VXU20" s="3507"/>
      <c r="VXV20" s="3507"/>
      <c r="VXW20" s="3507"/>
      <c r="VXX20" s="3507"/>
      <c r="VXY20" s="3507"/>
      <c r="VXZ20" s="3507"/>
      <c r="VYA20" s="3507"/>
      <c r="VYB20" s="3507"/>
      <c r="VYC20" s="3507"/>
      <c r="VYD20" s="3507"/>
      <c r="VYE20" s="3507"/>
      <c r="VYF20" s="3507"/>
      <c r="VYG20" s="3507"/>
      <c r="VYH20" s="3507"/>
      <c r="VYI20" s="3507"/>
      <c r="VYJ20" s="3507"/>
      <c r="VYK20" s="3507"/>
      <c r="VYL20" s="3507"/>
      <c r="VYM20" s="3507"/>
      <c r="VYN20" s="3507"/>
      <c r="VYO20" s="3507"/>
      <c r="VYP20" s="3507"/>
      <c r="VYQ20" s="3507"/>
      <c r="VYR20" s="3507"/>
      <c r="VYS20" s="3507"/>
      <c r="VYT20" s="3507"/>
      <c r="VYU20" s="3507"/>
      <c r="VYV20" s="3507"/>
      <c r="VYW20" s="3507"/>
      <c r="VYX20" s="3507"/>
      <c r="VYY20" s="3507"/>
      <c r="VYZ20" s="3507"/>
      <c r="VZA20" s="3507"/>
      <c r="VZB20" s="3507"/>
      <c r="VZC20" s="3507"/>
      <c r="VZD20" s="3507"/>
      <c r="VZE20" s="3507"/>
      <c r="VZF20" s="3507"/>
      <c r="VZG20" s="3507"/>
      <c r="VZH20" s="3507"/>
      <c r="VZI20" s="3507"/>
      <c r="VZJ20" s="3507"/>
      <c r="VZK20" s="3507"/>
      <c r="VZL20" s="3507"/>
      <c r="VZM20" s="3507"/>
      <c r="VZN20" s="3507"/>
      <c r="VZO20" s="3507"/>
      <c r="VZP20" s="3507"/>
      <c r="VZQ20" s="3507"/>
      <c r="VZR20" s="3507"/>
      <c r="VZS20" s="3507"/>
      <c r="VZT20" s="3507"/>
      <c r="VZU20" s="3507"/>
      <c r="VZV20" s="3507"/>
      <c r="VZW20" s="3507"/>
      <c r="VZX20" s="3507"/>
      <c r="VZY20" s="3507"/>
      <c r="VZZ20" s="3507"/>
      <c r="WAA20" s="3507"/>
      <c r="WAB20" s="3507"/>
      <c r="WAC20" s="3507"/>
      <c r="WAD20" s="3507"/>
      <c r="WAE20" s="3507"/>
      <c r="WAF20" s="3507"/>
      <c r="WAG20" s="3507"/>
      <c r="WAH20" s="3507"/>
      <c r="WAI20" s="3507"/>
      <c r="WAJ20" s="3507"/>
      <c r="WAK20" s="3507"/>
      <c r="WAL20" s="3507"/>
      <c r="WAM20" s="3507"/>
      <c r="WAN20" s="3507"/>
      <c r="WAO20" s="3507"/>
      <c r="WAP20" s="3507"/>
      <c r="WAQ20" s="3507"/>
      <c r="WAR20" s="3507"/>
      <c r="WAS20" s="3507"/>
      <c r="WAT20" s="3507"/>
      <c r="WAU20" s="3507"/>
      <c r="WAV20" s="3507"/>
      <c r="WAW20" s="3507"/>
      <c r="WAX20" s="3507"/>
      <c r="WAY20" s="3507"/>
      <c r="WAZ20" s="3507"/>
      <c r="WBA20" s="3507"/>
      <c r="WBB20" s="3507"/>
      <c r="WBC20" s="3507"/>
      <c r="WBD20" s="3507"/>
      <c r="WBE20" s="3507"/>
      <c r="WBF20" s="3507"/>
      <c r="WBG20" s="3507"/>
      <c r="WBH20" s="3507"/>
      <c r="WBI20" s="3507"/>
      <c r="WBJ20" s="3507"/>
      <c r="WBK20" s="3507"/>
      <c r="WBL20" s="3507"/>
      <c r="WBM20" s="3507"/>
      <c r="WBN20" s="3507"/>
      <c r="WBO20" s="3507"/>
      <c r="WBP20" s="3507"/>
      <c r="WBQ20" s="3507"/>
      <c r="WBR20" s="3507"/>
      <c r="WBS20" s="3507"/>
      <c r="WBT20" s="3507"/>
      <c r="WBU20" s="3507"/>
      <c r="WBV20" s="3507"/>
      <c r="WBW20" s="3507"/>
      <c r="WBX20" s="3507"/>
      <c r="WBY20" s="3507"/>
      <c r="WBZ20" s="3507"/>
      <c r="WCA20" s="3507"/>
      <c r="WCB20" s="3507"/>
      <c r="WCC20" s="3507"/>
      <c r="WCD20" s="3507"/>
      <c r="WCE20" s="3507"/>
      <c r="WCF20" s="3507"/>
      <c r="WCG20" s="3507"/>
      <c r="WCH20" s="3507"/>
      <c r="WCI20" s="3507"/>
      <c r="WCJ20" s="3507"/>
      <c r="WCK20" s="3507"/>
      <c r="WCL20" s="3507"/>
      <c r="WCM20" s="3507"/>
      <c r="WCN20" s="3507"/>
      <c r="WCO20" s="3507"/>
      <c r="WCP20" s="3507"/>
      <c r="WCQ20" s="3507"/>
      <c r="WCR20" s="3507"/>
      <c r="WCS20" s="3507"/>
      <c r="WCT20" s="3507"/>
      <c r="WCU20" s="3507"/>
      <c r="WCV20" s="3507"/>
      <c r="WCW20" s="3507"/>
      <c r="WCX20" s="3507"/>
      <c r="WCY20" s="3507"/>
      <c r="WCZ20" s="3507"/>
      <c r="WDA20" s="3507"/>
      <c r="WDB20" s="3507"/>
      <c r="WDC20" s="3507"/>
      <c r="WDD20" s="3507"/>
      <c r="WDE20" s="3507"/>
      <c r="WDF20" s="3507"/>
      <c r="WDG20" s="3507"/>
      <c r="WDH20" s="3507"/>
      <c r="WDI20" s="3507"/>
      <c r="WDJ20" s="3507"/>
      <c r="WDK20" s="3507"/>
      <c r="WDL20" s="3507"/>
      <c r="WDM20" s="3507"/>
      <c r="WDN20" s="3507"/>
      <c r="WDO20" s="3507"/>
      <c r="WDP20" s="3507"/>
      <c r="WDQ20" s="3507"/>
      <c r="WDR20" s="3507"/>
      <c r="WDS20" s="3507"/>
      <c r="WDT20" s="3507"/>
      <c r="WDU20" s="3507"/>
      <c r="WDV20" s="3507"/>
      <c r="WDW20" s="3507"/>
      <c r="WDX20" s="3507"/>
      <c r="WDY20" s="3507"/>
      <c r="WDZ20" s="3507"/>
      <c r="WEA20" s="3507"/>
      <c r="WEB20" s="3507"/>
      <c r="WEC20" s="3507"/>
      <c r="WED20" s="3507"/>
      <c r="WEE20" s="3507"/>
      <c r="WEF20" s="3507"/>
      <c r="WEG20" s="3507"/>
      <c r="WEH20" s="3507"/>
      <c r="WEI20" s="3507"/>
      <c r="WEJ20" s="3507"/>
      <c r="WEK20" s="3507"/>
      <c r="WEL20" s="3507"/>
      <c r="WEM20" s="3507"/>
      <c r="WEN20" s="3507"/>
      <c r="WEO20" s="3507"/>
      <c r="WEP20" s="3507"/>
      <c r="WEQ20" s="3507"/>
      <c r="WER20" s="3507"/>
      <c r="WES20" s="3507"/>
      <c r="WET20" s="3507"/>
      <c r="WEU20" s="3507"/>
      <c r="WEV20" s="3507"/>
      <c r="WEW20" s="3507"/>
      <c r="WEX20" s="3507"/>
      <c r="WEY20" s="3507"/>
      <c r="WEZ20" s="3507"/>
      <c r="WFA20" s="3507"/>
      <c r="WFB20" s="3507"/>
      <c r="WFC20" s="3507"/>
      <c r="WFD20" s="3507"/>
      <c r="WFE20" s="3507"/>
      <c r="WFF20" s="3507"/>
      <c r="WFG20" s="3507"/>
      <c r="WFH20" s="3507"/>
      <c r="WFI20" s="3507"/>
      <c r="WFJ20" s="3507"/>
      <c r="WFK20" s="3507"/>
      <c r="WFL20" s="3507"/>
      <c r="WFM20" s="3507"/>
      <c r="WFN20" s="3507"/>
      <c r="WFO20" s="3507"/>
      <c r="WFP20" s="3507"/>
      <c r="WFQ20" s="3507"/>
      <c r="WFR20" s="3507"/>
      <c r="WFS20" s="3507"/>
      <c r="WFT20" s="3507"/>
      <c r="WFU20" s="3507"/>
      <c r="WFV20" s="3507"/>
      <c r="WFW20" s="3507"/>
      <c r="WFX20" s="3507"/>
      <c r="WFY20" s="3507"/>
      <c r="WFZ20" s="3507"/>
      <c r="WGA20" s="3507"/>
      <c r="WGB20" s="3507"/>
      <c r="WGC20" s="3507"/>
      <c r="WGD20" s="3507"/>
      <c r="WGE20" s="3507"/>
      <c r="WGF20" s="3507"/>
      <c r="WGG20" s="3507"/>
      <c r="WGH20" s="3507"/>
      <c r="WGI20" s="3507"/>
      <c r="WGJ20" s="3507"/>
      <c r="WGK20" s="3507"/>
      <c r="WGL20" s="3507"/>
      <c r="WGM20" s="3507"/>
      <c r="WGN20" s="3507"/>
      <c r="WGO20" s="3507"/>
      <c r="WGP20" s="3507"/>
      <c r="WGQ20" s="3507"/>
      <c r="WGR20" s="3507"/>
      <c r="WGS20" s="3507"/>
      <c r="WGT20" s="3507"/>
      <c r="WGU20" s="3507"/>
      <c r="WGV20" s="3507"/>
      <c r="WGW20" s="3507"/>
      <c r="WGX20" s="3507"/>
      <c r="WGY20" s="3507"/>
      <c r="WGZ20" s="3507"/>
      <c r="WHA20" s="3507"/>
      <c r="WHB20" s="3507"/>
      <c r="WHC20" s="3507"/>
      <c r="WHD20" s="3507"/>
      <c r="WHE20" s="3507"/>
      <c r="WHF20" s="3507"/>
      <c r="WHG20" s="3507"/>
      <c r="WHH20" s="3507"/>
      <c r="WHI20" s="3507"/>
      <c r="WHJ20" s="3507"/>
      <c r="WHK20" s="3507"/>
      <c r="WHL20" s="3507"/>
      <c r="WHM20" s="3507"/>
      <c r="WHN20" s="3507"/>
      <c r="WHO20" s="3507"/>
      <c r="WHP20" s="3507"/>
      <c r="WHQ20" s="3507"/>
      <c r="WHR20" s="3507"/>
      <c r="WHS20" s="3507"/>
      <c r="WHT20" s="3507"/>
      <c r="WHU20" s="3507"/>
      <c r="WHV20" s="3507"/>
      <c r="WHW20" s="3507"/>
      <c r="WHX20" s="3507"/>
      <c r="WHY20" s="3507"/>
      <c r="WHZ20" s="3507"/>
      <c r="WIA20" s="3507"/>
      <c r="WIB20" s="3507"/>
      <c r="WIC20" s="3507"/>
      <c r="WID20" s="3507"/>
      <c r="WIE20" s="3507"/>
      <c r="WIF20" s="3507"/>
      <c r="WIG20" s="3507"/>
      <c r="WIH20" s="3507"/>
      <c r="WII20" s="3507"/>
      <c r="WIJ20" s="3507"/>
      <c r="WIK20" s="3507"/>
      <c r="WIL20" s="3507"/>
      <c r="WIM20" s="3507"/>
      <c r="WIN20" s="3507"/>
      <c r="WIO20" s="3507"/>
      <c r="WIP20" s="3507"/>
      <c r="WIQ20" s="3507"/>
      <c r="WIR20" s="3507"/>
      <c r="WIS20" s="3507"/>
      <c r="WIT20" s="3507"/>
      <c r="WIU20" s="3507"/>
      <c r="WIV20" s="3507"/>
      <c r="WIW20" s="3507"/>
      <c r="WIX20" s="3507"/>
      <c r="WIY20" s="3507"/>
      <c r="WIZ20" s="3507"/>
      <c r="WJA20" s="3507"/>
      <c r="WJB20" s="3507"/>
      <c r="WJC20" s="3507"/>
      <c r="WJD20" s="3507"/>
      <c r="WJE20" s="3507"/>
      <c r="WJF20" s="3507"/>
      <c r="WJG20" s="3507"/>
      <c r="WJH20" s="3507"/>
      <c r="WJI20" s="3507"/>
      <c r="WJJ20" s="3507"/>
      <c r="WJK20" s="3507"/>
      <c r="WJL20" s="3507"/>
      <c r="WJM20" s="3507"/>
      <c r="WJN20" s="3507"/>
      <c r="WJO20" s="3507"/>
      <c r="WJP20" s="3507"/>
      <c r="WJQ20" s="3507"/>
      <c r="WJR20" s="3507"/>
      <c r="WJS20" s="3507"/>
      <c r="WJT20" s="3507"/>
      <c r="WJU20" s="3507"/>
      <c r="WJV20" s="3507"/>
      <c r="WJW20" s="3507"/>
      <c r="WJX20" s="3507"/>
      <c r="WJY20" s="3507"/>
      <c r="WJZ20" s="3507"/>
      <c r="WKA20" s="3507"/>
      <c r="WKB20" s="3507"/>
      <c r="WKC20" s="3507"/>
      <c r="WKD20" s="3507"/>
      <c r="WKE20" s="3507"/>
      <c r="WKF20" s="3507"/>
      <c r="WKG20" s="3507"/>
      <c r="WKH20" s="3507"/>
      <c r="WKI20" s="3507"/>
      <c r="WKJ20" s="3507"/>
      <c r="WKK20" s="3507"/>
      <c r="WKL20" s="3507"/>
      <c r="WKM20" s="3507"/>
      <c r="WKN20" s="3507"/>
      <c r="WKO20" s="3507"/>
      <c r="WKP20" s="3507"/>
      <c r="WKQ20" s="3507"/>
      <c r="WKR20" s="3507"/>
      <c r="WKS20" s="3507"/>
      <c r="WKT20" s="3507"/>
      <c r="WKU20" s="3507"/>
      <c r="WKV20" s="3507"/>
      <c r="WKW20" s="3507"/>
      <c r="WKX20" s="3507"/>
      <c r="WKY20" s="3507"/>
      <c r="WKZ20" s="3507"/>
      <c r="WLA20" s="3507"/>
      <c r="WLB20" s="3507"/>
      <c r="WLC20" s="3507"/>
      <c r="WLD20" s="3507"/>
      <c r="WLE20" s="3507"/>
      <c r="WLF20" s="3507"/>
      <c r="WLG20" s="3507"/>
      <c r="WLH20" s="3507"/>
      <c r="WLI20" s="3507"/>
      <c r="WLJ20" s="3507"/>
      <c r="WLK20" s="3507"/>
      <c r="WLL20" s="3507"/>
      <c r="WLM20" s="3507"/>
      <c r="WLN20" s="3507"/>
      <c r="WLO20" s="3507"/>
      <c r="WLP20" s="3507"/>
      <c r="WLQ20" s="3507"/>
      <c r="WLR20" s="3507"/>
      <c r="WLS20" s="3507"/>
      <c r="WLT20" s="3507"/>
      <c r="WLU20" s="3507"/>
      <c r="WLV20" s="3507"/>
      <c r="WLW20" s="3507"/>
      <c r="WLX20" s="3507"/>
      <c r="WLY20" s="3507"/>
      <c r="WLZ20" s="3507"/>
      <c r="WMA20" s="3507"/>
      <c r="WMB20" s="3507"/>
      <c r="WMC20" s="3507"/>
      <c r="WMD20" s="3507"/>
      <c r="WME20" s="3507"/>
      <c r="WMF20" s="3507"/>
      <c r="WMG20" s="3507"/>
      <c r="WMH20" s="3507"/>
      <c r="WMI20" s="3507"/>
      <c r="WMJ20" s="3507"/>
      <c r="WMK20" s="3507"/>
      <c r="WML20" s="3507"/>
      <c r="WMM20" s="3507"/>
      <c r="WMN20" s="3507"/>
      <c r="WMO20" s="3507"/>
      <c r="WMP20" s="3507"/>
      <c r="WMQ20" s="3507"/>
      <c r="WMR20" s="3507"/>
      <c r="WMS20" s="3507"/>
      <c r="WMT20" s="3507"/>
      <c r="WMU20" s="3507"/>
      <c r="WMV20" s="3507"/>
      <c r="WMW20" s="3507"/>
      <c r="WMX20" s="3507"/>
      <c r="WMY20" s="3507"/>
      <c r="WMZ20" s="3507"/>
      <c r="WNA20" s="3507"/>
      <c r="WNB20" s="3507"/>
      <c r="WNC20" s="3507"/>
      <c r="WND20" s="3507"/>
      <c r="WNE20" s="3507"/>
      <c r="WNF20" s="3507"/>
      <c r="WNG20" s="3507"/>
      <c r="WNH20" s="3507"/>
      <c r="WNI20" s="3507"/>
      <c r="WNJ20" s="3507"/>
      <c r="WNK20" s="3507"/>
      <c r="WNL20" s="3507"/>
      <c r="WNM20" s="3507"/>
      <c r="WNN20" s="3507"/>
      <c r="WNO20" s="3507"/>
      <c r="WNP20" s="3507"/>
      <c r="WNQ20" s="3507"/>
      <c r="WNR20" s="3507"/>
      <c r="WNS20" s="3507"/>
      <c r="WNT20" s="3507"/>
      <c r="WNU20" s="3507"/>
      <c r="WNV20" s="3507"/>
      <c r="WNW20" s="3507"/>
      <c r="WNX20" s="3507"/>
      <c r="WNY20" s="3507"/>
      <c r="WNZ20" s="3507"/>
      <c r="WOA20" s="3507"/>
      <c r="WOB20" s="3507"/>
      <c r="WOC20" s="3507"/>
      <c r="WOD20" s="3507"/>
      <c r="WOE20" s="3507"/>
      <c r="WOF20" s="3507"/>
      <c r="WOG20" s="3507"/>
      <c r="WOH20" s="3507"/>
      <c r="WOI20" s="3507"/>
      <c r="WOJ20" s="3507"/>
      <c r="WOK20" s="3507"/>
      <c r="WOL20" s="3507"/>
      <c r="WOM20" s="3507"/>
      <c r="WON20" s="3507"/>
      <c r="WOO20" s="3507"/>
      <c r="WOP20" s="3507"/>
      <c r="WOQ20" s="3507"/>
      <c r="WOR20" s="3507"/>
      <c r="WOS20" s="3507"/>
      <c r="WOT20" s="3507"/>
      <c r="WOU20" s="3507"/>
      <c r="WOV20" s="3507"/>
      <c r="WOW20" s="3507"/>
      <c r="WOX20" s="3507"/>
      <c r="WOY20" s="3507"/>
      <c r="WOZ20" s="3507"/>
      <c r="WPA20" s="3507"/>
      <c r="WPB20" s="3507"/>
      <c r="WPC20" s="3507"/>
      <c r="WPD20" s="3507"/>
      <c r="WPE20" s="3507"/>
      <c r="WPF20" s="3507"/>
      <c r="WPG20" s="3507"/>
      <c r="WPH20" s="3507"/>
      <c r="WPI20" s="3507"/>
      <c r="WPJ20" s="3507"/>
      <c r="WPK20" s="3507"/>
      <c r="WPL20" s="3507"/>
      <c r="WPM20" s="3507"/>
      <c r="WPN20" s="3507"/>
      <c r="WPO20" s="3507"/>
      <c r="WPP20" s="3507"/>
      <c r="WPQ20" s="3507"/>
      <c r="WPR20" s="3507"/>
      <c r="WPS20" s="3507"/>
      <c r="WPT20" s="3507"/>
      <c r="WPU20" s="3507"/>
      <c r="WPV20" s="3507"/>
      <c r="WPW20" s="3507"/>
      <c r="WPX20" s="3507"/>
      <c r="WPY20" s="3507"/>
      <c r="WPZ20" s="3507"/>
      <c r="WQA20" s="3507"/>
      <c r="WQB20" s="3507"/>
      <c r="WQC20" s="3507"/>
      <c r="WQD20" s="3507"/>
      <c r="WQE20" s="3507"/>
      <c r="WQF20" s="3507"/>
      <c r="WQG20" s="3507"/>
      <c r="WQH20" s="3507"/>
      <c r="WQI20" s="3507"/>
      <c r="WQJ20" s="3507"/>
      <c r="WQK20" s="3507"/>
      <c r="WQL20" s="3507"/>
      <c r="WQM20" s="3507"/>
      <c r="WQN20" s="3507"/>
      <c r="WQO20" s="3507"/>
      <c r="WQP20" s="3507"/>
      <c r="WQQ20" s="3507"/>
      <c r="WQR20" s="3507"/>
      <c r="WQS20" s="3507"/>
      <c r="WQT20" s="3507"/>
      <c r="WQU20" s="3507"/>
      <c r="WQV20" s="3507"/>
      <c r="WQW20" s="3507"/>
      <c r="WQX20" s="3507"/>
      <c r="WQY20" s="3507"/>
      <c r="WQZ20" s="3507"/>
      <c r="WRA20" s="3507"/>
      <c r="WRB20" s="3507"/>
      <c r="WRC20" s="3507"/>
      <c r="WRD20" s="3507"/>
      <c r="WRE20" s="3507"/>
      <c r="WRF20" s="3507"/>
      <c r="WRG20" s="3507"/>
      <c r="WRH20" s="3507"/>
      <c r="WRI20" s="3507"/>
      <c r="WRJ20" s="3507"/>
      <c r="WRK20" s="3507"/>
      <c r="WRL20" s="3507"/>
      <c r="WRM20" s="3507"/>
      <c r="WRN20" s="3507"/>
      <c r="WRO20" s="3507"/>
      <c r="WRP20" s="3507"/>
      <c r="WRQ20" s="3507"/>
      <c r="WRR20" s="3507"/>
      <c r="WRS20" s="3507"/>
      <c r="WRT20" s="3507"/>
      <c r="WRU20" s="3507"/>
      <c r="WRV20" s="3507"/>
      <c r="WRW20" s="3507"/>
      <c r="WRX20" s="3507"/>
      <c r="WRY20" s="3507"/>
      <c r="WRZ20" s="3507"/>
      <c r="WSA20" s="3507"/>
      <c r="WSB20" s="3507"/>
      <c r="WSC20" s="3507"/>
      <c r="WSD20" s="3507"/>
      <c r="WSE20" s="3507"/>
      <c r="WSF20" s="3507"/>
      <c r="WSG20" s="3507"/>
      <c r="WSH20" s="3507"/>
      <c r="WSI20" s="3507"/>
      <c r="WSJ20" s="3507"/>
      <c r="WSK20" s="3507"/>
      <c r="WSL20" s="3507"/>
      <c r="WSM20" s="3507"/>
      <c r="WSN20" s="3507"/>
      <c r="WSO20" s="3507"/>
      <c r="WSP20" s="3507"/>
      <c r="WSQ20" s="3507"/>
      <c r="WSR20" s="3507"/>
      <c r="WSS20" s="3507"/>
      <c r="WST20" s="3507"/>
      <c r="WSU20" s="3507"/>
      <c r="WSV20" s="3507"/>
      <c r="WSW20" s="3507"/>
      <c r="WSX20" s="3507"/>
      <c r="WSY20" s="3507"/>
      <c r="WSZ20" s="3507"/>
      <c r="WTA20" s="3507"/>
      <c r="WTB20" s="3507"/>
      <c r="WTC20" s="3507"/>
      <c r="WTD20" s="3507"/>
      <c r="WTE20" s="3507"/>
      <c r="WTF20" s="3507"/>
      <c r="WTG20" s="3507"/>
      <c r="WTH20" s="3507"/>
      <c r="WTI20" s="3507"/>
      <c r="WTJ20" s="3507"/>
      <c r="WTK20" s="3507"/>
      <c r="WTL20" s="3507"/>
      <c r="WTM20" s="3507"/>
      <c r="WTN20" s="3507"/>
      <c r="WTO20" s="3507"/>
      <c r="WTP20" s="3507"/>
      <c r="WTQ20" s="3507"/>
      <c r="WTR20" s="3507"/>
      <c r="WTS20" s="3507"/>
      <c r="WTT20" s="3507"/>
      <c r="WTU20" s="3507"/>
      <c r="WTV20" s="3507"/>
      <c r="WTW20" s="3507"/>
      <c r="WTX20" s="3507"/>
      <c r="WTY20" s="3507"/>
      <c r="WTZ20" s="3507"/>
      <c r="WUA20" s="3507"/>
      <c r="WUB20" s="3507"/>
      <c r="WUC20" s="3507"/>
      <c r="WUD20" s="3507"/>
      <c r="WUE20" s="3507"/>
      <c r="WUF20" s="3507"/>
      <c r="WUG20" s="3507"/>
      <c r="WUH20" s="3507"/>
      <c r="WUI20" s="3507"/>
      <c r="WUJ20" s="3507"/>
      <c r="WUK20" s="3507"/>
      <c r="WUL20" s="3507"/>
      <c r="WUM20" s="3507"/>
      <c r="WUN20" s="3507"/>
      <c r="WUO20" s="3507"/>
      <c r="WUP20" s="3507"/>
      <c r="WUQ20" s="3507"/>
      <c r="WUR20" s="3507"/>
      <c r="WUS20" s="3507"/>
      <c r="WUT20" s="3507"/>
      <c r="WUU20" s="3507"/>
      <c r="WUV20" s="3507"/>
      <c r="WUW20" s="3507"/>
      <c r="WUX20" s="3507"/>
      <c r="WUY20" s="3507"/>
      <c r="WUZ20" s="3507"/>
      <c r="WVA20" s="3507"/>
      <c r="WVB20" s="3507"/>
      <c r="WVC20" s="3507"/>
      <c r="WVD20" s="3507"/>
      <c r="WVE20" s="3507"/>
      <c r="WVF20" s="3507"/>
      <c r="WVG20" s="3507"/>
      <c r="WVH20" s="3507"/>
      <c r="WVI20" s="3507"/>
      <c r="WVJ20" s="3507"/>
      <c r="WVK20" s="3507"/>
      <c r="WVL20" s="3507"/>
      <c r="WVM20" s="3507"/>
      <c r="WVN20" s="3507"/>
      <c r="WVO20" s="3507"/>
      <c r="WVP20" s="3507"/>
      <c r="WVQ20" s="3507"/>
      <c r="WVR20" s="3507"/>
      <c r="WVS20" s="3507"/>
      <c r="WVT20" s="3507"/>
      <c r="WVU20" s="3507"/>
      <c r="WVV20" s="3507"/>
      <c r="WVW20" s="3507"/>
      <c r="WVX20" s="3507"/>
      <c r="WVY20" s="3507"/>
      <c r="WVZ20" s="3507"/>
      <c r="WWA20" s="3507"/>
      <c r="WWB20" s="3507"/>
      <c r="WWC20" s="3507"/>
      <c r="WWD20" s="3507"/>
      <c r="WWE20" s="3507"/>
      <c r="WWF20" s="3507"/>
      <c r="WWG20" s="3507"/>
      <c r="WWH20" s="3507"/>
      <c r="WWI20" s="3507"/>
      <c r="WWJ20" s="3507"/>
      <c r="WWK20" s="3507"/>
      <c r="WWL20" s="3507"/>
      <c r="WWM20" s="3507"/>
      <c r="WWN20" s="3507"/>
      <c r="WWO20" s="3507"/>
      <c r="WWP20" s="3507"/>
      <c r="WWQ20" s="3507"/>
      <c r="WWR20" s="3507"/>
      <c r="WWS20" s="3507"/>
      <c r="WWT20" s="3507"/>
      <c r="WWU20" s="3507"/>
      <c r="WWV20" s="3507"/>
      <c r="WWW20" s="3507"/>
      <c r="WWX20" s="3507"/>
      <c r="WWY20" s="3507"/>
      <c r="WWZ20" s="3507"/>
      <c r="WXA20" s="3507"/>
      <c r="WXB20" s="3507"/>
      <c r="WXC20" s="3507"/>
      <c r="WXD20" s="3507"/>
      <c r="WXE20" s="3507"/>
      <c r="WXF20" s="3507"/>
      <c r="WXG20" s="3507"/>
      <c r="WXH20" s="3507"/>
      <c r="WXI20" s="3507"/>
      <c r="WXJ20" s="3507"/>
      <c r="WXK20" s="3507"/>
      <c r="WXL20" s="3507"/>
      <c r="WXM20" s="3507"/>
      <c r="WXN20" s="3507"/>
      <c r="WXO20" s="3507"/>
      <c r="WXP20" s="3507"/>
      <c r="WXQ20" s="3507"/>
      <c r="WXR20" s="3507"/>
      <c r="WXS20" s="3507"/>
      <c r="WXT20" s="3507"/>
      <c r="WXU20" s="3507"/>
      <c r="WXV20" s="3507"/>
      <c r="WXW20" s="3507"/>
      <c r="WXX20" s="3507"/>
      <c r="WXY20" s="3507"/>
      <c r="WXZ20" s="3507"/>
      <c r="WYA20" s="3507"/>
      <c r="WYB20" s="3507"/>
      <c r="WYC20" s="3507"/>
      <c r="WYD20" s="3507"/>
      <c r="WYE20" s="3507"/>
      <c r="WYF20" s="3507"/>
      <c r="WYG20" s="3507"/>
      <c r="WYH20" s="3507"/>
      <c r="WYI20" s="3507"/>
      <c r="WYJ20" s="3507"/>
      <c r="WYK20" s="3507"/>
      <c r="WYL20" s="3507"/>
      <c r="WYM20" s="3507"/>
      <c r="WYN20" s="3507"/>
      <c r="WYO20" s="3507"/>
      <c r="WYP20" s="3507"/>
      <c r="WYQ20" s="3507"/>
      <c r="WYR20" s="3507"/>
      <c r="WYS20" s="3507"/>
      <c r="WYT20" s="3507"/>
      <c r="WYU20" s="3507"/>
      <c r="WYV20" s="3507"/>
      <c r="WYW20" s="3507"/>
      <c r="WYX20" s="3507"/>
      <c r="WYY20" s="3507"/>
      <c r="WYZ20" s="3507"/>
      <c r="WZA20" s="3507"/>
      <c r="WZB20" s="3507"/>
      <c r="WZC20" s="3507"/>
      <c r="WZD20" s="3507"/>
      <c r="WZE20" s="3507"/>
      <c r="WZF20" s="3507"/>
      <c r="WZG20" s="3507"/>
      <c r="WZH20" s="3507"/>
      <c r="WZI20" s="3507"/>
      <c r="WZJ20" s="3507"/>
      <c r="WZK20" s="3507"/>
      <c r="WZL20" s="3507"/>
      <c r="WZM20" s="3507"/>
      <c r="WZN20" s="3507"/>
      <c r="WZO20" s="3507"/>
      <c r="WZP20" s="3507"/>
      <c r="WZQ20" s="3507"/>
      <c r="WZR20" s="3507"/>
      <c r="WZS20" s="3507"/>
      <c r="WZT20" s="3507"/>
      <c r="WZU20" s="3507"/>
      <c r="WZV20" s="3507"/>
      <c r="WZW20" s="3507"/>
      <c r="WZX20" s="3507"/>
      <c r="WZY20" s="3507"/>
      <c r="WZZ20" s="3507"/>
      <c r="XAA20" s="3507"/>
      <c r="XAB20" s="3507"/>
      <c r="XAC20" s="3507"/>
      <c r="XAD20" s="3507"/>
      <c r="XAE20" s="3507"/>
      <c r="XAF20" s="3507"/>
      <c r="XAG20" s="3507"/>
      <c r="XAH20" s="3507"/>
      <c r="XAI20" s="3507"/>
      <c r="XAJ20" s="3507"/>
      <c r="XAK20" s="3507"/>
      <c r="XAL20" s="3507"/>
      <c r="XAM20" s="3507"/>
      <c r="XAN20" s="3507"/>
      <c r="XAO20" s="3507"/>
      <c r="XAP20" s="3507"/>
      <c r="XAQ20" s="3507"/>
      <c r="XAR20" s="3507"/>
      <c r="XAS20" s="3507"/>
      <c r="XAT20" s="3507"/>
      <c r="XAU20" s="3507"/>
      <c r="XAV20" s="3507"/>
      <c r="XAW20" s="3507"/>
      <c r="XAX20" s="3507"/>
      <c r="XAY20" s="3507"/>
      <c r="XAZ20" s="3507"/>
      <c r="XBA20" s="3507"/>
      <c r="XBB20" s="3507"/>
      <c r="XBC20" s="3507"/>
      <c r="XBD20" s="3507"/>
      <c r="XBE20" s="3507"/>
      <c r="XBF20" s="3507"/>
      <c r="XBG20" s="3507"/>
      <c r="XBH20" s="3507"/>
      <c r="XBI20" s="3507"/>
      <c r="XBJ20" s="3507"/>
      <c r="XBK20" s="3507"/>
      <c r="XBL20" s="3507"/>
      <c r="XBM20" s="3507"/>
      <c r="XBN20" s="3507"/>
      <c r="XBO20" s="3507"/>
      <c r="XBP20" s="3507"/>
      <c r="XBQ20" s="3507"/>
      <c r="XBR20" s="3507"/>
      <c r="XBS20" s="3507"/>
      <c r="XBT20" s="3507"/>
      <c r="XBU20" s="3507"/>
      <c r="XBV20" s="3507"/>
      <c r="XBW20" s="3507"/>
      <c r="XBX20" s="3507"/>
      <c r="XBY20" s="3507"/>
      <c r="XBZ20" s="3507"/>
      <c r="XCA20" s="3507"/>
      <c r="XCB20" s="3507"/>
      <c r="XCC20" s="3507"/>
      <c r="XCD20" s="3507"/>
      <c r="XCE20" s="3507"/>
      <c r="XCF20" s="3507"/>
      <c r="XCG20" s="3507"/>
      <c r="XCH20" s="3507"/>
      <c r="XCI20" s="3507"/>
      <c r="XCJ20" s="3507"/>
      <c r="XCK20" s="3507"/>
      <c r="XCL20" s="3507"/>
      <c r="XCM20" s="3507"/>
      <c r="XCN20" s="3507"/>
      <c r="XCO20" s="3507"/>
      <c r="XCP20" s="3507"/>
      <c r="XCQ20" s="3507"/>
      <c r="XCR20" s="3507"/>
      <c r="XCS20" s="3507"/>
      <c r="XCT20" s="3507"/>
      <c r="XCU20" s="3507"/>
      <c r="XCV20" s="3507"/>
      <c r="XCW20" s="3507"/>
      <c r="XCX20" s="3507"/>
      <c r="XCY20" s="3507"/>
      <c r="XCZ20" s="3507"/>
      <c r="XDA20" s="3507"/>
      <c r="XDB20" s="3507"/>
      <c r="XDC20" s="3507"/>
      <c r="XDD20" s="3507"/>
      <c r="XDE20" s="3507"/>
      <c r="XDF20" s="3507"/>
      <c r="XDG20" s="3507"/>
      <c r="XDH20" s="3507"/>
      <c r="XDI20" s="3507"/>
      <c r="XDJ20" s="3507"/>
      <c r="XDK20" s="3507"/>
      <c r="XDL20" s="3507"/>
      <c r="XDM20" s="3507"/>
      <c r="XDN20" s="3507"/>
      <c r="XDO20" s="3507"/>
      <c r="XDP20" s="3507"/>
      <c r="XDQ20" s="3507"/>
      <c r="XDR20" s="3507"/>
      <c r="XDS20" s="3507"/>
      <c r="XDT20" s="3507"/>
      <c r="XDU20" s="3507"/>
      <c r="XDV20" s="3507"/>
      <c r="XDW20" s="3507"/>
      <c r="XDX20" s="3507"/>
      <c r="XDY20" s="3507"/>
      <c r="XDZ20" s="3507"/>
      <c r="XEA20" s="3507"/>
      <c r="XEB20" s="3507"/>
      <c r="XEC20" s="3507"/>
      <c r="XED20" s="3507"/>
      <c r="XEE20" s="3507"/>
      <c r="XEF20" s="3507"/>
      <c r="XEG20" s="3507"/>
      <c r="XEH20" s="3507"/>
      <c r="XEI20" s="3507"/>
      <c r="XEJ20" s="3507"/>
      <c r="XEK20" s="3507"/>
      <c r="XEL20" s="3507"/>
      <c r="XEM20" s="3507"/>
      <c r="XEN20" s="3507"/>
    </row>
    <row r="21" spans="1:16368" s="3516" customFormat="1" ht="17.100000000000001" customHeight="1">
      <c r="A21" s="3580"/>
      <c r="B21" s="3507"/>
      <c r="C21" s="3507"/>
      <c r="D21" s="3508"/>
      <c r="G21" s="3518"/>
      <c r="H21" s="3517"/>
      <c r="I21" s="3580"/>
      <c r="J21" s="3508"/>
      <c r="K21" s="3508"/>
      <c r="L21" s="3508"/>
      <c r="M21" s="3508"/>
      <c r="N21" s="3508"/>
      <c r="O21" s="3508"/>
      <c r="P21" s="3508"/>
      <c r="Q21" s="3508"/>
      <c r="R21" s="3507"/>
      <c r="S21" s="3507"/>
      <c r="T21" s="3508"/>
      <c r="U21" s="3508"/>
      <c r="V21" s="3508"/>
      <c r="W21" s="3508"/>
      <c r="X21" s="3508"/>
      <c r="Y21" s="3508"/>
      <c r="Z21" s="3508"/>
      <c r="AA21" s="3508"/>
      <c r="AB21" s="3508"/>
      <c r="AC21" s="3508"/>
      <c r="AD21" s="3508"/>
      <c r="AE21" s="3509"/>
      <c r="AF21" s="3510"/>
      <c r="AG21" s="3511"/>
      <c r="AH21" s="3509"/>
      <c r="AI21" s="3510"/>
      <c r="AJ21" s="3508"/>
      <c r="AK21" s="3508"/>
      <c r="AL21" s="3508"/>
      <c r="AM21" s="3508"/>
      <c r="AN21" s="3509"/>
      <c r="AO21" s="3510"/>
      <c r="AP21" s="3511"/>
      <c r="AQ21" s="3509"/>
      <c r="AR21" s="3510"/>
      <c r="AS21" s="3508"/>
      <c r="AT21" s="3508"/>
      <c r="AU21" s="3508"/>
      <c r="AV21" s="3509"/>
      <c r="AW21" s="3510"/>
      <c r="AX21" s="3508"/>
      <c r="AY21" s="3509"/>
      <c r="AZ21" s="3510"/>
      <c r="BA21" s="3508"/>
      <c r="BB21" s="3508"/>
      <c r="BC21" s="3508"/>
      <c r="BD21" s="3509"/>
      <c r="BE21" s="3509"/>
      <c r="BF21" s="3511"/>
      <c r="BG21" s="3511"/>
      <c r="BH21" s="3511"/>
      <c r="BI21" s="3511"/>
      <c r="BJ21" s="3508"/>
      <c r="BK21" s="3508"/>
      <c r="BL21" s="3509"/>
      <c r="BM21" s="3510"/>
      <c r="BN21" s="3511"/>
      <c r="BO21" s="3509"/>
      <c r="BP21" s="3510"/>
      <c r="BQ21" s="3511"/>
      <c r="BR21" s="3508"/>
      <c r="BS21" s="3508"/>
      <c r="BT21" s="3509"/>
      <c r="BU21" s="3510"/>
      <c r="BV21" s="3511"/>
      <c r="BW21" s="3509"/>
      <c r="BX21" s="3510"/>
      <c r="BY21" s="3511"/>
      <c r="BZ21" s="3508"/>
      <c r="CA21" s="3508"/>
      <c r="CB21" s="3509"/>
      <c r="CC21" s="3510"/>
      <c r="CD21" s="3508"/>
      <c r="CE21" s="3509"/>
      <c r="CF21" s="3510"/>
      <c r="CG21" s="3508"/>
      <c r="CH21" s="3508"/>
      <c r="CI21" s="3508"/>
      <c r="CJ21" s="3509"/>
      <c r="CK21" s="3510"/>
      <c r="CL21" s="3508"/>
      <c r="CM21" s="3508"/>
      <c r="CN21" s="3510"/>
      <c r="CO21" s="3508"/>
      <c r="CP21" s="3508"/>
      <c r="CQ21" s="3508"/>
      <c r="CR21" s="3509"/>
      <c r="CS21" s="3510"/>
      <c r="CT21" s="3508"/>
      <c r="CU21" s="3508"/>
      <c r="CV21" s="3510"/>
      <c r="CW21" s="3508"/>
      <c r="CX21" s="3508"/>
      <c r="CY21" s="3508"/>
      <c r="CZ21" s="3509"/>
      <c r="DA21" s="3510"/>
      <c r="DB21" s="3508"/>
      <c r="DC21" s="3509"/>
      <c r="DD21" s="3510"/>
      <c r="DE21" s="3508"/>
      <c r="DF21" s="3508"/>
      <c r="DG21" s="3508"/>
      <c r="DH21" s="3509"/>
      <c r="DI21" s="3510"/>
      <c r="DJ21" s="3508"/>
      <c r="DK21" s="3509"/>
      <c r="DL21" s="3510"/>
      <c r="DM21" s="3508"/>
      <c r="DN21" s="3513"/>
      <c r="DO21" s="3508"/>
      <c r="DP21" s="3509"/>
      <c r="DQ21" s="3510"/>
      <c r="DR21" s="3508"/>
      <c r="DS21" s="3509"/>
      <c r="DT21" s="3510"/>
      <c r="DU21" s="3508"/>
      <c r="DV21" s="3513"/>
      <c r="DW21" s="3508"/>
      <c r="DX21" s="3509"/>
      <c r="DY21" s="3510"/>
      <c r="DZ21" s="3508"/>
      <c r="EA21" s="3508"/>
      <c r="EB21" s="3510"/>
      <c r="EC21" s="3508"/>
      <c r="ED21" s="3508"/>
      <c r="EE21" s="3508"/>
      <c r="EF21" s="3508"/>
      <c r="EG21" s="3508"/>
      <c r="EH21" s="3508"/>
      <c r="EI21" s="3508"/>
      <c r="EJ21" s="3508"/>
      <c r="EK21" s="3509"/>
      <c r="EL21" s="3510"/>
      <c r="EM21" s="3510"/>
      <c r="EN21" s="3511"/>
      <c r="EO21" s="3509"/>
      <c r="EP21" s="3510"/>
      <c r="EQ21" s="3510"/>
      <c r="ER21" s="3508"/>
      <c r="ES21" s="3507"/>
      <c r="ET21" s="3819"/>
      <c r="EU21" s="3507"/>
      <c r="EV21" s="3507"/>
      <c r="EW21" s="3716"/>
      <c r="EX21" s="3819"/>
      <c r="EY21" s="3507"/>
      <c r="EZ21" s="3507"/>
      <c r="FA21" s="3716"/>
      <c r="FB21" s="3507"/>
      <c r="FC21" s="3507"/>
      <c r="FD21" s="3510"/>
      <c r="FE21" s="3511"/>
      <c r="FF21" s="3509"/>
      <c r="FG21" s="3510"/>
      <c r="FH21" s="3510"/>
      <c r="FI21" s="3511"/>
      <c r="FJ21" s="3509"/>
      <c r="FK21" s="3510"/>
      <c r="FL21" s="3510"/>
      <c r="FM21" s="3511"/>
      <c r="FN21" s="3509"/>
      <c r="FO21" s="3510"/>
      <c r="FP21" s="3510"/>
      <c r="FQ21" s="3511"/>
      <c r="FR21" s="3509"/>
      <c r="FS21" s="3510"/>
      <c r="FT21" s="3816"/>
      <c r="FU21" s="3511"/>
      <c r="FV21" s="3509"/>
      <c r="FW21" s="3510"/>
      <c r="FX21" s="3510"/>
      <c r="FY21" s="3511"/>
      <c r="FZ21" s="3509"/>
      <c r="GA21" s="3510"/>
      <c r="GB21" s="3510"/>
      <c r="GC21" s="3511"/>
      <c r="GD21" s="3509"/>
      <c r="GE21" s="3510"/>
      <c r="GF21" s="3510"/>
      <c r="GG21" s="3511"/>
      <c r="GH21" s="3509"/>
      <c r="GI21" s="3510"/>
      <c r="GJ21" s="3510"/>
      <c r="GK21" s="3511"/>
      <c r="GL21" s="3509"/>
      <c r="GM21" s="3510"/>
      <c r="GN21" s="3510"/>
      <c r="GO21" s="3511"/>
      <c r="GP21" s="3509"/>
      <c r="GQ21" s="3510"/>
      <c r="GR21" s="3510"/>
      <c r="GS21" s="3511"/>
      <c r="GT21" s="3509"/>
      <c r="GU21" s="3510"/>
      <c r="GV21" s="3510"/>
      <c r="GW21" s="3511"/>
      <c r="GX21" s="3509"/>
      <c r="GY21" s="3510"/>
      <c r="GZ21" s="3510"/>
      <c r="HA21" s="3511"/>
      <c r="HB21" s="3509"/>
      <c r="HC21" s="3510"/>
      <c r="HD21" s="3510"/>
      <c r="HE21" s="3511"/>
      <c r="HF21" s="3509"/>
      <c r="HG21" s="3510"/>
      <c r="HH21" s="3510"/>
      <c r="HI21" s="3511"/>
      <c r="HJ21" s="3509"/>
      <c r="HK21" s="3510"/>
      <c r="HL21" s="3510"/>
      <c r="HM21" s="3511"/>
      <c r="HN21" s="3509"/>
      <c r="HO21" s="3510"/>
      <c r="HP21" s="3510"/>
      <c r="HQ21" s="3511"/>
      <c r="HR21" s="3509"/>
      <c r="HS21" s="3510"/>
      <c r="HT21" s="3510"/>
      <c r="HU21" s="3511"/>
      <c r="HV21" s="3509"/>
      <c r="HW21" s="3510"/>
      <c r="HX21" s="3510"/>
      <c r="HY21" s="3511"/>
      <c r="HZ21" s="3509"/>
      <c r="IA21" s="3510"/>
      <c r="IB21" s="3510"/>
      <c r="IC21" s="3511"/>
      <c r="ID21" s="3509"/>
      <c r="IE21" s="3510"/>
      <c r="IF21" s="3510"/>
      <c r="IG21" s="3511"/>
      <c r="IH21" s="3509"/>
      <c r="II21" s="3510"/>
      <c r="IJ21" s="3510"/>
      <c r="IK21" s="3511"/>
      <c r="IL21" s="3517"/>
      <c r="IO21" s="3507"/>
      <c r="IP21" s="3515"/>
      <c r="IQ21" s="3515"/>
      <c r="IR21" s="3515"/>
      <c r="IS21" s="3515"/>
      <c r="IT21" s="3515"/>
      <c r="IU21" s="3515"/>
      <c r="IV21" s="3515"/>
      <c r="IW21" s="3515"/>
      <c r="IX21" s="3515"/>
      <c r="IY21" s="3515"/>
      <c r="IZ21" s="3515"/>
      <c r="JA21" s="3515"/>
      <c r="JB21" s="3515"/>
      <c r="JC21" s="3515"/>
      <c r="JD21" s="3515"/>
      <c r="JE21" s="3515"/>
      <c r="JF21" s="3515"/>
      <c r="JG21" s="3515"/>
      <c r="JH21" s="3515"/>
      <c r="JI21" s="3515"/>
      <c r="JJ21" s="3515"/>
      <c r="JK21" s="3515"/>
      <c r="JL21" s="3515"/>
      <c r="JM21" s="3515"/>
      <c r="JN21" s="3515"/>
      <c r="JO21" s="3515"/>
      <c r="JP21" s="3507"/>
      <c r="JS21" s="3507"/>
      <c r="JT21" s="3507"/>
      <c r="JU21" s="3507"/>
      <c r="JV21" s="3507"/>
      <c r="JW21" s="3507"/>
      <c r="KA21" s="3577"/>
      <c r="KB21" s="3577"/>
      <c r="KC21" s="3577"/>
      <c r="KD21" s="3577"/>
      <c r="KE21" s="3577"/>
      <c r="KF21" s="3577"/>
      <c r="KG21" s="3577"/>
      <c r="KH21" s="3577"/>
      <c r="KI21" s="3577"/>
      <c r="KJ21" s="3577"/>
      <c r="KK21" s="3577"/>
      <c r="KL21" s="3577"/>
      <c r="KM21" s="3577"/>
      <c r="KN21" s="3577"/>
      <c r="KO21" s="3577"/>
      <c r="KP21" s="3577"/>
      <c r="KS21" s="3507"/>
      <c r="KT21" s="3507"/>
      <c r="KU21" s="3507"/>
      <c r="KV21" s="3507"/>
      <c r="KW21" s="3507"/>
      <c r="KX21" s="3507"/>
      <c r="KY21" s="3507"/>
      <c r="KZ21" s="3507"/>
      <c r="LA21" s="3507"/>
      <c r="LB21" s="3507"/>
      <c r="LC21" s="3507"/>
      <c r="LD21" s="3507"/>
      <c r="LE21" s="3507"/>
      <c r="LF21" s="3507"/>
      <c r="LG21" s="3507"/>
      <c r="LH21" s="3507"/>
      <c r="LI21" s="3507"/>
      <c r="LJ21" s="3507"/>
      <c r="LK21" s="3507"/>
      <c r="LL21" s="3507"/>
      <c r="LM21" s="3507"/>
      <c r="LN21" s="3507"/>
      <c r="LO21" s="3507"/>
      <c r="LP21" s="3507"/>
      <c r="LQ21" s="3507"/>
      <c r="LR21" s="3507"/>
      <c r="LS21" s="3507"/>
      <c r="LT21" s="3507"/>
      <c r="LU21" s="3507"/>
      <c r="LV21" s="3507"/>
      <c r="LW21" s="3507"/>
      <c r="LX21" s="3507"/>
      <c r="LY21" s="3507"/>
      <c r="LZ21" s="3507"/>
      <c r="MA21" s="3507"/>
      <c r="MB21" s="3507"/>
      <c r="MC21" s="3507"/>
      <c r="MD21" s="3507"/>
      <c r="ME21" s="3507"/>
      <c r="MF21" s="3507"/>
      <c r="MG21" s="3507"/>
      <c r="MH21" s="3507"/>
      <c r="MI21" s="3507"/>
      <c r="MJ21" s="3507"/>
      <c r="MK21" s="3507"/>
      <c r="ML21" s="3507"/>
      <c r="MM21" s="3507"/>
      <c r="MN21" s="3507"/>
      <c r="MO21" s="3507"/>
      <c r="MP21" s="3507"/>
      <c r="MQ21" s="3507"/>
      <c r="MR21" s="3507"/>
      <c r="MS21" s="3507"/>
      <c r="MT21" s="3507"/>
      <c r="MU21" s="3507"/>
      <c r="MV21" s="3507"/>
      <c r="MW21" s="3507"/>
      <c r="MX21" s="3507"/>
      <c r="MY21" s="3507"/>
      <c r="MZ21" s="3507"/>
      <c r="NA21" s="3507"/>
      <c r="NB21" s="3507"/>
      <c r="NC21" s="3507"/>
      <c r="ND21" s="3507"/>
      <c r="NE21" s="3507"/>
      <c r="NF21" s="3507"/>
      <c r="NG21" s="3507"/>
      <c r="NH21" s="3507"/>
      <c r="NI21" s="3507"/>
      <c r="NJ21" s="3507"/>
      <c r="NK21" s="3507"/>
      <c r="NL21" s="3507"/>
      <c r="NM21" s="3507"/>
      <c r="NN21" s="3507"/>
      <c r="NO21" s="3507"/>
      <c r="NP21" s="3507"/>
      <c r="NQ21" s="3507"/>
      <c r="NR21" s="3507"/>
      <c r="NS21" s="3507"/>
      <c r="NT21" s="3507"/>
      <c r="NU21" s="3507"/>
      <c r="NV21" s="3507"/>
      <c r="NW21" s="3507"/>
      <c r="NX21" s="3507"/>
      <c r="NY21" s="3507"/>
      <c r="NZ21" s="3507"/>
      <c r="OA21" s="3507"/>
      <c r="OB21" s="3507"/>
      <c r="OC21" s="3507"/>
      <c r="OD21" s="3507"/>
      <c r="OE21" s="3507"/>
      <c r="OF21" s="3507"/>
      <c r="OG21" s="3507"/>
      <c r="OH21" s="3507"/>
      <c r="OI21" s="3507"/>
      <c r="OJ21" s="3507"/>
      <c r="OK21" s="3507"/>
      <c r="OL21" s="3507"/>
      <c r="OM21" s="3507"/>
      <c r="ON21" s="3507"/>
      <c r="OO21" s="3507"/>
      <c r="OP21" s="3507"/>
      <c r="OQ21" s="3507"/>
      <c r="OR21" s="3507"/>
      <c r="OS21" s="3507"/>
      <c r="OT21" s="3507"/>
      <c r="OU21" s="3507"/>
      <c r="OV21" s="3507"/>
      <c r="OW21" s="3507"/>
      <c r="OX21" s="3507"/>
      <c r="OY21" s="3507"/>
      <c r="OZ21" s="3507"/>
      <c r="PA21" s="3507"/>
      <c r="PB21" s="3507"/>
      <c r="PC21" s="3507"/>
      <c r="PD21" s="3507"/>
      <c r="PE21" s="3507"/>
      <c r="PF21" s="3507"/>
      <c r="PG21" s="3507"/>
      <c r="PH21" s="3507"/>
      <c r="PI21" s="3507"/>
      <c r="PJ21" s="3507"/>
      <c r="PK21" s="3507"/>
      <c r="PL21" s="3507"/>
      <c r="PM21" s="3507"/>
      <c r="PN21" s="3507"/>
      <c r="PO21" s="3507"/>
      <c r="PP21" s="3507"/>
      <c r="PQ21" s="3507"/>
      <c r="PR21" s="3507"/>
      <c r="PS21" s="3507"/>
      <c r="PT21" s="3507"/>
      <c r="PU21" s="3507"/>
      <c r="PV21" s="3507"/>
      <c r="PW21" s="3507"/>
      <c r="PX21" s="3507"/>
      <c r="PY21" s="3507"/>
      <c r="PZ21" s="3507"/>
      <c r="QA21" s="3507"/>
      <c r="QB21" s="3507"/>
      <c r="QC21" s="3507"/>
      <c r="QD21" s="3507"/>
      <c r="QE21" s="3507"/>
      <c r="QF21" s="3507"/>
      <c r="QG21" s="3507"/>
      <c r="QH21" s="3507"/>
      <c r="QI21" s="3507"/>
      <c r="QJ21" s="3507"/>
      <c r="QK21" s="3507"/>
      <c r="QL21" s="3507"/>
      <c r="QM21" s="3507"/>
      <c r="QN21" s="3507"/>
      <c r="QO21" s="3507"/>
      <c r="QP21" s="3507"/>
      <c r="QQ21" s="3507"/>
      <c r="QR21" s="3507"/>
      <c r="QS21" s="3507"/>
      <c r="QT21" s="3507"/>
      <c r="QU21" s="3507"/>
      <c r="QV21" s="3507"/>
      <c r="QW21" s="3507"/>
      <c r="QX21" s="3507"/>
      <c r="QY21" s="3507"/>
      <c r="QZ21" s="3507"/>
      <c r="RA21" s="3507"/>
      <c r="RB21" s="3507"/>
      <c r="RC21" s="3507"/>
      <c r="RD21" s="3507"/>
      <c r="RE21" s="3507"/>
      <c r="RF21" s="3507"/>
      <c r="RG21" s="3507"/>
      <c r="RH21" s="3507"/>
      <c r="RI21" s="3507"/>
      <c r="RJ21" s="3507"/>
      <c r="RK21" s="3507"/>
      <c r="RL21" s="3507"/>
      <c r="RM21" s="3507"/>
      <c r="RN21" s="3507"/>
      <c r="RO21" s="3507"/>
      <c r="RP21" s="3507"/>
      <c r="RQ21" s="3507"/>
      <c r="RR21" s="3507"/>
      <c r="RS21" s="3507"/>
      <c r="RT21" s="3507"/>
      <c r="RU21" s="3507"/>
      <c r="RV21" s="3507"/>
      <c r="RW21" s="3507"/>
      <c r="RX21" s="3507"/>
      <c r="RY21" s="3507"/>
      <c r="RZ21" s="3507"/>
      <c r="SA21" s="3507"/>
      <c r="SB21" s="3507"/>
      <c r="SC21" s="3507"/>
      <c r="SD21" s="3507"/>
      <c r="SE21" s="3507"/>
      <c r="SF21" s="3507"/>
      <c r="SG21" s="3507"/>
      <c r="SH21" s="3507"/>
      <c r="SI21" s="3507"/>
      <c r="SJ21" s="3507"/>
      <c r="SK21" s="3507"/>
      <c r="SL21" s="3507"/>
      <c r="SM21" s="3507"/>
      <c r="SN21" s="3507"/>
      <c r="SO21" s="3507"/>
      <c r="SP21" s="3507"/>
      <c r="SQ21" s="3507"/>
      <c r="SR21" s="3507"/>
      <c r="SS21" s="3507"/>
      <c r="ST21" s="3507"/>
      <c r="SU21" s="3507"/>
      <c r="SV21" s="3507"/>
      <c r="SW21" s="3507"/>
      <c r="SX21" s="3507"/>
      <c r="SY21" s="3507"/>
      <c r="SZ21" s="3507"/>
      <c r="TA21" s="3507"/>
      <c r="TB21" s="3507"/>
      <c r="TC21" s="3507"/>
      <c r="TD21" s="3507"/>
      <c r="TE21" s="3507"/>
      <c r="TF21" s="3507"/>
      <c r="TG21" s="3507"/>
      <c r="TH21" s="3507"/>
      <c r="TI21" s="3507"/>
      <c r="TJ21" s="3507"/>
      <c r="TK21" s="3507"/>
      <c r="TL21" s="3507"/>
      <c r="TM21" s="3507"/>
      <c r="TN21" s="3507"/>
      <c r="TO21" s="3507"/>
      <c r="TP21" s="3507"/>
      <c r="TQ21" s="3507"/>
      <c r="TR21" s="3507"/>
      <c r="TS21" s="3507"/>
      <c r="TT21" s="3507"/>
      <c r="TU21" s="3507"/>
      <c r="TV21" s="3507"/>
      <c r="TW21" s="3507"/>
      <c r="TX21" s="3507"/>
      <c r="TY21" s="3507"/>
      <c r="TZ21" s="3507"/>
      <c r="UA21" s="3507"/>
      <c r="UB21" s="3507"/>
      <c r="UC21" s="3507"/>
      <c r="UD21" s="3507"/>
      <c r="UE21" s="3507"/>
      <c r="UF21" s="3507"/>
      <c r="UG21" s="3507"/>
      <c r="UH21" s="3507"/>
      <c r="UI21" s="3507"/>
      <c r="UJ21" s="3507"/>
      <c r="UK21" s="3507"/>
      <c r="UL21" s="3507"/>
      <c r="UM21" s="3507"/>
      <c r="UN21" s="3507"/>
      <c r="UO21" s="3507"/>
      <c r="UP21" s="3507"/>
      <c r="UQ21" s="3507"/>
      <c r="UR21" s="3507"/>
      <c r="US21" s="3507"/>
      <c r="UT21" s="3507"/>
      <c r="UU21" s="3507"/>
      <c r="UV21" s="3507"/>
      <c r="UW21" s="3507"/>
      <c r="UX21" s="3507"/>
      <c r="UY21" s="3507"/>
      <c r="UZ21" s="3507"/>
      <c r="VA21" s="3507"/>
      <c r="VB21" s="3507"/>
      <c r="VC21" s="3507"/>
      <c r="VD21" s="3507"/>
      <c r="VE21" s="3507"/>
      <c r="VF21" s="3507"/>
      <c r="VG21" s="3507"/>
      <c r="VH21" s="3507"/>
      <c r="VI21" s="3507"/>
      <c r="VJ21" s="3507"/>
      <c r="VK21" s="3507"/>
      <c r="VL21" s="3507"/>
      <c r="VM21" s="3507"/>
      <c r="VN21" s="3507"/>
      <c r="VO21" s="3507"/>
      <c r="VP21" s="3507"/>
      <c r="VQ21" s="3507"/>
      <c r="VR21" s="3507"/>
      <c r="VS21" s="3507"/>
      <c r="VT21" s="3507"/>
      <c r="VU21" s="3507"/>
      <c r="VV21" s="3507"/>
      <c r="VW21" s="3507"/>
      <c r="VX21" s="3507"/>
      <c r="VY21" s="3507"/>
      <c r="VZ21" s="3507"/>
      <c r="WA21" s="3507"/>
      <c r="WB21" s="3507"/>
      <c r="WC21" s="3507"/>
      <c r="WD21" s="3507"/>
      <c r="WE21" s="3507"/>
      <c r="WF21" s="3507"/>
      <c r="WG21" s="3507"/>
      <c r="WH21" s="3507"/>
      <c r="WI21" s="3507"/>
      <c r="WJ21" s="3507"/>
      <c r="WK21" s="3507"/>
      <c r="WL21" s="3507"/>
      <c r="WM21" s="3507"/>
      <c r="WN21" s="3507"/>
      <c r="WO21" s="3507"/>
      <c r="WP21" s="3507"/>
      <c r="WQ21" s="3507"/>
      <c r="WR21" s="3507"/>
      <c r="WS21" s="3507"/>
      <c r="WT21" s="3507"/>
      <c r="WU21" s="3507"/>
      <c r="WV21" s="3507"/>
      <c r="WW21" s="3507"/>
      <c r="WX21" s="3507"/>
      <c r="WY21" s="3507"/>
      <c r="WZ21" s="3507"/>
      <c r="XA21" s="3507"/>
      <c r="XB21" s="3507"/>
      <c r="XC21" s="3507"/>
      <c r="XD21" s="3507"/>
      <c r="XE21" s="3507"/>
      <c r="XF21" s="3507"/>
      <c r="XG21" s="3507"/>
      <c r="XH21" s="3507"/>
      <c r="XI21" s="3507"/>
      <c r="XJ21" s="3507"/>
      <c r="XK21" s="3507"/>
      <c r="XL21" s="3507"/>
      <c r="XM21" s="3507"/>
      <c r="XN21" s="3507"/>
      <c r="XO21" s="3507"/>
      <c r="XP21" s="3507"/>
      <c r="XQ21" s="3507"/>
      <c r="XR21" s="3507"/>
      <c r="XS21" s="3507"/>
      <c r="XT21" s="3507"/>
      <c r="XU21" s="3507"/>
      <c r="XV21" s="3507"/>
      <c r="XW21" s="3507"/>
      <c r="XX21" s="3507"/>
      <c r="XY21" s="3507"/>
      <c r="XZ21" s="3507"/>
      <c r="YA21" s="3507"/>
      <c r="YB21" s="3507"/>
      <c r="YC21" s="3507"/>
      <c r="YD21" s="3507"/>
      <c r="YE21" s="3507"/>
      <c r="YF21" s="3507"/>
      <c r="YG21" s="3507"/>
      <c r="YH21" s="3507"/>
      <c r="YI21" s="3507"/>
      <c r="YJ21" s="3507"/>
      <c r="YK21" s="3507"/>
      <c r="YL21" s="3507"/>
      <c r="YM21" s="3507"/>
      <c r="YN21" s="3507"/>
      <c r="YO21" s="3507"/>
      <c r="YP21" s="3507"/>
      <c r="YQ21" s="3507"/>
      <c r="YR21" s="3507"/>
      <c r="YS21" s="3507"/>
      <c r="YT21" s="3507"/>
      <c r="YU21" s="3507"/>
      <c r="YV21" s="3507"/>
      <c r="YW21" s="3507"/>
      <c r="YX21" s="3507"/>
      <c r="YY21" s="3507"/>
      <c r="YZ21" s="3507"/>
      <c r="ZA21" s="3507"/>
      <c r="ZB21" s="3507"/>
      <c r="ZC21" s="3507"/>
      <c r="ZD21" s="3507"/>
      <c r="ZE21" s="3507"/>
      <c r="ZF21" s="3507"/>
      <c r="ZG21" s="3507"/>
      <c r="ZH21" s="3507"/>
      <c r="ZI21" s="3507"/>
      <c r="ZJ21" s="3507"/>
      <c r="ZK21" s="3507"/>
      <c r="ZL21" s="3507"/>
      <c r="ZM21" s="3507"/>
      <c r="ZN21" s="3507"/>
      <c r="ZO21" s="3507"/>
      <c r="ZP21" s="3507"/>
      <c r="ZQ21" s="3507"/>
      <c r="ZR21" s="3507"/>
      <c r="ZS21" s="3507"/>
      <c r="ZT21" s="3507"/>
      <c r="ZU21" s="3507"/>
      <c r="ZV21" s="3507"/>
      <c r="ZW21" s="3507"/>
      <c r="ZX21" s="3507"/>
      <c r="ZY21" s="3507"/>
      <c r="ZZ21" s="3507"/>
      <c r="AAA21" s="3507"/>
      <c r="AAB21" s="3507"/>
      <c r="AAC21" s="3507"/>
      <c r="AAD21" s="3507"/>
      <c r="AAE21" s="3507"/>
      <c r="AAF21" s="3507"/>
      <c r="AAG21" s="3507"/>
      <c r="AAH21" s="3507"/>
      <c r="AAI21" s="3507"/>
      <c r="AAJ21" s="3507"/>
      <c r="AAK21" s="3507"/>
      <c r="AAL21" s="3507"/>
      <c r="AAM21" s="3507"/>
      <c r="AAN21" s="3507"/>
      <c r="AAO21" s="3507"/>
      <c r="AAP21" s="3507"/>
      <c r="AAQ21" s="3507"/>
      <c r="AAR21" s="3507"/>
      <c r="AAS21" s="3507"/>
      <c r="AAT21" s="3507"/>
      <c r="AAU21" s="3507"/>
      <c r="AAV21" s="3507"/>
      <c r="AAW21" s="3507"/>
      <c r="AAX21" s="3507"/>
      <c r="AAY21" s="3507"/>
      <c r="AAZ21" s="3507"/>
      <c r="ABA21" s="3507"/>
      <c r="ABB21" s="3507"/>
      <c r="ABC21" s="3507"/>
      <c r="ABD21" s="3507"/>
      <c r="ABE21" s="3507"/>
      <c r="ABF21" s="3507"/>
      <c r="ABG21" s="3507"/>
      <c r="ABH21" s="3507"/>
      <c r="ABI21" s="3507"/>
      <c r="ABJ21" s="3507"/>
      <c r="ABK21" s="3507"/>
      <c r="ABL21" s="3507"/>
      <c r="ABM21" s="3507"/>
      <c r="ABN21" s="3507"/>
      <c r="ABO21" s="3507"/>
      <c r="ABP21" s="3507"/>
      <c r="ABQ21" s="3507"/>
      <c r="ABR21" s="3507"/>
      <c r="ABS21" s="3507"/>
      <c r="ABT21" s="3507"/>
      <c r="ABU21" s="3507"/>
      <c r="ABV21" s="3507"/>
      <c r="ABW21" s="3507"/>
      <c r="ABX21" s="3507"/>
      <c r="ABY21" s="3507"/>
      <c r="ABZ21" s="3507"/>
      <c r="ACA21" s="3507"/>
      <c r="ACB21" s="3507"/>
      <c r="ACC21" s="3507"/>
      <c r="ACD21" s="3507"/>
      <c r="ACE21" s="3507"/>
      <c r="ACF21" s="3507"/>
      <c r="ACG21" s="3507"/>
      <c r="ACH21" s="3507"/>
      <c r="ACI21" s="3507"/>
      <c r="ACJ21" s="3507"/>
      <c r="ACK21" s="3507"/>
      <c r="ACL21" s="3507"/>
      <c r="ACM21" s="3507"/>
      <c r="ACN21" s="3507"/>
      <c r="ACO21" s="3507"/>
      <c r="ACP21" s="3507"/>
      <c r="ACQ21" s="3507"/>
      <c r="ACR21" s="3507"/>
      <c r="ACS21" s="3507"/>
      <c r="ACT21" s="3507"/>
      <c r="ACU21" s="3507"/>
      <c r="ACV21" s="3507"/>
      <c r="ACW21" s="3507"/>
      <c r="ACX21" s="3507"/>
      <c r="ACY21" s="3507"/>
      <c r="ACZ21" s="3507"/>
      <c r="ADA21" s="3507"/>
      <c r="ADB21" s="3507"/>
      <c r="ADC21" s="3507"/>
      <c r="ADD21" s="3507"/>
      <c r="ADE21" s="3507"/>
      <c r="ADF21" s="3507"/>
      <c r="ADG21" s="3507"/>
      <c r="ADH21" s="3507"/>
      <c r="ADI21" s="3507"/>
      <c r="ADJ21" s="3507"/>
      <c r="ADK21" s="3507"/>
      <c r="ADL21" s="3507"/>
      <c r="ADM21" s="3507"/>
      <c r="ADN21" s="3507"/>
      <c r="ADO21" s="3507"/>
      <c r="ADP21" s="3507"/>
      <c r="ADQ21" s="3507"/>
      <c r="ADR21" s="3507"/>
      <c r="ADS21" s="3507"/>
      <c r="ADT21" s="3507"/>
      <c r="ADU21" s="3507"/>
      <c r="ADV21" s="3507"/>
      <c r="ADW21" s="3507"/>
      <c r="ADX21" s="3507"/>
      <c r="ADY21" s="3507"/>
      <c r="ADZ21" s="3507"/>
      <c r="AEA21" s="3507"/>
      <c r="AEB21" s="3507"/>
      <c r="AEC21" s="3507"/>
      <c r="AED21" s="3507"/>
      <c r="AEE21" s="3507"/>
      <c r="AEF21" s="3507"/>
      <c r="AEG21" s="3507"/>
      <c r="AEH21" s="3507"/>
      <c r="AEI21" s="3507"/>
      <c r="AEJ21" s="3507"/>
      <c r="AEK21" s="3507"/>
      <c r="AEL21" s="3507"/>
      <c r="AEM21" s="3507"/>
      <c r="AEN21" s="3507"/>
      <c r="AEO21" s="3507"/>
      <c r="AEP21" s="3507"/>
      <c r="AEQ21" s="3507"/>
      <c r="AER21" s="3507"/>
      <c r="AES21" s="3507"/>
      <c r="AET21" s="3507"/>
      <c r="AEU21" s="3507"/>
      <c r="AEV21" s="3507"/>
      <c r="AEW21" s="3507"/>
      <c r="AEX21" s="3507"/>
      <c r="AEY21" s="3507"/>
      <c r="AEZ21" s="3507"/>
      <c r="AFA21" s="3507"/>
      <c r="AFB21" s="3507"/>
      <c r="AFC21" s="3507"/>
      <c r="AFD21" s="3507"/>
      <c r="AFE21" s="3507"/>
      <c r="AFF21" s="3507"/>
      <c r="AFG21" s="3507"/>
      <c r="AFH21" s="3507"/>
      <c r="AFI21" s="3507"/>
      <c r="AFJ21" s="3507"/>
      <c r="AFK21" s="3507"/>
      <c r="AFL21" s="3507"/>
      <c r="AFM21" s="3507"/>
      <c r="AFN21" s="3507"/>
      <c r="AFO21" s="3507"/>
      <c r="AFP21" s="3507"/>
      <c r="AFQ21" s="3507"/>
      <c r="AFR21" s="3507"/>
      <c r="AFS21" s="3507"/>
      <c r="AFT21" s="3507"/>
      <c r="AFU21" s="3507"/>
      <c r="AFV21" s="3507"/>
      <c r="AFW21" s="3507"/>
      <c r="AFX21" s="3507"/>
      <c r="AFY21" s="3507"/>
      <c r="AFZ21" s="3507"/>
      <c r="AGA21" s="3507"/>
      <c r="AGB21" s="3507"/>
      <c r="AGC21" s="3507"/>
      <c r="AGD21" s="3507"/>
      <c r="AGE21" s="3507"/>
      <c r="AGF21" s="3507"/>
      <c r="AGG21" s="3507"/>
      <c r="AGH21" s="3507"/>
      <c r="AGI21" s="3507"/>
      <c r="AGJ21" s="3507"/>
      <c r="AGK21" s="3507"/>
      <c r="AGL21" s="3507"/>
      <c r="AGM21" s="3507"/>
      <c r="AGN21" s="3507"/>
      <c r="AGO21" s="3507"/>
      <c r="AGP21" s="3507"/>
      <c r="AGQ21" s="3507"/>
      <c r="AGR21" s="3507"/>
      <c r="AGS21" s="3507"/>
      <c r="AGT21" s="3507"/>
      <c r="AGU21" s="3507"/>
      <c r="AGV21" s="3507"/>
      <c r="AGW21" s="3507"/>
      <c r="AGX21" s="3507"/>
      <c r="AGY21" s="3507"/>
      <c r="AGZ21" s="3507"/>
      <c r="AHA21" s="3507"/>
      <c r="AHB21" s="3507"/>
      <c r="AHC21" s="3507"/>
      <c r="AHD21" s="3507"/>
      <c r="AHE21" s="3507"/>
      <c r="AHF21" s="3507"/>
      <c r="AHG21" s="3507"/>
      <c r="AHH21" s="3507"/>
      <c r="AHI21" s="3507"/>
      <c r="AHJ21" s="3507"/>
      <c r="AHK21" s="3507"/>
      <c r="AHL21" s="3507"/>
      <c r="AHM21" s="3507"/>
      <c r="AHN21" s="3507"/>
      <c r="AHO21" s="3507"/>
      <c r="AHP21" s="3507"/>
      <c r="AHQ21" s="3507"/>
      <c r="AHR21" s="3507"/>
      <c r="AHS21" s="3507"/>
      <c r="AHT21" s="3507"/>
      <c r="AHU21" s="3507"/>
      <c r="AHV21" s="3507"/>
      <c r="AHW21" s="3507"/>
      <c r="AHX21" s="3507"/>
      <c r="AHY21" s="3507"/>
      <c r="AHZ21" s="3507"/>
      <c r="AIA21" s="3507"/>
      <c r="AIB21" s="3507"/>
      <c r="AIC21" s="3507"/>
      <c r="AID21" s="3507"/>
      <c r="AIE21" s="3507"/>
      <c r="AIF21" s="3507"/>
      <c r="AIG21" s="3507"/>
      <c r="AIH21" s="3507"/>
      <c r="AII21" s="3507"/>
      <c r="AIJ21" s="3507"/>
      <c r="AIK21" s="3507"/>
      <c r="AIL21" s="3507"/>
      <c r="AIM21" s="3507"/>
      <c r="AIN21" s="3507"/>
      <c r="AIO21" s="3507"/>
      <c r="AIP21" s="3507"/>
      <c r="AIQ21" s="3507"/>
      <c r="AIR21" s="3507"/>
      <c r="AIS21" s="3507"/>
      <c r="AIT21" s="3507"/>
      <c r="AIU21" s="3507"/>
      <c r="AIV21" s="3507"/>
      <c r="AIW21" s="3507"/>
      <c r="AIX21" s="3507"/>
      <c r="AIY21" s="3507"/>
      <c r="AIZ21" s="3507"/>
      <c r="AJA21" s="3507"/>
      <c r="AJB21" s="3507"/>
      <c r="AJC21" s="3507"/>
      <c r="AJD21" s="3507"/>
      <c r="AJE21" s="3507"/>
      <c r="AJF21" s="3507"/>
      <c r="AJG21" s="3507"/>
      <c r="AJH21" s="3507"/>
      <c r="AJI21" s="3507"/>
      <c r="AJJ21" s="3507"/>
      <c r="AJK21" s="3507"/>
      <c r="AJL21" s="3507"/>
      <c r="AJM21" s="3507"/>
      <c r="AJN21" s="3507"/>
      <c r="AJO21" s="3507"/>
      <c r="AJP21" s="3507"/>
      <c r="AJQ21" s="3507"/>
      <c r="AJR21" s="3507"/>
      <c r="AJS21" s="3507"/>
      <c r="AJT21" s="3507"/>
      <c r="AJU21" s="3507"/>
      <c r="AJV21" s="3507"/>
      <c r="AJW21" s="3507"/>
      <c r="AJX21" s="3507"/>
      <c r="AJY21" s="3507"/>
      <c r="AJZ21" s="3507"/>
      <c r="AKA21" s="3507"/>
      <c r="AKB21" s="3507"/>
      <c r="AKC21" s="3507"/>
      <c r="AKD21" s="3507"/>
      <c r="AKE21" s="3507"/>
      <c r="AKF21" s="3507"/>
      <c r="AKG21" s="3507"/>
      <c r="AKH21" s="3507"/>
      <c r="AKI21" s="3507"/>
      <c r="AKJ21" s="3507"/>
      <c r="AKK21" s="3507"/>
      <c r="AKL21" s="3507"/>
      <c r="AKM21" s="3507"/>
      <c r="AKN21" s="3507"/>
      <c r="AKO21" s="3507"/>
      <c r="AKP21" s="3507"/>
      <c r="AKQ21" s="3507"/>
      <c r="AKR21" s="3507"/>
      <c r="AKS21" s="3507"/>
      <c r="AKT21" s="3507"/>
      <c r="AKU21" s="3507"/>
      <c r="AKV21" s="3507"/>
      <c r="AKW21" s="3507"/>
      <c r="AKX21" s="3507"/>
      <c r="AKY21" s="3507"/>
      <c r="AKZ21" s="3507"/>
      <c r="ALA21" s="3507"/>
      <c r="ALB21" s="3507"/>
      <c r="ALC21" s="3507"/>
      <c r="ALD21" s="3507"/>
      <c r="ALE21" s="3507"/>
      <c r="ALF21" s="3507"/>
      <c r="ALG21" s="3507"/>
      <c r="ALH21" s="3507"/>
      <c r="ALI21" s="3507"/>
      <c r="ALJ21" s="3507"/>
      <c r="ALK21" s="3507"/>
      <c r="ALL21" s="3507"/>
      <c r="ALM21" s="3507"/>
      <c r="ALN21" s="3507"/>
      <c r="ALO21" s="3507"/>
      <c r="ALP21" s="3507"/>
      <c r="ALQ21" s="3507"/>
      <c r="ALR21" s="3507"/>
      <c r="ALS21" s="3507"/>
      <c r="ALT21" s="3507"/>
      <c r="ALU21" s="3507"/>
      <c r="ALV21" s="3507"/>
      <c r="ALW21" s="3507"/>
      <c r="ALX21" s="3507"/>
      <c r="ALY21" s="3507"/>
      <c r="ALZ21" s="3507"/>
      <c r="AMA21" s="3507"/>
      <c r="AMB21" s="3507"/>
      <c r="AMC21" s="3507"/>
      <c r="AMD21" s="3507"/>
      <c r="AME21" s="3507"/>
      <c r="AMF21" s="3507"/>
      <c r="AMG21" s="3507"/>
      <c r="AMH21" s="3507"/>
      <c r="AMI21" s="3507"/>
      <c r="AMJ21" s="3507"/>
      <c r="AMK21" s="3507"/>
      <c r="AML21" s="3507"/>
      <c r="AMM21" s="3507"/>
      <c r="AMN21" s="3507"/>
      <c r="AMO21" s="3507"/>
      <c r="AMP21" s="3507"/>
      <c r="AMQ21" s="3507"/>
      <c r="AMR21" s="3507"/>
      <c r="AMS21" s="3507"/>
      <c r="AMT21" s="3507"/>
      <c r="AMU21" s="3507"/>
      <c r="AMV21" s="3507"/>
      <c r="AMW21" s="3507"/>
      <c r="AMX21" s="3507"/>
      <c r="AMY21" s="3507"/>
      <c r="AMZ21" s="3507"/>
      <c r="ANA21" s="3507"/>
      <c r="ANB21" s="3507"/>
      <c r="ANC21" s="3507"/>
      <c r="AND21" s="3507"/>
      <c r="ANE21" s="3507"/>
      <c r="ANF21" s="3507"/>
      <c r="ANG21" s="3507"/>
      <c r="ANH21" s="3507"/>
      <c r="ANI21" s="3507"/>
      <c r="ANJ21" s="3507"/>
      <c r="ANK21" s="3507"/>
      <c r="ANL21" s="3507"/>
      <c r="ANM21" s="3507"/>
      <c r="ANN21" s="3507"/>
      <c r="ANO21" s="3507"/>
      <c r="ANP21" s="3507"/>
      <c r="ANQ21" s="3507"/>
      <c r="ANR21" s="3507"/>
      <c r="ANS21" s="3507"/>
      <c r="ANT21" s="3507"/>
      <c r="ANU21" s="3507"/>
      <c r="ANV21" s="3507"/>
      <c r="ANW21" s="3507"/>
      <c r="ANX21" s="3507"/>
      <c r="ANY21" s="3507"/>
      <c r="ANZ21" s="3507"/>
      <c r="AOA21" s="3507"/>
      <c r="AOB21" s="3507"/>
      <c r="AOC21" s="3507"/>
      <c r="AOD21" s="3507"/>
      <c r="AOE21" s="3507"/>
      <c r="AOF21" s="3507"/>
      <c r="AOG21" s="3507"/>
      <c r="AOH21" s="3507"/>
      <c r="AOI21" s="3507"/>
      <c r="AOJ21" s="3507"/>
      <c r="AOK21" s="3507"/>
      <c r="AOL21" s="3507"/>
      <c r="AOM21" s="3507"/>
      <c r="AON21" s="3507"/>
      <c r="AOO21" s="3507"/>
      <c r="AOP21" s="3507"/>
      <c r="AOQ21" s="3507"/>
      <c r="AOR21" s="3507"/>
      <c r="AOS21" s="3507"/>
      <c r="AOT21" s="3507"/>
      <c r="AOU21" s="3507"/>
      <c r="AOV21" s="3507"/>
      <c r="AOW21" s="3507"/>
      <c r="AOX21" s="3507"/>
      <c r="AOY21" s="3507"/>
      <c r="AOZ21" s="3507"/>
      <c r="APA21" s="3507"/>
      <c r="APB21" s="3507"/>
      <c r="APC21" s="3507"/>
      <c r="APD21" s="3507"/>
      <c r="APE21" s="3507"/>
      <c r="APF21" s="3507"/>
      <c r="APG21" s="3507"/>
      <c r="APH21" s="3507"/>
      <c r="API21" s="3507"/>
      <c r="APJ21" s="3507"/>
      <c r="APK21" s="3507"/>
      <c r="APL21" s="3507"/>
      <c r="APM21" s="3507"/>
      <c r="APN21" s="3507"/>
      <c r="APO21" s="3507"/>
      <c r="APP21" s="3507"/>
      <c r="APQ21" s="3507"/>
      <c r="APR21" s="3507"/>
      <c r="APS21" s="3507"/>
      <c r="APT21" s="3507"/>
      <c r="APU21" s="3507"/>
      <c r="APV21" s="3507"/>
      <c r="APW21" s="3507"/>
      <c r="APX21" s="3507"/>
      <c r="APY21" s="3507"/>
      <c r="APZ21" s="3507"/>
      <c r="AQA21" s="3507"/>
      <c r="AQB21" s="3507"/>
      <c r="AQC21" s="3507"/>
      <c r="AQD21" s="3507"/>
      <c r="AQE21" s="3507"/>
      <c r="AQF21" s="3507"/>
      <c r="AQG21" s="3507"/>
      <c r="AQH21" s="3507"/>
      <c r="AQI21" s="3507"/>
      <c r="AQJ21" s="3507"/>
      <c r="AQK21" s="3507"/>
      <c r="AQL21" s="3507"/>
      <c r="AQM21" s="3507"/>
      <c r="AQN21" s="3507"/>
      <c r="AQO21" s="3507"/>
      <c r="AQP21" s="3507"/>
      <c r="AQQ21" s="3507"/>
      <c r="AQR21" s="3507"/>
      <c r="AQS21" s="3507"/>
      <c r="AQT21" s="3507"/>
      <c r="AQU21" s="3507"/>
      <c r="AQV21" s="3507"/>
      <c r="AQW21" s="3507"/>
      <c r="AQX21" s="3507"/>
      <c r="AQY21" s="3507"/>
      <c r="AQZ21" s="3507"/>
      <c r="ARA21" s="3507"/>
      <c r="ARB21" s="3507"/>
      <c r="ARC21" s="3507"/>
      <c r="ARD21" s="3507"/>
      <c r="ARE21" s="3507"/>
      <c r="ARF21" s="3507"/>
      <c r="ARG21" s="3507"/>
      <c r="ARH21" s="3507"/>
      <c r="ARI21" s="3507"/>
      <c r="ARJ21" s="3507"/>
      <c r="ARK21" s="3507"/>
      <c r="ARL21" s="3507"/>
      <c r="ARM21" s="3507"/>
      <c r="ARN21" s="3507"/>
      <c r="ARO21" s="3507"/>
      <c r="ARP21" s="3507"/>
      <c r="ARQ21" s="3507"/>
      <c r="ARR21" s="3507"/>
      <c r="ARS21" s="3507"/>
      <c r="ART21" s="3507"/>
      <c r="ARU21" s="3507"/>
      <c r="ARV21" s="3507"/>
      <c r="ARW21" s="3507"/>
      <c r="ARX21" s="3507"/>
      <c r="ARY21" s="3507"/>
      <c r="ARZ21" s="3507"/>
      <c r="ASA21" s="3507"/>
      <c r="ASB21" s="3507"/>
      <c r="ASC21" s="3507"/>
      <c r="ASD21" s="3507"/>
      <c r="ASE21" s="3507"/>
      <c r="ASF21" s="3507"/>
      <c r="ASG21" s="3507"/>
      <c r="ASH21" s="3507"/>
      <c r="ASI21" s="3507"/>
      <c r="ASJ21" s="3507"/>
      <c r="ASK21" s="3507"/>
      <c r="ASL21" s="3507"/>
      <c r="ASM21" s="3507"/>
      <c r="ASN21" s="3507"/>
      <c r="ASO21" s="3507"/>
      <c r="ASP21" s="3507"/>
      <c r="ASQ21" s="3507"/>
      <c r="ASR21" s="3507"/>
      <c r="ASS21" s="3507"/>
      <c r="AST21" s="3507"/>
      <c r="ASU21" s="3507"/>
      <c r="ASV21" s="3507"/>
      <c r="ASW21" s="3507"/>
      <c r="ASX21" s="3507"/>
      <c r="ASY21" s="3507"/>
      <c r="ASZ21" s="3507"/>
      <c r="ATA21" s="3507"/>
      <c r="ATB21" s="3507"/>
      <c r="ATC21" s="3507"/>
      <c r="ATD21" s="3507"/>
      <c r="ATE21" s="3507"/>
      <c r="ATF21" s="3507"/>
      <c r="ATG21" s="3507"/>
      <c r="ATH21" s="3507"/>
      <c r="ATI21" s="3507"/>
      <c r="ATJ21" s="3507"/>
      <c r="ATK21" s="3507"/>
      <c r="ATL21" s="3507"/>
      <c r="ATM21" s="3507"/>
      <c r="ATN21" s="3507"/>
      <c r="ATO21" s="3507"/>
      <c r="ATP21" s="3507"/>
      <c r="ATQ21" s="3507"/>
      <c r="ATR21" s="3507"/>
      <c r="ATS21" s="3507"/>
      <c r="ATT21" s="3507"/>
      <c r="ATU21" s="3507"/>
      <c r="ATV21" s="3507"/>
      <c r="ATW21" s="3507"/>
      <c r="ATX21" s="3507"/>
      <c r="ATY21" s="3507"/>
      <c r="ATZ21" s="3507"/>
      <c r="AUA21" s="3507"/>
      <c r="AUB21" s="3507"/>
      <c r="AUC21" s="3507"/>
      <c r="AUD21" s="3507"/>
      <c r="AUE21" s="3507"/>
      <c r="AUF21" s="3507"/>
      <c r="AUG21" s="3507"/>
      <c r="AUH21" s="3507"/>
      <c r="AUI21" s="3507"/>
      <c r="AUJ21" s="3507"/>
      <c r="AUK21" s="3507"/>
      <c r="AUL21" s="3507"/>
      <c r="AUM21" s="3507"/>
      <c r="AUN21" s="3507"/>
      <c r="AUO21" s="3507"/>
      <c r="AUP21" s="3507"/>
      <c r="AUQ21" s="3507"/>
      <c r="AUR21" s="3507"/>
      <c r="AUS21" s="3507"/>
      <c r="AUT21" s="3507"/>
      <c r="AUU21" s="3507"/>
      <c r="AUV21" s="3507"/>
      <c r="AUW21" s="3507"/>
      <c r="AUX21" s="3507"/>
      <c r="AUY21" s="3507"/>
      <c r="AUZ21" s="3507"/>
      <c r="AVA21" s="3507"/>
      <c r="AVB21" s="3507"/>
      <c r="AVC21" s="3507"/>
      <c r="AVD21" s="3507"/>
      <c r="AVE21" s="3507"/>
      <c r="AVF21" s="3507"/>
      <c r="AVG21" s="3507"/>
      <c r="AVH21" s="3507"/>
      <c r="AVI21" s="3507"/>
      <c r="AVJ21" s="3507"/>
      <c r="AVK21" s="3507"/>
      <c r="AVL21" s="3507"/>
      <c r="AVM21" s="3507"/>
      <c r="AVN21" s="3507"/>
      <c r="AVO21" s="3507"/>
      <c r="AVP21" s="3507"/>
      <c r="AVQ21" s="3507"/>
      <c r="AVR21" s="3507"/>
      <c r="AVS21" s="3507"/>
      <c r="AVT21" s="3507"/>
      <c r="AVU21" s="3507"/>
      <c r="AVV21" s="3507"/>
      <c r="AVW21" s="3507"/>
      <c r="AVX21" s="3507"/>
      <c r="AVY21" s="3507"/>
      <c r="AVZ21" s="3507"/>
      <c r="AWA21" s="3507"/>
      <c r="AWB21" s="3507"/>
      <c r="AWC21" s="3507"/>
      <c r="AWD21" s="3507"/>
      <c r="AWE21" s="3507"/>
      <c r="AWF21" s="3507"/>
      <c r="AWG21" s="3507"/>
      <c r="AWH21" s="3507"/>
      <c r="AWI21" s="3507"/>
      <c r="AWJ21" s="3507"/>
      <c r="AWK21" s="3507"/>
      <c r="AWL21" s="3507"/>
      <c r="AWM21" s="3507"/>
      <c r="AWN21" s="3507"/>
      <c r="AWO21" s="3507"/>
      <c r="AWP21" s="3507"/>
      <c r="AWQ21" s="3507"/>
      <c r="AWR21" s="3507"/>
      <c r="AWS21" s="3507"/>
      <c r="AWT21" s="3507"/>
      <c r="AWU21" s="3507"/>
      <c r="AWV21" s="3507"/>
      <c r="AWW21" s="3507"/>
      <c r="AWX21" s="3507"/>
      <c r="AWY21" s="3507"/>
      <c r="AWZ21" s="3507"/>
      <c r="AXA21" s="3507"/>
      <c r="AXB21" s="3507"/>
      <c r="AXC21" s="3507"/>
      <c r="AXD21" s="3507"/>
      <c r="AXE21" s="3507"/>
      <c r="AXF21" s="3507"/>
      <c r="AXG21" s="3507"/>
      <c r="AXH21" s="3507"/>
      <c r="AXI21" s="3507"/>
      <c r="AXJ21" s="3507"/>
      <c r="AXK21" s="3507"/>
      <c r="AXL21" s="3507"/>
      <c r="AXM21" s="3507"/>
      <c r="AXN21" s="3507"/>
      <c r="AXO21" s="3507"/>
      <c r="AXP21" s="3507"/>
      <c r="AXQ21" s="3507"/>
      <c r="AXR21" s="3507"/>
      <c r="AXS21" s="3507"/>
      <c r="AXT21" s="3507"/>
      <c r="AXU21" s="3507"/>
      <c r="AXV21" s="3507"/>
      <c r="AXW21" s="3507"/>
      <c r="AXX21" s="3507"/>
      <c r="AXY21" s="3507"/>
      <c r="AXZ21" s="3507"/>
      <c r="AYA21" s="3507"/>
      <c r="AYB21" s="3507"/>
      <c r="AYC21" s="3507"/>
      <c r="AYD21" s="3507"/>
      <c r="AYE21" s="3507"/>
      <c r="AYF21" s="3507"/>
      <c r="AYG21" s="3507"/>
      <c r="AYH21" s="3507"/>
      <c r="AYI21" s="3507"/>
      <c r="AYJ21" s="3507"/>
      <c r="AYK21" s="3507"/>
      <c r="AYL21" s="3507"/>
      <c r="AYM21" s="3507"/>
      <c r="AYN21" s="3507"/>
      <c r="AYO21" s="3507"/>
      <c r="AYP21" s="3507"/>
      <c r="AYQ21" s="3507"/>
      <c r="AYR21" s="3507"/>
      <c r="AYS21" s="3507"/>
      <c r="AYT21" s="3507"/>
      <c r="AYU21" s="3507"/>
      <c r="AYV21" s="3507"/>
      <c r="AYW21" s="3507"/>
      <c r="AYX21" s="3507"/>
      <c r="AYY21" s="3507"/>
      <c r="AYZ21" s="3507"/>
      <c r="AZA21" s="3507"/>
      <c r="AZB21" s="3507"/>
      <c r="AZC21" s="3507"/>
      <c r="AZD21" s="3507"/>
      <c r="AZE21" s="3507"/>
      <c r="AZF21" s="3507"/>
      <c r="AZG21" s="3507"/>
      <c r="AZH21" s="3507"/>
      <c r="AZI21" s="3507"/>
      <c r="AZJ21" s="3507"/>
      <c r="AZK21" s="3507"/>
      <c r="AZL21" s="3507"/>
      <c r="AZM21" s="3507"/>
      <c r="AZN21" s="3507"/>
      <c r="AZO21" s="3507"/>
      <c r="AZP21" s="3507"/>
      <c r="AZQ21" s="3507"/>
      <c r="AZR21" s="3507"/>
      <c r="AZS21" s="3507"/>
      <c r="AZT21" s="3507"/>
      <c r="AZU21" s="3507"/>
      <c r="AZV21" s="3507"/>
      <c r="AZW21" s="3507"/>
      <c r="AZX21" s="3507"/>
      <c r="AZY21" s="3507"/>
      <c r="AZZ21" s="3507"/>
      <c r="BAA21" s="3507"/>
      <c r="BAB21" s="3507"/>
      <c r="BAC21" s="3507"/>
      <c r="BAD21" s="3507"/>
      <c r="BAE21" s="3507"/>
      <c r="BAF21" s="3507"/>
      <c r="BAG21" s="3507"/>
      <c r="BAH21" s="3507"/>
      <c r="BAI21" s="3507"/>
      <c r="BAJ21" s="3507"/>
      <c r="BAK21" s="3507"/>
      <c r="BAL21" s="3507"/>
      <c r="BAM21" s="3507"/>
      <c r="BAN21" s="3507"/>
      <c r="BAO21" s="3507"/>
      <c r="BAP21" s="3507"/>
      <c r="BAQ21" s="3507"/>
      <c r="BAR21" s="3507"/>
      <c r="BAS21" s="3507"/>
      <c r="BAT21" s="3507"/>
      <c r="BAU21" s="3507"/>
      <c r="BAV21" s="3507"/>
      <c r="BAW21" s="3507"/>
      <c r="BAX21" s="3507"/>
      <c r="BAY21" s="3507"/>
      <c r="BAZ21" s="3507"/>
      <c r="BBA21" s="3507"/>
      <c r="BBB21" s="3507"/>
      <c r="BBC21" s="3507"/>
      <c r="BBD21" s="3507"/>
      <c r="BBE21" s="3507"/>
      <c r="BBF21" s="3507"/>
      <c r="BBG21" s="3507"/>
      <c r="BBH21" s="3507"/>
      <c r="BBI21" s="3507"/>
      <c r="BBJ21" s="3507"/>
      <c r="BBK21" s="3507"/>
      <c r="BBL21" s="3507"/>
      <c r="BBM21" s="3507"/>
      <c r="BBN21" s="3507"/>
      <c r="BBO21" s="3507"/>
      <c r="BBP21" s="3507"/>
      <c r="BBQ21" s="3507"/>
      <c r="BBR21" s="3507"/>
      <c r="BBS21" s="3507"/>
      <c r="BBT21" s="3507"/>
      <c r="BBU21" s="3507"/>
      <c r="BBV21" s="3507"/>
      <c r="BBW21" s="3507"/>
      <c r="BBX21" s="3507"/>
      <c r="BBY21" s="3507"/>
      <c r="BBZ21" s="3507"/>
      <c r="BCA21" s="3507"/>
      <c r="BCB21" s="3507"/>
      <c r="BCC21" s="3507"/>
      <c r="BCD21" s="3507"/>
      <c r="BCE21" s="3507"/>
      <c r="BCF21" s="3507"/>
      <c r="BCG21" s="3507"/>
      <c r="BCH21" s="3507"/>
      <c r="BCI21" s="3507"/>
      <c r="BCJ21" s="3507"/>
      <c r="BCK21" s="3507"/>
      <c r="BCL21" s="3507"/>
      <c r="BCM21" s="3507"/>
      <c r="BCN21" s="3507"/>
      <c r="BCO21" s="3507"/>
      <c r="BCP21" s="3507"/>
      <c r="BCQ21" s="3507"/>
      <c r="BCR21" s="3507"/>
      <c r="BCS21" s="3507"/>
      <c r="BCT21" s="3507"/>
      <c r="BCU21" s="3507"/>
      <c r="BCV21" s="3507"/>
      <c r="BCW21" s="3507"/>
      <c r="BCX21" s="3507"/>
      <c r="BCY21" s="3507"/>
      <c r="BCZ21" s="3507"/>
      <c r="BDA21" s="3507"/>
      <c r="BDB21" s="3507"/>
      <c r="BDC21" s="3507"/>
      <c r="BDD21" s="3507"/>
      <c r="BDE21" s="3507"/>
      <c r="BDF21" s="3507"/>
      <c r="BDG21" s="3507"/>
      <c r="BDH21" s="3507"/>
      <c r="BDI21" s="3507"/>
      <c r="BDJ21" s="3507"/>
      <c r="BDK21" s="3507"/>
      <c r="BDL21" s="3507"/>
      <c r="BDM21" s="3507"/>
      <c r="BDN21" s="3507"/>
      <c r="BDO21" s="3507"/>
      <c r="BDP21" s="3507"/>
      <c r="BDQ21" s="3507"/>
      <c r="BDR21" s="3507"/>
      <c r="BDS21" s="3507"/>
      <c r="BDT21" s="3507"/>
      <c r="BDU21" s="3507"/>
      <c r="BDV21" s="3507"/>
      <c r="BDW21" s="3507"/>
      <c r="BDX21" s="3507"/>
      <c r="BDY21" s="3507"/>
      <c r="BDZ21" s="3507"/>
      <c r="BEA21" s="3507"/>
      <c r="BEB21" s="3507"/>
      <c r="BEC21" s="3507"/>
      <c r="BED21" s="3507"/>
      <c r="BEE21" s="3507"/>
      <c r="BEF21" s="3507"/>
      <c r="BEG21" s="3507"/>
      <c r="BEH21" s="3507"/>
      <c r="BEI21" s="3507"/>
      <c r="BEJ21" s="3507"/>
      <c r="BEK21" s="3507"/>
      <c r="BEL21" s="3507"/>
      <c r="BEM21" s="3507"/>
      <c r="BEN21" s="3507"/>
      <c r="BEO21" s="3507"/>
      <c r="BEP21" s="3507"/>
      <c r="BEQ21" s="3507"/>
      <c r="BER21" s="3507"/>
      <c r="BES21" s="3507"/>
      <c r="BET21" s="3507"/>
      <c r="BEU21" s="3507"/>
      <c r="BEV21" s="3507"/>
      <c r="BEW21" s="3507"/>
      <c r="BEX21" s="3507"/>
      <c r="BEY21" s="3507"/>
      <c r="BEZ21" s="3507"/>
      <c r="BFA21" s="3507"/>
      <c r="BFB21" s="3507"/>
      <c r="BFC21" s="3507"/>
      <c r="BFD21" s="3507"/>
      <c r="BFE21" s="3507"/>
      <c r="BFF21" s="3507"/>
      <c r="BFG21" s="3507"/>
      <c r="BFH21" s="3507"/>
      <c r="BFI21" s="3507"/>
      <c r="BFJ21" s="3507"/>
      <c r="BFK21" s="3507"/>
      <c r="BFL21" s="3507"/>
      <c r="BFM21" s="3507"/>
      <c r="BFN21" s="3507"/>
      <c r="BFO21" s="3507"/>
      <c r="BFP21" s="3507"/>
      <c r="BFQ21" s="3507"/>
      <c r="BFR21" s="3507"/>
      <c r="BFS21" s="3507"/>
      <c r="BFT21" s="3507"/>
      <c r="BFU21" s="3507"/>
      <c r="BFV21" s="3507"/>
      <c r="BFW21" s="3507"/>
      <c r="BFX21" s="3507"/>
      <c r="BFY21" s="3507"/>
      <c r="BFZ21" s="3507"/>
      <c r="BGA21" s="3507"/>
      <c r="BGB21" s="3507"/>
      <c r="BGC21" s="3507"/>
      <c r="BGD21" s="3507"/>
      <c r="BGE21" s="3507"/>
      <c r="BGF21" s="3507"/>
      <c r="BGG21" s="3507"/>
      <c r="BGH21" s="3507"/>
      <c r="BGI21" s="3507"/>
      <c r="BGJ21" s="3507"/>
      <c r="BGK21" s="3507"/>
      <c r="BGL21" s="3507"/>
      <c r="BGM21" s="3507"/>
      <c r="BGN21" s="3507"/>
      <c r="BGO21" s="3507"/>
      <c r="BGP21" s="3507"/>
      <c r="BGQ21" s="3507"/>
      <c r="BGR21" s="3507"/>
      <c r="BGS21" s="3507"/>
      <c r="BGT21" s="3507"/>
      <c r="BGU21" s="3507"/>
      <c r="BGV21" s="3507"/>
      <c r="BGW21" s="3507"/>
      <c r="BGX21" s="3507"/>
      <c r="BGY21" s="3507"/>
      <c r="BGZ21" s="3507"/>
      <c r="BHA21" s="3507"/>
      <c r="BHB21" s="3507"/>
      <c r="BHC21" s="3507"/>
      <c r="BHD21" s="3507"/>
      <c r="BHE21" s="3507"/>
      <c r="BHF21" s="3507"/>
      <c r="BHG21" s="3507"/>
      <c r="BHH21" s="3507"/>
      <c r="BHI21" s="3507"/>
      <c r="BHJ21" s="3507"/>
      <c r="BHK21" s="3507"/>
      <c r="BHL21" s="3507"/>
      <c r="BHM21" s="3507"/>
      <c r="BHN21" s="3507"/>
      <c r="BHO21" s="3507"/>
      <c r="BHP21" s="3507"/>
      <c r="BHQ21" s="3507"/>
      <c r="BHR21" s="3507"/>
      <c r="BHS21" s="3507"/>
      <c r="BHT21" s="3507"/>
      <c r="BHU21" s="3507"/>
      <c r="BHV21" s="3507"/>
      <c r="BHW21" s="3507"/>
      <c r="BHX21" s="3507"/>
      <c r="BHY21" s="3507"/>
      <c r="BHZ21" s="3507"/>
      <c r="BIA21" s="3507"/>
      <c r="BIB21" s="3507"/>
      <c r="BIC21" s="3507"/>
      <c r="BID21" s="3507"/>
      <c r="BIE21" s="3507"/>
      <c r="BIF21" s="3507"/>
      <c r="BIG21" s="3507"/>
      <c r="BIH21" s="3507"/>
      <c r="BII21" s="3507"/>
      <c r="BIJ21" s="3507"/>
      <c r="BIK21" s="3507"/>
      <c r="BIL21" s="3507"/>
      <c r="BIM21" s="3507"/>
      <c r="BIN21" s="3507"/>
      <c r="BIO21" s="3507"/>
      <c r="BIP21" s="3507"/>
      <c r="BIQ21" s="3507"/>
      <c r="BIR21" s="3507"/>
      <c r="BIS21" s="3507"/>
      <c r="BIT21" s="3507"/>
      <c r="BIU21" s="3507"/>
      <c r="BIV21" s="3507"/>
      <c r="BIW21" s="3507"/>
      <c r="BIX21" s="3507"/>
      <c r="BIY21" s="3507"/>
      <c r="BIZ21" s="3507"/>
      <c r="BJA21" s="3507"/>
      <c r="BJB21" s="3507"/>
      <c r="BJC21" s="3507"/>
      <c r="BJD21" s="3507"/>
      <c r="BJE21" s="3507"/>
      <c r="BJF21" s="3507"/>
      <c r="BJG21" s="3507"/>
      <c r="BJH21" s="3507"/>
      <c r="BJI21" s="3507"/>
      <c r="BJJ21" s="3507"/>
      <c r="BJK21" s="3507"/>
      <c r="BJL21" s="3507"/>
      <c r="BJM21" s="3507"/>
      <c r="BJN21" s="3507"/>
      <c r="BJO21" s="3507"/>
      <c r="BJP21" s="3507"/>
      <c r="BJQ21" s="3507"/>
      <c r="BJR21" s="3507"/>
      <c r="BJS21" s="3507"/>
      <c r="BJT21" s="3507"/>
      <c r="BJU21" s="3507"/>
      <c r="BJV21" s="3507"/>
      <c r="BJW21" s="3507"/>
      <c r="BJX21" s="3507"/>
      <c r="BJY21" s="3507"/>
      <c r="BJZ21" s="3507"/>
      <c r="BKA21" s="3507"/>
      <c r="BKB21" s="3507"/>
      <c r="BKC21" s="3507"/>
      <c r="BKD21" s="3507"/>
      <c r="BKE21" s="3507"/>
      <c r="BKF21" s="3507"/>
      <c r="BKG21" s="3507"/>
      <c r="BKH21" s="3507"/>
      <c r="BKI21" s="3507"/>
      <c r="BKJ21" s="3507"/>
      <c r="BKK21" s="3507"/>
      <c r="BKL21" s="3507"/>
      <c r="BKM21" s="3507"/>
      <c r="BKN21" s="3507"/>
      <c r="BKO21" s="3507"/>
      <c r="BKP21" s="3507"/>
      <c r="BKQ21" s="3507"/>
      <c r="BKR21" s="3507"/>
      <c r="BKS21" s="3507"/>
      <c r="BKT21" s="3507"/>
      <c r="BKU21" s="3507"/>
      <c r="BKV21" s="3507"/>
      <c r="BKW21" s="3507"/>
      <c r="BKX21" s="3507"/>
      <c r="BKY21" s="3507"/>
      <c r="BKZ21" s="3507"/>
      <c r="BLA21" s="3507"/>
      <c r="BLB21" s="3507"/>
      <c r="BLC21" s="3507"/>
      <c r="BLD21" s="3507"/>
      <c r="BLE21" s="3507"/>
      <c r="BLF21" s="3507"/>
      <c r="BLG21" s="3507"/>
      <c r="BLH21" s="3507"/>
      <c r="BLI21" s="3507"/>
      <c r="BLJ21" s="3507"/>
      <c r="BLK21" s="3507"/>
      <c r="BLL21" s="3507"/>
      <c r="BLM21" s="3507"/>
      <c r="BLN21" s="3507"/>
      <c r="BLO21" s="3507"/>
      <c r="BLP21" s="3507"/>
      <c r="BLQ21" s="3507"/>
      <c r="BLR21" s="3507"/>
      <c r="BLS21" s="3507"/>
      <c r="BLT21" s="3507"/>
      <c r="BLU21" s="3507"/>
      <c r="BLV21" s="3507"/>
      <c r="BLW21" s="3507"/>
      <c r="BLX21" s="3507"/>
      <c r="BLY21" s="3507"/>
      <c r="BLZ21" s="3507"/>
      <c r="BMA21" s="3507"/>
      <c r="BMB21" s="3507"/>
      <c r="BMC21" s="3507"/>
      <c r="BMD21" s="3507"/>
      <c r="BME21" s="3507"/>
      <c r="BMF21" s="3507"/>
      <c r="BMG21" s="3507"/>
      <c r="BMH21" s="3507"/>
      <c r="BMI21" s="3507"/>
      <c r="BMJ21" s="3507"/>
      <c r="BMK21" s="3507"/>
      <c r="BML21" s="3507"/>
      <c r="BMM21" s="3507"/>
      <c r="BMN21" s="3507"/>
      <c r="BMO21" s="3507"/>
      <c r="BMP21" s="3507"/>
      <c r="BMQ21" s="3507"/>
      <c r="BMR21" s="3507"/>
      <c r="BMS21" s="3507"/>
      <c r="BMT21" s="3507"/>
      <c r="BMU21" s="3507"/>
      <c r="BMV21" s="3507"/>
      <c r="BMW21" s="3507"/>
      <c r="BMX21" s="3507"/>
      <c r="BMY21" s="3507"/>
      <c r="BMZ21" s="3507"/>
      <c r="BNA21" s="3507"/>
      <c r="BNB21" s="3507"/>
      <c r="BNC21" s="3507"/>
      <c r="BND21" s="3507"/>
      <c r="BNE21" s="3507"/>
      <c r="BNF21" s="3507"/>
      <c r="BNG21" s="3507"/>
      <c r="BNH21" s="3507"/>
      <c r="BNI21" s="3507"/>
      <c r="BNJ21" s="3507"/>
      <c r="BNK21" s="3507"/>
      <c r="BNL21" s="3507"/>
      <c r="BNM21" s="3507"/>
      <c r="BNN21" s="3507"/>
      <c r="BNO21" s="3507"/>
      <c r="BNP21" s="3507"/>
      <c r="BNQ21" s="3507"/>
      <c r="BNR21" s="3507"/>
      <c r="BNS21" s="3507"/>
      <c r="BNT21" s="3507"/>
      <c r="BNU21" s="3507"/>
      <c r="BNV21" s="3507"/>
      <c r="BNW21" s="3507"/>
      <c r="BNX21" s="3507"/>
      <c r="BNY21" s="3507"/>
      <c r="BNZ21" s="3507"/>
      <c r="BOA21" s="3507"/>
      <c r="BOB21" s="3507"/>
      <c r="BOC21" s="3507"/>
      <c r="BOD21" s="3507"/>
      <c r="BOE21" s="3507"/>
      <c r="BOF21" s="3507"/>
      <c r="BOG21" s="3507"/>
      <c r="BOH21" s="3507"/>
      <c r="BOI21" s="3507"/>
      <c r="BOJ21" s="3507"/>
      <c r="BOK21" s="3507"/>
      <c r="BOL21" s="3507"/>
      <c r="BOM21" s="3507"/>
      <c r="BON21" s="3507"/>
      <c r="BOO21" s="3507"/>
      <c r="BOP21" s="3507"/>
      <c r="BOQ21" s="3507"/>
      <c r="BOR21" s="3507"/>
      <c r="BOS21" s="3507"/>
      <c r="BOT21" s="3507"/>
      <c r="BOU21" s="3507"/>
      <c r="BOV21" s="3507"/>
      <c r="BOW21" s="3507"/>
      <c r="BOX21" s="3507"/>
      <c r="BOY21" s="3507"/>
      <c r="BOZ21" s="3507"/>
      <c r="BPA21" s="3507"/>
      <c r="BPB21" s="3507"/>
      <c r="BPC21" s="3507"/>
      <c r="BPD21" s="3507"/>
      <c r="BPE21" s="3507"/>
      <c r="BPF21" s="3507"/>
      <c r="BPG21" s="3507"/>
      <c r="BPH21" s="3507"/>
      <c r="BPI21" s="3507"/>
      <c r="BPJ21" s="3507"/>
      <c r="BPK21" s="3507"/>
      <c r="BPL21" s="3507"/>
      <c r="BPM21" s="3507"/>
      <c r="BPN21" s="3507"/>
      <c r="BPO21" s="3507"/>
      <c r="BPP21" s="3507"/>
      <c r="BPQ21" s="3507"/>
      <c r="BPR21" s="3507"/>
      <c r="BPS21" s="3507"/>
      <c r="BPT21" s="3507"/>
      <c r="BPU21" s="3507"/>
      <c r="BPV21" s="3507"/>
      <c r="BPW21" s="3507"/>
      <c r="BPX21" s="3507"/>
      <c r="BPY21" s="3507"/>
      <c r="BPZ21" s="3507"/>
      <c r="BQA21" s="3507"/>
      <c r="BQB21" s="3507"/>
      <c r="BQC21" s="3507"/>
      <c r="BQD21" s="3507"/>
      <c r="BQE21" s="3507"/>
      <c r="BQF21" s="3507"/>
      <c r="BQG21" s="3507"/>
      <c r="BQH21" s="3507"/>
      <c r="BQI21" s="3507"/>
      <c r="BQJ21" s="3507"/>
      <c r="BQK21" s="3507"/>
      <c r="BQL21" s="3507"/>
      <c r="BQM21" s="3507"/>
      <c r="BQN21" s="3507"/>
      <c r="BQO21" s="3507"/>
      <c r="BQP21" s="3507"/>
      <c r="BQQ21" s="3507"/>
      <c r="BQR21" s="3507"/>
      <c r="BQS21" s="3507"/>
      <c r="BQT21" s="3507"/>
      <c r="BQU21" s="3507"/>
      <c r="BQV21" s="3507"/>
      <c r="BQW21" s="3507"/>
      <c r="BQX21" s="3507"/>
      <c r="BQY21" s="3507"/>
      <c r="BQZ21" s="3507"/>
      <c r="BRA21" s="3507"/>
      <c r="BRB21" s="3507"/>
      <c r="BRC21" s="3507"/>
      <c r="BRD21" s="3507"/>
      <c r="BRE21" s="3507"/>
      <c r="BRF21" s="3507"/>
      <c r="BRG21" s="3507"/>
      <c r="BRH21" s="3507"/>
      <c r="BRI21" s="3507"/>
      <c r="BRJ21" s="3507"/>
      <c r="BRK21" s="3507"/>
      <c r="BRL21" s="3507"/>
      <c r="BRM21" s="3507"/>
      <c r="BRN21" s="3507"/>
      <c r="BRO21" s="3507"/>
      <c r="BRP21" s="3507"/>
      <c r="BRQ21" s="3507"/>
      <c r="BRR21" s="3507"/>
      <c r="BRS21" s="3507"/>
      <c r="BRT21" s="3507"/>
      <c r="BRU21" s="3507"/>
      <c r="BRV21" s="3507"/>
      <c r="BRW21" s="3507"/>
      <c r="BRX21" s="3507"/>
      <c r="BRY21" s="3507"/>
      <c r="BRZ21" s="3507"/>
      <c r="BSA21" s="3507"/>
      <c r="BSB21" s="3507"/>
      <c r="BSC21" s="3507"/>
      <c r="BSD21" s="3507"/>
      <c r="BSE21" s="3507"/>
      <c r="BSF21" s="3507"/>
      <c r="BSG21" s="3507"/>
      <c r="BSH21" s="3507"/>
      <c r="BSI21" s="3507"/>
      <c r="BSJ21" s="3507"/>
      <c r="BSK21" s="3507"/>
      <c r="BSL21" s="3507"/>
      <c r="BSM21" s="3507"/>
      <c r="BSN21" s="3507"/>
      <c r="BSO21" s="3507"/>
      <c r="BSP21" s="3507"/>
      <c r="BSQ21" s="3507"/>
      <c r="BSR21" s="3507"/>
      <c r="BSS21" s="3507"/>
      <c r="BST21" s="3507"/>
      <c r="BSU21" s="3507"/>
      <c r="BSV21" s="3507"/>
      <c r="BSW21" s="3507"/>
      <c r="BSX21" s="3507"/>
      <c r="BSY21" s="3507"/>
      <c r="BSZ21" s="3507"/>
      <c r="BTA21" s="3507"/>
      <c r="BTB21" s="3507"/>
      <c r="BTC21" s="3507"/>
      <c r="BTD21" s="3507"/>
      <c r="BTE21" s="3507"/>
      <c r="BTF21" s="3507"/>
      <c r="BTG21" s="3507"/>
      <c r="BTH21" s="3507"/>
      <c r="BTI21" s="3507"/>
      <c r="BTJ21" s="3507"/>
      <c r="BTK21" s="3507"/>
      <c r="BTL21" s="3507"/>
      <c r="BTM21" s="3507"/>
      <c r="BTN21" s="3507"/>
      <c r="BTO21" s="3507"/>
      <c r="BTP21" s="3507"/>
      <c r="BTQ21" s="3507"/>
      <c r="BTR21" s="3507"/>
      <c r="BTS21" s="3507"/>
      <c r="BTT21" s="3507"/>
      <c r="BTU21" s="3507"/>
      <c r="BTV21" s="3507"/>
      <c r="BTW21" s="3507"/>
      <c r="BTX21" s="3507"/>
      <c r="BTY21" s="3507"/>
      <c r="BTZ21" s="3507"/>
      <c r="BUA21" s="3507"/>
      <c r="BUB21" s="3507"/>
      <c r="BUC21" s="3507"/>
      <c r="BUD21" s="3507"/>
      <c r="BUE21" s="3507"/>
      <c r="BUF21" s="3507"/>
      <c r="BUG21" s="3507"/>
      <c r="BUH21" s="3507"/>
      <c r="BUI21" s="3507"/>
      <c r="BUJ21" s="3507"/>
      <c r="BUK21" s="3507"/>
      <c r="BUL21" s="3507"/>
      <c r="BUM21" s="3507"/>
      <c r="BUN21" s="3507"/>
      <c r="BUO21" s="3507"/>
      <c r="BUP21" s="3507"/>
      <c r="BUQ21" s="3507"/>
      <c r="BUR21" s="3507"/>
      <c r="BUS21" s="3507"/>
      <c r="BUT21" s="3507"/>
      <c r="BUU21" s="3507"/>
      <c r="BUV21" s="3507"/>
      <c r="BUW21" s="3507"/>
      <c r="BUX21" s="3507"/>
      <c r="BUY21" s="3507"/>
      <c r="BUZ21" s="3507"/>
      <c r="BVA21" s="3507"/>
      <c r="BVB21" s="3507"/>
      <c r="BVC21" s="3507"/>
      <c r="BVD21" s="3507"/>
      <c r="BVE21" s="3507"/>
      <c r="BVF21" s="3507"/>
      <c r="BVG21" s="3507"/>
      <c r="BVH21" s="3507"/>
      <c r="BVI21" s="3507"/>
      <c r="BVJ21" s="3507"/>
      <c r="BVK21" s="3507"/>
      <c r="BVL21" s="3507"/>
      <c r="BVM21" s="3507"/>
      <c r="BVN21" s="3507"/>
      <c r="BVO21" s="3507"/>
      <c r="BVP21" s="3507"/>
      <c r="BVQ21" s="3507"/>
      <c r="BVR21" s="3507"/>
      <c r="BVS21" s="3507"/>
      <c r="BVT21" s="3507"/>
      <c r="BVU21" s="3507"/>
      <c r="BVV21" s="3507"/>
      <c r="BVW21" s="3507"/>
      <c r="BVX21" s="3507"/>
      <c r="BVY21" s="3507"/>
      <c r="BVZ21" s="3507"/>
      <c r="BWA21" s="3507"/>
      <c r="BWB21" s="3507"/>
      <c r="BWC21" s="3507"/>
      <c r="BWD21" s="3507"/>
      <c r="BWE21" s="3507"/>
      <c r="BWF21" s="3507"/>
      <c r="BWG21" s="3507"/>
      <c r="BWH21" s="3507"/>
      <c r="BWI21" s="3507"/>
      <c r="BWJ21" s="3507"/>
      <c r="BWK21" s="3507"/>
      <c r="BWL21" s="3507"/>
      <c r="BWM21" s="3507"/>
      <c r="BWN21" s="3507"/>
      <c r="BWO21" s="3507"/>
      <c r="BWP21" s="3507"/>
      <c r="BWQ21" s="3507"/>
      <c r="BWR21" s="3507"/>
      <c r="BWS21" s="3507"/>
      <c r="BWT21" s="3507"/>
      <c r="BWU21" s="3507"/>
      <c r="BWV21" s="3507"/>
      <c r="BWW21" s="3507"/>
      <c r="BWX21" s="3507"/>
      <c r="BWY21" s="3507"/>
      <c r="BWZ21" s="3507"/>
      <c r="BXA21" s="3507"/>
      <c r="BXB21" s="3507"/>
      <c r="BXC21" s="3507"/>
      <c r="BXD21" s="3507"/>
      <c r="BXE21" s="3507"/>
      <c r="BXF21" s="3507"/>
      <c r="BXG21" s="3507"/>
      <c r="BXH21" s="3507"/>
      <c r="BXI21" s="3507"/>
      <c r="BXJ21" s="3507"/>
      <c r="BXK21" s="3507"/>
      <c r="BXL21" s="3507"/>
      <c r="BXM21" s="3507"/>
      <c r="BXN21" s="3507"/>
      <c r="BXO21" s="3507"/>
      <c r="BXP21" s="3507"/>
      <c r="BXQ21" s="3507"/>
      <c r="BXR21" s="3507"/>
      <c r="BXS21" s="3507"/>
      <c r="BXT21" s="3507"/>
      <c r="BXU21" s="3507"/>
      <c r="BXV21" s="3507"/>
      <c r="BXW21" s="3507"/>
      <c r="BXX21" s="3507"/>
      <c r="BXY21" s="3507"/>
      <c r="BXZ21" s="3507"/>
      <c r="BYA21" s="3507"/>
      <c r="BYB21" s="3507"/>
      <c r="BYC21" s="3507"/>
      <c r="BYD21" s="3507"/>
      <c r="BYE21" s="3507"/>
      <c r="BYF21" s="3507"/>
      <c r="BYG21" s="3507"/>
      <c r="BYH21" s="3507"/>
      <c r="BYI21" s="3507"/>
      <c r="BYJ21" s="3507"/>
      <c r="BYK21" s="3507"/>
      <c r="BYL21" s="3507"/>
      <c r="BYM21" s="3507"/>
      <c r="BYN21" s="3507"/>
      <c r="BYO21" s="3507"/>
      <c r="BYP21" s="3507"/>
      <c r="BYQ21" s="3507"/>
      <c r="BYR21" s="3507"/>
      <c r="BYS21" s="3507"/>
      <c r="BYT21" s="3507"/>
      <c r="BYU21" s="3507"/>
      <c r="BYV21" s="3507"/>
      <c r="BYW21" s="3507"/>
      <c r="BYX21" s="3507"/>
      <c r="BYY21" s="3507"/>
      <c r="BYZ21" s="3507"/>
      <c r="BZA21" s="3507"/>
      <c r="BZB21" s="3507"/>
      <c r="BZC21" s="3507"/>
      <c r="BZD21" s="3507"/>
      <c r="BZE21" s="3507"/>
      <c r="BZF21" s="3507"/>
      <c r="BZG21" s="3507"/>
      <c r="BZH21" s="3507"/>
      <c r="BZI21" s="3507"/>
      <c r="BZJ21" s="3507"/>
      <c r="BZK21" s="3507"/>
      <c r="BZL21" s="3507"/>
      <c r="BZM21" s="3507"/>
      <c r="BZN21" s="3507"/>
      <c r="BZO21" s="3507"/>
      <c r="BZP21" s="3507"/>
      <c r="BZQ21" s="3507"/>
      <c r="BZR21" s="3507"/>
      <c r="BZS21" s="3507"/>
      <c r="BZT21" s="3507"/>
      <c r="BZU21" s="3507"/>
      <c r="BZV21" s="3507"/>
      <c r="BZW21" s="3507"/>
      <c r="BZX21" s="3507"/>
      <c r="BZY21" s="3507"/>
      <c r="BZZ21" s="3507"/>
      <c r="CAA21" s="3507"/>
      <c r="CAB21" s="3507"/>
      <c r="CAC21" s="3507"/>
      <c r="CAD21" s="3507"/>
      <c r="CAE21" s="3507"/>
      <c r="CAF21" s="3507"/>
      <c r="CAG21" s="3507"/>
      <c r="CAH21" s="3507"/>
      <c r="CAI21" s="3507"/>
      <c r="CAJ21" s="3507"/>
      <c r="CAK21" s="3507"/>
      <c r="CAL21" s="3507"/>
      <c r="CAM21" s="3507"/>
      <c r="CAN21" s="3507"/>
      <c r="CAO21" s="3507"/>
      <c r="CAP21" s="3507"/>
      <c r="CAQ21" s="3507"/>
      <c r="CAR21" s="3507"/>
      <c r="CAS21" s="3507"/>
      <c r="CAT21" s="3507"/>
      <c r="CAU21" s="3507"/>
      <c r="CAV21" s="3507"/>
      <c r="CAW21" s="3507"/>
      <c r="CAX21" s="3507"/>
      <c r="CAY21" s="3507"/>
      <c r="CAZ21" s="3507"/>
      <c r="CBA21" s="3507"/>
      <c r="CBB21" s="3507"/>
      <c r="CBC21" s="3507"/>
      <c r="CBD21" s="3507"/>
      <c r="CBE21" s="3507"/>
      <c r="CBF21" s="3507"/>
      <c r="CBG21" s="3507"/>
      <c r="CBH21" s="3507"/>
      <c r="CBI21" s="3507"/>
      <c r="CBJ21" s="3507"/>
      <c r="CBK21" s="3507"/>
      <c r="CBL21" s="3507"/>
      <c r="CBM21" s="3507"/>
      <c r="CBN21" s="3507"/>
      <c r="CBO21" s="3507"/>
      <c r="CBP21" s="3507"/>
      <c r="CBQ21" s="3507"/>
      <c r="CBR21" s="3507"/>
      <c r="CBS21" s="3507"/>
      <c r="CBT21" s="3507"/>
      <c r="CBU21" s="3507"/>
      <c r="CBV21" s="3507"/>
      <c r="CBW21" s="3507"/>
      <c r="CBX21" s="3507"/>
      <c r="CBY21" s="3507"/>
      <c r="CBZ21" s="3507"/>
      <c r="CCA21" s="3507"/>
      <c r="CCB21" s="3507"/>
      <c r="CCC21" s="3507"/>
      <c r="CCD21" s="3507"/>
      <c r="CCE21" s="3507"/>
      <c r="CCF21" s="3507"/>
      <c r="CCG21" s="3507"/>
      <c r="CCH21" s="3507"/>
      <c r="CCI21" s="3507"/>
      <c r="CCJ21" s="3507"/>
      <c r="CCK21" s="3507"/>
      <c r="CCL21" s="3507"/>
      <c r="CCM21" s="3507"/>
      <c r="CCN21" s="3507"/>
      <c r="CCO21" s="3507"/>
      <c r="CCP21" s="3507"/>
      <c r="CCQ21" s="3507"/>
      <c r="CCR21" s="3507"/>
      <c r="CCS21" s="3507"/>
      <c r="CCT21" s="3507"/>
      <c r="CCU21" s="3507"/>
      <c r="CCV21" s="3507"/>
      <c r="CCW21" s="3507"/>
      <c r="CCX21" s="3507"/>
      <c r="CCY21" s="3507"/>
      <c r="CCZ21" s="3507"/>
      <c r="CDA21" s="3507"/>
      <c r="CDB21" s="3507"/>
      <c r="CDC21" s="3507"/>
      <c r="CDD21" s="3507"/>
      <c r="CDE21" s="3507"/>
      <c r="CDF21" s="3507"/>
      <c r="CDG21" s="3507"/>
      <c r="CDH21" s="3507"/>
      <c r="CDI21" s="3507"/>
      <c r="CDJ21" s="3507"/>
      <c r="CDK21" s="3507"/>
      <c r="CDL21" s="3507"/>
      <c r="CDM21" s="3507"/>
      <c r="CDN21" s="3507"/>
      <c r="CDO21" s="3507"/>
      <c r="CDP21" s="3507"/>
      <c r="CDQ21" s="3507"/>
      <c r="CDR21" s="3507"/>
      <c r="CDS21" s="3507"/>
      <c r="CDT21" s="3507"/>
      <c r="CDU21" s="3507"/>
      <c r="CDV21" s="3507"/>
      <c r="CDW21" s="3507"/>
      <c r="CDX21" s="3507"/>
      <c r="CDY21" s="3507"/>
      <c r="CDZ21" s="3507"/>
      <c r="CEA21" s="3507"/>
      <c r="CEB21" s="3507"/>
      <c r="CEC21" s="3507"/>
      <c r="CED21" s="3507"/>
      <c r="CEE21" s="3507"/>
      <c r="CEF21" s="3507"/>
      <c r="CEG21" s="3507"/>
      <c r="CEH21" s="3507"/>
      <c r="CEI21" s="3507"/>
      <c r="CEJ21" s="3507"/>
      <c r="CEK21" s="3507"/>
      <c r="CEL21" s="3507"/>
      <c r="CEM21" s="3507"/>
      <c r="CEN21" s="3507"/>
      <c r="CEO21" s="3507"/>
      <c r="CEP21" s="3507"/>
      <c r="CEQ21" s="3507"/>
      <c r="CER21" s="3507"/>
      <c r="CES21" s="3507"/>
      <c r="CET21" s="3507"/>
      <c r="CEU21" s="3507"/>
      <c r="CEV21" s="3507"/>
      <c r="CEW21" s="3507"/>
      <c r="CEX21" s="3507"/>
      <c r="CEY21" s="3507"/>
      <c r="CEZ21" s="3507"/>
      <c r="CFA21" s="3507"/>
      <c r="CFB21" s="3507"/>
      <c r="CFC21" s="3507"/>
      <c r="CFD21" s="3507"/>
      <c r="CFE21" s="3507"/>
      <c r="CFF21" s="3507"/>
      <c r="CFG21" s="3507"/>
      <c r="CFH21" s="3507"/>
      <c r="CFI21" s="3507"/>
      <c r="CFJ21" s="3507"/>
      <c r="CFK21" s="3507"/>
      <c r="CFL21" s="3507"/>
      <c r="CFM21" s="3507"/>
      <c r="CFN21" s="3507"/>
      <c r="CFO21" s="3507"/>
      <c r="CFP21" s="3507"/>
      <c r="CFQ21" s="3507"/>
      <c r="CFR21" s="3507"/>
      <c r="CFS21" s="3507"/>
      <c r="CFT21" s="3507"/>
      <c r="CFU21" s="3507"/>
      <c r="CFV21" s="3507"/>
      <c r="CFW21" s="3507"/>
      <c r="CFX21" s="3507"/>
      <c r="CFY21" s="3507"/>
      <c r="CFZ21" s="3507"/>
      <c r="CGA21" s="3507"/>
      <c r="CGB21" s="3507"/>
      <c r="CGC21" s="3507"/>
      <c r="CGD21" s="3507"/>
      <c r="CGE21" s="3507"/>
      <c r="CGF21" s="3507"/>
      <c r="CGG21" s="3507"/>
      <c r="CGH21" s="3507"/>
      <c r="CGI21" s="3507"/>
      <c r="CGJ21" s="3507"/>
      <c r="CGK21" s="3507"/>
      <c r="CGL21" s="3507"/>
      <c r="CGM21" s="3507"/>
      <c r="CGN21" s="3507"/>
      <c r="CGO21" s="3507"/>
      <c r="CGP21" s="3507"/>
      <c r="CGQ21" s="3507"/>
      <c r="CGR21" s="3507"/>
      <c r="CGS21" s="3507"/>
      <c r="CGT21" s="3507"/>
      <c r="CGU21" s="3507"/>
      <c r="CGV21" s="3507"/>
      <c r="CGW21" s="3507"/>
      <c r="CGX21" s="3507"/>
      <c r="CGY21" s="3507"/>
      <c r="CGZ21" s="3507"/>
      <c r="CHA21" s="3507"/>
      <c r="CHB21" s="3507"/>
      <c r="CHC21" s="3507"/>
      <c r="CHD21" s="3507"/>
      <c r="CHE21" s="3507"/>
      <c r="CHF21" s="3507"/>
      <c r="CHG21" s="3507"/>
      <c r="CHH21" s="3507"/>
      <c r="CHI21" s="3507"/>
      <c r="CHJ21" s="3507"/>
      <c r="CHK21" s="3507"/>
      <c r="CHL21" s="3507"/>
      <c r="CHM21" s="3507"/>
      <c r="CHN21" s="3507"/>
      <c r="CHO21" s="3507"/>
      <c r="CHP21" s="3507"/>
      <c r="CHQ21" s="3507"/>
      <c r="CHR21" s="3507"/>
      <c r="CHS21" s="3507"/>
      <c r="CHT21" s="3507"/>
      <c r="CHU21" s="3507"/>
      <c r="CHV21" s="3507"/>
      <c r="CHW21" s="3507"/>
      <c r="CHX21" s="3507"/>
      <c r="CHY21" s="3507"/>
      <c r="CHZ21" s="3507"/>
      <c r="CIA21" s="3507"/>
      <c r="CIB21" s="3507"/>
      <c r="CIC21" s="3507"/>
      <c r="CID21" s="3507"/>
      <c r="CIE21" s="3507"/>
      <c r="CIF21" s="3507"/>
      <c r="CIG21" s="3507"/>
      <c r="CIH21" s="3507"/>
      <c r="CII21" s="3507"/>
      <c r="CIJ21" s="3507"/>
      <c r="CIK21" s="3507"/>
      <c r="CIL21" s="3507"/>
      <c r="CIM21" s="3507"/>
      <c r="CIN21" s="3507"/>
      <c r="CIO21" s="3507"/>
      <c r="CIP21" s="3507"/>
      <c r="CIQ21" s="3507"/>
      <c r="CIR21" s="3507"/>
      <c r="CIS21" s="3507"/>
      <c r="CIT21" s="3507"/>
      <c r="CIU21" s="3507"/>
      <c r="CIV21" s="3507"/>
      <c r="CIW21" s="3507"/>
      <c r="CIX21" s="3507"/>
      <c r="CIY21" s="3507"/>
      <c r="CIZ21" s="3507"/>
      <c r="CJA21" s="3507"/>
      <c r="CJB21" s="3507"/>
      <c r="CJC21" s="3507"/>
      <c r="CJD21" s="3507"/>
      <c r="CJE21" s="3507"/>
      <c r="CJF21" s="3507"/>
      <c r="CJG21" s="3507"/>
      <c r="CJH21" s="3507"/>
      <c r="CJI21" s="3507"/>
      <c r="CJJ21" s="3507"/>
      <c r="CJK21" s="3507"/>
      <c r="CJL21" s="3507"/>
      <c r="CJM21" s="3507"/>
      <c r="CJN21" s="3507"/>
      <c r="CJO21" s="3507"/>
      <c r="CJP21" s="3507"/>
      <c r="CJQ21" s="3507"/>
      <c r="CJR21" s="3507"/>
      <c r="CJS21" s="3507"/>
      <c r="CJT21" s="3507"/>
      <c r="CJU21" s="3507"/>
      <c r="CJV21" s="3507"/>
      <c r="CJW21" s="3507"/>
      <c r="CJX21" s="3507"/>
      <c r="CJY21" s="3507"/>
      <c r="CJZ21" s="3507"/>
      <c r="CKA21" s="3507"/>
      <c r="CKB21" s="3507"/>
      <c r="CKC21" s="3507"/>
      <c r="CKD21" s="3507"/>
      <c r="CKE21" s="3507"/>
      <c r="CKF21" s="3507"/>
      <c r="CKG21" s="3507"/>
      <c r="CKH21" s="3507"/>
      <c r="CKI21" s="3507"/>
      <c r="CKJ21" s="3507"/>
      <c r="CKK21" s="3507"/>
      <c r="CKL21" s="3507"/>
      <c r="CKM21" s="3507"/>
      <c r="CKN21" s="3507"/>
      <c r="CKO21" s="3507"/>
      <c r="CKP21" s="3507"/>
      <c r="CKQ21" s="3507"/>
      <c r="CKR21" s="3507"/>
      <c r="CKS21" s="3507"/>
      <c r="CKT21" s="3507"/>
      <c r="CKU21" s="3507"/>
      <c r="CKV21" s="3507"/>
      <c r="CKW21" s="3507"/>
      <c r="CKX21" s="3507"/>
      <c r="CKY21" s="3507"/>
      <c r="CKZ21" s="3507"/>
      <c r="CLA21" s="3507"/>
      <c r="CLB21" s="3507"/>
      <c r="CLC21" s="3507"/>
      <c r="CLD21" s="3507"/>
      <c r="CLE21" s="3507"/>
      <c r="CLF21" s="3507"/>
      <c r="CLG21" s="3507"/>
      <c r="CLH21" s="3507"/>
      <c r="CLI21" s="3507"/>
      <c r="CLJ21" s="3507"/>
      <c r="CLK21" s="3507"/>
      <c r="CLL21" s="3507"/>
      <c r="CLM21" s="3507"/>
      <c r="CLN21" s="3507"/>
      <c r="CLO21" s="3507"/>
      <c r="CLP21" s="3507"/>
      <c r="CLQ21" s="3507"/>
      <c r="CLR21" s="3507"/>
      <c r="CLS21" s="3507"/>
      <c r="CLT21" s="3507"/>
      <c r="CLU21" s="3507"/>
      <c r="CLV21" s="3507"/>
      <c r="CLW21" s="3507"/>
      <c r="CLX21" s="3507"/>
      <c r="CLY21" s="3507"/>
      <c r="CLZ21" s="3507"/>
      <c r="CMA21" s="3507"/>
      <c r="CMB21" s="3507"/>
      <c r="CMC21" s="3507"/>
      <c r="CMD21" s="3507"/>
      <c r="CME21" s="3507"/>
      <c r="CMF21" s="3507"/>
      <c r="CMG21" s="3507"/>
      <c r="CMH21" s="3507"/>
      <c r="CMI21" s="3507"/>
      <c r="CMJ21" s="3507"/>
      <c r="CMK21" s="3507"/>
      <c r="CML21" s="3507"/>
      <c r="CMM21" s="3507"/>
      <c r="CMN21" s="3507"/>
      <c r="CMO21" s="3507"/>
      <c r="CMP21" s="3507"/>
      <c r="CMQ21" s="3507"/>
      <c r="CMR21" s="3507"/>
      <c r="CMS21" s="3507"/>
      <c r="CMT21" s="3507"/>
      <c r="CMU21" s="3507"/>
      <c r="CMV21" s="3507"/>
      <c r="CMW21" s="3507"/>
      <c r="CMX21" s="3507"/>
      <c r="CMY21" s="3507"/>
      <c r="CMZ21" s="3507"/>
      <c r="CNA21" s="3507"/>
      <c r="CNB21" s="3507"/>
      <c r="CNC21" s="3507"/>
      <c r="CND21" s="3507"/>
      <c r="CNE21" s="3507"/>
      <c r="CNF21" s="3507"/>
      <c r="CNG21" s="3507"/>
      <c r="CNH21" s="3507"/>
      <c r="CNI21" s="3507"/>
      <c r="CNJ21" s="3507"/>
      <c r="CNK21" s="3507"/>
      <c r="CNL21" s="3507"/>
      <c r="CNM21" s="3507"/>
      <c r="CNN21" s="3507"/>
      <c r="CNO21" s="3507"/>
      <c r="CNP21" s="3507"/>
      <c r="CNQ21" s="3507"/>
      <c r="CNR21" s="3507"/>
      <c r="CNS21" s="3507"/>
      <c r="CNT21" s="3507"/>
      <c r="CNU21" s="3507"/>
      <c r="CNV21" s="3507"/>
      <c r="CNW21" s="3507"/>
      <c r="CNX21" s="3507"/>
      <c r="CNY21" s="3507"/>
      <c r="CNZ21" s="3507"/>
      <c r="COA21" s="3507"/>
      <c r="COB21" s="3507"/>
      <c r="COC21" s="3507"/>
      <c r="COD21" s="3507"/>
      <c r="COE21" s="3507"/>
      <c r="COF21" s="3507"/>
      <c r="COG21" s="3507"/>
      <c r="COH21" s="3507"/>
      <c r="COI21" s="3507"/>
      <c r="COJ21" s="3507"/>
      <c r="COK21" s="3507"/>
      <c r="COL21" s="3507"/>
      <c r="COM21" s="3507"/>
      <c r="CON21" s="3507"/>
      <c r="COO21" s="3507"/>
      <c r="COP21" s="3507"/>
      <c r="COQ21" s="3507"/>
      <c r="COR21" s="3507"/>
      <c r="COS21" s="3507"/>
      <c r="COT21" s="3507"/>
      <c r="COU21" s="3507"/>
      <c r="COV21" s="3507"/>
      <c r="COW21" s="3507"/>
      <c r="COX21" s="3507"/>
      <c r="COY21" s="3507"/>
      <c r="COZ21" s="3507"/>
      <c r="CPA21" s="3507"/>
      <c r="CPB21" s="3507"/>
      <c r="CPC21" s="3507"/>
      <c r="CPD21" s="3507"/>
      <c r="CPE21" s="3507"/>
      <c r="CPF21" s="3507"/>
      <c r="CPG21" s="3507"/>
      <c r="CPH21" s="3507"/>
      <c r="CPI21" s="3507"/>
      <c r="CPJ21" s="3507"/>
      <c r="CPK21" s="3507"/>
      <c r="CPL21" s="3507"/>
      <c r="CPM21" s="3507"/>
      <c r="CPN21" s="3507"/>
      <c r="CPO21" s="3507"/>
      <c r="CPP21" s="3507"/>
      <c r="CPQ21" s="3507"/>
      <c r="CPR21" s="3507"/>
      <c r="CPS21" s="3507"/>
      <c r="CPT21" s="3507"/>
      <c r="CPU21" s="3507"/>
      <c r="CPV21" s="3507"/>
      <c r="CPW21" s="3507"/>
      <c r="CPX21" s="3507"/>
      <c r="CPY21" s="3507"/>
      <c r="CPZ21" s="3507"/>
      <c r="CQA21" s="3507"/>
      <c r="CQB21" s="3507"/>
      <c r="CQC21" s="3507"/>
      <c r="CQD21" s="3507"/>
      <c r="CQE21" s="3507"/>
      <c r="CQF21" s="3507"/>
      <c r="CQG21" s="3507"/>
      <c r="CQH21" s="3507"/>
      <c r="CQI21" s="3507"/>
      <c r="CQJ21" s="3507"/>
      <c r="CQK21" s="3507"/>
      <c r="CQL21" s="3507"/>
      <c r="CQM21" s="3507"/>
      <c r="CQN21" s="3507"/>
      <c r="CQO21" s="3507"/>
      <c r="CQP21" s="3507"/>
      <c r="CQQ21" s="3507"/>
      <c r="CQR21" s="3507"/>
      <c r="CQS21" s="3507"/>
      <c r="CQT21" s="3507"/>
      <c r="CQU21" s="3507"/>
      <c r="CQV21" s="3507"/>
      <c r="CQW21" s="3507"/>
      <c r="CQX21" s="3507"/>
      <c r="CQY21" s="3507"/>
      <c r="CQZ21" s="3507"/>
      <c r="CRA21" s="3507"/>
      <c r="CRB21" s="3507"/>
      <c r="CRC21" s="3507"/>
      <c r="CRD21" s="3507"/>
      <c r="CRE21" s="3507"/>
      <c r="CRF21" s="3507"/>
      <c r="CRG21" s="3507"/>
      <c r="CRH21" s="3507"/>
      <c r="CRI21" s="3507"/>
      <c r="CRJ21" s="3507"/>
      <c r="CRK21" s="3507"/>
      <c r="CRL21" s="3507"/>
      <c r="CRM21" s="3507"/>
      <c r="CRN21" s="3507"/>
      <c r="CRO21" s="3507"/>
      <c r="CRP21" s="3507"/>
      <c r="CRQ21" s="3507"/>
      <c r="CRR21" s="3507"/>
      <c r="CRS21" s="3507"/>
      <c r="CRT21" s="3507"/>
      <c r="CRU21" s="3507"/>
      <c r="CRV21" s="3507"/>
      <c r="CRW21" s="3507"/>
      <c r="CRX21" s="3507"/>
      <c r="CRY21" s="3507"/>
      <c r="CRZ21" s="3507"/>
      <c r="CSA21" s="3507"/>
      <c r="CSB21" s="3507"/>
      <c r="CSC21" s="3507"/>
      <c r="CSD21" s="3507"/>
      <c r="CSE21" s="3507"/>
      <c r="CSF21" s="3507"/>
      <c r="CSG21" s="3507"/>
      <c r="CSH21" s="3507"/>
      <c r="CSI21" s="3507"/>
      <c r="CSJ21" s="3507"/>
      <c r="CSK21" s="3507"/>
      <c r="CSL21" s="3507"/>
      <c r="CSM21" s="3507"/>
      <c r="CSN21" s="3507"/>
      <c r="CSO21" s="3507"/>
      <c r="CSP21" s="3507"/>
      <c r="CSQ21" s="3507"/>
      <c r="CSR21" s="3507"/>
      <c r="CSS21" s="3507"/>
      <c r="CST21" s="3507"/>
      <c r="CSU21" s="3507"/>
      <c r="CSV21" s="3507"/>
      <c r="CSW21" s="3507"/>
      <c r="CSX21" s="3507"/>
      <c r="CSY21" s="3507"/>
      <c r="CSZ21" s="3507"/>
      <c r="CTA21" s="3507"/>
      <c r="CTB21" s="3507"/>
      <c r="CTC21" s="3507"/>
      <c r="CTD21" s="3507"/>
      <c r="CTE21" s="3507"/>
      <c r="CTF21" s="3507"/>
      <c r="CTG21" s="3507"/>
      <c r="CTH21" s="3507"/>
      <c r="CTI21" s="3507"/>
      <c r="CTJ21" s="3507"/>
      <c r="CTK21" s="3507"/>
      <c r="CTL21" s="3507"/>
      <c r="CTM21" s="3507"/>
      <c r="CTN21" s="3507"/>
      <c r="CTO21" s="3507"/>
      <c r="CTP21" s="3507"/>
      <c r="CTQ21" s="3507"/>
      <c r="CTR21" s="3507"/>
      <c r="CTS21" s="3507"/>
      <c r="CTT21" s="3507"/>
      <c r="CTU21" s="3507"/>
      <c r="CTV21" s="3507"/>
      <c r="CTW21" s="3507"/>
      <c r="CTX21" s="3507"/>
      <c r="CTY21" s="3507"/>
      <c r="CTZ21" s="3507"/>
      <c r="CUA21" s="3507"/>
      <c r="CUB21" s="3507"/>
      <c r="CUC21" s="3507"/>
      <c r="CUD21" s="3507"/>
      <c r="CUE21" s="3507"/>
      <c r="CUF21" s="3507"/>
      <c r="CUG21" s="3507"/>
      <c r="CUH21" s="3507"/>
      <c r="CUI21" s="3507"/>
      <c r="CUJ21" s="3507"/>
      <c r="CUK21" s="3507"/>
      <c r="CUL21" s="3507"/>
      <c r="CUM21" s="3507"/>
      <c r="CUN21" s="3507"/>
      <c r="CUO21" s="3507"/>
      <c r="CUP21" s="3507"/>
      <c r="CUQ21" s="3507"/>
      <c r="CUR21" s="3507"/>
      <c r="CUS21" s="3507"/>
      <c r="CUT21" s="3507"/>
      <c r="CUU21" s="3507"/>
      <c r="CUV21" s="3507"/>
      <c r="CUW21" s="3507"/>
      <c r="CUX21" s="3507"/>
      <c r="CUY21" s="3507"/>
      <c r="CUZ21" s="3507"/>
      <c r="CVA21" s="3507"/>
      <c r="CVB21" s="3507"/>
      <c r="CVC21" s="3507"/>
      <c r="CVD21" s="3507"/>
      <c r="CVE21" s="3507"/>
      <c r="CVF21" s="3507"/>
      <c r="CVG21" s="3507"/>
      <c r="CVH21" s="3507"/>
      <c r="CVI21" s="3507"/>
      <c r="CVJ21" s="3507"/>
      <c r="CVK21" s="3507"/>
      <c r="CVL21" s="3507"/>
      <c r="CVM21" s="3507"/>
      <c r="CVN21" s="3507"/>
      <c r="CVO21" s="3507"/>
      <c r="CVP21" s="3507"/>
      <c r="CVQ21" s="3507"/>
      <c r="CVR21" s="3507"/>
      <c r="CVS21" s="3507"/>
      <c r="CVT21" s="3507"/>
      <c r="CVU21" s="3507"/>
      <c r="CVV21" s="3507"/>
      <c r="CVW21" s="3507"/>
      <c r="CVX21" s="3507"/>
      <c r="CVY21" s="3507"/>
      <c r="CVZ21" s="3507"/>
      <c r="CWA21" s="3507"/>
      <c r="CWB21" s="3507"/>
      <c r="CWC21" s="3507"/>
      <c r="CWD21" s="3507"/>
      <c r="CWE21" s="3507"/>
      <c r="CWF21" s="3507"/>
      <c r="CWG21" s="3507"/>
      <c r="CWH21" s="3507"/>
      <c r="CWI21" s="3507"/>
      <c r="CWJ21" s="3507"/>
      <c r="CWK21" s="3507"/>
      <c r="CWL21" s="3507"/>
      <c r="CWM21" s="3507"/>
      <c r="CWN21" s="3507"/>
      <c r="CWO21" s="3507"/>
      <c r="CWP21" s="3507"/>
      <c r="CWQ21" s="3507"/>
      <c r="CWR21" s="3507"/>
      <c r="CWS21" s="3507"/>
      <c r="CWT21" s="3507"/>
      <c r="CWU21" s="3507"/>
      <c r="CWV21" s="3507"/>
      <c r="CWW21" s="3507"/>
      <c r="CWX21" s="3507"/>
      <c r="CWY21" s="3507"/>
      <c r="CWZ21" s="3507"/>
      <c r="CXA21" s="3507"/>
      <c r="CXB21" s="3507"/>
      <c r="CXC21" s="3507"/>
      <c r="CXD21" s="3507"/>
      <c r="CXE21" s="3507"/>
      <c r="CXF21" s="3507"/>
      <c r="CXG21" s="3507"/>
      <c r="CXH21" s="3507"/>
      <c r="CXI21" s="3507"/>
      <c r="CXJ21" s="3507"/>
      <c r="CXK21" s="3507"/>
      <c r="CXL21" s="3507"/>
      <c r="CXM21" s="3507"/>
      <c r="CXN21" s="3507"/>
      <c r="CXO21" s="3507"/>
      <c r="CXP21" s="3507"/>
      <c r="CXQ21" s="3507"/>
      <c r="CXR21" s="3507"/>
      <c r="CXS21" s="3507"/>
      <c r="CXT21" s="3507"/>
      <c r="CXU21" s="3507"/>
      <c r="CXV21" s="3507"/>
      <c r="CXW21" s="3507"/>
      <c r="CXX21" s="3507"/>
      <c r="CXY21" s="3507"/>
      <c r="CXZ21" s="3507"/>
      <c r="CYA21" s="3507"/>
      <c r="CYB21" s="3507"/>
      <c r="CYC21" s="3507"/>
      <c r="CYD21" s="3507"/>
      <c r="CYE21" s="3507"/>
      <c r="CYF21" s="3507"/>
      <c r="CYG21" s="3507"/>
      <c r="CYH21" s="3507"/>
      <c r="CYI21" s="3507"/>
      <c r="CYJ21" s="3507"/>
      <c r="CYK21" s="3507"/>
      <c r="CYL21" s="3507"/>
      <c r="CYM21" s="3507"/>
      <c r="CYN21" s="3507"/>
      <c r="CYO21" s="3507"/>
      <c r="CYP21" s="3507"/>
      <c r="CYQ21" s="3507"/>
      <c r="CYR21" s="3507"/>
      <c r="CYS21" s="3507"/>
      <c r="CYT21" s="3507"/>
      <c r="CYU21" s="3507"/>
      <c r="CYV21" s="3507"/>
      <c r="CYW21" s="3507"/>
      <c r="CYX21" s="3507"/>
      <c r="CYY21" s="3507"/>
      <c r="CYZ21" s="3507"/>
      <c r="CZA21" s="3507"/>
      <c r="CZB21" s="3507"/>
      <c r="CZC21" s="3507"/>
      <c r="CZD21" s="3507"/>
      <c r="CZE21" s="3507"/>
      <c r="CZF21" s="3507"/>
      <c r="CZG21" s="3507"/>
      <c r="CZH21" s="3507"/>
      <c r="CZI21" s="3507"/>
      <c r="CZJ21" s="3507"/>
      <c r="CZK21" s="3507"/>
      <c r="CZL21" s="3507"/>
      <c r="CZM21" s="3507"/>
      <c r="CZN21" s="3507"/>
      <c r="CZO21" s="3507"/>
      <c r="CZP21" s="3507"/>
      <c r="CZQ21" s="3507"/>
      <c r="CZR21" s="3507"/>
      <c r="CZS21" s="3507"/>
      <c r="CZT21" s="3507"/>
      <c r="CZU21" s="3507"/>
      <c r="CZV21" s="3507"/>
      <c r="CZW21" s="3507"/>
      <c r="CZX21" s="3507"/>
      <c r="CZY21" s="3507"/>
      <c r="CZZ21" s="3507"/>
      <c r="DAA21" s="3507"/>
      <c r="DAB21" s="3507"/>
      <c r="DAC21" s="3507"/>
      <c r="DAD21" s="3507"/>
      <c r="DAE21" s="3507"/>
      <c r="DAF21" s="3507"/>
      <c r="DAG21" s="3507"/>
      <c r="DAH21" s="3507"/>
      <c r="DAI21" s="3507"/>
      <c r="DAJ21" s="3507"/>
      <c r="DAK21" s="3507"/>
      <c r="DAL21" s="3507"/>
      <c r="DAM21" s="3507"/>
      <c r="DAN21" s="3507"/>
      <c r="DAO21" s="3507"/>
      <c r="DAP21" s="3507"/>
      <c r="DAQ21" s="3507"/>
      <c r="DAR21" s="3507"/>
      <c r="DAS21" s="3507"/>
      <c r="DAT21" s="3507"/>
      <c r="DAU21" s="3507"/>
      <c r="DAV21" s="3507"/>
      <c r="DAW21" s="3507"/>
      <c r="DAX21" s="3507"/>
      <c r="DAY21" s="3507"/>
      <c r="DAZ21" s="3507"/>
      <c r="DBA21" s="3507"/>
      <c r="DBB21" s="3507"/>
      <c r="DBC21" s="3507"/>
      <c r="DBD21" s="3507"/>
      <c r="DBE21" s="3507"/>
      <c r="DBF21" s="3507"/>
      <c r="DBG21" s="3507"/>
      <c r="DBH21" s="3507"/>
      <c r="DBI21" s="3507"/>
      <c r="DBJ21" s="3507"/>
      <c r="DBK21" s="3507"/>
      <c r="DBL21" s="3507"/>
      <c r="DBM21" s="3507"/>
      <c r="DBN21" s="3507"/>
      <c r="DBO21" s="3507"/>
      <c r="DBP21" s="3507"/>
      <c r="DBQ21" s="3507"/>
      <c r="DBR21" s="3507"/>
      <c r="DBS21" s="3507"/>
      <c r="DBT21" s="3507"/>
      <c r="DBU21" s="3507"/>
      <c r="DBV21" s="3507"/>
      <c r="DBW21" s="3507"/>
      <c r="DBX21" s="3507"/>
      <c r="DBY21" s="3507"/>
      <c r="DBZ21" s="3507"/>
      <c r="DCA21" s="3507"/>
      <c r="DCB21" s="3507"/>
      <c r="DCC21" s="3507"/>
      <c r="DCD21" s="3507"/>
      <c r="DCE21" s="3507"/>
      <c r="DCF21" s="3507"/>
      <c r="DCG21" s="3507"/>
      <c r="DCH21" s="3507"/>
      <c r="DCI21" s="3507"/>
      <c r="DCJ21" s="3507"/>
      <c r="DCK21" s="3507"/>
      <c r="DCL21" s="3507"/>
      <c r="DCM21" s="3507"/>
      <c r="DCN21" s="3507"/>
      <c r="DCO21" s="3507"/>
      <c r="DCP21" s="3507"/>
      <c r="DCQ21" s="3507"/>
      <c r="DCR21" s="3507"/>
      <c r="DCS21" s="3507"/>
      <c r="DCT21" s="3507"/>
      <c r="DCU21" s="3507"/>
      <c r="DCV21" s="3507"/>
      <c r="DCW21" s="3507"/>
      <c r="DCX21" s="3507"/>
      <c r="DCY21" s="3507"/>
      <c r="DCZ21" s="3507"/>
      <c r="DDA21" s="3507"/>
      <c r="DDB21" s="3507"/>
      <c r="DDC21" s="3507"/>
      <c r="DDD21" s="3507"/>
      <c r="DDE21" s="3507"/>
      <c r="DDF21" s="3507"/>
      <c r="DDG21" s="3507"/>
      <c r="DDH21" s="3507"/>
      <c r="DDI21" s="3507"/>
      <c r="DDJ21" s="3507"/>
      <c r="DDK21" s="3507"/>
      <c r="DDL21" s="3507"/>
      <c r="DDM21" s="3507"/>
      <c r="DDN21" s="3507"/>
      <c r="DDO21" s="3507"/>
      <c r="DDP21" s="3507"/>
      <c r="DDQ21" s="3507"/>
      <c r="DDR21" s="3507"/>
      <c r="DDS21" s="3507"/>
      <c r="DDT21" s="3507"/>
      <c r="DDU21" s="3507"/>
      <c r="DDV21" s="3507"/>
      <c r="DDW21" s="3507"/>
      <c r="DDX21" s="3507"/>
      <c r="DDY21" s="3507"/>
      <c r="DDZ21" s="3507"/>
      <c r="DEA21" s="3507"/>
      <c r="DEB21" s="3507"/>
      <c r="DEC21" s="3507"/>
      <c r="DED21" s="3507"/>
      <c r="DEE21" s="3507"/>
      <c r="DEF21" s="3507"/>
      <c r="DEG21" s="3507"/>
      <c r="DEH21" s="3507"/>
      <c r="DEI21" s="3507"/>
      <c r="DEJ21" s="3507"/>
      <c r="DEK21" s="3507"/>
      <c r="DEL21" s="3507"/>
      <c r="DEM21" s="3507"/>
      <c r="DEN21" s="3507"/>
      <c r="DEO21" s="3507"/>
      <c r="DEP21" s="3507"/>
      <c r="DEQ21" s="3507"/>
      <c r="DER21" s="3507"/>
      <c r="DES21" s="3507"/>
      <c r="DET21" s="3507"/>
      <c r="DEU21" s="3507"/>
      <c r="DEV21" s="3507"/>
      <c r="DEW21" s="3507"/>
      <c r="DEX21" s="3507"/>
      <c r="DEY21" s="3507"/>
      <c r="DEZ21" s="3507"/>
      <c r="DFA21" s="3507"/>
      <c r="DFB21" s="3507"/>
      <c r="DFC21" s="3507"/>
      <c r="DFD21" s="3507"/>
      <c r="DFE21" s="3507"/>
      <c r="DFF21" s="3507"/>
      <c r="DFG21" s="3507"/>
      <c r="DFH21" s="3507"/>
      <c r="DFI21" s="3507"/>
      <c r="DFJ21" s="3507"/>
      <c r="DFK21" s="3507"/>
      <c r="DFL21" s="3507"/>
      <c r="DFM21" s="3507"/>
      <c r="DFN21" s="3507"/>
      <c r="DFO21" s="3507"/>
      <c r="DFP21" s="3507"/>
      <c r="DFQ21" s="3507"/>
      <c r="DFR21" s="3507"/>
      <c r="DFS21" s="3507"/>
      <c r="DFT21" s="3507"/>
      <c r="DFU21" s="3507"/>
      <c r="DFV21" s="3507"/>
      <c r="DFW21" s="3507"/>
      <c r="DFX21" s="3507"/>
      <c r="DFY21" s="3507"/>
      <c r="DFZ21" s="3507"/>
      <c r="DGA21" s="3507"/>
      <c r="DGB21" s="3507"/>
      <c r="DGC21" s="3507"/>
      <c r="DGD21" s="3507"/>
      <c r="DGE21" s="3507"/>
      <c r="DGF21" s="3507"/>
      <c r="DGG21" s="3507"/>
      <c r="DGH21" s="3507"/>
      <c r="DGI21" s="3507"/>
      <c r="DGJ21" s="3507"/>
      <c r="DGK21" s="3507"/>
      <c r="DGL21" s="3507"/>
      <c r="DGM21" s="3507"/>
      <c r="DGN21" s="3507"/>
      <c r="DGO21" s="3507"/>
      <c r="DGP21" s="3507"/>
      <c r="DGQ21" s="3507"/>
      <c r="DGR21" s="3507"/>
      <c r="DGS21" s="3507"/>
      <c r="DGT21" s="3507"/>
      <c r="DGU21" s="3507"/>
      <c r="DGV21" s="3507"/>
      <c r="DGW21" s="3507"/>
      <c r="DGX21" s="3507"/>
      <c r="DGY21" s="3507"/>
      <c r="DGZ21" s="3507"/>
      <c r="DHA21" s="3507"/>
      <c r="DHB21" s="3507"/>
      <c r="DHC21" s="3507"/>
      <c r="DHD21" s="3507"/>
      <c r="DHE21" s="3507"/>
      <c r="DHF21" s="3507"/>
      <c r="DHG21" s="3507"/>
      <c r="DHH21" s="3507"/>
      <c r="DHI21" s="3507"/>
      <c r="DHJ21" s="3507"/>
      <c r="DHK21" s="3507"/>
      <c r="DHL21" s="3507"/>
      <c r="DHM21" s="3507"/>
      <c r="DHN21" s="3507"/>
      <c r="DHO21" s="3507"/>
      <c r="DHP21" s="3507"/>
      <c r="DHQ21" s="3507"/>
      <c r="DHR21" s="3507"/>
      <c r="DHS21" s="3507"/>
      <c r="DHT21" s="3507"/>
      <c r="DHU21" s="3507"/>
      <c r="DHV21" s="3507"/>
      <c r="DHW21" s="3507"/>
      <c r="DHX21" s="3507"/>
      <c r="DHY21" s="3507"/>
      <c r="DHZ21" s="3507"/>
      <c r="DIA21" s="3507"/>
      <c r="DIB21" s="3507"/>
      <c r="DIC21" s="3507"/>
      <c r="DID21" s="3507"/>
      <c r="DIE21" s="3507"/>
      <c r="DIF21" s="3507"/>
      <c r="DIG21" s="3507"/>
      <c r="DIH21" s="3507"/>
      <c r="DII21" s="3507"/>
      <c r="DIJ21" s="3507"/>
      <c r="DIK21" s="3507"/>
      <c r="DIL21" s="3507"/>
      <c r="DIM21" s="3507"/>
      <c r="DIN21" s="3507"/>
      <c r="DIO21" s="3507"/>
      <c r="DIP21" s="3507"/>
      <c r="DIQ21" s="3507"/>
      <c r="DIR21" s="3507"/>
      <c r="DIS21" s="3507"/>
      <c r="DIT21" s="3507"/>
      <c r="DIU21" s="3507"/>
      <c r="DIV21" s="3507"/>
      <c r="DIW21" s="3507"/>
      <c r="DIX21" s="3507"/>
      <c r="DIY21" s="3507"/>
      <c r="DIZ21" s="3507"/>
      <c r="DJA21" s="3507"/>
      <c r="DJB21" s="3507"/>
      <c r="DJC21" s="3507"/>
      <c r="DJD21" s="3507"/>
      <c r="DJE21" s="3507"/>
      <c r="DJF21" s="3507"/>
      <c r="DJG21" s="3507"/>
      <c r="DJH21" s="3507"/>
      <c r="DJI21" s="3507"/>
      <c r="DJJ21" s="3507"/>
      <c r="DJK21" s="3507"/>
      <c r="DJL21" s="3507"/>
      <c r="DJM21" s="3507"/>
      <c r="DJN21" s="3507"/>
      <c r="DJO21" s="3507"/>
      <c r="DJP21" s="3507"/>
      <c r="DJQ21" s="3507"/>
      <c r="DJR21" s="3507"/>
      <c r="DJS21" s="3507"/>
      <c r="DJT21" s="3507"/>
      <c r="DJU21" s="3507"/>
      <c r="DJV21" s="3507"/>
      <c r="DJW21" s="3507"/>
      <c r="DJX21" s="3507"/>
      <c r="DJY21" s="3507"/>
      <c r="DJZ21" s="3507"/>
      <c r="DKA21" s="3507"/>
      <c r="DKB21" s="3507"/>
      <c r="DKC21" s="3507"/>
      <c r="DKD21" s="3507"/>
      <c r="DKE21" s="3507"/>
      <c r="DKF21" s="3507"/>
      <c r="DKG21" s="3507"/>
      <c r="DKH21" s="3507"/>
      <c r="DKI21" s="3507"/>
      <c r="DKJ21" s="3507"/>
      <c r="DKK21" s="3507"/>
      <c r="DKL21" s="3507"/>
      <c r="DKM21" s="3507"/>
      <c r="DKN21" s="3507"/>
      <c r="DKO21" s="3507"/>
      <c r="DKP21" s="3507"/>
      <c r="DKQ21" s="3507"/>
      <c r="DKR21" s="3507"/>
      <c r="DKS21" s="3507"/>
      <c r="DKT21" s="3507"/>
      <c r="DKU21" s="3507"/>
      <c r="DKV21" s="3507"/>
      <c r="DKW21" s="3507"/>
      <c r="DKX21" s="3507"/>
      <c r="DKY21" s="3507"/>
      <c r="DKZ21" s="3507"/>
      <c r="DLA21" s="3507"/>
      <c r="DLB21" s="3507"/>
      <c r="DLC21" s="3507"/>
      <c r="DLD21" s="3507"/>
      <c r="DLE21" s="3507"/>
      <c r="DLF21" s="3507"/>
      <c r="DLG21" s="3507"/>
      <c r="DLH21" s="3507"/>
      <c r="DLI21" s="3507"/>
      <c r="DLJ21" s="3507"/>
      <c r="DLK21" s="3507"/>
      <c r="DLL21" s="3507"/>
      <c r="DLM21" s="3507"/>
      <c r="DLN21" s="3507"/>
      <c r="DLO21" s="3507"/>
      <c r="DLP21" s="3507"/>
      <c r="DLQ21" s="3507"/>
      <c r="DLR21" s="3507"/>
      <c r="DLS21" s="3507"/>
      <c r="DLT21" s="3507"/>
      <c r="DLU21" s="3507"/>
      <c r="DLV21" s="3507"/>
      <c r="DLW21" s="3507"/>
      <c r="DLX21" s="3507"/>
      <c r="DLY21" s="3507"/>
      <c r="DLZ21" s="3507"/>
      <c r="DMA21" s="3507"/>
      <c r="DMB21" s="3507"/>
      <c r="DMC21" s="3507"/>
      <c r="DMD21" s="3507"/>
      <c r="DME21" s="3507"/>
      <c r="DMF21" s="3507"/>
      <c r="DMG21" s="3507"/>
      <c r="DMH21" s="3507"/>
      <c r="DMI21" s="3507"/>
      <c r="DMJ21" s="3507"/>
      <c r="DMK21" s="3507"/>
      <c r="DML21" s="3507"/>
      <c r="DMM21" s="3507"/>
      <c r="DMN21" s="3507"/>
      <c r="DMO21" s="3507"/>
      <c r="DMP21" s="3507"/>
      <c r="DMQ21" s="3507"/>
      <c r="DMR21" s="3507"/>
      <c r="DMS21" s="3507"/>
      <c r="DMT21" s="3507"/>
      <c r="DMU21" s="3507"/>
      <c r="DMV21" s="3507"/>
      <c r="DMW21" s="3507"/>
      <c r="DMX21" s="3507"/>
      <c r="DMY21" s="3507"/>
      <c r="DMZ21" s="3507"/>
      <c r="DNA21" s="3507"/>
      <c r="DNB21" s="3507"/>
      <c r="DNC21" s="3507"/>
      <c r="DND21" s="3507"/>
      <c r="DNE21" s="3507"/>
      <c r="DNF21" s="3507"/>
      <c r="DNG21" s="3507"/>
      <c r="DNH21" s="3507"/>
      <c r="DNI21" s="3507"/>
      <c r="DNJ21" s="3507"/>
      <c r="DNK21" s="3507"/>
      <c r="DNL21" s="3507"/>
      <c r="DNM21" s="3507"/>
      <c r="DNN21" s="3507"/>
      <c r="DNO21" s="3507"/>
      <c r="DNP21" s="3507"/>
      <c r="DNQ21" s="3507"/>
      <c r="DNR21" s="3507"/>
      <c r="DNS21" s="3507"/>
      <c r="DNT21" s="3507"/>
      <c r="DNU21" s="3507"/>
      <c r="DNV21" s="3507"/>
      <c r="DNW21" s="3507"/>
      <c r="DNX21" s="3507"/>
      <c r="DNY21" s="3507"/>
      <c r="DNZ21" s="3507"/>
      <c r="DOA21" s="3507"/>
      <c r="DOB21" s="3507"/>
      <c r="DOC21" s="3507"/>
      <c r="DOD21" s="3507"/>
      <c r="DOE21" s="3507"/>
      <c r="DOF21" s="3507"/>
      <c r="DOG21" s="3507"/>
      <c r="DOH21" s="3507"/>
      <c r="DOI21" s="3507"/>
      <c r="DOJ21" s="3507"/>
      <c r="DOK21" s="3507"/>
      <c r="DOL21" s="3507"/>
      <c r="DOM21" s="3507"/>
      <c r="DON21" s="3507"/>
      <c r="DOO21" s="3507"/>
      <c r="DOP21" s="3507"/>
      <c r="DOQ21" s="3507"/>
      <c r="DOR21" s="3507"/>
      <c r="DOS21" s="3507"/>
      <c r="DOT21" s="3507"/>
      <c r="DOU21" s="3507"/>
      <c r="DOV21" s="3507"/>
      <c r="DOW21" s="3507"/>
      <c r="DOX21" s="3507"/>
      <c r="DOY21" s="3507"/>
      <c r="DOZ21" s="3507"/>
      <c r="DPA21" s="3507"/>
      <c r="DPB21" s="3507"/>
      <c r="DPC21" s="3507"/>
      <c r="DPD21" s="3507"/>
      <c r="DPE21" s="3507"/>
      <c r="DPF21" s="3507"/>
      <c r="DPG21" s="3507"/>
      <c r="DPH21" s="3507"/>
      <c r="DPI21" s="3507"/>
      <c r="DPJ21" s="3507"/>
      <c r="DPK21" s="3507"/>
      <c r="DPL21" s="3507"/>
      <c r="DPM21" s="3507"/>
      <c r="DPN21" s="3507"/>
      <c r="DPO21" s="3507"/>
      <c r="DPP21" s="3507"/>
      <c r="DPQ21" s="3507"/>
      <c r="DPR21" s="3507"/>
      <c r="DPS21" s="3507"/>
      <c r="DPT21" s="3507"/>
      <c r="DPU21" s="3507"/>
      <c r="DPV21" s="3507"/>
      <c r="DPW21" s="3507"/>
      <c r="DPX21" s="3507"/>
      <c r="DPY21" s="3507"/>
      <c r="DPZ21" s="3507"/>
      <c r="DQA21" s="3507"/>
      <c r="DQB21" s="3507"/>
      <c r="DQC21" s="3507"/>
      <c r="DQD21" s="3507"/>
      <c r="DQE21" s="3507"/>
      <c r="DQF21" s="3507"/>
      <c r="DQG21" s="3507"/>
      <c r="DQH21" s="3507"/>
      <c r="DQI21" s="3507"/>
      <c r="DQJ21" s="3507"/>
      <c r="DQK21" s="3507"/>
      <c r="DQL21" s="3507"/>
      <c r="DQM21" s="3507"/>
      <c r="DQN21" s="3507"/>
      <c r="DQO21" s="3507"/>
      <c r="DQP21" s="3507"/>
      <c r="DQQ21" s="3507"/>
      <c r="DQR21" s="3507"/>
      <c r="DQS21" s="3507"/>
      <c r="DQT21" s="3507"/>
      <c r="DQU21" s="3507"/>
      <c r="DQV21" s="3507"/>
      <c r="DQW21" s="3507"/>
      <c r="DQX21" s="3507"/>
      <c r="DQY21" s="3507"/>
      <c r="DQZ21" s="3507"/>
      <c r="DRA21" s="3507"/>
      <c r="DRB21" s="3507"/>
      <c r="DRC21" s="3507"/>
      <c r="DRD21" s="3507"/>
      <c r="DRE21" s="3507"/>
      <c r="DRF21" s="3507"/>
      <c r="DRG21" s="3507"/>
      <c r="DRH21" s="3507"/>
      <c r="DRI21" s="3507"/>
      <c r="DRJ21" s="3507"/>
      <c r="DRK21" s="3507"/>
      <c r="DRL21" s="3507"/>
      <c r="DRM21" s="3507"/>
      <c r="DRN21" s="3507"/>
      <c r="DRO21" s="3507"/>
      <c r="DRP21" s="3507"/>
      <c r="DRQ21" s="3507"/>
      <c r="DRR21" s="3507"/>
      <c r="DRS21" s="3507"/>
      <c r="DRT21" s="3507"/>
      <c r="DRU21" s="3507"/>
      <c r="DRV21" s="3507"/>
      <c r="DRW21" s="3507"/>
      <c r="DRX21" s="3507"/>
      <c r="DRY21" s="3507"/>
      <c r="DRZ21" s="3507"/>
      <c r="DSA21" s="3507"/>
      <c r="DSB21" s="3507"/>
      <c r="DSC21" s="3507"/>
      <c r="DSD21" s="3507"/>
      <c r="DSE21" s="3507"/>
      <c r="DSF21" s="3507"/>
      <c r="DSG21" s="3507"/>
      <c r="DSH21" s="3507"/>
      <c r="DSI21" s="3507"/>
      <c r="DSJ21" s="3507"/>
      <c r="DSK21" s="3507"/>
      <c r="DSL21" s="3507"/>
      <c r="DSM21" s="3507"/>
      <c r="DSN21" s="3507"/>
      <c r="DSO21" s="3507"/>
      <c r="DSP21" s="3507"/>
      <c r="DSQ21" s="3507"/>
      <c r="DSR21" s="3507"/>
      <c r="DSS21" s="3507"/>
      <c r="DST21" s="3507"/>
      <c r="DSU21" s="3507"/>
      <c r="DSV21" s="3507"/>
      <c r="DSW21" s="3507"/>
      <c r="DSX21" s="3507"/>
      <c r="DSY21" s="3507"/>
      <c r="DSZ21" s="3507"/>
      <c r="DTA21" s="3507"/>
      <c r="DTB21" s="3507"/>
      <c r="DTC21" s="3507"/>
      <c r="DTD21" s="3507"/>
      <c r="DTE21" s="3507"/>
      <c r="DTF21" s="3507"/>
      <c r="DTG21" s="3507"/>
      <c r="DTH21" s="3507"/>
      <c r="DTI21" s="3507"/>
      <c r="DTJ21" s="3507"/>
      <c r="DTK21" s="3507"/>
      <c r="DTL21" s="3507"/>
      <c r="DTM21" s="3507"/>
      <c r="DTN21" s="3507"/>
      <c r="DTO21" s="3507"/>
      <c r="DTP21" s="3507"/>
      <c r="DTQ21" s="3507"/>
      <c r="DTR21" s="3507"/>
      <c r="DTS21" s="3507"/>
      <c r="DTT21" s="3507"/>
      <c r="DTU21" s="3507"/>
      <c r="DTV21" s="3507"/>
      <c r="DTW21" s="3507"/>
      <c r="DTX21" s="3507"/>
      <c r="DTY21" s="3507"/>
      <c r="DTZ21" s="3507"/>
      <c r="DUA21" s="3507"/>
      <c r="DUB21" s="3507"/>
      <c r="DUC21" s="3507"/>
      <c r="DUD21" s="3507"/>
      <c r="DUE21" s="3507"/>
      <c r="DUF21" s="3507"/>
      <c r="DUG21" s="3507"/>
      <c r="DUH21" s="3507"/>
      <c r="DUI21" s="3507"/>
      <c r="DUJ21" s="3507"/>
      <c r="DUK21" s="3507"/>
      <c r="DUL21" s="3507"/>
      <c r="DUM21" s="3507"/>
      <c r="DUN21" s="3507"/>
      <c r="DUO21" s="3507"/>
      <c r="DUP21" s="3507"/>
      <c r="DUQ21" s="3507"/>
      <c r="DUR21" s="3507"/>
      <c r="DUS21" s="3507"/>
      <c r="DUT21" s="3507"/>
      <c r="DUU21" s="3507"/>
      <c r="DUV21" s="3507"/>
      <c r="DUW21" s="3507"/>
      <c r="DUX21" s="3507"/>
      <c r="DUY21" s="3507"/>
      <c r="DUZ21" s="3507"/>
      <c r="DVA21" s="3507"/>
      <c r="DVB21" s="3507"/>
      <c r="DVC21" s="3507"/>
      <c r="DVD21" s="3507"/>
      <c r="DVE21" s="3507"/>
      <c r="DVF21" s="3507"/>
      <c r="DVG21" s="3507"/>
      <c r="DVH21" s="3507"/>
      <c r="DVI21" s="3507"/>
      <c r="DVJ21" s="3507"/>
      <c r="DVK21" s="3507"/>
      <c r="DVL21" s="3507"/>
      <c r="DVM21" s="3507"/>
      <c r="DVN21" s="3507"/>
      <c r="DVO21" s="3507"/>
      <c r="DVP21" s="3507"/>
      <c r="DVQ21" s="3507"/>
      <c r="DVR21" s="3507"/>
      <c r="DVS21" s="3507"/>
      <c r="DVT21" s="3507"/>
      <c r="DVU21" s="3507"/>
      <c r="DVV21" s="3507"/>
      <c r="DVW21" s="3507"/>
      <c r="DVX21" s="3507"/>
      <c r="DVY21" s="3507"/>
      <c r="DVZ21" s="3507"/>
      <c r="DWA21" s="3507"/>
      <c r="DWB21" s="3507"/>
      <c r="DWC21" s="3507"/>
      <c r="DWD21" s="3507"/>
      <c r="DWE21" s="3507"/>
      <c r="DWF21" s="3507"/>
      <c r="DWG21" s="3507"/>
      <c r="DWH21" s="3507"/>
      <c r="DWI21" s="3507"/>
      <c r="DWJ21" s="3507"/>
      <c r="DWK21" s="3507"/>
      <c r="DWL21" s="3507"/>
      <c r="DWM21" s="3507"/>
      <c r="DWN21" s="3507"/>
      <c r="DWO21" s="3507"/>
      <c r="DWP21" s="3507"/>
      <c r="DWQ21" s="3507"/>
      <c r="DWR21" s="3507"/>
      <c r="DWS21" s="3507"/>
      <c r="DWT21" s="3507"/>
      <c r="DWU21" s="3507"/>
      <c r="DWV21" s="3507"/>
      <c r="DWW21" s="3507"/>
      <c r="DWX21" s="3507"/>
      <c r="DWY21" s="3507"/>
      <c r="DWZ21" s="3507"/>
      <c r="DXA21" s="3507"/>
      <c r="DXB21" s="3507"/>
      <c r="DXC21" s="3507"/>
      <c r="DXD21" s="3507"/>
      <c r="DXE21" s="3507"/>
      <c r="DXF21" s="3507"/>
      <c r="DXG21" s="3507"/>
      <c r="DXH21" s="3507"/>
      <c r="DXI21" s="3507"/>
      <c r="DXJ21" s="3507"/>
      <c r="DXK21" s="3507"/>
      <c r="DXL21" s="3507"/>
      <c r="DXM21" s="3507"/>
      <c r="DXN21" s="3507"/>
      <c r="DXO21" s="3507"/>
      <c r="DXP21" s="3507"/>
      <c r="DXQ21" s="3507"/>
      <c r="DXR21" s="3507"/>
      <c r="DXS21" s="3507"/>
      <c r="DXT21" s="3507"/>
      <c r="DXU21" s="3507"/>
      <c r="DXV21" s="3507"/>
      <c r="DXW21" s="3507"/>
      <c r="DXX21" s="3507"/>
      <c r="DXY21" s="3507"/>
      <c r="DXZ21" s="3507"/>
      <c r="DYA21" s="3507"/>
      <c r="DYB21" s="3507"/>
      <c r="DYC21" s="3507"/>
      <c r="DYD21" s="3507"/>
      <c r="DYE21" s="3507"/>
      <c r="DYF21" s="3507"/>
      <c r="DYG21" s="3507"/>
      <c r="DYH21" s="3507"/>
      <c r="DYI21" s="3507"/>
      <c r="DYJ21" s="3507"/>
      <c r="DYK21" s="3507"/>
      <c r="DYL21" s="3507"/>
      <c r="DYM21" s="3507"/>
      <c r="DYN21" s="3507"/>
      <c r="DYO21" s="3507"/>
      <c r="DYP21" s="3507"/>
      <c r="DYQ21" s="3507"/>
      <c r="DYR21" s="3507"/>
      <c r="DYS21" s="3507"/>
      <c r="DYT21" s="3507"/>
      <c r="DYU21" s="3507"/>
      <c r="DYV21" s="3507"/>
      <c r="DYW21" s="3507"/>
      <c r="DYX21" s="3507"/>
      <c r="DYY21" s="3507"/>
      <c r="DYZ21" s="3507"/>
      <c r="DZA21" s="3507"/>
      <c r="DZB21" s="3507"/>
      <c r="DZC21" s="3507"/>
      <c r="DZD21" s="3507"/>
      <c r="DZE21" s="3507"/>
      <c r="DZF21" s="3507"/>
      <c r="DZG21" s="3507"/>
      <c r="DZH21" s="3507"/>
      <c r="DZI21" s="3507"/>
      <c r="DZJ21" s="3507"/>
      <c r="DZK21" s="3507"/>
      <c r="DZL21" s="3507"/>
      <c r="DZM21" s="3507"/>
      <c r="DZN21" s="3507"/>
      <c r="DZO21" s="3507"/>
      <c r="DZP21" s="3507"/>
      <c r="DZQ21" s="3507"/>
      <c r="DZR21" s="3507"/>
      <c r="DZS21" s="3507"/>
      <c r="DZT21" s="3507"/>
      <c r="DZU21" s="3507"/>
      <c r="DZV21" s="3507"/>
      <c r="DZW21" s="3507"/>
      <c r="DZX21" s="3507"/>
      <c r="DZY21" s="3507"/>
      <c r="DZZ21" s="3507"/>
      <c r="EAA21" s="3507"/>
      <c r="EAB21" s="3507"/>
      <c r="EAC21" s="3507"/>
      <c r="EAD21" s="3507"/>
      <c r="EAE21" s="3507"/>
      <c r="EAF21" s="3507"/>
      <c r="EAG21" s="3507"/>
      <c r="EAH21" s="3507"/>
      <c r="EAI21" s="3507"/>
      <c r="EAJ21" s="3507"/>
      <c r="EAK21" s="3507"/>
      <c r="EAL21" s="3507"/>
      <c r="EAM21" s="3507"/>
      <c r="EAN21" s="3507"/>
      <c r="EAO21" s="3507"/>
      <c r="EAP21" s="3507"/>
      <c r="EAQ21" s="3507"/>
      <c r="EAR21" s="3507"/>
      <c r="EAS21" s="3507"/>
      <c r="EAT21" s="3507"/>
      <c r="EAU21" s="3507"/>
      <c r="EAV21" s="3507"/>
      <c r="EAW21" s="3507"/>
      <c r="EAX21" s="3507"/>
      <c r="EAY21" s="3507"/>
      <c r="EAZ21" s="3507"/>
      <c r="EBA21" s="3507"/>
      <c r="EBB21" s="3507"/>
      <c r="EBC21" s="3507"/>
      <c r="EBD21" s="3507"/>
      <c r="EBE21" s="3507"/>
      <c r="EBF21" s="3507"/>
      <c r="EBG21" s="3507"/>
      <c r="EBH21" s="3507"/>
      <c r="EBI21" s="3507"/>
      <c r="EBJ21" s="3507"/>
      <c r="EBK21" s="3507"/>
      <c r="EBL21" s="3507"/>
      <c r="EBM21" s="3507"/>
      <c r="EBN21" s="3507"/>
      <c r="EBO21" s="3507"/>
      <c r="EBP21" s="3507"/>
      <c r="EBQ21" s="3507"/>
      <c r="EBR21" s="3507"/>
      <c r="EBS21" s="3507"/>
      <c r="EBT21" s="3507"/>
      <c r="EBU21" s="3507"/>
      <c r="EBV21" s="3507"/>
      <c r="EBW21" s="3507"/>
      <c r="EBX21" s="3507"/>
      <c r="EBY21" s="3507"/>
      <c r="EBZ21" s="3507"/>
      <c r="ECA21" s="3507"/>
      <c r="ECB21" s="3507"/>
      <c r="ECC21" s="3507"/>
      <c r="ECD21" s="3507"/>
      <c r="ECE21" s="3507"/>
      <c r="ECF21" s="3507"/>
      <c r="ECG21" s="3507"/>
      <c r="ECH21" s="3507"/>
      <c r="ECI21" s="3507"/>
      <c r="ECJ21" s="3507"/>
      <c r="ECK21" s="3507"/>
      <c r="ECL21" s="3507"/>
      <c r="ECM21" s="3507"/>
      <c r="ECN21" s="3507"/>
      <c r="ECO21" s="3507"/>
      <c r="ECP21" s="3507"/>
      <c r="ECQ21" s="3507"/>
      <c r="ECR21" s="3507"/>
      <c r="ECS21" s="3507"/>
      <c r="ECT21" s="3507"/>
      <c r="ECU21" s="3507"/>
      <c r="ECV21" s="3507"/>
      <c r="ECW21" s="3507"/>
      <c r="ECX21" s="3507"/>
      <c r="ECY21" s="3507"/>
      <c r="ECZ21" s="3507"/>
      <c r="EDA21" s="3507"/>
      <c r="EDB21" s="3507"/>
      <c r="EDC21" s="3507"/>
      <c r="EDD21" s="3507"/>
      <c r="EDE21" s="3507"/>
      <c r="EDF21" s="3507"/>
      <c r="EDG21" s="3507"/>
      <c r="EDH21" s="3507"/>
      <c r="EDI21" s="3507"/>
      <c r="EDJ21" s="3507"/>
      <c r="EDK21" s="3507"/>
      <c r="EDL21" s="3507"/>
      <c r="EDM21" s="3507"/>
      <c r="EDN21" s="3507"/>
      <c r="EDO21" s="3507"/>
      <c r="EDP21" s="3507"/>
      <c r="EDQ21" s="3507"/>
      <c r="EDR21" s="3507"/>
      <c r="EDS21" s="3507"/>
      <c r="EDT21" s="3507"/>
      <c r="EDU21" s="3507"/>
      <c r="EDV21" s="3507"/>
      <c r="EDW21" s="3507"/>
      <c r="EDX21" s="3507"/>
      <c r="EDY21" s="3507"/>
      <c r="EDZ21" s="3507"/>
      <c r="EEA21" s="3507"/>
      <c r="EEB21" s="3507"/>
      <c r="EEC21" s="3507"/>
      <c r="EED21" s="3507"/>
      <c r="EEE21" s="3507"/>
      <c r="EEF21" s="3507"/>
      <c r="EEG21" s="3507"/>
      <c r="EEH21" s="3507"/>
      <c r="EEI21" s="3507"/>
      <c r="EEJ21" s="3507"/>
      <c r="EEK21" s="3507"/>
      <c r="EEL21" s="3507"/>
      <c r="EEM21" s="3507"/>
      <c r="EEN21" s="3507"/>
      <c r="EEO21" s="3507"/>
      <c r="EEP21" s="3507"/>
      <c r="EEQ21" s="3507"/>
      <c r="EER21" s="3507"/>
      <c r="EES21" s="3507"/>
      <c r="EET21" s="3507"/>
      <c r="EEU21" s="3507"/>
      <c r="EEV21" s="3507"/>
      <c r="EEW21" s="3507"/>
      <c r="EEX21" s="3507"/>
      <c r="EEY21" s="3507"/>
      <c r="EEZ21" s="3507"/>
      <c r="EFA21" s="3507"/>
      <c r="EFB21" s="3507"/>
      <c r="EFC21" s="3507"/>
      <c r="EFD21" s="3507"/>
      <c r="EFE21" s="3507"/>
      <c r="EFF21" s="3507"/>
      <c r="EFG21" s="3507"/>
      <c r="EFH21" s="3507"/>
      <c r="EFI21" s="3507"/>
      <c r="EFJ21" s="3507"/>
      <c r="EFK21" s="3507"/>
      <c r="EFL21" s="3507"/>
      <c r="EFM21" s="3507"/>
      <c r="EFN21" s="3507"/>
      <c r="EFO21" s="3507"/>
      <c r="EFP21" s="3507"/>
      <c r="EFQ21" s="3507"/>
      <c r="EFR21" s="3507"/>
      <c r="EFS21" s="3507"/>
      <c r="EFT21" s="3507"/>
      <c r="EFU21" s="3507"/>
      <c r="EFV21" s="3507"/>
      <c r="EFW21" s="3507"/>
      <c r="EFX21" s="3507"/>
      <c r="EFY21" s="3507"/>
      <c r="EFZ21" s="3507"/>
      <c r="EGA21" s="3507"/>
      <c r="EGB21" s="3507"/>
      <c r="EGC21" s="3507"/>
      <c r="EGD21" s="3507"/>
      <c r="EGE21" s="3507"/>
      <c r="EGF21" s="3507"/>
      <c r="EGG21" s="3507"/>
      <c r="EGH21" s="3507"/>
      <c r="EGI21" s="3507"/>
      <c r="EGJ21" s="3507"/>
      <c r="EGK21" s="3507"/>
      <c r="EGL21" s="3507"/>
      <c r="EGM21" s="3507"/>
      <c r="EGN21" s="3507"/>
      <c r="EGO21" s="3507"/>
      <c r="EGP21" s="3507"/>
      <c r="EGQ21" s="3507"/>
      <c r="EGR21" s="3507"/>
      <c r="EGS21" s="3507"/>
      <c r="EGT21" s="3507"/>
      <c r="EGU21" s="3507"/>
      <c r="EGV21" s="3507"/>
      <c r="EGW21" s="3507"/>
      <c r="EGX21" s="3507"/>
      <c r="EGY21" s="3507"/>
      <c r="EGZ21" s="3507"/>
      <c r="EHA21" s="3507"/>
      <c r="EHB21" s="3507"/>
      <c r="EHC21" s="3507"/>
      <c r="EHD21" s="3507"/>
      <c r="EHE21" s="3507"/>
      <c r="EHF21" s="3507"/>
      <c r="EHG21" s="3507"/>
      <c r="EHH21" s="3507"/>
      <c r="EHI21" s="3507"/>
      <c r="EHJ21" s="3507"/>
      <c r="EHK21" s="3507"/>
      <c r="EHL21" s="3507"/>
      <c r="EHM21" s="3507"/>
      <c r="EHN21" s="3507"/>
      <c r="EHO21" s="3507"/>
      <c r="EHP21" s="3507"/>
      <c r="EHQ21" s="3507"/>
      <c r="EHR21" s="3507"/>
      <c r="EHS21" s="3507"/>
      <c r="EHT21" s="3507"/>
      <c r="EHU21" s="3507"/>
      <c r="EHV21" s="3507"/>
      <c r="EHW21" s="3507"/>
      <c r="EHX21" s="3507"/>
      <c r="EHY21" s="3507"/>
      <c r="EHZ21" s="3507"/>
      <c r="EIA21" s="3507"/>
      <c r="EIB21" s="3507"/>
      <c r="EIC21" s="3507"/>
      <c r="EID21" s="3507"/>
      <c r="EIE21" s="3507"/>
      <c r="EIF21" s="3507"/>
      <c r="EIG21" s="3507"/>
      <c r="EIH21" s="3507"/>
      <c r="EII21" s="3507"/>
      <c r="EIJ21" s="3507"/>
      <c r="EIK21" s="3507"/>
      <c r="EIL21" s="3507"/>
      <c r="EIM21" s="3507"/>
      <c r="EIN21" s="3507"/>
      <c r="EIO21" s="3507"/>
      <c r="EIP21" s="3507"/>
      <c r="EIQ21" s="3507"/>
      <c r="EIR21" s="3507"/>
      <c r="EIS21" s="3507"/>
      <c r="EIT21" s="3507"/>
      <c r="EIU21" s="3507"/>
      <c r="EIV21" s="3507"/>
      <c r="EIW21" s="3507"/>
      <c r="EIX21" s="3507"/>
      <c r="EIY21" s="3507"/>
      <c r="EIZ21" s="3507"/>
      <c r="EJA21" s="3507"/>
      <c r="EJB21" s="3507"/>
      <c r="EJC21" s="3507"/>
      <c r="EJD21" s="3507"/>
      <c r="EJE21" s="3507"/>
      <c r="EJF21" s="3507"/>
      <c r="EJG21" s="3507"/>
      <c r="EJH21" s="3507"/>
      <c r="EJI21" s="3507"/>
      <c r="EJJ21" s="3507"/>
      <c r="EJK21" s="3507"/>
      <c r="EJL21" s="3507"/>
      <c r="EJM21" s="3507"/>
      <c r="EJN21" s="3507"/>
      <c r="EJO21" s="3507"/>
      <c r="EJP21" s="3507"/>
      <c r="EJQ21" s="3507"/>
      <c r="EJR21" s="3507"/>
      <c r="EJS21" s="3507"/>
      <c r="EJT21" s="3507"/>
      <c r="EJU21" s="3507"/>
      <c r="EJV21" s="3507"/>
      <c r="EJW21" s="3507"/>
      <c r="EJX21" s="3507"/>
      <c r="EJY21" s="3507"/>
      <c r="EJZ21" s="3507"/>
      <c r="EKA21" s="3507"/>
      <c r="EKB21" s="3507"/>
      <c r="EKC21" s="3507"/>
      <c r="EKD21" s="3507"/>
      <c r="EKE21" s="3507"/>
      <c r="EKF21" s="3507"/>
      <c r="EKG21" s="3507"/>
      <c r="EKH21" s="3507"/>
      <c r="EKI21" s="3507"/>
      <c r="EKJ21" s="3507"/>
      <c r="EKK21" s="3507"/>
      <c r="EKL21" s="3507"/>
      <c r="EKM21" s="3507"/>
      <c r="EKN21" s="3507"/>
      <c r="EKO21" s="3507"/>
      <c r="EKP21" s="3507"/>
      <c r="EKQ21" s="3507"/>
      <c r="EKR21" s="3507"/>
      <c r="EKS21" s="3507"/>
      <c r="EKT21" s="3507"/>
      <c r="EKU21" s="3507"/>
      <c r="EKV21" s="3507"/>
      <c r="EKW21" s="3507"/>
      <c r="EKX21" s="3507"/>
      <c r="EKY21" s="3507"/>
      <c r="EKZ21" s="3507"/>
      <c r="ELA21" s="3507"/>
      <c r="ELB21" s="3507"/>
      <c r="ELC21" s="3507"/>
      <c r="ELD21" s="3507"/>
      <c r="ELE21" s="3507"/>
      <c r="ELF21" s="3507"/>
      <c r="ELG21" s="3507"/>
      <c r="ELH21" s="3507"/>
      <c r="ELI21" s="3507"/>
      <c r="ELJ21" s="3507"/>
      <c r="ELK21" s="3507"/>
      <c r="ELL21" s="3507"/>
      <c r="ELM21" s="3507"/>
      <c r="ELN21" s="3507"/>
      <c r="ELO21" s="3507"/>
      <c r="ELP21" s="3507"/>
      <c r="ELQ21" s="3507"/>
      <c r="ELR21" s="3507"/>
      <c r="ELS21" s="3507"/>
      <c r="ELT21" s="3507"/>
      <c r="ELU21" s="3507"/>
      <c r="ELV21" s="3507"/>
      <c r="ELW21" s="3507"/>
      <c r="ELX21" s="3507"/>
      <c r="ELY21" s="3507"/>
      <c r="ELZ21" s="3507"/>
      <c r="EMA21" s="3507"/>
      <c r="EMB21" s="3507"/>
      <c r="EMC21" s="3507"/>
      <c r="EMD21" s="3507"/>
      <c r="EME21" s="3507"/>
      <c r="EMF21" s="3507"/>
      <c r="EMG21" s="3507"/>
      <c r="EMH21" s="3507"/>
      <c r="EMI21" s="3507"/>
      <c r="EMJ21" s="3507"/>
      <c r="EMK21" s="3507"/>
      <c r="EML21" s="3507"/>
      <c r="EMM21" s="3507"/>
      <c r="EMN21" s="3507"/>
      <c r="EMO21" s="3507"/>
      <c r="EMP21" s="3507"/>
      <c r="EMQ21" s="3507"/>
      <c r="EMR21" s="3507"/>
      <c r="EMS21" s="3507"/>
      <c r="EMT21" s="3507"/>
      <c r="EMU21" s="3507"/>
      <c r="EMV21" s="3507"/>
      <c r="EMW21" s="3507"/>
      <c r="EMX21" s="3507"/>
      <c r="EMY21" s="3507"/>
      <c r="EMZ21" s="3507"/>
      <c r="ENA21" s="3507"/>
      <c r="ENB21" s="3507"/>
      <c r="ENC21" s="3507"/>
      <c r="END21" s="3507"/>
      <c r="ENE21" s="3507"/>
      <c r="ENF21" s="3507"/>
      <c r="ENG21" s="3507"/>
      <c r="ENH21" s="3507"/>
      <c r="ENI21" s="3507"/>
      <c r="ENJ21" s="3507"/>
      <c r="ENK21" s="3507"/>
      <c r="ENL21" s="3507"/>
      <c r="ENM21" s="3507"/>
      <c r="ENN21" s="3507"/>
      <c r="ENO21" s="3507"/>
      <c r="ENP21" s="3507"/>
      <c r="ENQ21" s="3507"/>
      <c r="ENR21" s="3507"/>
      <c r="ENS21" s="3507"/>
      <c r="ENT21" s="3507"/>
      <c r="ENU21" s="3507"/>
      <c r="ENV21" s="3507"/>
      <c r="ENW21" s="3507"/>
      <c r="ENX21" s="3507"/>
      <c r="ENY21" s="3507"/>
      <c r="ENZ21" s="3507"/>
      <c r="EOA21" s="3507"/>
      <c r="EOB21" s="3507"/>
      <c r="EOC21" s="3507"/>
      <c r="EOD21" s="3507"/>
      <c r="EOE21" s="3507"/>
      <c r="EOF21" s="3507"/>
      <c r="EOG21" s="3507"/>
      <c r="EOH21" s="3507"/>
      <c r="EOI21" s="3507"/>
      <c r="EOJ21" s="3507"/>
      <c r="EOK21" s="3507"/>
      <c r="EOL21" s="3507"/>
      <c r="EOM21" s="3507"/>
      <c r="EON21" s="3507"/>
      <c r="EOO21" s="3507"/>
      <c r="EOP21" s="3507"/>
      <c r="EOQ21" s="3507"/>
      <c r="EOR21" s="3507"/>
      <c r="EOS21" s="3507"/>
      <c r="EOT21" s="3507"/>
      <c r="EOU21" s="3507"/>
      <c r="EOV21" s="3507"/>
      <c r="EOW21" s="3507"/>
      <c r="EOX21" s="3507"/>
      <c r="EOY21" s="3507"/>
      <c r="EOZ21" s="3507"/>
      <c r="EPA21" s="3507"/>
      <c r="EPB21" s="3507"/>
      <c r="EPC21" s="3507"/>
      <c r="EPD21" s="3507"/>
      <c r="EPE21" s="3507"/>
      <c r="EPF21" s="3507"/>
      <c r="EPG21" s="3507"/>
      <c r="EPH21" s="3507"/>
      <c r="EPI21" s="3507"/>
      <c r="EPJ21" s="3507"/>
      <c r="EPK21" s="3507"/>
      <c r="EPL21" s="3507"/>
      <c r="EPM21" s="3507"/>
      <c r="EPN21" s="3507"/>
      <c r="EPO21" s="3507"/>
      <c r="EPP21" s="3507"/>
      <c r="EPQ21" s="3507"/>
      <c r="EPR21" s="3507"/>
      <c r="EPS21" s="3507"/>
      <c r="EPT21" s="3507"/>
      <c r="EPU21" s="3507"/>
      <c r="EPV21" s="3507"/>
      <c r="EPW21" s="3507"/>
      <c r="EPX21" s="3507"/>
      <c r="EPY21" s="3507"/>
      <c r="EPZ21" s="3507"/>
      <c r="EQA21" s="3507"/>
      <c r="EQB21" s="3507"/>
      <c r="EQC21" s="3507"/>
      <c r="EQD21" s="3507"/>
      <c r="EQE21" s="3507"/>
      <c r="EQF21" s="3507"/>
      <c r="EQG21" s="3507"/>
      <c r="EQH21" s="3507"/>
      <c r="EQI21" s="3507"/>
      <c r="EQJ21" s="3507"/>
      <c r="EQK21" s="3507"/>
      <c r="EQL21" s="3507"/>
      <c r="EQM21" s="3507"/>
      <c r="EQN21" s="3507"/>
      <c r="EQO21" s="3507"/>
      <c r="EQP21" s="3507"/>
      <c r="EQQ21" s="3507"/>
      <c r="EQR21" s="3507"/>
      <c r="EQS21" s="3507"/>
      <c r="EQT21" s="3507"/>
      <c r="EQU21" s="3507"/>
      <c r="EQV21" s="3507"/>
      <c r="EQW21" s="3507"/>
      <c r="EQX21" s="3507"/>
      <c r="EQY21" s="3507"/>
      <c r="EQZ21" s="3507"/>
      <c r="ERA21" s="3507"/>
      <c r="ERB21" s="3507"/>
      <c r="ERC21" s="3507"/>
      <c r="ERD21" s="3507"/>
      <c r="ERE21" s="3507"/>
      <c r="ERF21" s="3507"/>
      <c r="ERG21" s="3507"/>
      <c r="ERH21" s="3507"/>
      <c r="ERI21" s="3507"/>
      <c r="ERJ21" s="3507"/>
      <c r="ERK21" s="3507"/>
      <c r="ERL21" s="3507"/>
      <c r="ERM21" s="3507"/>
      <c r="ERN21" s="3507"/>
      <c r="ERO21" s="3507"/>
      <c r="ERP21" s="3507"/>
      <c r="ERQ21" s="3507"/>
      <c r="ERR21" s="3507"/>
      <c r="ERS21" s="3507"/>
      <c r="ERT21" s="3507"/>
      <c r="ERU21" s="3507"/>
      <c r="ERV21" s="3507"/>
      <c r="ERW21" s="3507"/>
      <c r="ERX21" s="3507"/>
      <c r="ERY21" s="3507"/>
      <c r="ERZ21" s="3507"/>
      <c r="ESA21" s="3507"/>
      <c r="ESB21" s="3507"/>
      <c r="ESC21" s="3507"/>
      <c r="ESD21" s="3507"/>
      <c r="ESE21" s="3507"/>
      <c r="ESF21" s="3507"/>
      <c r="ESG21" s="3507"/>
      <c r="ESH21" s="3507"/>
      <c r="ESI21" s="3507"/>
      <c r="ESJ21" s="3507"/>
      <c r="ESK21" s="3507"/>
      <c r="ESL21" s="3507"/>
      <c r="ESM21" s="3507"/>
      <c r="ESN21" s="3507"/>
      <c r="ESO21" s="3507"/>
      <c r="ESP21" s="3507"/>
      <c r="ESQ21" s="3507"/>
      <c r="ESR21" s="3507"/>
      <c r="ESS21" s="3507"/>
      <c r="EST21" s="3507"/>
      <c r="ESU21" s="3507"/>
      <c r="ESV21" s="3507"/>
      <c r="ESW21" s="3507"/>
      <c r="ESX21" s="3507"/>
      <c r="ESY21" s="3507"/>
      <c r="ESZ21" s="3507"/>
      <c r="ETA21" s="3507"/>
      <c r="ETB21" s="3507"/>
      <c r="ETC21" s="3507"/>
      <c r="ETD21" s="3507"/>
      <c r="ETE21" s="3507"/>
      <c r="ETF21" s="3507"/>
      <c r="ETG21" s="3507"/>
      <c r="ETH21" s="3507"/>
      <c r="ETI21" s="3507"/>
      <c r="ETJ21" s="3507"/>
      <c r="ETK21" s="3507"/>
      <c r="ETL21" s="3507"/>
      <c r="ETM21" s="3507"/>
      <c r="ETN21" s="3507"/>
      <c r="ETO21" s="3507"/>
      <c r="ETP21" s="3507"/>
      <c r="ETQ21" s="3507"/>
      <c r="ETR21" s="3507"/>
      <c r="ETS21" s="3507"/>
      <c r="ETT21" s="3507"/>
      <c r="ETU21" s="3507"/>
      <c r="ETV21" s="3507"/>
      <c r="ETW21" s="3507"/>
      <c r="ETX21" s="3507"/>
      <c r="ETY21" s="3507"/>
      <c r="ETZ21" s="3507"/>
      <c r="EUA21" s="3507"/>
      <c r="EUB21" s="3507"/>
      <c r="EUC21" s="3507"/>
      <c r="EUD21" s="3507"/>
      <c r="EUE21" s="3507"/>
      <c r="EUF21" s="3507"/>
      <c r="EUG21" s="3507"/>
      <c r="EUH21" s="3507"/>
      <c r="EUI21" s="3507"/>
      <c r="EUJ21" s="3507"/>
      <c r="EUK21" s="3507"/>
      <c r="EUL21" s="3507"/>
      <c r="EUM21" s="3507"/>
      <c r="EUN21" s="3507"/>
      <c r="EUO21" s="3507"/>
      <c r="EUP21" s="3507"/>
      <c r="EUQ21" s="3507"/>
      <c r="EUR21" s="3507"/>
      <c r="EUS21" s="3507"/>
      <c r="EUT21" s="3507"/>
      <c r="EUU21" s="3507"/>
      <c r="EUV21" s="3507"/>
      <c r="EUW21" s="3507"/>
      <c r="EUX21" s="3507"/>
      <c r="EUY21" s="3507"/>
      <c r="EUZ21" s="3507"/>
      <c r="EVA21" s="3507"/>
      <c r="EVB21" s="3507"/>
      <c r="EVC21" s="3507"/>
      <c r="EVD21" s="3507"/>
      <c r="EVE21" s="3507"/>
      <c r="EVF21" s="3507"/>
      <c r="EVG21" s="3507"/>
      <c r="EVH21" s="3507"/>
      <c r="EVI21" s="3507"/>
      <c r="EVJ21" s="3507"/>
      <c r="EVK21" s="3507"/>
      <c r="EVL21" s="3507"/>
      <c r="EVM21" s="3507"/>
      <c r="EVN21" s="3507"/>
      <c r="EVO21" s="3507"/>
      <c r="EVP21" s="3507"/>
      <c r="EVQ21" s="3507"/>
      <c r="EVR21" s="3507"/>
      <c r="EVS21" s="3507"/>
      <c r="EVT21" s="3507"/>
      <c r="EVU21" s="3507"/>
      <c r="EVV21" s="3507"/>
      <c r="EVW21" s="3507"/>
      <c r="EVX21" s="3507"/>
      <c r="EVY21" s="3507"/>
      <c r="EVZ21" s="3507"/>
      <c r="EWA21" s="3507"/>
      <c r="EWB21" s="3507"/>
      <c r="EWC21" s="3507"/>
      <c r="EWD21" s="3507"/>
      <c r="EWE21" s="3507"/>
      <c r="EWF21" s="3507"/>
      <c r="EWG21" s="3507"/>
      <c r="EWH21" s="3507"/>
      <c r="EWI21" s="3507"/>
      <c r="EWJ21" s="3507"/>
      <c r="EWK21" s="3507"/>
      <c r="EWL21" s="3507"/>
      <c r="EWM21" s="3507"/>
      <c r="EWN21" s="3507"/>
      <c r="EWO21" s="3507"/>
      <c r="EWP21" s="3507"/>
      <c r="EWQ21" s="3507"/>
      <c r="EWR21" s="3507"/>
      <c r="EWS21" s="3507"/>
      <c r="EWT21" s="3507"/>
      <c r="EWU21" s="3507"/>
      <c r="EWV21" s="3507"/>
      <c r="EWW21" s="3507"/>
      <c r="EWX21" s="3507"/>
      <c r="EWY21" s="3507"/>
      <c r="EWZ21" s="3507"/>
      <c r="EXA21" s="3507"/>
      <c r="EXB21" s="3507"/>
      <c r="EXC21" s="3507"/>
      <c r="EXD21" s="3507"/>
      <c r="EXE21" s="3507"/>
      <c r="EXF21" s="3507"/>
      <c r="EXG21" s="3507"/>
      <c r="EXH21" s="3507"/>
      <c r="EXI21" s="3507"/>
      <c r="EXJ21" s="3507"/>
      <c r="EXK21" s="3507"/>
      <c r="EXL21" s="3507"/>
      <c r="EXM21" s="3507"/>
      <c r="EXN21" s="3507"/>
      <c r="EXO21" s="3507"/>
      <c r="EXP21" s="3507"/>
      <c r="EXQ21" s="3507"/>
      <c r="EXR21" s="3507"/>
      <c r="EXS21" s="3507"/>
      <c r="EXT21" s="3507"/>
      <c r="EXU21" s="3507"/>
      <c r="EXV21" s="3507"/>
      <c r="EXW21" s="3507"/>
      <c r="EXX21" s="3507"/>
      <c r="EXY21" s="3507"/>
      <c r="EXZ21" s="3507"/>
      <c r="EYA21" s="3507"/>
      <c r="EYB21" s="3507"/>
      <c r="EYC21" s="3507"/>
      <c r="EYD21" s="3507"/>
      <c r="EYE21" s="3507"/>
      <c r="EYF21" s="3507"/>
      <c r="EYG21" s="3507"/>
      <c r="EYH21" s="3507"/>
      <c r="EYI21" s="3507"/>
      <c r="EYJ21" s="3507"/>
      <c r="EYK21" s="3507"/>
      <c r="EYL21" s="3507"/>
      <c r="EYM21" s="3507"/>
      <c r="EYN21" s="3507"/>
      <c r="EYO21" s="3507"/>
      <c r="EYP21" s="3507"/>
      <c r="EYQ21" s="3507"/>
      <c r="EYR21" s="3507"/>
      <c r="EYS21" s="3507"/>
      <c r="EYT21" s="3507"/>
      <c r="EYU21" s="3507"/>
      <c r="EYV21" s="3507"/>
      <c r="EYW21" s="3507"/>
      <c r="EYX21" s="3507"/>
      <c r="EYY21" s="3507"/>
      <c r="EYZ21" s="3507"/>
      <c r="EZA21" s="3507"/>
      <c r="EZB21" s="3507"/>
      <c r="EZC21" s="3507"/>
      <c r="EZD21" s="3507"/>
      <c r="EZE21" s="3507"/>
      <c r="EZF21" s="3507"/>
      <c r="EZG21" s="3507"/>
      <c r="EZH21" s="3507"/>
      <c r="EZI21" s="3507"/>
      <c r="EZJ21" s="3507"/>
      <c r="EZK21" s="3507"/>
      <c r="EZL21" s="3507"/>
      <c r="EZM21" s="3507"/>
      <c r="EZN21" s="3507"/>
      <c r="EZO21" s="3507"/>
      <c r="EZP21" s="3507"/>
      <c r="EZQ21" s="3507"/>
      <c r="EZR21" s="3507"/>
      <c r="EZS21" s="3507"/>
      <c r="EZT21" s="3507"/>
      <c r="EZU21" s="3507"/>
      <c r="EZV21" s="3507"/>
      <c r="EZW21" s="3507"/>
      <c r="EZX21" s="3507"/>
      <c r="EZY21" s="3507"/>
      <c r="EZZ21" s="3507"/>
      <c r="FAA21" s="3507"/>
      <c r="FAB21" s="3507"/>
      <c r="FAC21" s="3507"/>
      <c r="FAD21" s="3507"/>
      <c r="FAE21" s="3507"/>
      <c r="FAF21" s="3507"/>
      <c r="FAG21" s="3507"/>
      <c r="FAH21" s="3507"/>
      <c r="FAI21" s="3507"/>
      <c r="FAJ21" s="3507"/>
      <c r="FAK21" s="3507"/>
      <c r="FAL21" s="3507"/>
      <c r="FAM21" s="3507"/>
      <c r="FAN21" s="3507"/>
      <c r="FAO21" s="3507"/>
      <c r="FAP21" s="3507"/>
      <c r="FAQ21" s="3507"/>
      <c r="FAR21" s="3507"/>
      <c r="FAS21" s="3507"/>
      <c r="FAT21" s="3507"/>
      <c r="FAU21" s="3507"/>
      <c r="FAV21" s="3507"/>
      <c r="FAW21" s="3507"/>
      <c r="FAX21" s="3507"/>
      <c r="FAY21" s="3507"/>
      <c r="FAZ21" s="3507"/>
      <c r="FBA21" s="3507"/>
      <c r="FBB21" s="3507"/>
      <c r="FBC21" s="3507"/>
      <c r="FBD21" s="3507"/>
      <c r="FBE21" s="3507"/>
      <c r="FBF21" s="3507"/>
      <c r="FBG21" s="3507"/>
      <c r="FBH21" s="3507"/>
      <c r="FBI21" s="3507"/>
      <c r="FBJ21" s="3507"/>
      <c r="FBK21" s="3507"/>
      <c r="FBL21" s="3507"/>
      <c r="FBM21" s="3507"/>
      <c r="FBN21" s="3507"/>
      <c r="FBO21" s="3507"/>
      <c r="FBP21" s="3507"/>
      <c r="FBQ21" s="3507"/>
      <c r="FBR21" s="3507"/>
      <c r="FBS21" s="3507"/>
      <c r="FBT21" s="3507"/>
      <c r="FBU21" s="3507"/>
      <c r="FBV21" s="3507"/>
      <c r="FBW21" s="3507"/>
      <c r="FBX21" s="3507"/>
      <c r="FBY21" s="3507"/>
      <c r="FBZ21" s="3507"/>
      <c r="FCA21" s="3507"/>
      <c r="FCB21" s="3507"/>
      <c r="FCC21" s="3507"/>
      <c r="FCD21" s="3507"/>
      <c r="FCE21" s="3507"/>
      <c r="FCF21" s="3507"/>
      <c r="FCG21" s="3507"/>
      <c r="FCH21" s="3507"/>
      <c r="FCI21" s="3507"/>
      <c r="FCJ21" s="3507"/>
      <c r="FCK21" s="3507"/>
      <c r="FCL21" s="3507"/>
      <c r="FCM21" s="3507"/>
      <c r="FCN21" s="3507"/>
      <c r="FCO21" s="3507"/>
      <c r="FCP21" s="3507"/>
      <c r="FCQ21" s="3507"/>
      <c r="FCR21" s="3507"/>
      <c r="FCS21" s="3507"/>
      <c r="FCT21" s="3507"/>
      <c r="FCU21" s="3507"/>
      <c r="FCV21" s="3507"/>
      <c r="FCW21" s="3507"/>
      <c r="FCX21" s="3507"/>
      <c r="FCY21" s="3507"/>
      <c r="FCZ21" s="3507"/>
      <c r="FDA21" s="3507"/>
      <c r="FDB21" s="3507"/>
      <c r="FDC21" s="3507"/>
      <c r="FDD21" s="3507"/>
      <c r="FDE21" s="3507"/>
      <c r="FDF21" s="3507"/>
      <c r="FDG21" s="3507"/>
      <c r="FDH21" s="3507"/>
      <c r="FDI21" s="3507"/>
      <c r="FDJ21" s="3507"/>
      <c r="FDK21" s="3507"/>
      <c r="FDL21" s="3507"/>
      <c r="FDM21" s="3507"/>
      <c r="FDN21" s="3507"/>
      <c r="FDO21" s="3507"/>
      <c r="FDP21" s="3507"/>
      <c r="FDQ21" s="3507"/>
      <c r="FDR21" s="3507"/>
      <c r="FDS21" s="3507"/>
      <c r="FDT21" s="3507"/>
      <c r="FDU21" s="3507"/>
      <c r="FDV21" s="3507"/>
      <c r="FDW21" s="3507"/>
      <c r="FDX21" s="3507"/>
      <c r="FDY21" s="3507"/>
      <c r="FDZ21" s="3507"/>
      <c r="FEA21" s="3507"/>
      <c r="FEB21" s="3507"/>
      <c r="FEC21" s="3507"/>
      <c r="FED21" s="3507"/>
      <c r="FEE21" s="3507"/>
      <c r="FEF21" s="3507"/>
      <c r="FEG21" s="3507"/>
      <c r="FEH21" s="3507"/>
      <c r="FEI21" s="3507"/>
      <c r="FEJ21" s="3507"/>
      <c r="FEK21" s="3507"/>
      <c r="FEL21" s="3507"/>
      <c r="FEM21" s="3507"/>
      <c r="FEN21" s="3507"/>
      <c r="FEO21" s="3507"/>
      <c r="FEP21" s="3507"/>
      <c r="FEQ21" s="3507"/>
      <c r="FER21" s="3507"/>
      <c r="FES21" s="3507"/>
      <c r="FET21" s="3507"/>
      <c r="FEU21" s="3507"/>
      <c r="FEV21" s="3507"/>
      <c r="FEW21" s="3507"/>
      <c r="FEX21" s="3507"/>
      <c r="FEY21" s="3507"/>
      <c r="FEZ21" s="3507"/>
      <c r="FFA21" s="3507"/>
      <c r="FFB21" s="3507"/>
      <c r="FFC21" s="3507"/>
      <c r="FFD21" s="3507"/>
      <c r="FFE21" s="3507"/>
      <c r="FFF21" s="3507"/>
      <c r="FFG21" s="3507"/>
      <c r="FFH21" s="3507"/>
      <c r="FFI21" s="3507"/>
      <c r="FFJ21" s="3507"/>
      <c r="FFK21" s="3507"/>
      <c r="FFL21" s="3507"/>
      <c r="FFM21" s="3507"/>
      <c r="FFN21" s="3507"/>
      <c r="FFO21" s="3507"/>
      <c r="FFP21" s="3507"/>
      <c r="FFQ21" s="3507"/>
      <c r="FFR21" s="3507"/>
      <c r="FFS21" s="3507"/>
      <c r="FFT21" s="3507"/>
      <c r="FFU21" s="3507"/>
      <c r="FFV21" s="3507"/>
      <c r="FFW21" s="3507"/>
      <c r="FFX21" s="3507"/>
      <c r="FFY21" s="3507"/>
      <c r="FFZ21" s="3507"/>
      <c r="FGA21" s="3507"/>
      <c r="FGB21" s="3507"/>
      <c r="FGC21" s="3507"/>
      <c r="FGD21" s="3507"/>
      <c r="FGE21" s="3507"/>
      <c r="FGF21" s="3507"/>
      <c r="FGG21" s="3507"/>
      <c r="FGH21" s="3507"/>
      <c r="FGI21" s="3507"/>
      <c r="FGJ21" s="3507"/>
      <c r="FGK21" s="3507"/>
      <c r="FGL21" s="3507"/>
      <c r="FGM21" s="3507"/>
      <c r="FGN21" s="3507"/>
      <c r="FGO21" s="3507"/>
      <c r="FGP21" s="3507"/>
      <c r="FGQ21" s="3507"/>
      <c r="FGR21" s="3507"/>
      <c r="FGS21" s="3507"/>
      <c r="FGT21" s="3507"/>
      <c r="FGU21" s="3507"/>
      <c r="FGV21" s="3507"/>
      <c r="FGW21" s="3507"/>
      <c r="FGX21" s="3507"/>
      <c r="FGY21" s="3507"/>
      <c r="FGZ21" s="3507"/>
      <c r="FHA21" s="3507"/>
      <c r="FHB21" s="3507"/>
      <c r="FHC21" s="3507"/>
      <c r="FHD21" s="3507"/>
      <c r="FHE21" s="3507"/>
      <c r="FHF21" s="3507"/>
      <c r="FHG21" s="3507"/>
      <c r="FHH21" s="3507"/>
      <c r="FHI21" s="3507"/>
      <c r="FHJ21" s="3507"/>
      <c r="FHK21" s="3507"/>
      <c r="FHL21" s="3507"/>
      <c r="FHM21" s="3507"/>
      <c r="FHN21" s="3507"/>
      <c r="FHO21" s="3507"/>
      <c r="FHP21" s="3507"/>
      <c r="FHQ21" s="3507"/>
      <c r="FHR21" s="3507"/>
      <c r="FHS21" s="3507"/>
      <c r="FHT21" s="3507"/>
      <c r="FHU21" s="3507"/>
      <c r="FHV21" s="3507"/>
      <c r="FHW21" s="3507"/>
      <c r="FHX21" s="3507"/>
      <c r="FHY21" s="3507"/>
      <c r="FHZ21" s="3507"/>
      <c r="FIA21" s="3507"/>
      <c r="FIB21" s="3507"/>
      <c r="FIC21" s="3507"/>
      <c r="FID21" s="3507"/>
      <c r="FIE21" s="3507"/>
      <c r="FIF21" s="3507"/>
      <c r="FIG21" s="3507"/>
      <c r="FIH21" s="3507"/>
      <c r="FII21" s="3507"/>
      <c r="FIJ21" s="3507"/>
      <c r="FIK21" s="3507"/>
      <c r="FIL21" s="3507"/>
      <c r="FIM21" s="3507"/>
      <c r="FIN21" s="3507"/>
      <c r="FIO21" s="3507"/>
      <c r="FIP21" s="3507"/>
      <c r="FIQ21" s="3507"/>
      <c r="FIR21" s="3507"/>
      <c r="FIS21" s="3507"/>
      <c r="FIT21" s="3507"/>
      <c r="FIU21" s="3507"/>
      <c r="FIV21" s="3507"/>
      <c r="FIW21" s="3507"/>
      <c r="FIX21" s="3507"/>
      <c r="FIY21" s="3507"/>
      <c r="FIZ21" s="3507"/>
      <c r="FJA21" s="3507"/>
      <c r="FJB21" s="3507"/>
      <c r="FJC21" s="3507"/>
      <c r="FJD21" s="3507"/>
      <c r="FJE21" s="3507"/>
      <c r="FJF21" s="3507"/>
      <c r="FJG21" s="3507"/>
      <c r="FJH21" s="3507"/>
      <c r="FJI21" s="3507"/>
      <c r="FJJ21" s="3507"/>
      <c r="FJK21" s="3507"/>
      <c r="FJL21" s="3507"/>
      <c r="FJM21" s="3507"/>
      <c r="FJN21" s="3507"/>
      <c r="FJO21" s="3507"/>
      <c r="FJP21" s="3507"/>
      <c r="FJQ21" s="3507"/>
      <c r="FJR21" s="3507"/>
      <c r="FJS21" s="3507"/>
      <c r="FJT21" s="3507"/>
      <c r="FJU21" s="3507"/>
      <c r="FJV21" s="3507"/>
      <c r="FJW21" s="3507"/>
      <c r="FJX21" s="3507"/>
      <c r="FJY21" s="3507"/>
      <c r="FJZ21" s="3507"/>
      <c r="FKA21" s="3507"/>
      <c r="FKB21" s="3507"/>
      <c r="FKC21" s="3507"/>
      <c r="FKD21" s="3507"/>
      <c r="FKE21" s="3507"/>
      <c r="FKF21" s="3507"/>
      <c r="FKG21" s="3507"/>
      <c r="FKH21" s="3507"/>
      <c r="FKI21" s="3507"/>
      <c r="FKJ21" s="3507"/>
      <c r="FKK21" s="3507"/>
      <c r="FKL21" s="3507"/>
      <c r="FKM21" s="3507"/>
      <c r="FKN21" s="3507"/>
      <c r="FKO21" s="3507"/>
      <c r="FKP21" s="3507"/>
      <c r="FKQ21" s="3507"/>
      <c r="FKR21" s="3507"/>
      <c r="FKS21" s="3507"/>
      <c r="FKT21" s="3507"/>
      <c r="FKU21" s="3507"/>
      <c r="FKV21" s="3507"/>
      <c r="FKW21" s="3507"/>
      <c r="FKX21" s="3507"/>
      <c r="FKY21" s="3507"/>
      <c r="FKZ21" s="3507"/>
      <c r="FLA21" s="3507"/>
      <c r="FLB21" s="3507"/>
      <c r="FLC21" s="3507"/>
      <c r="FLD21" s="3507"/>
      <c r="FLE21" s="3507"/>
      <c r="FLF21" s="3507"/>
      <c r="FLG21" s="3507"/>
      <c r="FLH21" s="3507"/>
      <c r="FLI21" s="3507"/>
      <c r="FLJ21" s="3507"/>
      <c r="FLK21" s="3507"/>
      <c r="FLL21" s="3507"/>
      <c r="FLM21" s="3507"/>
      <c r="FLN21" s="3507"/>
      <c r="FLO21" s="3507"/>
      <c r="FLP21" s="3507"/>
      <c r="FLQ21" s="3507"/>
      <c r="FLR21" s="3507"/>
      <c r="FLS21" s="3507"/>
      <c r="FLT21" s="3507"/>
      <c r="FLU21" s="3507"/>
      <c r="FLV21" s="3507"/>
      <c r="FLW21" s="3507"/>
      <c r="FLX21" s="3507"/>
      <c r="FLY21" s="3507"/>
      <c r="FLZ21" s="3507"/>
      <c r="FMA21" s="3507"/>
      <c r="FMB21" s="3507"/>
      <c r="FMC21" s="3507"/>
      <c r="FMD21" s="3507"/>
      <c r="FME21" s="3507"/>
      <c r="FMF21" s="3507"/>
      <c r="FMG21" s="3507"/>
      <c r="FMH21" s="3507"/>
      <c r="FMI21" s="3507"/>
      <c r="FMJ21" s="3507"/>
      <c r="FMK21" s="3507"/>
      <c r="FML21" s="3507"/>
      <c r="FMM21" s="3507"/>
      <c r="FMN21" s="3507"/>
      <c r="FMO21" s="3507"/>
      <c r="FMP21" s="3507"/>
      <c r="FMQ21" s="3507"/>
      <c r="FMR21" s="3507"/>
      <c r="FMS21" s="3507"/>
      <c r="FMT21" s="3507"/>
      <c r="FMU21" s="3507"/>
      <c r="FMV21" s="3507"/>
      <c r="FMW21" s="3507"/>
      <c r="FMX21" s="3507"/>
      <c r="FMY21" s="3507"/>
      <c r="FMZ21" s="3507"/>
      <c r="FNA21" s="3507"/>
      <c r="FNB21" s="3507"/>
      <c r="FNC21" s="3507"/>
      <c r="FND21" s="3507"/>
      <c r="FNE21" s="3507"/>
      <c r="FNF21" s="3507"/>
      <c r="FNG21" s="3507"/>
      <c r="FNH21" s="3507"/>
      <c r="FNI21" s="3507"/>
      <c r="FNJ21" s="3507"/>
      <c r="FNK21" s="3507"/>
      <c r="FNL21" s="3507"/>
      <c r="FNM21" s="3507"/>
      <c r="FNN21" s="3507"/>
      <c r="FNO21" s="3507"/>
      <c r="FNP21" s="3507"/>
      <c r="FNQ21" s="3507"/>
      <c r="FNR21" s="3507"/>
      <c r="FNS21" s="3507"/>
      <c r="FNT21" s="3507"/>
      <c r="FNU21" s="3507"/>
      <c r="FNV21" s="3507"/>
      <c r="FNW21" s="3507"/>
      <c r="FNX21" s="3507"/>
      <c r="FNY21" s="3507"/>
      <c r="FNZ21" s="3507"/>
      <c r="FOA21" s="3507"/>
      <c r="FOB21" s="3507"/>
      <c r="FOC21" s="3507"/>
      <c r="FOD21" s="3507"/>
      <c r="FOE21" s="3507"/>
      <c r="FOF21" s="3507"/>
      <c r="FOG21" s="3507"/>
      <c r="FOH21" s="3507"/>
      <c r="FOI21" s="3507"/>
      <c r="FOJ21" s="3507"/>
      <c r="FOK21" s="3507"/>
      <c r="FOL21" s="3507"/>
      <c r="FOM21" s="3507"/>
      <c r="FON21" s="3507"/>
      <c r="FOO21" s="3507"/>
      <c r="FOP21" s="3507"/>
      <c r="FOQ21" s="3507"/>
      <c r="FOR21" s="3507"/>
      <c r="FOS21" s="3507"/>
      <c r="FOT21" s="3507"/>
      <c r="FOU21" s="3507"/>
      <c r="FOV21" s="3507"/>
      <c r="FOW21" s="3507"/>
      <c r="FOX21" s="3507"/>
      <c r="FOY21" s="3507"/>
      <c r="FOZ21" s="3507"/>
      <c r="FPA21" s="3507"/>
      <c r="FPB21" s="3507"/>
      <c r="FPC21" s="3507"/>
      <c r="FPD21" s="3507"/>
      <c r="FPE21" s="3507"/>
      <c r="FPF21" s="3507"/>
      <c r="FPG21" s="3507"/>
      <c r="FPH21" s="3507"/>
      <c r="FPI21" s="3507"/>
      <c r="FPJ21" s="3507"/>
      <c r="FPK21" s="3507"/>
      <c r="FPL21" s="3507"/>
      <c r="FPM21" s="3507"/>
      <c r="FPN21" s="3507"/>
      <c r="FPO21" s="3507"/>
      <c r="FPP21" s="3507"/>
      <c r="FPQ21" s="3507"/>
      <c r="FPR21" s="3507"/>
      <c r="FPS21" s="3507"/>
      <c r="FPT21" s="3507"/>
      <c r="FPU21" s="3507"/>
      <c r="FPV21" s="3507"/>
      <c r="FPW21" s="3507"/>
      <c r="FPX21" s="3507"/>
      <c r="FPY21" s="3507"/>
      <c r="FPZ21" s="3507"/>
      <c r="FQA21" s="3507"/>
      <c r="FQB21" s="3507"/>
      <c r="FQC21" s="3507"/>
      <c r="FQD21" s="3507"/>
      <c r="FQE21" s="3507"/>
      <c r="FQF21" s="3507"/>
      <c r="FQG21" s="3507"/>
      <c r="FQH21" s="3507"/>
      <c r="FQI21" s="3507"/>
      <c r="FQJ21" s="3507"/>
      <c r="FQK21" s="3507"/>
      <c r="FQL21" s="3507"/>
      <c r="FQM21" s="3507"/>
      <c r="FQN21" s="3507"/>
      <c r="FQO21" s="3507"/>
      <c r="FQP21" s="3507"/>
      <c r="FQQ21" s="3507"/>
      <c r="FQR21" s="3507"/>
      <c r="FQS21" s="3507"/>
      <c r="FQT21" s="3507"/>
      <c r="FQU21" s="3507"/>
      <c r="FQV21" s="3507"/>
      <c r="FQW21" s="3507"/>
      <c r="FQX21" s="3507"/>
      <c r="FQY21" s="3507"/>
      <c r="FQZ21" s="3507"/>
      <c r="FRA21" s="3507"/>
      <c r="FRB21" s="3507"/>
      <c r="FRC21" s="3507"/>
      <c r="FRD21" s="3507"/>
      <c r="FRE21" s="3507"/>
      <c r="FRF21" s="3507"/>
      <c r="FRG21" s="3507"/>
      <c r="FRH21" s="3507"/>
      <c r="FRI21" s="3507"/>
      <c r="FRJ21" s="3507"/>
      <c r="FRK21" s="3507"/>
      <c r="FRL21" s="3507"/>
      <c r="FRM21" s="3507"/>
      <c r="FRN21" s="3507"/>
      <c r="FRO21" s="3507"/>
      <c r="FRP21" s="3507"/>
      <c r="FRQ21" s="3507"/>
      <c r="FRR21" s="3507"/>
      <c r="FRS21" s="3507"/>
      <c r="FRT21" s="3507"/>
      <c r="FRU21" s="3507"/>
      <c r="FRV21" s="3507"/>
      <c r="FRW21" s="3507"/>
      <c r="FRX21" s="3507"/>
      <c r="FRY21" s="3507"/>
      <c r="FRZ21" s="3507"/>
      <c r="FSA21" s="3507"/>
      <c r="FSB21" s="3507"/>
      <c r="FSC21" s="3507"/>
      <c r="FSD21" s="3507"/>
      <c r="FSE21" s="3507"/>
      <c r="FSF21" s="3507"/>
      <c r="FSG21" s="3507"/>
      <c r="FSH21" s="3507"/>
      <c r="FSI21" s="3507"/>
      <c r="FSJ21" s="3507"/>
      <c r="FSK21" s="3507"/>
      <c r="FSL21" s="3507"/>
      <c r="FSM21" s="3507"/>
      <c r="FSN21" s="3507"/>
      <c r="FSO21" s="3507"/>
      <c r="FSP21" s="3507"/>
      <c r="FSQ21" s="3507"/>
      <c r="FSR21" s="3507"/>
      <c r="FSS21" s="3507"/>
      <c r="FST21" s="3507"/>
      <c r="FSU21" s="3507"/>
      <c r="FSV21" s="3507"/>
      <c r="FSW21" s="3507"/>
      <c r="FSX21" s="3507"/>
      <c r="FSY21" s="3507"/>
      <c r="FSZ21" s="3507"/>
      <c r="FTA21" s="3507"/>
      <c r="FTB21" s="3507"/>
      <c r="FTC21" s="3507"/>
      <c r="FTD21" s="3507"/>
      <c r="FTE21" s="3507"/>
      <c r="FTF21" s="3507"/>
      <c r="FTG21" s="3507"/>
      <c r="FTH21" s="3507"/>
      <c r="FTI21" s="3507"/>
      <c r="FTJ21" s="3507"/>
      <c r="FTK21" s="3507"/>
      <c r="FTL21" s="3507"/>
      <c r="FTM21" s="3507"/>
      <c r="FTN21" s="3507"/>
      <c r="FTO21" s="3507"/>
      <c r="FTP21" s="3507"/>
      <c r="FTQ21" s="3507"/>
      <c r="FTR21" s="3507"/>
      <c r="FTS21" s="3507"/>
      <c r="FTT21" s="3507"/>
      <c r="FTU21" s="3507"/>
      <c r="FTV21" s="3507"/>
      <c r="FTW21" s="3507"/>
      <c r="FTX21" s="3507"/>
      <c r="FTY21" s="3507"/>
      <c r="FTZ21" s="3507"/>
      <c r="FUA21" s="3507"/>
      <c r="FUB21" s="3507"/>
      <c r="FUC21" s="3507"/>
      <c r="FUD21" s="3507"/>
      <c r="FUE21" s="3507"/>
      <c r="FUF21" s="3507"/>
      <c r="FUG21" s="3507"/>
      <c r="FUH21" s="3507"/>
      <c r="FUI21" s="3507"/>
      <c r="FUJ21" s="3507"/>
      <c r="FUK21" s="3507"/>
      <c r="FUL21" s="3507"/>
      <c r="FUM21" s="3507"/>
      <c r="FUN21" s="3507"/>
      <c r="FUO21" s="3507"/>
      <c r="FUP21" s="3507"/>
      <c r="FUQ21" s="3507"/>
      <c r="FUR21" s="3507"/>
      <c r="FUS21" s="3507"/>
      <c r="FUT21" s="3507"/>
      <c r="FUU21" s="3507"/>
      <c r="FUV21" s="3507"/>
      <c r="FUW21" s="3507"/>
      <c r="FUX21" s="3507"/>
      <c r="FUY21" s="3507"/>
      <c r="FUZ21" s="3507"/>
      <c r="FVA21" s="3507"/>
      <c r="FVB21" s="3507"/>
      <c r="FVC21" s="3507"/>
      <c r="FVD21" s="3507"/>
      <c r="FVE21" s="3507"/>
      <c r="FVF21" s="3507"/>
      <c r="FVG21" s="3507"/>
      <c r="FVH21" s="3507"/>
      <c r="FVI21" s="3507"/>
      <c r="FVJ21" s="3507"/>
      <c r="FVK21" s="3507"/>
      <c r="FVL21" s="3507"/>
      <c r="FVM21" s="3507"/>
      <c r="FVN21" s="3507"/>
      <c r="FVO21" s="3507"/>
      <c r="FVP21" s="3507"/>
      <c r="FVQ21" s="3507"/>
      <c r="FVR21" s="3507"/>
      <c r="FVS21" s="3507"/>
      <c r="FVT21" s="3507"/>
      <c r="FVU21" s="3507"/>
      <c r="FVV21" s="3507"/>
      <c r="FVW21" s="3507"/>
      <c r="FVX21" s="3507"/>
      <c r="FVY21" s="3507"/>
      <c r="FVZ21" s="3507"/>
      <c r="FWA21" s="3507"/>
      <c r="FWB21" s="3507"/>
      <c r="FWC21" s="3507"/>
      <c r="FWD21" s="3507"/>
      <c r="FWE21" s="3507"/>
      <c r="FWF21" s="3507"/>
      <c r="FWG21" s="3507"/>
      <c r="FWH21" s="3507"/>
      <c r="FWI21" s="3507"/>
      <c r="FWJ21" s="3507"/>
      <c r="FWK21" s="3507"/>
      <c r="FWL21" s="3507"/>
      <c r="FWM21" s="3507"/>
      <c r="FWN21" s="3507"/>
      <c r="FWO21" s="3507"/>
      <c r="FWP21" s="3507"/>
      <c r="FWQ21" s="3507"/>
      <c r="FWR21" s="3507"/>
      <c r="FWS21" s="3507"/>
      <c r="FWT21" s="3507"/>
      <c r="FWU21" s="3507"/>
      <c r="FWV21" s="3507"/>
      <c r="FWW21" s="3507"/>
      <c r="FWX21" s="3507"/>
      <c r="FWY21" s="3507"/>
      <c r="FWZ21" s="3507"/>
      <c r="FXA21" s="3507"/>
      <c r="FXB21" s="3507"/>
      <c r="FXC21" s="3507"/>
      <c r="FXD21" s="3507"/>
      <c r="FXE21" s="3507"/>
      <c r="FXF21" s="3507"/>
      <c r="FXG21" s="3507"/>
      <c r="FXH21" s="3507"/>
      <c r="FXI21" s="3507"/>
      <c r="FXJ21" s="3507"/>
      <c r="FXK21" s="3507"/>
      <c r="FXL21" s="3507"/>
      <c r="FXM21" s="3507"/>
      <c r="FXN21" s="3507"/>
      <c r="FXO21" s="3507"/>
      <c r="FXP21" s="3507"/>
      <c r="FXQ21" s="3507"/>
      <c r="FXR21" s="3507"/>
      <c r="FXS21" s="3507"/>
      <c r="FXT21" s="3507"/>
      <c r="FXU21" s="3507"/>
      <c r="FXV21" s="3507"/>
      <c r="FXW21" s="3507"/>
      <c r="FXX21" s="3507"/>
      <c r="FXY21" s="3507"/>
      <c r="FXZ21" s="3507"/>
      <c r="FYA21" s="3507"/>
      <c r="FYB21" s="3507"/>
      <c r="FYC21" s="3507"/>
      <c r="FYD21" s="3507"/>
      <c r="FYE21" s="3507"/>
      <c r="FYF21" s="3507"/>
      <c r="FYG21" s="3507"/>
      <c r="FYH21" s="3507"/>
      <c r="FYI21" s="3507"/>
      <c r="FYJ21" s="3507"/>
      <c r="FYK21" s="3507"/>
      <c r="FYL21" s="3507"/>
      <c r="FYM21" s="3507"/>
      <c r="FYN21" s="3507"/>
      <c r="FYO21" s="3507"/>
      <c r="FYP21" s="3507"/>
      <c r="FYQ21" s="3507"/>
      <c r="FYR21" s="3507"/>
      <c r="FYS21" s="3507"/>
      <c r="FYT21" s="3507"/>
      <c r="FYU21" s="3507"/>
      <c r="FYV21" s="3507"/>
      <c r="FYW21" s="3507"/>
      <c r="FYX21" s="3507"/>
      <c r="FYY21" s="3507"/>
      <c r="FYZ21" s="3507"/>
      <c r="FZA21" s="3507"/>
      <c r="FZB21" s="3507"/>
      <c r="FZC21" s="3507"/>
      <c r="FZD21" s="3507"/>
      <c r="FZE21" s="3507"/>
      <c r="FZF21" s="3507"/>
      <c r="FZG21" s="3507"/>
      <c r="FZH21" s="3507"/>
      <c r="FZI21" s="3507"/>
      <c r="FZJ21" s="3507"/>
      <c r="FZK21" s="3507"/>
      <c r="FZL21" s="3507"/>
      <c r="FZM21" s="3507"/>
      <c r="FZN21" s="3507"/>
      <c r="FZO21" s="3507"/>
      <c r="FZP21" s="3507"/>
      <c r="FZQ21" s="3507"/>
      <c r="FZR21" s="3507"/>
      <c r="FZS21" s="3507"/>
      <c r="FZT21" s="3507"/>
      <c r="FZU21" s="3507"/>
      <c r="FZV21" s="3507"/>
      <c r="FZW21" s="3507"/>
      <c r="FZX21" s="3507"/>
      <c r="FZY21" s="3507"/>
      <c r="FZZ21" s="3507"/>
      <c r="GAA21" s="3507"/>
      <c r="GAB21" s="3507"/>
      <c r="GAC21" s="3507"/>
      <c r="GAD21" s="3507"/>
      <c r="GAE21" s="3507"/>
      <c r="GAF21" s="3507"/>
      <c r="GAG21" s="3507"/>
      <c r="GAH21" s="3507"/>
      <c r="GAI21" s="3507"/>
      <c r="GAJ21" s="3507"/>
      <c r="GAK21" s="3507"/>
      <c r="GAL21" s="3507"/>
      <c r="GAM21" s="3507"/>
      <c r="GAN21" s="3507"/>
      <c r="GAO21" s="3507"/>
      <c r="GAP21" s="3507"/>
      <c r="GAQ21" s="3507"/>
      <c r="GAR21" s="3507"/>
      <c r="GAS21" s="3507"/>
      <c r="GAT21" s="3507"/>
      <c r="GAU21" s="3507"/>
      <c r="GAV21" s="3507"/>
      <c r="GAW21" s="3507"/>
      <c r="GAX21" s="3507"/>
      <c r="GAY21" s="3507"/>
      <c r="GAZ21" s="3507"/>
      <c r="GBA21" s="3507"/>
      <c r="GBB21" s="3507"/>
      <c r="GBC21" s="3507"/>
      <c r="GBD21" s="3507"/>
      <c r="GBE21" s="3507"/>
      <c r="GBF21" s="3507"/>
      <c r="GBG21" s="3507"/>
      <c r="GBH21" s="3507"/>
      <c r="GBI21" s="3507"/>
      <c r="GBJ21" s="3507"/>
      <c r="GBK21" s="3507"/>
      <c r="GBL21" s="3507"/>
      <c r="GBM21" s="3507"/>
      <c r="GBN21" s="3507"/>
      <c r="GBO21" s="3507"/>
      <c r="GBP21" s="3507"/>
      <c r="GBQ21" s="3507"/>
      <c r="GBR21" s="3507"/>
      <c r="GBS21" s="3507"/>
      <c r="GBT21" s="3507"/>
      <c r="GBU21" s="3507"/>
      <c r="GBV21" s="3507"/>
      <c r="GBW21" s="3507"/>
      <c r="GBX21" s="3507"/>
      <c r="GBY21" s="3507"/>
      <c r="GBZ21" s="3507"/>
      <c r="GCA21" s="3507"/>
      <c r="GCB21" s="3507"/>
      <c r="GCC21" s="3507"/>
      <c r="GCD21" s="3507"/>
      <c r="GCE21" s="3507"/>
      <c r="GCF21" s="3507"/>
      <c r="GCG21" s="3507"/>
      <c r="GCH21" s="3507"/>
      <c r="GCI21" s="3507"/>
      <c r="GCJ21" s="3507"/>
      <c r="GCK21" s="3507"/>
      <c r="GCL21" s="3507"/>
      <c r="GCM21" s="3507"/>
      <c r="GCN21" s="3507"/>
      <c r="GCO21" s="3507"/>
      <c r="GCP21" s="3507"/>
      <c r="GCQ21" s="3507"/>
      <c r="GCR21" s="3507"/>
      <c r="GCS21" s="3507"/>
      <c r="GCT21" s="3507"/>
      <c r="GCU21" s="3507"/>
      <c r="GCV21" s="3507"/>
      <c r="GCW21" s="3507"/>
      <c r="GCX21" s="3507"/>
      <c r="GCY21" s="3507"/>
      <c r="GCZ21" s="3507"/>
      <c r="GDA21" s="3507"/>
      <c r="GDB21" s="3507"/>
      <c r="GDC21" s="3507"/>
      <c r="GDD21" s="3507"/>
      <c r="GDE21" s="3507"/>
      <c r="GDF21" s="3507"/>
      <c r="GDG21" s="3507"/>
      <c r="GDH21" s="3507"/>
      <c r="GDI21" s="3507"/>
      <c r="GDJ21" s="3507"/>
      <c r="GDK21" s="3507"/>
      <c r="GDL21" s="3507"/>
      <c r="GDM21" s="3507"/>
      <c r="GDN21" s="3507"/>
      <c r="GDO21" s="3507"/>
      <c r="GDP21" s="3507"/>
      <c r="GDQ21" s="3507"/>
      <c r="GDR21" s="3507"/>
      <c r="GDS21" s="3507"/>
      <c r="GDT21" s="3507"/>
      <c r="GDU21" s="3507"/>
      <c r="GDV21" s="3507"/>
      <c r="GDW21" s="3507"/>
      <c r="GDX21" s="3507"/>
      <c r="GDY21" s="3507"/>
      <c r="GDZ21" s="3507"/>
      <c r="GEA21" s="3507"/>
      <c r="GEB21" s="3507"/>
      <c r="GEC21" s="3507"/>
      <c r="GED21" s="3507"/>
      <c r="GEE21" s="3507"/>
      <c r="GEF21" s="3507"/>
      <c r="GEG21" s="3507"/>
      <c r="GEH21" s="3507"/>
      <c r="GEI21" s="3507"/>
      <c r="GEJ21" s="3507"/>
      <c r="GEK21" s="3507"/>
      <c r="GEL21" s="3507"/>
      <c r="GEM21" s="3507"/>
      <c r="GEN21" s="3507"/>
      <c r="GEO21" s="3507"/>
      <c r="GEP21" s="3507"/>
      <c r="GEQ21" s="3507"/>
      <c r="GER21" s="3507"/>
      <c r="GES21" s="3507"/>
      <c r="GET21" s="3507"/>
      <c r="GEU21" s="3507"/>
      <c r="GEV21" s="3507"/>
      <c r="GEW21" s="3507"/>
      <c r="GEX21" s="3507"/>
      <c r="GEY21" s="3507"/>
      <c r="GEZ21" s="3507"/>
      <c r="GFA21" s="3507"/>
      <c r="GFB21" s="3507"/>
      <c r="GFC21" s="3507"/>
      <c r="GFD21" s="3507"/>
      <c r="GFE21" s="3507"/>
      <c r="GFF21" s="3507"/>
      <c r="GFG21" s="3507"/>
      <c r="GFH21" s="3507"/>
      <c r="GFI21" s="3507"/>
      <c r="GFJ21" s="3507"/>
      <c r="GFK21" s="3507"/>
      <c r="GFL21" s="3507"/>
      <c r="GFM21" s="3507"/>
      <c r="GFN21" s="3507"/>
      <c r="GFO21" s="3507"/>
      <c r="GFP21" s="3507"/>
      <c r="GFQ21" s="3507"/>
      <c r="GFR21" s="3507"/>
      <c r="GFS21" s="3507"/>
      <c r="GFT21" s="3507"/>
      <c r="GFU21" s="3507"/>
      <c r="GFV21" s="3507"/>
      <c r="GFW21" s="3507"/>
      <c r="GFX21" s="3507"/>
      <c r="GFY21" s="3507"/>
      <c r="GFZ21" s="3507"/>
      <c r="GGA21" s="3507"/>
      <c r="GGB21" s="3507"/>
      <c r="GGC21" s="3507"/>
      <c r="GGD21" s="3507"/>
      <c r="GGE21" s="3507"/>
      <c r="GGF21" s="3507"/>
      <c r="GGG21" s="3507"/>
      <c r="GGH21" s="3507"/>
      <c r="GGI21" s="3507"/>
      <c r="GGJ21" s="3507"/>
      <c r="GGK21" s="3507"/>
      <c r="GGL21" s="3507"/>
      <c r="GGM21" s="3507"/>
      <c r="GGN21" s="3507"/>
      <c r="GGO21" s="3507"/>
      <c r="GGP21" s="3507"/>
      <c r="GGQ21" s="3507"/>
      <c r="GGR21" s="3507"/>
      <c r="GGS21" s="3507"/>
      <c r="GGT21" s="3507"/>
      <c r="GGU21" s="3507"/>
      <c r="GGV21" s="3507"/>
      <c r="GGW21" s="3507"/>
      <c r="GGX21" s="3507"/>
      <c r="GGY21" s="3507"/>
      <c r="GGZ21" s="3507"/>
      <c r="GHA21" s="3507"/>
      <c r="GHB21" s="3507"/>
      <c r="GHC21" s="3507"/>
      <c r="GHD21" s="3507"/>
      <c r="GHE21" s="3507"/>
      <c r="GHF21" s="3507"/>
      <c r="GHG21" s="3507"/>
      <c r="GHH21" s="3507"/>
      <c r="GHI21" s="3507"/>
      <c r="GHJ21" s="3507"/>
      <c r="GHK21" s="3507"/>
      <c r="GHL21" s="3507"/>
      <c r="GHM21" s="3507"/>
      <c r="GHN21" s="3507"/>
      <c r="GHO21" s="3507"/>
      <c r="GHP21" s="3507"/>
      <c r="GHQ21" s="3507"/>
      <c r="GHR21" s="3507"/>
      <c r="GHS21" s="3507"/>
      <c r="GHT21" s="3507"/>
      <c r="GHU21" s="3507"/>
      <c r="GHV21" s="3507"/>
      <c r="GHW21" s="3507"/>
      <c r="GHX21" s="3507"/>
      <c r="GHY21" s="3507"/>
      <c r="GHZ21" s="3507"/>
      <c r="GIA21" s="3507"/>
      <c r="GIB21" s="3507"/>
      <c r="GIC21" s="3507"/>
      <c r="GID21" s="3507"/>
      <c r="GIE21" s="3507"/>
      <c r="GIF21" s="3507"/>
      <c r="GIG21" s="3507"/>
      <c r="GIH21" s="3507"/>
      <c r="GII21" s="3507"/>
      <c r="GIJ21" s="3507"/>
      <c r="GIK21" s="3507"/>
      <c r="GIL21" s="3507"/>
      <c r="GIM21" s="3507"/>
      <c r="GIN21" s="3507"/>
      <c r="GIO21" s="3507"/>
      <c r="GIP21" s="3507"/>
      <c r="GIQ21" s="3507"/>
      <c r="GIR21" s="3507"/>
      <c r="GIS21" s="3507"/>
      <c r="GIT21" s="3507"/>
      <c r="GIU21" s="3507"/>
      <c r="GIV21" s="3507"/>
      <c r="GIW21" s="3507"/>
      <c r="GIX21" s="3507"/>
      <c r="GIY21" s="3507"/>
      <c r="GIZ21" s="3507"/>
      <c r="GJA21" s="3507"/>
      <c r="GJB21" s="3507"/>
      <c r="GJC21" s="3507"/>
      <c r="GJD21" s="3507"/>
      <c r="GJE21" s="3507"/>
      <c r="GJF21" s="3507"/>
      <c r="GJG21" s="3507"/>
      <c r="GJH21" s="3507"/>
      <c r="GJI21" s="3507"/>
      <c r="GJJ21" s="3507"/>
      <c r="GJK21" s="3507"/>
      <c r="GJL21" s="3507"/>
      <c r="GJM21" s="3507"/>
      <c r="GJN21" s="3507"/>
      <c r="GJO21" s="3507"/>
      <c r="GJP21" s="3507"/>
      <c r="GJQ21" s="3507"/>
      <c r="GJR21" s="3507"/>
      <c r="GJS21" s="3507"/>
      <c r="GJT21" s="3507"/>
      <c r="GJU21" s="3507"/>
      <c r="GJV21" s="3507"/>
      <c r="GJW21" s="3507"/>
      <c r="GJX21" s="3507"/>
      <c r="GJY21" s="3507"/>
      <c r="GJZ21" s="3507"/>
      <c r="GKA21" s="3507"/>
      <c r="GKB21" s="3507"/>
      <c r="GKC21" s="3507"/>
      <c r="GKD21" s="3507"/>
      <c r="GKE21" s="3507"/>
      <c r="GKF21" s="3507"/>
      <c r="GKG21" s="3507"/>
      <c r="GKH21" s="3507"/>
      <c r="GKI21" s="3507"/>
      <c r="GKJ21" s="3507"/>
      <c r="GKK21" s="3507"/>
      <c r="GKL21" s="3507"/>
      <c r="GKM21" s="3507"/>
      <c r="GKN21" s="3507"/>
      <c r="GKO21" s="3507"/>
      <c r="GKP21" s="3507"/>
      <c r="GKQ21" s="3507"/>
      <c r="GKR21" s="3507"/>
      <c r="GKS21" s="3507"/>
      <c r="GKT21" s="3507"/>
      <c r="GKU21" s="3507"/>
      <c r="GKV21" s="3507"/>
      <c r="GKW21" s="3507"/>
      <c r="GKX21" s="3507"/>
      <c r="GKY21" s="3507"/>
      <c r="GKZ21" s="3507"/>
      <c r="GLA21" s="3507"/>
      <c r="GLB21" s="3507"/>
      <c r="GLC21" s="3507"/>
      <c r="GLD21" s="3507"/>
      <c r="GLE21" s="3507"/>
      <c r="GLF21" s="3507"/>
      <c r="GLG21" s="3507"/>
      <c r="GLH21" s="3507"/>
      <c r="GLI21" s="3507"/>
      <c r="GLJ21" s="3507"/>
      <c r="GLK21" s="3507"/>
      <c r="GLL21" s="3507"/>
      <c r="GLM21" s="3507"/>
      <c r="GLN21" s="3507"/>
      <c r="GLO21" s="3507"/>
      <c r="GLP21" s="3507"/>
      <c r="GLQ21" s="3507"/>
      <c r="GLR21" s="3507"/>
      <c r="GLS21" s="3507"/>
      <c r="GLT21" s="3507"/>
      <c r="GLU21" s="3507"/>
      <c r="GLV21" s="3507"/>
      <c r="GLW21" s="3507"/>
      <c r="GLX21" s="3507"/>
      <c r="GLY21" s="3507"/>
      <c r="GLZ21" s="3507"/>
      <c r="GMA21" s="3507"/>
      <c r="GMB21" s="3507"/>
      <c r="GMC21" s="3507"/>
      <c r="GMD21" s="3507"/>
      <c r="GME21" s="3507"/>
      <c r="GMF21" s="3507"/>
      <c r="GMG21" s="3507"/>
      <c r="GMH21" s="3507"/>
      <c r="GMI21" s="3507"/>
      <c r="GMJ21" s="3507"/>
      <c r="GMK21" s="3507"/>
      <c r="GML21" s="3507"/>
      <c r="GMM21" s="3507"/>
      <c r="GMN21" s="3507"/>
      <c r="GMO21" s="3507"/>
      <c r="GMP21" s="3507"/>
      <c r="GMQ21" s="3507"/>
      <c r="GMR21" s="3507"/>
      <c r="GMS21" s="3507"/>
      <c r="GMT21" s="3507"/>
      <c r="GMU21" s="3507"/>
      <c r="GMV21" s="3507"/>
      <c r="GMW21" s="3507"/>
      <c r="GMX21" s="3507"/>
      <c r="GMY21" s="3507"/>
      <c r="GMZ21" s="3507"/>
      <c r="GNA21" s="3507"/>
      <c r="GNB21" s="3507"/>
      <c r="GNC21" s="3507"/>
      <c r="GND21" s="3507"/>
      <c r="GNE21" s="3507"/>
      <c r="GNF21" s="3507"/>
      <c r="GNG21" s="3507"/>
      <c r="GNH21" s="3507"/>
      <c r="GNI21" s="3507"/>
      <c r="GNJ21" s="3507"/>
      <c r="GNK21" s="3507"/>
      <c r="GNL21" s="3507"/>
      <c r="GNM21" s="3507"/>
      <c r="GNN21" s="3507"/>
      <c r="GNO21" s="3507"/>
      <c r="GNP21" s="3507"/>
      <c r="GNQ21" s="3507"/>
      <c r="GNR21" s="3507"/>
      <c r="GNS21" s="3507"/>
      <c r="GNT21" s="3507"/>
      <c r="GNU21" s="3507"/>
      <c r="GNV21" s="3507"/>
      <c r="GNW21" s="3507"/>
      <c r="GNX21" s="3507"/>
      <c r="GNY21" s="3507"/>
      <c r="GNZ21" s="3507"/>
      <c r="GOA21" s="3507"/>
      <c r="GOB21" s="3507"/>
      <c r="GOC21" s="3507"/>
      <c r="GOD21" s="3507"/>
      <c r="GOE21" s="3507"/>
      <c r="GOF21" s="3507"/>
      <c r="GOG21" s="3507"/>
      <c r="GOH21" s="3507"/>
      <c r="GOI21" s="3507"/>
      <c r="GOJ21" s="3507"/>
      <c r="GOK21" s="3507"/>
      <c r="GOL21" s="3507"/>
      <c r="GOM21" s="3507"/>
      <c r="GON21" s="3507"/>
      <c r="GOO21" s="3507"/>
      <c r="GOP21" s="3507"/>
      <c r="GOQ21" s="3507"/>
      <c r="GOR21" s="3507"/>
      <c r="GOS21" s="3507"/>
      <c r="GOT21" s="3507"/>
      <c r="GOU21" s="3507"/>
      <c r="GOV21" s="3507"/>
      <c r="GOW21" s="3507"/>
      <c r="GOX21" s="3507"/>
      <c r="GOY21" s="3507"/>
      <c r="GOZ21" s="3507"/>
      <c r="GPA21" s="3507"/>
      <c r="GPB21" s="3507"/>
      <c r="GPC21" s="3507"/>
      <c r="GPD21" s="3507"/>
      <c r="GPE21" s="3507"/>
      <c r="GPF21" s="3507"/>
      <c r="GPG21" s="3507"/>
      <c r="GPH21" s="3507"/>
      <c r="GPI21" s="3507"/>
      <c r="GPJ21" s="3507"/>
      <c r="GPK21" s="3507"/>
      <c r="GPL21" s="3507"/>
      <c r="GPM21" s="3507"/>
      <c r="GPN21" s="3507"/>
      <c r="GPO21" s="3507"/>
      <c r="GPP21" s="3507"/>
      <c r="GPQ21" s="3507"/>
      <c r="GPR21" s="3507"/>
      <c r="GPS21" s="3507"/>
      <c r="GPT21" s="3507"/>
      <c r="GPU21" s="3507"/>
      <c r="GPV21" s="3507"/>
      <c r="GPW21" s="3507"/>
      <c r="GPX21" s="3507"/>
      <c r="GPY21" s="3507"/>
      <c r="GPZ21" s="3507"/>
      <c r="GQA21" s="3507"/>
      <c r="GQB21" s="3507"/>
      <c r="GQC21" s="3507"/>
      <c r="GQD21" s="3507"/>
      <c r="GQE21" s="3507"/>
      <c r="GQF21" s="3507"/>
      <c r="GQG21" s="3507"/>
      <c r="GQH21" s="3507"/>
      <c r="GQI21" s="3507"/>
      <c r="GQJ21" s="3507"/>
      <c r="GQK21" s="3507"/>
      <c r="GQL21" s="3507"/>
      <c r="GQM21" s="3507"/>
      <c r="GQN21" s="3507"/>
      <c r="GQO21" s="3507"/>
      <c r="GQP21" s="3507"/>
      <c r="GQQ21" s="3507"/>
      <c r="GQR21" s="3507"/>
      <c r="GQS21" s="3507"/>
      <c r="GQT21" s="3507"/>
      <c r="GQU21" s="3507"/>
      <c r="GQV21" s="3507"/>
      <c r="GQW21" s="3507"/>
      <c r="GQX21" s="3507"/>
      <c r="GQY21" s="3507"/>
      <c r="GQZ21" s="3507"/>
      <c r="GRA21" s="3507"/>
      <c r="GRB21" s="3507"/>
      <c r="GRC21" s="3507"/>
      <c r="GRD21" s="3507"/>
      <c r="GRE21" s="3507"/>
      <c r="GRF21" s="3507"/>
      <c r="GRG21" s="3507"/>
      <c r="GRH21" s="3507"/>
      <c r="GRI21" s="3507"/>
      <c r="GRJ21" s="3507"/>
      <c r="GRK21" s="3507"/>
      <c r="GRL21" s="3507"/>
      <c r="GRM21" s="3507"/>
      <c r="GRN21" s="3507"/>
      <c r="GRO21" s="3507"/>
      <c r="GRP21" s="3507"/>
      <c r="GRQ21" s="3507"/>
      <c r="GRR21" s="3507"/>
      <c r="GRS21" s="3507"/>
      <c r="GRT21" s="3507"/>
      <c r="GRU21" s="3507"/>
      <c r="GRV21" s="3507"/>
      <c r="GRW21" s="3507"/>
      <c r="GRX21" s="3507"/>
      <c r="GRY21" s="3507"/>
      <c r="GRZ21" s="3507"/>
      <c r="GSA21" s="3507"/>
      <c r="GSB21" s="3507"/>
      <c r="GSC21" s="3507"/>
      <c r="GSD21" s="3507"/>
      <c r="GSE21" s="3507"/>
      <c r="GSF21" s="3507"/>
      <c r="GSG21" s="3507"/>
      <c r="GSH21" s="3507"/>
      <c r="GSI21" s="3507"/>
      <c r="GSJ21" s="3507"/>
      <c r="GSK21" s="3507"/>
      <c r="GSL21" s="3507"/>
      <c r="GSM21" s="3507"/>
      <c r="GSN21" s="3507"/>
      <c r="GSO21" s="3507"/>
      <c r="GSP21" s="3507"/>
      <c r="GSQ21" s="3507"/>
      <c r="GSR21" s="3507"/>
      <c r="GSS21" s="3507"/>
      <c r="GST21" s="3507"/>
      <c r="GSU21" s="3507"/>
      <c r="GSV21" s="3507"/>
      <c r="GSW21" s="3507"/>
      <c r="GSX21" s="3507"/>
      <c r="GSY21" s="3507"/>
      <c r="GSZ21" s="3507"/>
      <c r="GTA21" s="3507"/>
      <c r="GTB21" s="3507"/>
      <c r="GTC21" s="3507"/>
      <c r="GTD21" s="3507"/>
      <c r="GTE21" s="3507"/>
      <c r="GTF21" s="3507"/>
      <c r="GTG21" s="3507"/>
      <c r="GTH21" s="3507"/>
      <c r="GTI21" s="3507"/>
      <c r="GTJ21" s="3507"/>
      <c r="GTK21" s="3507"/>
      <c r="GTL21" s="3507"/>
      <c r="GTM21" s="3507"/>
      <c r="GTN21" s="3507"/>
      <c r="GTO21" s="3507"/>
      <c r="GTP21" s="3507"/>
      <c r="GTQ21" s="3507"/>
      <c r="GTR21" s="3507"/>
      <c r="GTS21" s="3507"/>
      <c r="GTT21" s="3507"/>
      <c r="GTU21" s="3507"/>
      <c r="GTV21" s="3507"/>
      <c r="GTW21" s="3507"/>
      <c r="GTX21" s="3507"/>
      <c r="GTY21" s="3507"/>
      <c r="GTZ21" s="3507"/>
      <c r="GUA21" s="3507"/>
      <c r="GUB21" s="3507"/>
      <c r="GUC21" s="3507"/>
      <c r="GUD21" s="3507"/>
      <c r="GUE21" s="3507"/>
      <c r="GUF21" s="3507"/>
      <c r="GUG21" s="3507"/>
      <c r="GUH21" s="3507"/>
      <c r="GUI21" s="3507"/>
      <c r="GUJ21" s="3507"/>
      <c r="GUK21" s="3507"/>
      <c r="GUL21" s="3507"/>
      <c r="GUM21" s="3507"/>
      <c r="GUN21" s="3507"/>
      <c r="GUO21" s="3507"/>
      <c r="GUP21" s="3507"/>
      <c r="GUQ21" s="3507"/>
      <c r="GUR21" s="3507"/>
      <c r="GUS21" s="3507"/>
      <c r="GUT21" s="3507"/>
      <c r="GUU21" s="3507"/>
      <c r="GUV21" s="3507"/>
      <c r="GUW21" s="3507"/>
      <c r="GUX21" s="3507"/>
      <c r="GUY21" s="3507"/>
      <c r="GUZ21" s="3507"/>
      <c r="GVA21" s="3507"/>
      <c r="GVB21" s="3507"/>
      <c r="GVC21" s="3507"/>
      <c r="GVD21" s="3507"/>
      <c r="GVE21" s="3507"/>
      <c r="GVF21" s="3507"/>
      <c r="GVG21" s="3507"/>
      <c r="GVH21" s="3507"/>
      <c r="GVI21" s="3507"/>
      <c r="GVJ21" s="3507"/>
      <c r="GVK21" s="3507"/>
      <c r="GVL21" s="3507"/>
      <c r="GVM21" s="3507"/>
      <c r="GVN21" s="3507"/>
      <c r="GVO21" s="3507"/>
      <c r="GVP21" s="3507"/>
      <c r="GVQ21" s="3507"/>
      <c r="GVR21" s="3507"/>
      <c r="GVS21" s="3507"/>
      <c r="GVT21" s="3507"/>
      <c r="GVU21" s="3507"/>
      <c r="GVV21" s="3507"/>
      <c r="GVW21" s="3507"/>
      <c r="GVX21" s="3507"/>
      <c r="GVY21" s="3507"/>
      <c r="GVZ21" s="3507"/>
      <c r="GWA21" s="3507"/>
      <c r="GWB21" s="3507"/>
      <c r="GWC21" s="3507"/>
      <c r="GWD21" s="3507"/>
      <c r="GWE21" s="3507"/>
      <c r="GWF21" s="3507"/>
      <c r="GWG21" s="3507"/>
      <c r="GWH21" s="3507"/>
      <c r="GWI21" s="3507"/>
      <c r="GWJ21" s="3507"/>
      <c r="GWK21" s="3507"/>
      <c r="GWL21" s="3507"/>
      <c r="GWM21" s="3507"/>
      <c r="GWN21" s="3507"/>
      <c r="GWO21" s="3507"/>
      <c r="GWP21" s="3507"/>
      <c r="GWQ21" s="3507"/>
      <c r="GWR21" s="3507"/>
      <c r="GWS21" s="3507"/>
      <c r="GWT21" s="3507"/>
      <c r="GWU21" s="3507"/>
      <c r="GWV21" s="3507"/>
      <c r="GWW21" s="3507"/>
      <c r="GWX21" s="3507"/>
      <c r="GWY21" s="3507"/>
      <c r="GWZ21" s="3507"/>
      <c r="GXA21" s="3507"/>
      <c r="GXB21" s="3507"/>
      <c r="GXC21" s="3507"/>
      <c r="GXD21" s="3507"/>
      <c r="GXE21" s="3507"/>
      <c r="GXF21" s="3507"/>
      <c r="GXG21" s="3507"/>
      <c r="GXH21" s="3507"/>
      <c r="GXI21" s="3507"/>
      <c r="GXJ21" s="3507"/>
      <c r="GXK21" s="3507"/>
      <c r="GXL21" s="3507"/>
      <c r="GXM21" s="3507"/>
      <c r="GXN21" s="3507"/>
      <c r="GXO21" s="3507"/>
      <c r="GXP21" s="3507"/>
      <c r="GXQ21" s="3507"/>
      <c r="GXR21" s="3507"/>
      <c r="GXS21" s="3507"/>
      <c r="GXT21" s="3507"/>
      <c r="GXU21" s="3507"/>
      <c r="GXV21" s="3507"/>
      <c r="GXW21" s="3507"/>
      <c r="GXX21" s="3507"/>
      <c r="GXY21" s="3507"/>
      <c r="GXZ21" s="3507"/>
      <c r="GYA21" s="3507"/>
      <c r="GYB21" s="3507"/>
      <c r="GYC21" s="3507"/>
      <c r="GYD21" s="3507"/>
      <c r="GYE21" s="3507"/>
      <c r="GYF21" s="3507"/>
      <c r="GYG21" s="3507"/>
      <c r="GYH21" s="3507"/>
      <c r="GYI21" s="3507"/>
      <c r="GYJ21" s="3507"/>
      <c r="GYK21" s="3507"/>
      <c r="GYL21" s="3507"/>
      <c r="GYM21" s="3507"/>
      <c r="GYN21" s="3507"/>
      <c r="GYO21" s="3507"/>
      <c r="GYP21" s="3507"/>
      <c r="GYQ21" s="3507"/>
      <c r="GYR21" s="3507"/>
      <c r="GYS21" s="3507"/>
      <c r="GYT21" s="3507"/>
      <c r="GYU21" s="3507"/>
      <c r="GYV21" s="3507"/>
      <c r="GYW21" s="3507"/>
      <c r="GYX21" s="3507"/>
      <c r="GYY21" s="3507"/>
      <c r="GYZ21" s="3507"/>
      <c r="GZA21" s="3507"/>
      <c r="GZB21" s="3507"/>
      <c r="GZC21" s="3507"/>
      <c r="GZD21" s="3507"/>
      <c r="GZE21" s="3507"/>
      <c r="GZF21" s="3507"/>
      <c r="GZG21" s="3507"/>
      <c r="GZH21" s="3507"/>
      <c r="GZI21" s="3507"/>
      <c r="GZJ21" s="3507"/>
      <c r="GZK21" s="3507"/>
      <c r="GZL21" s="3507"/>
      <c r="GZM21" s="3507"/>
      <c r="GZN21" s="3507"/>
      <c r="GZO21" s="3507"/>
      <c r="GZP21" s="3507"/>
      <c r="GZQ21" s="3507"/>
      <c r="GZR21" s="3507"/>
      <c r="GZS21" s="3507"/>
      <c r="GZT21" s="3507"/>
      <c r="GZU21" s="3507"/>
      <c r="GZV21" s="3507"/>
      <c r="GZW21" s="3507"/>
      <c r="GZX21" s="3507"/>
      <c r="GZY21" s="3507"/>
      <c r="GZZ21" s="3507"/>
      <c r="HAA21" s="3507"/>
      <c r="HAB21" s="3507"/>
      <c r="HAC21" s="3507"/>
      <c r="HAD21" s="3507"/>
      <c r="HAE21" s="3507"/>
      <c r="HAF21" s="3507"/>
      <c r="HAG21" s="3507"/>
      <c r="HAH21" s="3507"/>
      <c r="HAI21" s="3507"/>
      <c r="HAJ21" s="3507"/>
      <c r="HAK21" s="3507"/>
      <c r="HAL21" s="3507"/>
      <c r="HAM21" s="3507"/>
      <c r="HAN21" s="3507"/>
      <c r="HAO21" s="3507"/>
      <c r="HAP21" s="3507"/>
      <c r="HAQ21" s="3507"/>
      <c r="HAR21" s="3507"/>
      <c r="HAS21" s="3507"/>
      <c r="HAT21" s="3507"/>
      <c r="HAU21" s="3507"/>
      <c r="HAV21" s="3507"/>
      <c r="HAW21" s="3507"/>
      <c r="HAX21" s="3507"/>
      <c r="HAY21" s="3507"/>
      <c r="HAZ21" s="3507"/>
      <c r="HBA21" s="3507"/>
      <c r="HBB21" s="3507"/>
      <c r="HBC21" s="3507"/>
      <c r="HBD21" s="3507"/>
      <c r="HBE21" s="3507"/>
      <c r="HBF21" s="3507"/>
      <c r="HBG21" s="3507"/>
      <c r="HBH21" s="3507"/>
      <c r="HBI21" s="3507"/>
      <c r="HBJ21" s="3507"/>
      <c r="HBK21" s="3507"/>
      <c r="HBL21" s="3507"/>
      <c r="HBM21" s="3507"/>
      <c r="HBN21" s="3507"/>
      <c r="HBO21" s="3507"/>
      <c r="HBP21" s="3507"/>
      <c r="HBQ21" s="3507"/>
      <c r="HBR21" s="3507"/>
      <c r="HBS21" s="3507"/>
      <c r="HBT21" s="3507"/>
      <c r="HBU21" s="3507"/>
      <c r="HBV21" s="3507"/>
      <c r="HBW21" s="3507"/>
      <c r="HBX21" s="3507"/>
      <c r="HBY21" s="3507"/>
      <c r="HBZ21" s="3507"/>
      <c r="HCA21" s="3507"/>
      <c r="HCB21" s="3507"/>
      <c r="HCC21" s="3507"/>
      <c r="HCD21" s="3507"/>
      <c r="HCE21" s="3507"/>
      <c r="HCF21" s="3507"/>
      <c r="HCG21" s="3507"/>
      <c r="HCH21" s="3507"/>
      <c r="HCI21" s="3507"/>
      <c r="HCJ21" s="3507"/>
      <c r="HCK21" s="3507"/>
      <c r="HCL21" s="3507"/>
      <c r="HCM21" s="3507"/>
      <c r="HCN21" s="3507"/>
      <c r="HCO21" s="3507"/>
      <c r="HCP21" s="3507"/>
      <c r="HCQ21" s="3507"/>
      <c r="HCR21" s="3507"/>
      <c r="HCS21" s="3507"/>
      <c r="HCT21" s="3507"/>
      <c r="HCU21" s="3507"/>
      <c r="HCV21" s="3507"/>
      <c r="HCW21" s="3507"/>
      <c r="HCX21" s="3507"/>
      <c r="HCY21" s="3507"/>
      <c r="HCZ21" s="3507"/>
      <c r="HDA21" s="3507"/>
      <c r="HDB21" s="3507"/>
      <c r="HDC21" s="3507"/>
      <c r="HDD21" s="3507"/>
      <c r="HDE21" s="3507"/>
      <c r="HDF21" s="3507"/>
      <c r="HDG21" s="3507"/>
      <c r="HDH21" s="3507"/>
      <c r="HDI21" s="3507"/>
      <c r="HDJ21" s="3507"/>
      <c r="HDK21" s="3507"/>
      <c r="HDL21" s="3507"/>
      <c r="HDM21" s="3507"/>
      <c r="HDN21" s="3507"/>
      <c r="HDO21" s="3507"/>
      <c r="HDP21" s="3507"/>
      <c r="HDQ21" s="3507"/>
      <c r="HDR21" s="3507"/>
      <c r="HDS21" s="3507"/>
      <c r="HDT21" s="3507"/>
      <c r="HDU21" s="3507"/>
      <c r="HDV21" s="3507"/>
      <c r="HDW21" s="3507"/>
      <c r="HDX21" s="3507"/>
      <c r="HDY21" s="3507"/>
      <c r="HDZ21" s="3507"/>
      <c r="HEA21" s="3507"/>
      <c r="HEB21" s="3507"/>
      <c r="HEC21" s="3507"/>
      <c r="HED21" s="3507"/>
      <c r="HEE21" s="3507"/>
      <c r="HEF21" s="3507"/>
      <c r="HEG21" s="3507"/>
      <c r="HEH21" s="3507"/>
      <c r="HEI21" s="3507"/>
      <c r="HEJ21" s="3507"/>
      <c r="HEK21" s="3507"/>
      <c r="HEL21" s="3507"/>
      <c r="HEM21" s="3507"/>
      <c r="HEN21" s="3507"/>
      <c r="HEO21" s="3507"/>
      <c r="HEP21" s="3507"/>
      <c r="HEQ21" s="3507"/>
      <c r="HER21" s="3507"/>
      <c r="HES21" s="3507"/>
      <c r="HET21" s="3507"/>
      <c r="HEU21" s="3507"/>
      <c r="HEV21" s="3507"/>
      <c r="HEW21" s="3507"/>
      <c r="HEX21" s="3507"/>
      <c r="HEY21" s="3507"/>
      <c r="HEZ21" s="3507"/>
      <c r="HFA21" s="3507"/>
      <c r="HFB21" s="3507"/>
      <c r="HFC21" s="3507"/>
      <c r="HFD21" s="3507"/>
      <c r="HFE21" s="3507"/>
      <c r="HFF21" s="3507"/>
      <c r="HFG21" s="3507"/>
      <c r="HFH21" s="3507"/>
      <c r="HFI21" s="3507"/>
      <c r="HFJ21" s="3507"/>
      <c r="HFK21" s="3507"/>
      <c r="HFL21" s="3507"/>
      <c r="HFM21" s="3507"/>
      <c r="HFN21" s="3507"/>
      <c r="HFO21" s="3507"/>
      <c r="HFP21" s="3507"/>
      <c r="HFQ21" s="3507"/>
      <c r="HFR21" s="3507"/>
      <c r="HFS21" s="3507"/>
      <c r="HFT21" s="3507"/>
      <c r="HFU21" s="3507"/>
      <c r="HFV21" s="3507"/>
      <c r="HFW21" s="3507"/>
      <c r="HFX21" s="3507"/>
      <c r="HFY21" s="3507"/>
      <c r="HFZ21" s="3507"/>
      <c r="HGA21" s="3507"/>
      <c r="HGB21" s="3507"/>
      <c r="HGC21" s="3507"/>
      <c r="HGD21" s="3507"/>
      <c r="HGE21" s="3507"/>
      <c r="HGF21" s="3507"/>
      <c r="HGG21" s="3507"/>
      <c r="HGH21" s="3507"/>
      <c r="HGI21" s="3507"/>
      <c r="HGJ21" s="3507"/>
      <c r="HGK21" s="3507"/>
      <c r="HGL21" s="3507"/>
      <c r="HGM21" s="3507"/>
      <c r="HGN21" s="3507"/>
      <c r="HGO21" s="3507"/>
      <c r="HGP21" s="3507"/>
      <c r="HGQ21" s="3507"/>
      <c r="HGR21" s="3507"/>
      <c r="HGS21" s="3507"/>
      <c r="HGT21" s="3507"/>
      <c r="HGU21" s="3507"/>
      <c r="HGV21" s="3507"/>
      <c r="HGW21" s="3507"/>
      <c r="HGX21" s="3507"/>
      <c r="HGY21" s="3507"/>
      <c r="HGZ21" s="3507"/>
      <c r="HHA21" s="3507"/>
      <c r="HHB21" s="3507"/>
      <c r="HHC21" s="3507"/>
      <c r="HHD21" s="3507"/>
      <c r="HHE21" s="3507"/>
      <c r="HHF21" s="3507"/>
      <c r="HHG21" s="3507"/>
      <c r="HHH21" s="3507"/>
      <c r="HHI21" s="3507"/>
      <c r="HHJ21" s="3507"/>
      <c r="HHK21" s="3507"/>
      <c r="HHL21" s="3507"/>
      <c r="HHM21" s="3507"/>
      <c r="HHN21" s="3507"/>
      <c r="HHO21" s="3507"/>
      <c r="HHP21" s="3507"/>
      <c r="HHQ21" s="3507"/>
      <c r="HHR21" s="3507"/>
      <c r="HHS21" s="3507"/>
      <c r="HHT21" s="3507"/>
      <c r="HHU21" s="3507"/>
      <c r="HHV21" s="3507"/>
      <c r="HHW21" s="3507"/>
      <c r="HHX21" s="3507"/>
      <c r="HHY21" s="3507"/>
      <c r="HHZ21" s="3507"/>
      <c r="HIA21" s="3507"/>
      <c r="HIB21" s="3507"/>
      <c r="HIC21" s="3507"/>
      <c r="HID21" s="3507"/>
      <c r="HIE21" s="3507"/>
      <c r="HIF21" s="3507"/>
      <c r="HIG21" s="3507"/>
      <c r="HIH21" s="3507"/>
      <c r="HII21" s="3507"/>
      <c r="HIJ21" s="3507"/>
      <c r="HIK21" s="3507"/>
      <c r="HIL21" s="3507"/>
      <c r="HIM21" s="3507"/>
      <c r="HIN21" s="3507"/>
      <c r="HIO21" s="3507"/>
      <c r="HIP21" s="3507"/>
      <c r="HIQ21" s="3507"/>
      <c r="HIR21" s="3507"/>
      <c r="HIS21" s="3507"/>
      <c r="HIT21" s="3507"/>
      <c r="HIU21" s="3507"/>
      <c r="HIV21" s="3507"/>
      <c r="HIW21" s="3507"/>
      <c r="HIX21" s="3507"/>
      <c r="HIY21" s="3507"/>
      <c r="HIZ21" s="3507"/>
      <c r="HJA21" s="3507"/>
      <c r="HJB21" s="3507"/>
      <c r="HJC21" s="3507"/>
      <c r="HJD21" s="3507"/>
      <c r="HJE21" s="3507"/>
      <c r="HJF21" s="3507"/>
      <c r="HJG21" s="3507"/>
      <c r="HJH21" s="3507"/>
      <c r="HJI21" s="3507"/>
      <c r="HJJ21" s="3507"/>
      <c r="HJK21" s="3507"/>
      <c r="HJL21" s="3507"/>
      <c r="HJM21" s="3507"/>
      <c r="HJN21" s="3507"/>
      <c r="HJO21" s="3507"/>
      <c r="HJP21" s="3507"/>
      <c r="HJQ21" s="3507"/>
      <c r="HJR21" s="3507"/>
      <c r="HJS21" s="3507"/>
      <c r="HJT21" s="3507"/>
      <c r="HJU21" s="3507"/>
      <c r="HJV21" s="3507"/>
      <c r="HJW21" s="3507"/>
      <c r="HJX21" s="3507"/>
      <c r="HJY21" s="3507"/>
      <c r="HJZ21" s="3507"/>
      <c r="HKA21" s="3507"/>
      <c r="HKB21" s="3507"/>
      <c r="HKC21" s="3507"/>
      <c r="HKD21" s="3507"/>
      <c r="HKE21" s="3507"/>
      <c r="HKF21" s="3507"/>
      <c r="HKG21" s="3507"/>
      <c r="HKH21" s="3507"/>
      <c r="HKI21" s="3507"/>
      <c r="HKJ21" s="3507"/>
      <c r="HKK21" s="3507"/>
      <c r="HKL21" s="3507"/>
      <c r="HKM21" s="3507"/>
      <c r="HKN21" s="3507"/>
      <c r="HKO21" s="3507"/>
      <c r="HKP21" s="3507"/>
      <c r="HKQ21" s="3507"/>
      <c r="HKR21" s="3507"/>
      <c r="HKS21" s="3507"/>
      <c r="HKT21" s="3507"/>
      <c r="HKU21" s="3507"/>
      <c r="HKV21" s="3507"/>
      <c r="HKW21" s="3507"/>
      <c r="HKX21" s="3507"/>
      <c r="HKY21" s="3507"/>
      <c r="HKZ21" s="3507"/>
      <c r="HLA21" s="3507"/>
      <c r="HLB21" s="3507"/>
      <c r="HLC21" s="3507"/>
      <c r="HLD21" s="3507"/>
      <c r="HLE21" s="3507"/>
      <c r="HLF21" s="3507"/>
      <c r="HLG21" s="3507"/>
      <c r="HLH21" s="3507"/>
      <c r="HLI21" s="3507"/>
      <c r="HLJ21" s="3507"/>
      <c r="HLK21" s="3507"/>
      <c r="HLL21" s="3507"/>
      <c r="HLM21" s="3507"/>
      <c r="HLN21" s="3507"/>
      <c r="HLO21" s="3507"/>
      <c r="HLP21" s="3507"/>
      <c r="HLQ21" s="3507"/>
      <c r="HLR21" s="3507"/>
      <c r="HLS21" s="3507"/>
      <c r="HLT21" s="3507"/>
      <c r="HLU21" s="3507"/>
      <c r="HLV21" s="3507"/>
      <c r="HLW21" s="3507"/>
      <c r="HLX21" s="3507"/>
      <c r="HLY21" s="3507"/>
      <c r="HLZ21" s="3507"/>
      <c r="HMA21" s="3507"/>
      <c r="HMB21" s="3507"/>
      <c r="HMC21" s="3507"/>
      <c r="HMD21" s="3507"/>
      <c r="HME21" s="3507"/>
      <c r="HMF21" s="3507"/>
      <c r="HMG21" s="3507"/>
      <c r="HMH21" s="3507"/>
      <c r="HMI21" s="3507"/>
      <c r="HMJ21" s="3507"/>
      <c r="HMK21" s="3507"/>
      <c r="HML21" s="3507"/>
      <c r="HMM21" s="3507"/>
      <c r="HMN21" s="3507"/>
      <c r="HMO21" s="3507"/>
      <c r="HMP21" s="3507"/>
      <c r="HMQ21" s="3507"/>
      <c r="HMR21" s="3507"/>
      <c r="HMS21" s="3507"/>
      <c r="HMT21" s="3507"/>
      <c r="HMU21" s="3507"/>
      <c r="HMV21" s="3507"/>
      <c r="HMW21" s="3507"/>
      <c r="HMX21" s="3507"/>
      <c r="HMY21" s="3507"/>
      <c r="HMZ21" s="3507"/>
      <c r="HNA21" s="3507"/>
      <c r="HNB21" s="3507"/>
      <c r="HNC21" s="3507"/>
      <c r="HND21" s="3507"/>
      <c r="HNE21" s="3507"/>
      <c r="HNF21" s="3507"/>
      <c r="HNG21" s="3507"/>
      <c r="HNH21" s="3507"/>
      <c r="HNI21" s="3507"/>
      <c r="HNJ21" s="3507"/>
      <c r="HNK21" s="3507"/>
      <c r="HNL21" s="3507"/>
      <c r="HNM21" s="3507"/>
      <c r="HNN21" s="3507"/>
      <c r="HNO21" s="3507"/>
      <c r="HNP21" s="3507"/>
      <c r="HNQ21" s="3507"/>
      <c r="HNR21" s="3507"/>
      <c r="HNS21" s="3507"/>
      <c r="HNT21" s="3507"/>
      <c r="HNU21" s="3507"/>
      <c r="HNV21" s="3507"/>
      <c r="HNW21" s="3507"/>
      <c r="HNX21" s="3507"/>
      <c r="HNY21" s="3507"/>
      <c r="HNZ21" s="3507"/>
      <c r="HOA21" s="3507"/>
      <c r="HOB21" s="3507"/>
      <c r="HOC21" s="3507"/>
      <c r="HOD21" s="3507"/>
      <c r="HOE21" s="3507"/>
      <c r="HOF21" s="3507"/>
      <c r="HOG21" s="3507"/>
      <c r="HOH21" s="3507"/>
      <c r="HOI21" s="3507"/>
      <c r="HOJ21" s="3507"/>
      <c r="HOK21" s="3507"/>
      <c r="HOL21" s="3507"/>
      <c r="HOM21" s="3507"/>
      <c r="HON21" s="3507"/>
      <c r="HOO21" s="3507"/>
      <c r="HOP21" s="3507"/>
      <c r="HOQ21" s="3507"/>
      <c r="HOR21" s="3507"/>
      <c r="HOS21" s="3507"/>
      <c r="HOT21" s="3507"/>
      <c r="HOU21" s="3507"/>
      <c r="HOV21" s="3507"/>
      <c r="HOW21" s="3507"/>
      <c r="HOX21" s="3507"/>
      <c r="HOY21" s="3507"/>
      <c r="HOZ21" s="3507"/>
      <c r="HPA21" s="3507"/>
      <c r="HPB21" s="3507"/>
      <c r="HPC21" s="3507"/>
      <c r="HPD21" s="3507"/>
      <c r="HPE21" s="3507"/>
      <c r="HPF21" s="3507"/>
      <c r="HPG21" s="3507"/>
      <c r="HPH21" s="3507"/>
      <c r="HPI21" s="3507"/>
      <c r="HPJ21" s="3507"/>
      <c r="HPK21" s="3507"/>
      <c r="HPL21" s="3507"/>
      <c r="HPM21" s="3507"/>
      <c r="HPN21" s="3507"/>
      <c r="HPO21" s="3507"/>
      <c r="HPP21" s="3507"/>
      <c r="HPQ21" s="3507"/>
      <c r="HPR21" s="3507"/>
      <c r="HPS21" s="3507"/>
      <c r="HPT21" s="3507"/>
      <c r="HPU21" s="3507"/>
      <c r="HPV21" s="3507"/>
      <c r="HPW21" s="3507"/>
      <c r="HPX21" s="3507"/>
      <c r="HPY21" s="3507"/>
      <c r="HPZ21" s="3507"/>
      <c r="HQA21" s="3507"/>
      <c r="HQB21" s="3507"/>
      <c r="HQC21" s="3507"/>
      <c r="HQD21" s="3507"/>
      <c r="HQE21" s="3507"/>
      <c r="HQF21" s="3507"/>
      <c r="HQG21" s="3507"/>
      <c r="HQH21" s="3507"/>
      <c r="HQI21" s="3507"/>
      <c r="HQJ21" s="3507"/>
      <c r="HQK21" s="3507"/>
      <c r="HQL21" s="3507"/>
      <c r="HQM21" s="3507"/>
      <c r="HQN21" s="3507"/>
      <c r="HQO21" s="3507"/>
      <c r="HQP21" s="3507"/>
      <c r="HQQ21" s="3507"/>
      <c r="HQR21" s="3507"/>
      <c r="HQS21" s="3507"/>
      <c r="HQT21" s="3507"/>
      <c r="HQU21" s="3507"/>
      <c r="HQV21" s="3507"/>
      <c r="HQW21" s="3507"/>
      <c r="HQX21" s="3507"/>
      <c r="HQY21" s="3507"/>
      <c r="HQZ21" s="3507"/>
      <c r="HRA21" s="3507"/>
      <c r="HRB21" s="3507"/>
      <c r="HRC21" s="3507"/>
      <c r="HRD21" s="3507"/>
      <c r="HRE21" s="3507"/>
      <c r="HRF21" s="3507"/>
      <c r="HRG21" s="3507"/>
      <c r="HRH21" s="3507"/>
      <c r="HRI21" s="3507"/>
      <c r="HRJ21" s="3507"/>
      <c r="HRK21" s="3507"/>
      <c r="HRL21" s="3507"/>
      <c r="HRM21" s="3507"/>
      <c r="HRN21" s="3507"/>
      <c r="HRO21" s="3507"/>
      <c r="HRP21" s="3507"/>
      <c r="HRQ21" s="3507"/>
      <c r="HRR21" s="3507"/>
      <c r="HRS21" s="3507"/>
      <c r="HRT21" s="3507"/>
      <c r="HRU21" s="3507"/>
      <c r="HRV21" s="3507"/>
      <c r="HRW21" s="3507"/>
      <c r="HRX21" s="3507"/>
      <c r="HRY21" s="3507"/>
      <c r="HRZ21" s="3507"/>
      <c r="HSA21" s="3507"/>
      <c r="HSB21" s="3507"/>
      <c r="HSC21" s="3507"/>
      <c r="HSD21" s="3507"/>
      <c r="HSE21" s="3507"/>
      <c r="HSF21" s="3507"/>
      <c r="HSG21" s="3507"/>
      <c r="HSH21" s="3507"/>
      <c r="HSI21" s="3507"/>
      <c r="HSJ21" s="3507"/>
      <c r="HSK21" s="3507"/>
      <c r="HSL21" s="3507"/>
      <c r="HSM21" s="3507"/>
      <c r="HSN21" s="3507"/>
      <c r="HSO21" s="3507"/>
      <c r="HSP21" s="3507"/>
      <c r="HSQ21" s="3507"/>
      <c r="HSR21" s="3507"/>
      <c r="HSS21" s="3507"/>
      <c r="HST21" s="3507"/>
      <c r="HSU21" s="3507"/>
      <c r="HSV21" s="3507"/>
      <c r="HSW21" s="3507"/>
      <c r="HSX21" s="3507"/>
      <c r="HSY21" s="3507"/>
      <c r="HSZ21" s="3507"/>
      <c r="HTA21" s="3507"/>
      <c r="HTB21" s="3507"/>
      <c r="HTC21" s="3507"/>
      <c r="HTD21" s="3507"/>
      <c r="HTE21" s="3507"/>
      <c r="HTF21" s="3507"/>
      <c r="HTG21" s="3507"/>
      <c r="HTH21" s="3507"/>
      <c r="HTI21" s="3507"/>
      <c r="HTJ21" s="3507"/>
      <c r="HTK21" s="3507"/>
      <c r="HTL21" s="3507"/>
      <c r="HTM21" s="3507"/>
      <c r="HTN21" s="3507"/>
      <c r="HTO21" s="3507"/>
      <c r="HTP21" s="3507"/>
      <c r="HTQ21" s="3507"/>
      <c r="HTR21" s="3507"/>
      <c r="HTS21" s="3507"/>
      <c r="HTT21" s="3507"/>
      <c r="HTU21" s="3507"/>
      <c r="HTV21" s="3507"/>
      <c r="HTW21" s="3507"/>
      <c r="HTX21" s="3507"/>
      <c r="HTY21" s="3507"/>
      <c r="HTZ21" s="3507"/>
      <c r="HUA21" s="3507"/>
      <c r="HUB21" s="3507"/>
      <c r="HUC21" s="3507"/>
      <c r="HUD21" s="3507"/>
      <c r="HUE21" s="3507"/>
      <c r="HUF21" s="3507"/>
      <c r="HUG21" s="3507"/>
      <c r="HUH21" s="3507"/>
      <c r="HUI21" s="3507"/>
      <c r="HUJ21" s="3507"/>
      <c r="HUK21" s="3507"/>
      <c r="HUL21" s="3507"/>
      <c r="HUM21" s="3507"/>
      <c r="HUN21" s="3507"/>
      <c r="HUO21" s="3507"/>
      <c r="HUP21" s="3507"/>
      <c r="HUQ21" s="3507"/>
      <c r="HUR21" s="3507"/>
      <c r="HUS21" s="3507"/>
      <c r="HUT21" s="3507"/>
      <c r="HUU21" s="3507"/>
      <c r="HUV21" s="3507"/>
      <c r="HUW21" s="3507"/>
      <c r="HUX21" s="3507"/>
      <c r="HUY21" s="3507"/>
      <c r="HUZ21" s="3507"/>
      <c r="HVA21" s="3507"/>
      <c r="HVB21" s="3507"/>
      <c r="HVC21" s="3507"/>
      <c r="HVD21" s="3507"/>
      <c r="HVE21" s="3507"/>
      <c r="HVF21" s="3507"/>
      <c r="HVG21" s="3507"/>
      <c r="HVH21" s="3507"/>
      <c r="HVI21" s="3507"/>
      <c r="HVJ21" s="3507"/>
      <c r="HVK21" s="3507"/>
      <c r="HVL21" s="3507"/>
      <c r="HVM21" s="3507"/>
      <c r="HVN21" s="3507"/>
      <c r="HVO21" s="3507"/>
      <c r="HVP21" s="3507"/>
      <c r="HVQ21" s="3507"/>
      <c r="HVR21" s="3507"/>
      <c r="HVS21" s="3507"/>
      <c r="HVT21" s="3507"/>
      <c r="HVU21" s="3507"/>
      <c r="HVV21" s="3507"/>
      <c r="HVW21" s="3507"/>
      <c r="HVX21" s="3507"/>
      <c r="HVY21" s="3507"/>
      <c r="HVZ21" s="3507"/>
      <c r="HWA21" s="3507"/>
      <c r="HWB21" s="3507"/>
      <c r="HWC21" s="3507"/>
      <c r="HWD21" s="3507"/>
      <c r="HWE21" s="3507"/>
      <c r="HWF21" s="3507"/>
      <c r="HWG21" s="3507"/>
      <c r="HWH21" s="3507"/>
      <c r="HWI21" s="3507"/>
      <c r="HWJ21" s="3507"/>
      <c r="HWK21" s="3507"/>
      <c r="HWL21" s="3507"/>
      <c r="HWM21" s="3507"/>
      <c r="HWN21" s="3507"/>
      <c r="HWO21" s="3507"/>
      <c r="HWP21" s="3507"/>
      <c r="HWQ21" s="3507"/>
      <c r="HWR21" s="3507"/>
      <c r="HWS21" s="3507"/>
      <c r="HWT21" s="3507"/>
      <c r="HWU21" s="3507"/>
      <c r="HWV21" s="3507"/>
      <c r="HWW21" s="3507"/>
      <c r="HWX21" s="3507"/>
      <c r="HWY21" s="3507"/>
      <c r="HWZ21" s="3507"/>
      <c r="HXA21" s="3507"/>
      <c r="HXB21" s="3507"/>
      <c r="HXC21" s="3507"/>
      <c r="HXD21" s="3507"/>
      <c r="HXE21" s="3507"/>
      <c r="HXF21" s="3507"/>
      <c r="HXG21" s="3507"/>
      <c r="HXH21" s="3507"/>
      <c r="HXI21" s="3507"/>
      <c r="HXJ21" s="3507"/>
      <c r="HXK21" s="3507"/>
      <c r="HXL21" s="3507"/>
      <c r="HXM21" s="3507"/>
      <c r="HXN21" s="3507"/>
      <c r="HXO21" s="3507"/>
      <c r="HXP21" s="3507"/>
      <c r="HXQ21" s="3507"/>
      <c r="HXR21" s="3507"/>
      <c r="HXS21" s="3507"/>
      <c r="HXT21" s="3507"/>
      <c r="HXU21" s="3507"/>
      <c r="HXV21" s="3507"/>
      <c r="HXW21" s="3507"/>
      <c r="HXX21" s="3507"/>
      <c r="HXY21" s="3507"/>
      <c r="HXZ21" s="3507"/>
      <c r="HYA21" s="3507"/>
      <c r="HYB21" s="3507"/>
      <c r="HYC21" s="3507"/>
      <c r="HYD21" s="3507"/>
      <c r="HYE21" s="3507"/>
      <c r="HYF21" s="3507"/>
      <c r="HYG21" s="3507"/>
      <c r="HYH21" s="3507"/>
      <c r="HYI21" s="3507"/>
      <c r="HYJ21" s="3507"/>
      <c r="HYK21" s="3507"/>
      <c r="HYL21" s="3507"/>
      <c r="HYM21" s="3507"/>
      <c r="HYN21" s="3507"/>
      <c r="HYO21" s="3507"/>
      <c r="HYP21" s="3507"/>
      <c r="HYQ21" s="3507"/>
      <c r="HYR21" s="3507"/>
      <c r="HYS21" s="3507"/>
      <c r="HYT21" s="3507"/>
      <c r="HYU21" s="3507"/>
      <c r="HYV21" s="3507"/>
      <c r="HYW21" s="3507"/>
      <c r="HYX21" s="3507"/>
      <c r="HYY21" s="3507"/>
      <c r="HYZ21" s="3507"/>
      <c r="HZA21" s="3507"/>
      <c r="HZB21" s="3507"/>
      <c r="HZC21" s="3507"/>
      <c r="HZD21" s="3507"/>
      <c r="HZE21" s="3507"/>
      <c r="HZF21" s="3507"/>
      <c r="HZG21" s="3507"/>
      <c r="HZH21" s="3507"/>
      <c r="HZI21" s="3507"/>
      <c r="HZJ21" s="3507"/>
      <c r="HZK21" s="3507"/>
      <c r="HZL21" s="3507"/>
      <c r="HZM21" s="3507"/>
      <c r="HZN21" s="3507"/>
      <c r="HZO21" s="3507"/>
      <c r="HZP21" s="3507"/>
      <c r="HZQ21" s="3507"/>
      <c r="HZR21" s="3507"/>
      <c r="HZS21" s="3507"/>
      <c r="HZT21" s="3507"/>
      <c r="HZU21" s="3507"/>
      <c r="HZV21" s="3507"/>
      <c r="HZW21" s="3507"/>
      <c r="HZX21" s="3507"/>
      <c r="HZY21" s="3507"/>
      <c r="HZZ21" s="3507"/>
      <c r="IAA21" s="3507"/>
      <c r="IAB21" s="3507"/>
      <c r="IAC21" s="3507"/>
      <c r="IAD21" s="3507"/>
      <c r="IAE21" s="3507"/>
      <c r="IAF21" s="3507"/>
      <c r="IAG21" s="3507"/>
      <c r="IAH21" s="3507"/>
      <c r="IAI21" s="3507"/>
      <c r="IAJ21" s="3507"/>
      <c r="IAK21" s="3507"/>
      <c r="IAL21" s="3507"/>
      <c r="IAM21" s="3507"/>
      <c r="IAN21" s="3507"/>
      <c r="IAO21" s="3507"/>
      <c r="IAP21" s="3507"/>
      <c r="IAQ21" s="3507"/>
      <c r="IAR21" s="3507"/>
      <c r="IAS21" s="3507"/>
      <c r="IAT21" s="3507"/>
      <c r="IAU21" s="3507"/>
      <c r="IAV21" s="3507"/>
      <c r="IAW21" s="3507"/>
      <c r="IAX21" s="3507"/>
      <c r="IAY21" s="3507"/>
      <c r="IAZ21" s="3507"/>
      <c r="IBA21" s="3507"/>
      <c r="IBB21" s="3507"/>
      <c r="IBC21" s="3507"/>
      <c r="IBD21" s="3507"/>
      <c r="IBE21" s="3507"/>
      <c r="IBF21" s="3507"/>
      <c r="IBG21" s="3507"/>
      <c r="IBH21" s="3507"/>
      <c r="IBI21" s="3507"/>
      <c r="IBJ21" s="3507"/>
      <c r="IBK21" s="3507"/>
      <c r="IBL21" s="3507"/>
      <c r="IBM21" s="3507"/>
      <c r="IBN21" s="3507"/>
      <c r="IBO21" s="3507"/>
      <c r="IBP21" s="3507"/>
      <c r="IBQ21" s="3507"/>
      <c r="IBR21" s="3507"/>
      <c r="IBS21" s="3507"/>
      <c r="IBT21" s="3507"/>
      <c r="IBU21" s="3507"/>
      <c r="IBV21" s="3507"/>
      <c r="IBW21" s="3507"/>
      <c r="IBX21" s="3507"/>
      <c r="IBY21" s="3507"/>
      <c r="IBZ21" s="3507"/>
      <c r="ICA21" s="3507"/>
      <c r="ICB21" s="3507"/>
      <c r="ICC21" s="3507"/>
      <c r="ICD21" s="3507"/>
      <c r="ICE21" s="3507"/>
      <c r="ICF21" s="3507"/>
      <c r="ICG21" s="3507"/>
      <c r="ICH21" s="3507"/>
      <c r="ICI21" s="3507"/>
      <c r="ICJ21" s="3507"/>
      <c r="ICK21" s="3507"/>
      <c r="ICL21" s="3507"/>
      <c r="ICM21" s="3507"/>
      <c r="ICN21" s="3507"/>
      <c r="ICO21" s="3507"/>
      <c r="ICP21" s="3507"/>
      <c r="ICQ21" s="3507"/>
      <c r="ICR21" s="3507"/>
      <c r="ICS21" s="3507"/>
      <c r="ICT21" s="3507"/>
      <c r="ICU21" s="3507"/>
      <c r="ICV21" s="3507"/>
      <c r="ICW21" s="3507"/>
      <c r="ICX21" s="3507"/>
      <c r="ICY21" s="3507"/>
      <c r="ICZ21" s="3507"/>
      <c r="IDA21" s="3507"/>
      <c r="IDB21" s="3507"/>
      <c r="IDC21" s="3507"/>
      <c r="IDD21" s="3507"/>
      <c r="IDE21" s="3507"/>
      <c r="IDF21" s="3507"/>
      <c r="IDG21" s="3507"/>
      <c r="IDH21" s="3507"/>
      <c r="IDI21" s="3507"/>
      <c r="IDJ21" s="3507"/>
      <c r="IDK21" s="3507"/>
      <c r="IDL21" s="3507"/>
      <c r="IDM21" s="3507"/>
      <c r="IDN21" s="3507"/>
      <c r="IDO21" s="3507"/>
      <c r="IDP21" s="3507"/>
      <c r="IDQ21" s="3507"/>
      <c r="IDR21" s="3507"/>
      <c r="IDS21" s="3507"/>
      <c r="IDT21" s="3507"/>
      <c r="IDU21" s="3507"/>
      <c r="IDV21" s="3507"/>
      <c r="IDW21" s="3507"/>
      <c r="IDX21" s="3507"/>
      <c r="IDY21" s="3507"/>
      <c r="IDZ21" s="3507"/>
      <c r="IEA21" s="3507"/>
      <c r="IEB21" s="3507"/>
      <c r="IEC21" s="3507"/>
      <c r="IED21" s="3507"/>
      <c r="IEE21" s="3507"/>
      <c r="IEF21" s="3507"/>
      <c r="IEG21" s="3507"/>
      <c r="IEH21" s="3507"/>
      <c r="IEI21" s="3507"/>
      <c r="IEJ21" s="3507"/>
      <c r="IEK21" s="3507"/>
      <c r="IEL21" s="3507"/>
      <c r="IEM21" s="3507"/>
      <c r="IEN21" s="3507"/>
      <c r="IEO21" s="3507"/>
      <c r="IEP21" s="3507"/>
      <c r="IEQ21" s="3507"/>
      <c r="IER21" s="3507"/>
      <c r="IES21" s="3507"/>
      <c r="IET21" s="3507"/>
      <c r="IEU21" s="3507"/>
      <c r="IEV21" s="3507"/>
      <c r="IEW21" s="3507"/>
      <c r="IEX21" s="3507"/>
      <c r="IEY21" s="3507"/>
      <c r="IEZ21" s="3507"/>
      <c r="IFA21" s="3507"/>
      <c r="IFB21" s="3507"/>
      <c r="IFC21" s="3507"/>
      <c r="IFD21" s="3507"/>
      <c r="IFE21" s="3507"/>
      <c r="IFF21" s="3507"/>
      <c r="IFG21" s="3507"/>
      <c r="IFH21" s="3507"/>
      <c r="IFI21" s="3507"/>
      <c r="IFJ21" s="3507"/>
      <c r="IFK21" s="3507"/>
      <c r="IFL21" s="3507"/>
      <c r="IFM21" s="3507"/>
      <c r="IFN21" s="3507"/>
      <c r="IFO21" s="3507"/>
      <c r="IFP21" s="3507"/>
      <c r="IFQ21" s="3507"/>
      <c r="IFR21" s="3507"/>
      <c r="IFS21" s="3507"/>
      <c r="IFT21" s="3507"/>
      <c r="IFU21" s="3507"/>
      <c r="IFV21" s="3507"/>
      <c r="IFW21" s="3507"/>
      <c r="IFX21" s="3507"/>
      <c r="IFY21" s="3507"/>
      <c r="IFZ21" s="3507"/>
      <c r="IGA21" s="3507"/>
      <c r="IGB21" s="3507"/>
      <c r="IGC21" s="3507"/>
      <c r="IGD21" s="3507"/>
      <c r="IGE21" s="3507"/>
      <c r="IGF21" s="3507"/>
      <c r="IGG21" s="3507"/>
      <c r="IGH21" s="3507"/>
      <c r="IGI21" s="3507"/>
      <c r="IGJ21" s="3507"/>
      <c r="IGK21" s="3507"/>
      <c r="IGL21" s="3507"/>
      <c r="IGM21" s="3507"/>
      <c r="IGN21" s="3507"/>
      <c r="IGO21" s="3507"/>
      <c r="IGP21" s="3507"/>
      <c r="IGQ21" s="3507"/>
      <c r="IGR21" s="3507"/>
      <c r="IGS21" s="3507"/>
      <c r="IGT21" s="3507"/>
      <c r="IGU21" s="3507"/>
      <c r="IGV21" s="3507"/>
      <c r="IGW21" s="3507"/>
      <c r="IGX21" s="3507"/>
      <c r="IGY21" s="3507"/>
      <c r="IGZ21" s="3507"/>
      <c r="IHA21" s="3507"/>
      <c r="IHB21" s="3507"/>
      <c r="IHC21" s="3507"/>
      <c r="IHD21" s="3507"/>
      <c r="IHE21" s="3507"/>
      <c r="IHF21" s="3507"/>
      <c r="IHG21" s="3507"/>
      <c r="IHH21" s="3507"/>
      <c r="IHI21" s="3507"/>
      <c r="IHJ21" s="3507"/>
      <c r="IHK21" s="3507"/>
      <c r="IHL21" s="3507"/>
      <c r="IHM21" s="3507"/>
      <c r="IHN21" s="3507"/>
      <c r="IHO21" s="3507"/>
      <c r="IHP21" s="3507"/>
      <c r="IHQ21" s="3507"/>
      <c r="IHR21" s="3507"/>
      <c r="IHS21" s="3507"/>
      <c r="IHT21" s="3507"/>
      <c r="IHU21" s="3507"/>
      <c r="IHV21" s="3507"/>
      <c r="IHW21" s="3507"/>
      <c r="IHX21" s="3507"/>
      <c r="IHY21" s="3507"/>
      <c r="IHZ21" s="3507"/>
      <c r="IIA21" s="3507"/>
      <c r="IIB21" s="3507"/>
      <c r="IIC21" s="3507"/>
      <c r="IID21" s="3507"/>
      <c r="IIE21" s="3507"/>
      <c r="IIF21" s="3507"/>
      <c r="IIG21" s="3507"/>
      <c r="IIH21" s="3507"/>
      <c r="III21" s="3507"/>
      <c r="IIJ21" s="3507"/>
      <c r="IIK21" s="3507"/>
      <c r="IIL21" s="3507"/>
      <c r="IIM21" s="3507"/>
      <c r="IIN21" s="3507"/>
      <c r="IIO21" s="3507"/>
      <c r="IIP21" s="3507"/>
      <c r="IIQ21" s="3507"/>
      <c r="IIR21" s="3507"/>
      <c r="IIS21" s="3507"/>
      <c r="IIT21" s="3507"/>
      <c r="IIU21" s="3507"/>
      <c r="IIV21" s="3507"/>
      <c r="IIW21" s="3507"/>
      <c r="IIX21" s="3507"/>
      <c r="IIY21" s="3507"/>
      <c r="IIZ21" s="3507"/>
      <c r="IJA21" s="3507"/>
      <c r="IJB21" s="3507"/>
      <c r="IJC21" s="3507"/>
      <c r="IJD21" s="3507"/>
      <c r="IJE21" s="3507"/>
      <c r="IJF21" s="3507"/>
      <c r="IJG21" s="3507"/>
      <c r="IJH21" s="3507"/>
      <c r="IJI21" s="3507"/>
      <c r="IJJ21" s="3507"/>
      <c r="IJK21" s="3507"/>
      <c r="IJL21" s="3507"/>
      <c r="IJM21" s="3507"/>
      <c r="IJN21" s="3507"/>
      <c r="IJO21" s="3507"/>
      <c r="IJP21" s="3507"/>
      <c r="IJQ21" s="3507"/>
      <c r="IJR21" s="3507"/>
      <c r="IJS21" s="3507"/>
      <c r="IJT21" s="3507"/>
      <c r="IJU21" s="3507"/>
      <c r="IJV21" s="3507"/>
      <c r="IJW21" s="3507"/>
      <c r="IJX21" s="3507"/>
      <c r="IJY21" s="3507"/>
      <c r="IJZ21" s="3507"/>
      <c r="IKA21" s="3507"/>
      <c r="IKB21" s="3507"/>
      <c r="IKC21" s="3507"/>
      <c r="IKD21" s="3507"/>
      <c r="IKE21" s="3507"/>
      <c r="IKF21" s="3507"/>
      <c r="IKG21" s="3507"/>
      <c r="IKH21" s="3507"/>
      <c r="IKI21" s="3507"/>
      <c r="IKJ21" s="3507"/>
      <c r="IKK21" s="3507"/>
      <c r="IKL21" s="3507"/>
      <c r="IKM21" s="3507"/>
      <c r="IKN21" s="3507"/>
      <c r="IKO21" s="3507"/>
      <c r="IKP21" s="3507"/>
      <c r="IKQ21" s="3507"/>
      <c r="IKR21" s="3507"/>
      <c r="IKS21" s="3507"/>
      <c r="IKT21" s="3507"/>
      <c r="IKU21" s="3507"/>
      <c r="IKV21" s="3507"/>
      <c r="IKW21" s="3507"/>
      <c r="IKX21" s="3507"/>
      <c r="IKY21" s="3507"/>
      <c r="IKZ21" s="3507"/>
      <c r="ILA21" s="3507"/>
      <c r="ILB21" s="3507"/>
      <c r="ILC21" s="3507"/>
      <c r="ILD21" s="3507"/>
      <c r="ILE21" s="3507"/>
      <c r="ILF21" s="3507"/>
      <c r="ILG21" s="3507"/>
      <c r="ILH21" s="3507"/>
      <c r="ILI21" s="3507"/>
      <c r="ILJ21" s="3507"/>
      <c r="ILK21" s="3507"/>
      <c r="ILL21" s="3507"/>
      <c r="ILM21" s="3507"/>
      <c r="ILN21" s="3507"/>
      <c r="ILO21" s="3507"/>
      <c r="ILP21" s="3507"/>
      <c r="ILQ21" s="3507"/>
      <c r="ILR21" s="3507"/>
      <c r="ILS21" s="3507"/>
      <c r="ILT21" s="3507"/>
      <c r="ILU21" s="3507"/>
      <c r="ILV21" s="3507"/>
      <c r="ILW21" s="3507"/>
      <c r="ILX21" s="3507"/>
      <c r="ILY21" s="3507"/>
      <c r="ILZ21" s="3507"/>
      <c r="IMA21" s="3507"/>
      <c r="IMB21" s="3507"/>
      <c r="IMC21" s="3507"/>
      <c r="IMD21" s="3507"/>
      <c r="IME21" s="3507"/>
      <c r="IMF21" s="3507"/>
      <c r="IMG21" s="3507"/>
      <c r="IMH21" s="3507"/>
      <c r="IMI21" s="3507"/>
      <c r="IMJ21" s="3507"/>
      <c r="IMK21" s="3507"/>
      <c r="IML21" s="3507"/>
      <c r="IMM21" s="3507"/>
      <c r="IMN21" s="3507"/>
      <c r="IMO21" s="3507"/>
      <c r="IMP21" s="3507"/>
      <c r="IMQ21" s="3507"/>
      <c r="IMR21" s="3507"/>
      <c r="IMS21" s="3507"/>
      <c r="IMT21" s="3507"/>
      <c r="IMU21" s="3507"/>
      <c r="IMV21" s="3507"/>
      <c r="IMW21" s="3507"/>
      <c r="IMX21" s="3507"/>
      <c r="IMY21" s="3507"/>
      <c r="IMZ21" s="3507"/>
      <c r="INA21" s="3507"/>
      <c r="INB21" s="3507"/>
      <c r="INC21" s="3507"/>
      <c r="IND21" s="3507"/>
      <c r="INE21" s="3507"/>
      <c r="INF21" s="3507"/>
      <c r="ING21" s="3507"/>
      <c r="INH21" s="3507"/>
      <c r="INI21" s="3507"/>
      <c r="INJ21" s="3507"/>
      <c r="INK21" s="3507"/>
      <c r="INL21" s="3507"/>
      <c r="INM21" s="3507"/>
      <c r="INN21" s="3507"/>
      <c r="INO21" s="3507"/>
      <c r="INP21" s="3507"/>
      <c r="INQ21" s="3507"/>
      <c r="INR21" s="3507"/>
      <c r="INS21" s="3507"/>
      <c r="INT21" s="3507"/>
      <c r="INU21" s="3507"/>
      <c r="INV21" s="3507"/>
      <c r="INW21" s="3507"/>
      <c r="INX21" s="3507"/>
      <c r="INY21" s="3507"/>
      <c r="INZ21" s="3507"/>
      <c r="IOA21" s="3507"/>
      <c r="IOB21" s="3507"/>
      <c r="IOC21" s="3507"/>
      <c r="IOD21" s="3507"/>
      <c r="IOE21" s="3507"/>
      <c r="IOF21" s="3507"/>
      <c r="IOG21" s="3507"/>
      <c r="IOH21" s="3507"/>
      <c r="IOI21" s="3507"/>
      <c r="IOJ21" s="3507"/>
      <c r="IOK21" s="3507"/>
      <c r="IOL21" s="3507"/>
      <c r="IOM21" s="3507"/>
      <c r="ION21" s="3507"/>
      <c r="IOO21" s="3507"/>
      <c r="IOP21" s="3507"/>
      <c r="IOQ21" s="3507"/>
      <c r="IOR21" s="3507"/>
      <c r="IOS21" s="3507"/>
      <c r="IOT21" s="3507"/>
      <c r="IOU21" s="3507"/>
      <c r="IOV21" s="3507"/>
      <c r="IOW21" s="3507"/>
      <c r="IOX21" s="3507"/>
      <c r="IOY21" s="3507"/>
      <c r="IOZ21" s="3507"/>
      <c r="IPA21" s="3507"/>
      <c r="IPB21" s="3507"/>
      <c r="IPC21" s="3507"/>
      <c r="IPD21" s="3507"/>
      <c r="IPE21" s="3507"/>
      <c r="IPF21" s="3507"/>
      <c r="IPG21" s="3507"/>
      <c r="IPH21" s="3507"/>
      <c r="IPI21" s="3507"/>
      <c r="IPJ21" s="3507"/>
      <c r="IPK21" s="3507"/>
      <c r="IPL21" s="3507"/>
      <c r="IPM21" s="3507"/>
      <c r="IPN21" s="3507"/>
      <c r="IPO21" s="3507"/>
      <c r="IPP21" s="3507"/>
      <c r="IPQ21" s="3507"/>
      <c r="IPR21" s="3507"/>
      <c r="IPS21" s="3507"/>
      <c r="IPT21" s="3507"/>
      <c r="IPU21" s="3507"/>
      <c r="IPV21" s="3507"/>
      <c r="IPW21" s="3507"/>
      <c r="IPX21" s="3507"/>
      <c r="IPY21" s="3507"/>
      <c r="IPZ21" s="3507"/>
      <c r="IQA21" s="3507"/>
      <c r="IQB21" s="3507"/>
      <c r="IQC21" s="3507"/>
      <c r="IQD21" s="3507"/>
      <c r="IQE21" s="3507"/>
      <c r="IQF21" s="3507"/>
      <c r="IQG21" s="3507"/>
      <c r="IQH21" s="3507"/>
      <c r="IQI21" s="3507"/>
      <c r="IQJ21" s="3507"/>
      <c r="IQK21" s="3507"/>
      <c r="IQL21" s="3507"/>
      <c r="IQM21" s="3507"/>
      <c r="IQN21" s="3507"/>
      <c r="IQO21" s="3507"/>
      <c r="IQP21" s="3507"/>
      <c r="IQQ21" s="3507"/>
      <c r="IQR21" s="3507"/>
      <c r="IQS21" s="3507"/>
      <c r="IQT21" s="3507"/>
      <c r="IQU21" s="3507"/>
      <c r="IQV21" s="3507"/>
      <c r="IQW21" s="3507"/>
      <c r="IQX21" s="3507"/>
      <c r="IQY21" s="3507"/>
      <c r="IQZ21" s="3507"/>
      <c r="IRA21" s="3507"/>
      <c r="IRB21" s="3507"/>
      <c r="IRC21" s="3507"/>
      <c r="IRD21" s="3507"/>
      <c r="IRE21" s="3507"/>
      <c r="IRF21" s="3507"/>
      <c r="IRG21" s="3507"/>
      <c r="IRH21" s="3507"/>
      <c r="IRI21" s="3507"/>
      <c r="IRJ21" s="3507"/>
      <c r="IRK21" s="3507"/>
      <c r="IRL21" s="3507"/>
      <c r="IRM21" s="3507"/>
      <c r="IRN21" s="3507"/>
      <c r="IRO21" s="3507"/>
      <c r="IRP21" s="3507"/>
      <c r="IRQ21" s="3507"/>
      <c r="IRR21" s="3507"/>
      <c r="IRS21" s="3507"/>
      <c r="IRT21" s="3507"/>
      <c r="IRU21" s="3507"/>
      <c r="IRV21" s="3507"/>
      <c r="IRW21" s="3507"/>
      <c r="IRX21" s="3507"/>
      <c r="IRY21" s="3507"/>
      <c r="IRZ21" s="3507"/>
      <c r="ISA21" s="3507"/>
      <c r="ISB21" s="3507"/>
      <c r="ISC21" s="3507"/>
      <c r="ISD21" s="3507"/>
      <c r="ISE21" s="3507"/>
      <c r="ISF21" s="3507"/>
      <c r="ISG21" s="3507"/>
      <c r="ISH21" s="3507"/>
      <c r="ISI21" s="3507"/>
      <c r="ISJ21" s="3507"/>
      <c r="ISK21" s="3507"/>
      <c r="ISL21" s="3507"/>
      <c r="ISM21" s="3507"/>
      <c r="ISN21" s="3507"/>
      <c r="ISO21" s="3507"/>
      <c r="ISP21" s="3507"/>
      <c r="ISQ21" s="3507"/>
      <c r="ISR21" s="3507"/>
      <c r="ISS21" s="3507"/>
      <c r="IST21" s="3507"/>
      <c r="ISU21" s="3507"/>
      <c r="ISV21" s="3507"/>
      <c r="ISW21" s="3507"/>
      <c r="ISX21" s="3507"/>
      <c r="ISY21" s="3507"/>
      <c r="ISZ21" s="3507"/>
      <c r="ITA21" s="3507"/>
      <c r="ITB21" s="3507"/>
      <c r="ITC21" s="3507"/>
      <c r="ITD21" s="3507"/>
      <c r="ITE21" s="3507"/>
      <c r="ITF21" s="3507"/>
      <c r="ITG21" s="3507"/>
      <c r="ITH21" s="3507"/>
      <c r="ITI21" s="3507"/>
      <c r="ITJ21" s="3507"/>
      <c r="ITK21" s="3507"/>
      <c r="ITL21" s="3507"/>
      <c r="ITM21" s="3507"/>
      <c r="ITN21" s="3507"/>
      <c r="ITO21" s="3507"/>
      <c r="ITP21" s="3507"/>
      <c r="ITQ21" s="3507"/>
      <c r="ITR21" s="3507"/>
      <c r="ITS21" s="3507"/>
      <c r="ITT21" s="3507"/>
      <c r="ITU21" s="3507"/>
      <c r="ITV21" s="3507"/>
      <c r="ITW21" s="3507"/>
      <c r="ITX21" s="3507"/>
      <c r="ITY21" s="3507"/>
      <c r="ITZ21" s="3507"/>
      <c r="IUA21" s="3507"/>
      <c r="IUB21" s="3507"/>
      <c r="IUC21" s="3507"/>
      <c r="IUD21" s="3507"/>
      <c r="IUE21" s="3507"/>
      <c r="IUF21" s="3507"/>
      <c r="IUG21" s="3507"/>
      <c r="IUH21" s="3507"/>
      <c r="IUI21" s="3507"/>
      <c r="IUJ21" s="3507"/>
      <c r="IUK21" s="3507"/>
      <c r="IUL21" s="3507"/>
      <c r="IUM21" s="3507"/>
      <c r="IUN21" s="3507"/>
      <c r="IUO21" s="3507"/>
      <c r="IUP21" s="3507"/>
      <c r="IUQ21" s="3507"/>
      <c r="IUR21" s="3507"/>
      <c r="IUS21" s="3507"/>
      <c r="IUT21" s="3507"/>
      <c r="IUU21" s="3507"/>
      <c r="IUV21" s="3507"/>
      <c r="IUW21" s="3507"/>
      <c r="IUX21" s="3507"/>
      <c r="IUY21" s="3507"/>
      <c r="IUZ21" s="3507"/>
      <c r="IVA21" s="3507"/>
      <c r="IVB21" s="3507"/>
      <c r="IVC21" s="3507"/>
      <c r="IVD21" s="3507"/>
      <c r="IVE21" s="3507"/>
      <c r="IVF21" s="3507"/>
      <c r="IVG21" s="3507"/>
      <c r="IVH21" s="3507"/>
      <c r="IVI21" s="3507"/>
      <c r="IVJ21" s="3507"/>
      <c r="IVK21" s="3507"/>
      <c r="IVL21" s="3507"/>
      <c r="IVM21" s="3507"/>
      <c r="IVN21" s="3507"/>
      <c r="IVO21" s="3507"/>
      <c r="IVP21" s="3507"/>
      <c r="IVQ21" s="3507"/>
      <c r="IVR21" s="3507"/>
      <c r="IVS21" s="3507"/>
      <c r="IVT21" s="3507"/>
      <c r="IVU21" s="3507"/>
      <c r="IVV21" s="3507"/>
      <c r="IVW21" s="3507"/>
      <c r="IVX21" s="3507"/>
      <c r="IVY21" s="3507"/>
      <c r="IVZ21" s="3507"/>
      <c r="IWA21" s="3507"/>
      <c r="IWB21" s="3507"/>
      <c r="IWC21" s="3507"/>
      <c r="IWD21" s="3507"/>
      <c r="IWE21" s="3507"/>
      <c r="IWF21" s="3507"/>
      <c r="IWG21" s="3507"/>
      <c r="IWH21" s="3507"/>
      <c r="IWI21" s="3507"/>
      <c r="IWJ21" s="3507"/>
      <c r="IWK21" s="3507"/>
      <c r="IWL21" s="3507"/>
      <c r="IWM21" s="3507"/>
      <c r="IWN21" s="3507"/>
      <c r="IWO21" s="3507"/>
      <c r="IWP21" s="3507"/>
      <c r="IWQ21" s="3507"/>
      <c r="IWR21" s="3507"/>
      <c r="IWS21" s="3507"/>
      <c r="IWT21" s="3507"/>
      <c r="IWU21" s="3507"/>
      <c r="IWV21" s="3507"/>
      <c r="IWW21" s="3507"/>
      <c r="IWX21" s="3507"/>
      <c r="IWY21" s="3507"/>
      <c r="IWZ21" s="3507"/>
      <c r="IXA21" s="3507"/>
      <c r="IXB21" s="3507"/>
      <c r="IXC21" s="3507"/>
      <c r="IXD21" s="3507"/>
      <c r="IXE21" s="3507"/>
      <c r="IXF21" s="3507"/>
      <c r="IXG21" s="3507"/>
      <c r="IXH21" s="3507"/>
      <c r="IXI21" s="3507"/>
      <c r="IXJ21" s="3507"/>
      <c r="IXK21" s="3507"/>
      <c r="IXL21" s="3507"/>
      <c r="IXM21" s="3507"/>
      <c r="IXN21" s="3507"/>
      <c r="IXO21" s="3507"/>
      <c r="IXP21" s="3507"/>
      <c r="IXQ21" s="3507"/>
      <c r="IXR21" s="3507"/>
      <c r="IXS21" s="3507"/>
      <c r="IXT21" s="3507"/>
      <c r="IXU21" s="3507"/>
      <c r="IXV21" s="3507"/>
      <c r="IXW21" s="3507"/>
      <c r="IXX21" s="3507"/>
      <c r="IXY21" s="3507"/>
      <c r="IXZ21" s="3507"/>
      <c r="IYA21" s="3507"/>
      <c r="IYB21" s="3507"/>
      <c r="IYC21" s="3507"/>
      <c r="IYD21" s="3507"/>
      <c r="IYE21" s="3507"/>
      <c r="IYF21" s="3507"/>
      <c r="IYG21" s="3507"/>
      <c r="IYH21" s="3507"/>
      <c r="IYI21" s="3507"/>
      <c r="IYJ21" s="3507"/>
      <c r="IYK21" s="3507"/>
      <c r="IYL21" s="3507"/>
      <c r="IYM21" s="3507"/>
      <c r="IYN21" s="3507"/>
      <c r="IYO21" s="3507"/>
      <c r="IYP21" s="3507"/>
      <c r="IYQ21" s="3507"/>
      <c r="IYR21" s="3507"/>
      <c r="IYS21" s="3507"/>
      <c r="IYT21" s="3507"/>
      <c r="IYU21" s="3507"/>
      <c r="IYV21" s="3507"/>
      <c r="IYW21" s="3507"/>
      <c r="IYX21" s="3507"/>
      <c r="IYY21" s="3507"/>
      <c r="IYZ21" s="3507"/>
      <c r="IZA21" s="3507"/>
      <c r="IZB21" s="3507"/>
      <c r="IZC21" s="3507"/>
      <c r="IZD21" s="3507"/>
      <c r="IZE21" s="3507"/>
      <c r="IZF21" s="3507"/>
      <c r="IZG21" s="3507"/>
      <c r="IZH21" s="3507"/>
      <c r="IZI21" s="3507"/>
      <c r="IZJ21" s="3507"/>
      <c r="IZK21" s="3507"/>
      <c r="IZL21" s="3507"/>
      <c r="IZM21" s="3507"/>
      <c r="IZN21" s="3507"/>
      <c r="IZO21" s="3507"/>
      <c r="IZP21" s="3507"/>
      <c r="IZQ21" s="3507"/>
      <c r="IZR21" s="3507"/>
      <c r="IZS21" s="3507"/>
      <c r="IZT21" s="3507"/>
      <c r="IZU21" s="3507"/>
      <c r="IZV21" s="3507"/>
      <c r="IZW21" s="3507"/>
      <c r="IZX21" s="3507"/>
      <c r="IZY21" s="3507"/>
      <c r="IZZ21" s="3507"/>
      <c r="JAA21" s="3507"/>
      <c r="JAB21" s="3507"/>
      <c r="JAC21" s="3507"/>
      <c r="JAD21" s="3507"/>
      <c r="JAE21" s="3507"/>
      <c r="JAF21" s="3507"/>
      <c r="JAG21" s="3507"/>
      <c r="JAH21" s="3507"/>
      <c r="JAI21" s="3507"/>
      <c r="JAJ21" s="3507"/>
      <c r="JAK21" s="3507"/>
      <c r="JAL21" s="3507"/>
      <c r="JAM21" s="3507"/>
      <c r="JAN21" s="3507"/>
      <c r="JAO21" s="3507"/>
      <c r="JAP21" s="3507"/>
      <c r="JAQ21" s="3507"/>
      <c r="JAR21" s="3507"/>
      <c r="JAS21" s="3507"/>
      <c r="JAT21" s="3507"/>
      <c r="JAU21" s="3507"/>
      <c r="JAV21" s="3507"/>
      <c r="JAW21" s="3507"/>
      <c r="JAX21" s="3507"/>
      <c r="JAY21" s="3507"/>
      <c r="JAZ21" s="3507"/>
      <c r="JBA21" s="3507"/>
      <c r="JBB21" s="3507"/>
      <c r="JBC21" s="3507"/>
      <c r="JBD21" s="3507"/>
      <c r="JBE21" s="3507"/>
      <c r="JBF21" s="3507"/>
      <c r="JBG21" s="3507"/>
      <c r="JBH21" s="3507"/>
      <c r="JBI21" s="3507"/>
      <c r="JBJ21" s="3507"/>
      <c r="JBK21" s="3507"/>
      <c r="JBL21" s="3507"/>
      <c r="JBM21" s="3507"/>
      <c r="JBN21" s="3507"/>
      <c r="JBO21" s="3507"/>
      <c r="JBP21" s="3507"/>
      <c r="JBQ21" s="3507"/>
      <c r="JBR21" s="3507"/>
      <c r="JBS21" s="3507"/>
      <c r="JBT21" s="3507"/>
      <c r="JBU21" s="3507"/>
      <c r="JBV21" s="3507"/>
      <c r="JBW21" s="3507"/>
      <c r="JBX21" s="3507"/>
      <c r="JBY21" s="3507"/>
      <c r="JBZ21" s="3507"/>
      <c r="JCA21" s="3507"/>
      <c r="JCB21" s="3507"/>
      <c r="JCC21" s="3507"/>
      <c r="JCD21" s="3507"/>
      <c r="JCE21" s="3507"/>
      <c r="JCF21" s="3507"/>
      <c r="JCG21" s="3507"/>
      <c r="JCH21" s="3507"/>
      <c r="JCI21" s="3507"/>
      <c r="JCJ21" s="3507"/>
      <c r="JCK21" s="3507"/>
      <c r="JCL21" s="3507"/>
      <c r="JCM21" s="3507"/>
      <c r="JCN21" s="3507"/>
      <c r="JCO21" s="3507"/>
      <c r="JCP21" s="3507"/>
      <c r="JCQ21" s="3507"/>
      <c r="JCR21" s="3507"/>
      <c r="JCS21" s="3507"/>
      <c r="JCT21" s="3507"/>
      <c r="JCU21" s="3507"/>
      <c r="JCV21" s="3507"/>
      <c r="JCW21" s="3507"/>
      <c r="JCX21" s="3507"/>
      <c r="JCY21" s="3507"/>
      <c r="JCZ21" s="3507"/>
      <c r="JDA21" s="3507"/>
      <c r="JDB21" s="3507"/>
      <c r="JDC21" s="3507"/>
      <c r="JDD21" s="3507"/>
      <c r="JDE21" s="3507"/>
      <c r="JDF21" s="3507"/>
      <c r="JDG21" s="3507"/>
      <c r="JDH21" s="3507"/>
      <c r="JDI21" s="3507"/>
      <c r="JDJ21" s="3507"/>
      <c r="JDK21" s="3507"/>
      <c r="JDL21" s="3507"/>
      <c r="JDM21" s="3507"/>
      <c r="JDN21" s="3507"/>
      <c r="JDO21" s="3507"/>
      <c r="JDP21" s="3507"/>
      <c r="JDQ21" s="3507"/>
      <c r="JDR21" s="3507"/>
      <c r="JDS21" s="3507"/>
      <c r="JDT21" s="3507"/>
      <c r="JDU21" s="3507"/>
      <c r="JDV21" s="3507"/>
      <c r="JDW21" s="3507"/>
      <c r="JDX21" s="3507"/>
      <c r="JDY21" s="3507"/>
      <c r="JDZ21" s="3507"/>
      <c r="JEA21" s="3507"/>
      <c r="JEB21" s="3507"/>
      <c r="JEC21" s="3507"/>
      <c r="JED21" s="3507"/>
      <c r="JEE21" s="3507"/>
      <c r="JEF21" s="3507"/>
      <c r="JEG21" s="3507"/>
      <c r="JEH21" s="3507"/>
      <c r="JEI21" s="3507"/>
      <c r="JEJ21" s="3507"/>
      <c r="JEK21" s="3507"/>
      <c r="JEL21" s="3507"/>
      <c r="JEM21" s="3507"/>
      <c r="JEN21" s="3507"/>
      <c r="JEO21" s="3507"/>
      <c r="JEP21" s="3507"/>
      <c r="JEQ21" s="3507"/>
      <c r="JER21" s="3507"/>
      <c r="JES21" s="3507"/>
      <c r="JET21" s="3507"/>
      <c r="JEU21" s="3507"/>
      <c r="JEV21" s="3507"/>
      <c r="JEW21" s="3507"/>
      <c r="JEX21" s="3507"/>
      <c r="JEY21" s="3507"/>
      <c r="JEZ21" s="3507"/>
      <c r="JFA21" s="3507"/>
      <c r="JFB21" s="3507"/>
      <c r="JFC21" s="3507"/>
      <c r="JFD21" s="3507"/>
      <c r="JFE21" s="3507"/>
      <c r="JFF21" s="3507"/>
      <c r="JFG21" s="3507"/>
      <c r="JFH21" s="3507"/>
      <c r="JFI21" s="3507"/>
      <c r="JFJ21" s="3507"/>
      <c r="JFK21" s="3507"/>
      <c r="JFL21" s="3507"/>
      <c r="JFM21" s="3507"/>
      <c r="JFN21" s="3507"/>
      <c r="JFO21" s="3507"/>
      <c r="JFP21" s="3507"/>
      <c r="JFQ21" s="3507"/>
      <c r="JFR21" s="3507"/>
      <c r="JFS21" s="3507"/>
      <c r="JFT21" s="3507"/>
      <c r="JFU21" s="3507"/>
      <c r="JFV21" s="3507"/>
      <c r="JFW21" s="3507"/>
      <c r="JFX21" s="3507"/>
      <c r="JFY21" s="3507"/>
      <c r="JFZ21" s="3507"/>
      <c r="JGA21" s="3507"/>
      <c r="JGB21" s="3507"/>
      <c r="JGC21" s="3507"/>
      <c r="JGD21" s="3507"/>
      <c r="JGE21" s="3507"/>
      <c r="JGF21" s="3507"/>
      <c r="JGG21" s="3507"/>
      <c r="JGH21" s="3507"/>
      <c r="JGI21" s="3507"/>
      <c r="JGJ21" s="3507"/>
      <c r="JGK21" s="3507"/>
      <c r="JGL21" s="3507"/>
      <c r="JGM21" s="3507"/>
      <c r="JGN21" s="3507"/>
      <c r="JGO21" s="3507"/>
      <c r="JGP21" s="3507"/>
      <c r="JGQ21" s="3507"/>
      <c r="JGR21" s="3507"/>
      <c r="JGS21" s="3507"/>
      <c r="JGT21" s="3507"/>
      <c r="JGU21" s="3507"/>
      <c r="JGV21" s="3507"/>
      <c r="JGW21" s="3507"/>
      <c r="JGX21" s="3507"/>
      <c r="JGY21" s="3507"/>
      <c r="JGZ21" s="3507"/>
      <c r="JHA21" s="3507"/>
      <c r="JHB21" s="3507"/>
      <c r="JHC21" s="3507"/>
      <c r="JHD21" s="3507"/>
      <c r="JHE21" s="3507"/>
      <c r="JHF21" s="3507"/>
      <c r="JHG21" s="3507"/>
      <c r="JHH21" s="3507"/>
      <c r="JHI21" s="3507"/>
      <c r="JHJ21" s="3507"/>
      <c r="JHK21" s="3507"/>
      <c r="JHL21" s="3507"/>
      <c r="JHM21" s="3507"/>
      <c r="JHN21" s="3507"/>
      <c r="JHO21" s="3507"/>
      <c r="JHP21" s="3507"/>
      <c r="JHQ21" s="3507"/>
      <c r="JHR21" s="3507"/>
      <c r="JHS21" s="3507"/>
      <c r="JHT21" s="3507"/>
      <c r="JHU21" s="3507"/>
      <c r="JHV21" s="3507"/>
      <c r="JHW21" s="3507"/>
      <c r="JHX21" s="3507"/>
      <c r="JHY21" s="3507"/>
      <c r="JHZ21" s="3507"/>
      <c r="JIA21" s="3507"/>
      <c r="JIB21" s="3507"/>
      <c r="JIC21" s="3507"/>
      <c r="JID21" s="3507"/>
      <c r="JIE21" s="3507"/>
      <c r="JIF21" s="3507"/>
      <c r="JIG21" s="3507"/>
      <c r="JIH21" s="3507"/>
      <c r="JII21" s="3507"/>
      <c r="JIJ21" s="3507"/>
      <c r="JIK21" s="3507"/>
      <c r="JIL21" s="3507"/>
      <c r="JIM21" s="3507"/>
      <c r="JIN21" s="3507"/>
      <c r="JIO21" s="3507"/>
      <c r="JIP21" s="3507"/>
      <c r="JIQ21" s="3507"/>
      <c r="JIR21" s="3507"/>
      <c r="JIS21" s="3507"/>
      <c r="JIT21" s="3507"/>
      <c r="JIU21" s="3507"/>
      <c r="JIV21" s="3507"/>
      <c r="JIW21" s="3507"/>
      <c r="JIX21" s="3507"/>
      <c r="JIY21" s="3507"/>
      <c r="JIZ21" s="3507"/>
      <c r="JJA21" s="3507"/>
      <c r="JJB21" s="3507"/>
      <c r="JJC21" s="3507"/>
      <c r="JJD21" s="3507"/>
      <c r="JJE21" s="3507"/>
      <c r="JJF21" s="3507"/>
      <c r="JJG21" s="3507"/>
      <c r="JJH21" s="3507"/>
      <c r="JJI21" s="3507"/>
      <c r="JJJ21" s="3507"/>
      <c r="JJK21" s="3507"/>
      <c r="JJL21" s="3507"/>
      <c r="JJM21" s="3507"/>
      <c r="JJN21" s="3507"/>
      <c r="JJO21" s="3507"/>
      <c r="JJP21" s="3507"/>
      <c r="JJQ21" s="3507"/>
      <c r="JJR21" s="3507"/>
      <c r="JJS21" s="3507"/>
      <c r="JJT21" s="3507"/>
      <c r="JJU21" s="3507"/>
      <c r="JJV21" s="3507"/>
      <c r="JJW21" s="3507"/>
      <c r="JJX21" s="3507"/>
      <c r="JJY21" s="3507"/>
      <c r="JJZ21" s="3507"/>
      <c r="JKA21" s="3507"/>
      <c r="JKB21" s="3507"/>
      <c r="JKC21" s="3507"/>
      <c r="JKD21" s="3507"/>
      <c r="JKE21" s="3507"/>
      <c r="JKF21" s="3507"/>
      <c r="JKG21" s="3507"/>
      <c r="JKH21" s="3507"/>
      <c r="JKI21" s="3507"/>
      <c r="JKJ21" s="3507"/>
      <c r="JKK21" s="3507"/>
      <c r="JKL21" s="3507"/>
      <c r="JKM21" s="3507"/>
      <c r="JKN21" s="3507"/>
      <c r="JKO21" s="3507"/>
      <c r="JKP21" s="3507"/>
      <c r="JKQ21" s="3507"/>
      <c r="JKR21" s="3507"/>
      <c r="JKS21" s="3507"/>
      <c r="JKT21" s="3507"/>
      <c r="JKU21" s="3507"/>
      <c r="JKV21" s="3507"/>
      <c r="JKW21" s="3507"/>
      <c r="JKX21" s="3507"/>
      <c r="JKY21" s="3507"/>
      <c r="JKZ21" s="3507"/>
      <c r="JLA21" s="3507"/>
      <c r="JLB21" s="3507"/>
      <c r="JLC21" s="3507"/>
      <c r="JLD21" s="3507"/>
      <c r="JLE21" s="3507"/>
      <c r="JLF21" s="3507"/>
      <c r="JLG21" s="3507"/>
      <c r="JLH21" s="3507"/>
      <c r="JLI21" s="3507"/>
      <c r="JLJ21" s="3507"/>
      <c r="JLK21" s="3507"/>
      <c r="JLL21" s="3507"/>
      <c r="JLM21" s="3507"/>
      <c r="JLN21" s="3507"/>
      <c r="JLO21" s="3507"/>
      <c r="JLP21" s="3507"/>
      <c r="JLQ21" s="3507"/>
      <c r="JLR21" s="3507"/>
      <c r="JLS21" s="3507"/>
      <c r="JLT21" s="3507"/>
      <c r="JLU21" s="3507"/>
      <c r="JLV21" s="3507"/>
      <c r="JLW21" s="3507"/>
      <c r="JLX21" s="3507"/>
      <c r="JLY21" s="3507"/>
      <c r="JLZ21" s="3507"/>
      <c r="JMA21" s="3507"/>
      <c r="JMB21" s="3507"/>
      <c r="JMC21" s="3507"/>
      <c r="JMD21" s="3507"/>
      <c r="JME21" s="3507"/>
      <c r="JMF21" s="3507"/>
      <c r="JMG21" s="3507"/>
      <c r="JMH21" s="3507"/>
      <c r="JMI21" s="3507"/>
      <c r="JMJ21" s="3507"/>
      <c r="JMK21" s="3507"/>
      <c r="JML21" s="3507"/>
      <c r="JMM21" s="3507"/>
      <c r="JMN21" s="3507"/>
      <c r="JMO21" s="3507"/>
      <c r="JMP21" s="3507"/>
      <c r="JMQ21" s="3507"/>
      <c r="JMR21" s="3507"/>
      <c r="JMS21" s="3507"/>
      <c r="JMT21" s="3507"/>
      <c r="JMU21" s="3507"/>
      <c r="JMV21" s="3507"/>
      <c r="JMW21" s="3507"/>
      <c r="JMX21" s="3507"/>
      <c r="JMY21" s="3507"/>
      <c r="JMZ21" s="3507"/>
      <c r="JNA21" s="3507"/>
      <c r="JNB21" s="3507"/>
      <c r="JNC21" s="3507"/>
      <c r="JND21" s="3507"/>
      <c r="JNE21" s="3507"/>
      <c r="JNF21" s="3507"/>
      <c r="JNG21" s="3507"/>
      <c r="JNH21" s="3507"/>
      <c r="JNI21" s="3507"/>
      <c r="JNJ21" s="3507"/>
      <c r="JNK21" s="3507"/>
      <c r="JNL21" s="3507"/>
      <c r="JNM21" s="3507"/>
      <c r="JNN21" s="3507"/>
      <c r="JNO21" s="3507"/>
      <c r="JNP21" s="3507"/>
      <c r="JNQ21" s="3507"/>
      <c r="JNR21" s="3507"/>
      <c r="JNS21" s="3507"/>
      <c r="JNT21" s="3507"/>
      <c r="JNU21" s="3507"/>
      <c r="JNV21" s="3507"/>
      <c r="JNW21" s="3507"/>
      <c r="JNX21" s="3507"/>
      <c r="JNY21" s="3507"/>
      <c r="JNZ21" s="3507"/>
      <c r="JOA21" s="3507"/>
      <c r="JOB21" s="3507"/>
      <c r="JOC21" s="3507"/>
      <c r="JOD21" s="3507"/>
      <c r="JOE21" s="3507"/>
      <c r="JOF21" s="3507"/>
      <c r="JOG21" s="3507"/>
      <c r="JOH21" s="3507"/>
      <c r="JOI21" s="3507"/>
      <c r="JOJ21" s="3507"/>
      <c r="JOK21" s="3507"/>
      <c r="JOL21" s="3507"/>
      <c r="JOM21" s="3507"/>
      <c r="JON21" s="3507"/>
      <c r="JOO21" s="3507"/>
      <c r="JOP21" s="3507"/>
      <c r="JOQ21" s="3507"/>
      <c r="JOR21" s="3507"/>
      <c r="JOS21" s="3507"/>
      <c r="JOT21" s="3507"/>
      <c r="JOU21" s="3507"/>
      <c r="JOV21" s="3507"/>
      <c r="JOW21" s="3507"/>
      <c r="JOX21" s="3507"/>
      <c r="JOY21" s="3507"/>
      <c r="JOZ21" s="3507"/>
      <c r="JPA21" s="3507"/>
      <c r="JPB21" s="3507"/>
      <c r="JPC21" s="3507"/>
      <c r="JPD21" s="3507"/>
      <c r="JPE21" s="3507"/>
      <c r="JPF21" s="3507"/>
      <c r="JPG21" s="3507"/>
      <c r="JPH21" s="3507"/>
      <c r="JPI21" s="3507"/>
      <c r="JPJ21" s="3507"/>
      <c r="JPK21" s="3507"/>
      <c r="JPL21" s="3507"/>
      <c r="JPM21" s="3507"/>
      <c r="JPN21" s="3507"/>
      <c r="JPO21" s="3507"/>
      <c r="JPP21" s="3507"/>
      <c r="JPQ21" s="3507"/>
      <c r="JPR21" s="3507"/>
      <c r="JPS21" s="3507"/>
      <c r="JPT21" s="3507"/>
      <c r="JPU21" s="3507"/>
      <c r="JPV21" s="3507"/>
      <c r="JPW21" s="3507"/>
      <c r="JPX21" s="3507"/>
      <c r="JPY21" s="3507"/>
      <c r="JPZ21" s="3507"/>
      <c r="JQA21" s="3507"/>
      <c r="JQB21" s="3507"/>
      <c r="JQC21" s="3507"/>
      <c r="JQD21" s="3507"/>
      <c r="JQE21" s="3507"/>
      <c r="JQF21" s="3507"/>
      <c r="JQG21" s="3507"/>
      <c r="JQH21" s="3507"/>
      <c r="JQI21" s="3507"/>
      <c r="JQJ21" s="3507"/>
      <c r="JQK21" s="3507"/>
      <c r="JQL21" s="3507"/>
      <c r="JQM21" s="3507"/>
      <c r="JQN21" s="3507"/>
      <c r="JQO21" s="3507"/>
      <c r="JQP21" s="3507"/>
      <c r="JQQ21" s="3507"/>
      <c r="JQR21" s="3507"/>
      <c r="JQS21" s="3507"/>
      <c r="JQT21" s="3507"/>
      <c r="JQU21" s="3507"/>
      <c r="JQV21" s="3507"/>
      <c r="JQW21" s="3507"/>
      <c r="JQX21" s="3507"/>
      <c r="JQY21" s="3507"/>
      <c r="JQZ21" s="3507"/>
      <c r="JRA21" s="3507"/>
      <c r="JRB21" s="3507"/>
      <c r="JRC21" s="3507"/>
      <c r="JRD21" s="3507"/>
      <c r="JRE21" s="3507"/>
      <c r="JRF21" s="3507"/>
      <c r="JRG21" s="3507"/>
      <c r="JRH21" s="3507"/>
      <c r="JRI21" s="3507"/>
      <c r="JRJ21" s="3507"/>
      <c r="JRK21" s="3507"/>
      <c r="JRL21" s="3507"/>
      <c r="JRM21" s="3507"/>
      <c r="JRN21" s="3507"/>
      <c r="JRO21" s="3507"/>
      <c r="JRP21" s="3507"/>
      <c r="JRQ21" s="3507"/>
      <c r="JRR21" s="3507"/>
      <c r="JRS21" s="3507"/>
      <c r="JRT21" s="3507"/>
      <c r="JRU21" s="3507"/>
      <c r="JRV21" s="3507"/>
      <c r="JRW21" s="3507"/>
      <c r="JRX21" s="3507"/>
      <c r="JRY21" s="3507"/>
      <c r="JRZ21" s="3507"/>
      <c r="JSA21" s="3507"/>
      <c r="JSB21" s="3507"/>
      <c r="JSC21" s="3507"/>
      <c r="JSD21" s="3507"/>
      <c r="JSE21" s="3507"/>
      <c r="JSF21" s="3507"/>
      <c r="JSG21" s="3507"/>
      <c r="JSH21" s="3507"/>
      <c r="JSI21" s="3507"/>
      <c r="JSJ21" s="3507"/>
      <c r="JSK21" s="3507"/>
      <c r="JSL21" s="3507"/>
      <c r="JSM21" s="3507"/>
      <c r="JSN21" s="3507"/>
      <c r="JSO21" s="3507"/>
      <c r="JSP21" s="3507"/>
      <c r="JSQ21" s="3507"/>
      <c r="JSR21" s="3507"/>
      <c r="JSS21" s="3507"/>
      <c r="JST21" s="3507"/>
      <c r="JSU21" s="3507"/>
      <c r="JSV21" s="3507"/>
      <c r="JSW21" s="3507"/>
      <c r="JSX21" s="3507"/>
      <c r="JSY21" s="3507"/>
      <c r="JSZ21" s="3507"/>
      <c r="JTA21" s="3507"/>
      <c r="JTB21" s="3507"/>
      <c r="JTC21" s="3507"/>
      <c r="JTD21" s="3507"/>
      <c r="JTE21" s="3507"/>
      <c r="JTF21" s="3507"/>
      <c r="JTG21" s="3507"/>
      <c r="JTH21" s="3507"/>
      <c r="JTI21" s="3507"/>
      <c r="JTJ21" s="3507"/>
      <c r="JTK21" s="3507"/>
      <c r="JTL21" s="3507"/>
      <c r="JTM21" s="3507"/>
      <c r="JTN21" s="3507"/>
      <c r="JTO21" s="3507"/>
      <c r="JTP21" s="3507"/>
      <c r="JTQ21" s="3507"/>
      <c r="JTR21" s="3507"/>
      <c r="JTS21" s="3507"/>
      <c r="JTT21" s="3507"/>
      <c r="JTU21" s="3507"/>
      <c r="JTV21" s="3507"/>
      <c r="JTW21" s="3507"/>
      <c r="JTX21" s="3507"/>
      <c r="JTY21" s="3507"/>
      <c r="JTZ21" s="3507"/>
      <c r="JUA21" s="3507"/>
      <c r="JUB21" s="3507"/>
      <c r="JUC21" s="3507"/>
      <c r="JUD21" s="3507"/>
      <c r="JUE21" s="3507"/>
      <c r="JUF21" s="3507"/>
      <c r="JUG21" s="3507"/>
      <c r="JUH21" s="3507"/>
      <c r="JUI21" s="3507"/>
      <c r="JUJ21" s="3507"/>
      <c r="JUK21" s="3507"/>
      <c r="JUL21" s="3507"/>
      <c r="JUM21" s="3507"/>
      <c r="JUN21" s="3507"/>
      <c r="JUO21" s="3507"/>
      <c r="JUP21" s="3507"/>
      <c r="JUQ21" s="3507"/>
      <c r="JUR21" s="3507"/>
      <c r="JUS21" s="3507"/>
      <c r="JUT21" s="3507"/>
      <c r="JUU21" s="3507"/>
      <c r="JUV21" s="3507"/>
      <c r="JUW21" s="3507"/>
      <c r="JUX21" s="3507"/>
      <c r="JUY21" s="3507"/>
      <c r="JUZ21" s="3507"/>
      <c r="JVA21" s="3507"/>
      <c r="JVB21" s="3507"/>
      <c r="JVC21" s="3507"/>
      <c r="JVD21" s="3507"/>
      <c r="JVE21" s="3507"/>
      <c r="JVF21" s="3507"/>
      <c r="JVG21" s="3507"/>
      <c r="JVH21" s="3507"/>
      <c r="JVI21" s="3507"/>
      <c r="JVJ21" s="3507"/>
      <c r="JVK21" s="3507"/>
      <c r="JVL21" s="3507"/>
      <c r="JVM21" s="3507"/>
      <c r="JVN21" s="3507"/>
      <c r="JVO21" s="3507"/>
      <c r="JVP21" s="3507"/>
      <c r="JVQ21" s="3507"/>
      <c r="JVR21" s="3507"/>
      <c r="JVS21" s="3507"/>
      <c r="JVT21" s="3507"/>
      <c r="JVU21" s="3507"/>
      <c r="JVV21" s="3507"/>
      <c r="JVW21" s="3507"/>
      <c r="JVX21" s="3507"/>
      <c r="JVY21" s="3507"/>
      <c r="JVZ21" s="3507"/>
      <c r="JWA21" s="3507"/>
      <c r="JWB21" s="3507"/>
      <c r="JWC21" s="3507"/>
      <c r="JWD21" s="3507"/>
      <c r="JWE21" s="3507"/>
      <c r="JWF21" s="3507"/>
      <c r="JWG21" s="3507"/>
      <c r="JWH21" s="3507"/>
      <c r="JWI21" s="3507"/>
      <c r="JWJ21" s="3507"/>
      <c r="JWK21" s="3507"/>
      <c r="JWL21" s="3507"/>
      <c r="JWM21" s="3507"/>
      <c r="JWN21" s="3507"/>
      <c r="JWO21" s="3507"/>
      <c r="JWP21" s="3507"/>
      <c r="JWQ21" s="3507"/>
      <c r="JWR21" s="3507"/>
      <c r="JWS21" s="3507"/>
      <c r="JWT21" s="3507"/>
      <c r="JWU21" s="3507"/>
      <c r="JWV21" s="3507"/>
      <c r="JWW21" s="3507"/>
      <c r="JWX21" s="3507"/>
      <c r="JWY21" s="3507"/>
      <c r="JWZ21" s="3507"/>
      <c r="JXA21" s="3507"/>
      <c r="JXB21" s="3507"/>
      <c r="JXC21" s="3507"/>
      <c r="JXD21" s="3507"/>
      <c r="JXE21" s="3507"/>
      <c r="JXF21" s="3507"/>
      <c r="JXG21" s="3507"/>
      <c r="JXH21" s="3507"/>
      <c r="JXI21" s="3507"/>
      <c r="JXJ21" s="3507"/>
      <c r="JXK21" s="3507"/>
      <c r="JXL21" s="3507"/>
      <c r="JXM21" s="3507"/>
      <c r="JXN21" s="3507"/>
      <c r="JXO21" s="3507"/>
      <c r="JXP21" s="3507"/>
      <c r="JXQ21" s="3507"/>
      <c r="JXR21" s="3507"/>
      <c r="JXS21" s="3507"/>
      <c r="JXT21" s="3507"/>
      <c r="JXU21" s="3507"/>
      <c r="JXV21" s="3507"/>
      <c r="JXW21" s="3507"/>
      <c r="JXX21" s="3507"/>
      <c r="JXY21" s="3507"/>
      <c r="JXZ21" s="3507"/>
      <c r="JYA21" s="3507"/>
      <c r="JYB21" s="3507"/>
      <c r="JYC21" s="3507"/>
      <c r="JYD21" s="3507"/>
      <c r="JYE21" s="3507"/>
      <c r="JYF21" s="3507"/>
      <c r="JYG21" s="3507"/>
      <c r="JYH21" s="3507"/>
      <c r="JYI21" s="3507"/>
      <c r="JYJ21" s="3507"/>
      <c r="JYK21" s="3507"/>
      <c r="JYL21" s="3507"/>
      <c r="JYM21" s="3507"/>
      <c r="JYN21" s="3507"/>
      <c r="JYO21" s="3507"/>
      <c r="JYP21" s="3507"/>
      <c r="JYQ21" s="3507"/>
      <c r="JYR21" s="3507"/>
      <c r="JYS21" s="3507"/>
      <c r="JYT21" s="3507"/>
      <c r="JYU21" s="3507"/>
      <c r="JYV21" s="3507"/>
      <c r="JYW21" s="3507"/>
      <c r="JYX21" s="3507"/>
      <c r="JYY21" s="3507"/>
      <c r="JYZ21" s="3507"/>
      <c r="JZA21" s="3507"/>
      <c r="JZB21" s="3507"/>
      <c r="JZC21" s="3507"/>
      <c r="JZD21" s="3507"/>
      <c r="JZE21" s="3507"/>
      <c r="JZF21" s="3507"/>
      <c r="JZG21" s="3507"/>
      <c r="JZH21" s="3507"/>
      <c r="JZI21" s="3507"/>
      <c r="JZJ21" s="3507"/>
      <c r="JZK21" s="3507"/>
      <c r="JZL21" s="3507"/>
      <c r="JZM21" s="3507"/>
      <c r="JZN21" s="3507"/>
      <c r="JZO21" s="3507"/>
      <c r="JZP21" s="3507"/>
      <c r="JZQ21" s="3507"/>
      <c r="JZR21" s="3507"/>
      <c r="JZS21" s="3507"/>
      <c r="JZT21" s="3507"/>
      <c r="JZU21" s="3507"/>
      <c r="JZV21" s="3507"/>
      <c r="JZW21" s="3507"/>
      <c r="JZX21" s="3507"/>
      <c r="JZY21" s="3507"/>
      <c r="JZZ21" s="3507"/>
      <c r="KAA21" s="3507"/>
      <c r="KAB21" s="3507"/>
      <c r="KAC21" s="3507"/>
      <c r="KAD21" s="3507"/>
      <c r="KAE21" s="3507"/>
      <c r="KAF21" s="3507"/>
      <c r="KAG21" s="3507"/>
      <c r="KAH21" s="3507"/>
      <c r="KAI21" s="3507"/>
      <c r="KAJ21" s="3507"/>
      <c r="KAK21" s="3507"/>
      <c r="KAL21" s="3507"/>
      <c r="KAM21" s="3507"/>
      <c r="KAN21" s="3507"/>
      <c r="KAO21" s="3507"/>
      <c r="KAP21" s="3507"/>
      <c r="KAQ21" s="3507"/>
      <c r="KAR21" s="3507"/>
      <c r="KAS21" s="3507"/>
      <c r="KAT21" s="3507"/>
      <c r="KAU21" s="3507"/>
      <c r="KAV21" s="3507"/>
      <c r="KAW21" s="3507"/>
      <c r="KAX21" s="3507"/>
      <c r="KAY21" s="3507"/>
      <c r="KAZ21" s="3507"/>
      <c r="KBA21" s="3507"/>
      <c r="KBB21" s="3507"/>
      <c r="KBC21" s="3507"/>
      <c r="KBD21" s="3507"/>
      <c r="KBE21" s="3507"/>
      <c r="KBF21" s="3507"/>
      <c r="KBG21" s="3507"/>
      <c r="KBH21" s="3507"/>
      <c r="KBI21" s="3507"/>
      <c r="KBJ21" s="3507"/>
      <c r="KBK21" s="3507"/>
      <c r="KBL21" s="3507"/>
      <c r="KBM21" s="3507"/>
      <c r="KBN21" s="3507"/>
      <c r="KBO21" s="3507"/>
      <c r="KBP21" s="3507"/>
      <c r="KBQ21" s="3507"/>
      <c r="KBR21" s="3507"/>
      <c r="KBS21" s="3507"/>
      <c r="KBT21" s="3507"/>
      <c r="KBU21" s="3507"/>
      <c r="KBV21" s="3507"/>
      <c r="KBW21" s="3507"/>
      <c r="KBX21" s="3507"/>
      <c r="KBY21" s="3507"/>
      <c r="KBZ21" s="3507"/>
      <c r="KCA21" s="3507"/>
      <c r="KCB21" s="3507"/>
      <c r="KCC21" s="3507"/>
      <c r="KCD21" s="3507"/>
      <c r="KCE21" s="3507"/>
      <c r="KCF21" s="3507"/>
      <c r="KCG21" s="3507"/>
      <c r="KCH21" s="3507"/>
      <c r="KCI21" s="3507"/>
      <c r="KCJ21" s="3507"/>
      <c r="KCK21" s="3507"/>
      <c r="KCL21" s="3507"/>
      <c r="KCM21" s="3507"/>
      <c r="KCN21" s="3507"/>
      <c r="KCO21" s="3507"/>
      <c r="KCP21" s="3507"/>
      <c r="KCQ21" s="3507"/>
      <c r="KCR21" s="3507"/>
      <c r="KCS21" s="3507"/>
      <c r="KCT21" s="3507"/>
      <c r="KCU21" s="3507"/>
      <c r="KCV21" s="3507"/>
      <c r="KCW21" s="3507"/>
      <c r="KCX21" s="3507"/>
      <c r="KCY21" s="3507"/>
      <c r="KCZ21" s="3507"/>
      <c r="KDA21" s="3507"/>
      <c r="KDB21" s="3507"/>
      <c r="KDC21" s="3507"/>
      <c r="KDD21" s="3507"/>
      <c r="KDE21" s="3507"/>
      <c r="KDF21" s="3507"/>
      <c r="KDG21" s="3507"/>
      <c r="KDH21" s="3507"/>
      <c r="KDI21" s="3507"/>
      <c r="KDJ21" s="3507"/>
      <c r="KDK21" s="3507"/>
      <c r="KDL21" s="3507"/>
      <c r="KDM21" s="3507"/>
      <c r="KDN21" s="3507"/>
      <c r="KDO21" s="3507"/>
      <c r="KDP21" s="3507"/>
      <c r="KDQ21" s="3507"/>
      <c r="KDR21" s="3507"/>
      <c r="KDS21" s="3507"/>
      <c r="KDT21" s="3507"/>
      <c r="KDU21" s="3507"/>
      <c r="KDV21" s="3507"/>
      <c r="KDW21" s="3507"/>
      <c r="KDX21" s="3507"/>
      <c r="KDY21" s="3507"/>
      <c r="KDZ21" s="3507"/>
      <c r="KEA21" s="3507"/>
      <c r="KEB21" s="3507"/>
      <c r="KEC21" s="3507"/>
      <c r="KED21" s="3507"/>
      <c r="KEE21" s="3507"/>
      <c r="KEF21" s="3507"/>
      <c r="KEG21" s="3507"/>
      <c r="KEH21" s="3507"/>
      <c r="KEI21" s="3507"/>
      <c r="KEJ21" s="3507"/>
      <c r="KEK21" s="3507"/>
      <c r="KEL21" s="3507"/>
      <c r="KEM21" s="3507"/>
      <c r="KEN21" s="3507"/>
      <c r="KEO21" s="3507"/>
      <c r="KEP21" s="3507"/>
      <c r="KEQ21" s="3507"/>
      <c r="KER21" s="3507"/>
      <c r="KES21" s="3507"/>
      <c r="KET21" s="3507"/>
      <c r="KEU21" s="3507"/>
      <c r="KEV21" s="3507"/>
      <c r="KEW21" s="3507"/>
      <c r="KEX21" s="3507"/>
      <c r="KEY21" s="3507"/>
      <c r="KEZ21" s="3507"/>
      <c r="KFA21" s="3507"/>
      <c r="KFB21" s="3507"/>
      <c r="KFC21" s="3507"/>
      <c r="KFD21" s="3507"/>
      <c r="KFE21" s="3507"/>
      <c r="KFF21" s="3507"/>
      <c r="KFG21" s="3507"/>
      <c r="KFH21" s="3507"/>
      <c r="KFI21" s="3507"/>
      <c r="KFJ21" s="3507"/>
      <c r="KFK21" s="3507"/>
      <c r="KFL21" s="3507"/>
      <c r="KFM21" s="3507"/>
      <c r="KFN21" s="3507"/>
      <c r="KFO21" s="3507"/>
      <c r="KFP21" s="3507"/>
      <c r="KFQ21" s="3507"/>
      <c r="KFR21" s="3507"/>
      <c r="KFS21" s="3507"/>
      <c r="KFT21" s="3507"/>
      <c r="KFU21" s="3507"/>
      <c r="KFV21" s="3507"/>
      <c r="KFW21" s="3507"/>
      <c r="KFX21" s="3507"/>
      <c r="KFY21" s="3507"/>
      <c r="KFZ21" s="3507"/>
      <c r="KGA21" s="3507"/>
      <c r="KGB21" s="3507"/>
      <c r="KGC21" s="3507"/>
      <c r="KGD21" s="3507"/>
      <c r="KGE21" s="3507"/>
      <c r="KGF21" s="3507"/>
      <c r="KGG21" s="3507"/>
      <c r="KGH21" s="3507"/>
      <c r="KGI21" s="3507"/>
      <c r="KGJ21" s="3507"/>
      <c r="KGK21" s="3507"/>
      <c r="KGL21" s="3507"/>
      <c r="KGM21" s="3507"/>
      <c r="KGN21" s="3507"/>
      <c r="KGO21" s="3507"/>
      <c r="KGP21" s="3507"/>
      <c r="KGQ21" s="3507"/>
      <c r="KGR21" s="3507"/>
      <c r="KGS21" s="3507"/>
      <c r="KGT21" s="3507"/>
      <c r="KGU21" s="3507"/>
      <c r="KGV21" s="3507"/>
      <c r="KGW21" s="3507"/>
      <c r="KGX21" s="3507"/>
      <c r="KGY21" s="3507"/>
      <c r="KGZ21" s="3507"/>
      <c r="KHA21" s="3507"/>
      <c r="KHB21" s="3507"/>
      <c r="KHC21" s="3507"/>
      <c r="KHD21" s="3507"/>
      <c r="KHE21" s="3507"/>
      <c r="KHF21" s="3507"/>
      <c r="KHG21" s="3507"/>
      <c r="KHH21" s="3507"/>
      <c r="KHI21" s="3507"/>
      <c r="KHJ21" s="3507"/>
      <c r="KHK21" s="3507"/>
      <c r="KHL21" s="3507"/>
      <c r="KHM21" s="3507"/>
      <c r="KHN21" s="3507"/>
      <c r="KHO21" s="3507"/>
      <c r="KHP21" s="3507"/>
      <c r="KHQ21" s="3507"/>
      <c r="KHR21" s="3507"/>
      <c r="KHS21" s="3507"/>
      <c r="KHT21" s="3507"/>
      <c r="KHU21" s="3507"/>
      <c r="KHV21" s="3507"/>
      <c r="KHW21" s="3507"/>
      <c r="KHX21" s="3507"/>
      <c r="KHY21" s="3507"/>
      <c r="KHZ21" s="3507"/>
      <c r="KIA21" s="3507"/>
      <c r="KIB21" s="3507"/>
      <c r="KIC21" s="3507"/>
      <c r="KID21" s="3507"/>
      <c r="KIE21" s="3507"/>
      <c r="KIF21" s="3507"/>
      <c r="KIG21" s="3507"/>
      <c r="KIH21" s="3507"/>
      <c r="KII21" s="3507"/>
      <c r="KIJ21" s="3507"/>
      <c r="KIK21" s="3507"/>
      <c r="KIL21" s="3507"/>
      <c r="KIM21" s="3507"/>
      <c r="KIN21" s="3507"/>
      <c r="KIO21" s="3507"/>
      <c r="KIP21" s="3507"/>
      <c r="KIQ21" s="3507"/>
      <c r="KIR21" s="3507"/>
      <c r="KIS21" s="3507"/>
      <c r="KIT21" s="3507"/>
      <c r="KIU21" s="3507"/>
      <c r="KIV21" s="3507"/>
      <c r="KIW21" s="3507"/>
      <c r="KIX21" s="3507"/>
      <c r="KIY21" s="3507"/>
      <c r="KIZ21" s="3507"/>
      <c r="KJA21" s="3507"/>
      <c r="KJB21" s="3507"/>
      <c r="KJC21" s="3507"/>
      <c r="KJD21" s="3507"/>
      <c r="KJE21" s="3507"/>
      <c r="KJF21" s="3507"/>
      <c r="KJG21" s="3507"/>
      <c r="KJH21" s="3507"/>
      <c r="KJI21" s="3507"/>
      <c r="KJJ21" s="3507"/>
      <c r="KJK21" s="3507"/>
      <c r="KJL21" s="3507"/>
      <c r="KJM21" s="3507"/>
      <c r="KJN21" s="3507"/>
      <c r="KJO21" s="3507"/>
      <c r="KJP21" s="3507"/>
      <c r="KJQ21" s="3507"/>
      <c r="KJR21" s="3507"/>
      <c r="KJS21" s="3507"/>
      <c r="KJT21" s="3507"/>
      <c r="KJU21" s="3507"/>
      <c r="KJV21" s="3507"/>
      <c r="KJW21" s="3507"/>
      <c r="KJX21" s="3507"/>
      <c r="KJY21" s="3507"/>
      <c r="KJZ21" s="3507"/>
      <c r="KKA21" s="3507"/>
      <c r="KKB21" s="3507"/>
      <c r="KKC21" s="3507"/>
      <c r="KKD21" s="3507"/>
      <c r="KKE21" s="3507"/>
      <c r="KKF21" s="3507"/>
      <c r="KKG21" s="3507"/>
      <c r="KKH21" s="3507"/>
      <c r="KKI21" s="3507"/>
      <c r="KKJ21" s="3507"/>
      <c r="KKK21" s="3507"/>
      <c r="KKL21" s="3507"/>
      <c r="KKM21" s="3507"/>
      <c r="KKN21" s="3507"/>
      <c r="KKO21" s="3507"/>
      <c r="KKP21" s="3507"/>
      <c r="KKQ21" s="3507"/>
      <c r="KKR21" s="3507"/>
      <c r="KKS21" s="3507"/>
      <c r="KKT21" s="3507"/>
      <c r="KKU21" s="3507"/>
      <c r="KKV21" s="3507"/>
      <c r="KKW21" s="3507"/>
      <c r="KKX21" s="3507"/>
      <c r="KKY21" s="3507"/>
      <c r="KKZ21" s="3507"/>
      <c r="KLA21" s="3507"/>
      <c r="KLB21" s="3507"/>
      <c r="KLC21" s="3507"/>
      <c r="KLD21" s="3507"/>
      <c r="KLE21" s="3507"/>
      <c r="KLF21" s="3507"/>
      <c r="KLG21" s="3507"/>
      <c r="KLH21" s="3507"/>
      <c r="KLI21" s="3507"/>
      <c r="KLJ21" s="3507"/>
      <c r="KLK21" s="3507"/>
      <c r="KLL21" s="3507"/>
      <c r="KLM21" s="3507"/>
      <c r="KLN21" s="3507"/>
      <c r="KLO21" s="3507"/>
      <c r="KLP21" s="3507"/>
      <c r="KLQ21" s="3507"/>
      <c r="KLR21" s="3507"/>
      <c r="KLS21" s="3507"/>
      <c r="KLT21" s="3507"/>
      <c r="KLU21" s="3507"/>
      <c r="KLV21" s="3507"/>
      <c r="KLW21" s="3507"/>
      <c r="KLX21" s="3507"/>
      <c r="KLY21" s="3507"/>
      <c r="KLZ21" s="3507"/>
      <c r="KMA21" s="3507"/>
      <c r="KMB21" s="3507"/>
      <c r="KMC21" s="3507"/>
      <c r="KMD21" s="3507"/>
      <c r="KME21" s="3507"/>
      <c r="KMF21" s="3507"/>
      <c r="KMG21" s="3507"/>
      <c r="KMH21" s="3507"/>
      <c r="KMI21" s="3507"/>
      <c r="KMJ21" s="3507"/>
      <c r="KMK21" s="3507"/>
      <c r="KML21" s="3507"/>
      <c r="KMM21" s="3507"/>
      <c r="KMN21" s="3507"/>
      <c r="KMO21" s="3507"/>
      <c r="KMP21" s="3507"/>
      <c r="KMQ21" s="3507"/>
      <c r="KMR21" s="3507"/>
      <c r="KMS21" s="3507"/>
      <c r="KMT21" s="3507"/>
      <c r="KMU21" s="3507"/>
      <c r="KMV21" s="3507"/>
      <c r="KMW21" s="3507"/>
      <c r="KMX21" s="3507"/>
      <c r="KMY21" s="3507"/>
      <c r="KMZ21" s="3507"/>
      <c r="KNA21" s="3507"/>
      <c r="KNB21" s="3507"/>
      <c r="KNC21" s="3507"/>
      <c r="KND21" s="3507"/>
      <c r="KNE21" s="3507"/>
      <c r="KNF21" s="3507"/>
      <c r="KNG21" s="3507"/>
      <c r="KNH21" s="3507"/>
      <c r="KNI21" s="3507"/>
      <c r="KNJ21" s="3507"/>
      <c r="KNK21" s="3507"/>
      <c r="KNL21" s="3507"/>
      <c r="KNM21" s="3507"/>
      <c r="KNN21" s="3507"/>
      <c r="KNO21" s="3507"/>
      <c r="KNP21" s="3507"/>
      <c r="KNQ21" s="3507"/>
      <c r="KNR21" s="3507"/>
      <c r="KNS21" s="3507"/>
      <c r="KNT21" s="3507"/>
      <c r="KNU21" s="3507"/>
      <c r="KNV21" s="3507"/>
      <c r="KNW21" s="3507"/>
      <c r="KNX21" s="3507"/>
      <c r="KNY21" s="3507"/>
      <c r="KNZ21" s="3507"/>
      <c r="KOA21" s="3507"/>
      <c r="KOB21" s="3507"/>
      <c r="KOC21" s="3507"/>
      <c r="KOD21" s="3507"/>
      <c r="KOE21" s="3507"/>
      <c r="KOF21" s="3507"/>
      <c r="KOG21" s="3507"/>
      <c r="KOH21" s="3507"/>
      <c r="KOI21" s="3507"/>
      <c r="KOJ21" s="3507"/>
      <c r="KOK21" s="3507"/>
      <c r="KOL21" s="3507"/>
      <c r="KOM21" s="3507"/>
      <c r="KON21" s="3507"/>
      <c r="KOO21" s="3507"/>
      <c r="KOP21" s="3507"/>
      <c r="KOQ21" s="3507"/>
      <c r="KOR21" s="3507"/>
      <c r="KOS21" s="3507"/>
      <c r="KOT21" s="3507"/>
      <c r="KOU21" s="3507"/>
      <c r="KOV21" s="3507"/>
      <c r="KOW21" s="3507"/>
      <c r="KOX21" s="3507"/>
      <c r="KOY21" s="3507"/>
      <c r="KOZ21" s="3507"/>
      <c r="KPA21" s="3507"/>
      <c r="KPB21" s="3507"/>
      <c r="KPC21" s="3507"/>
      <c r="KPD21" s="3507"/>
      <c r="KPE21" s="3507"/>
      <c r="KPF21" s="3507"/>
      <c r="KPG21" s="3507"/>
      <c r="KPH21" s="3507"/>
      <c r="KPI21" s="3507"/>
      <c r="KPJ21" s="3507"/>
      <c r="KPK21" s="3507"/>
      <c r="KPL21" s="3507"/>
      <c r="KPM21" s="3507"/>
      <c r="KPN21" s="3507"/>
      <c r="KPO21" s="3507"/>
      <c r="KPP21" s="3507"/>
      <c r="KPQ21" s="3507"/>
      <c r="KPR21" s="3507"/>
      <c r="KPS21" s="3507"/>
      <c r="KPT21" s="3507"/>
      <c r="KPU21" s="3507"/>
      <c r="KPV21" s="3507"/>
      <c r="KPW21" s="3507"/>
      <c r="KPX21" s="3507"/>
      <c r="KPY21" s="3507"/>
      <c r="KPZ21" s="3507"/>
      <c r="KQA21" s="3507"/>
      <c r="KQB21" s="3507"/>
      <c r="KQC21" s="3507"/>
      <c r="KQD21" s="3507"/>
      <c r="KQE21" s="3507"/>
      <c r="KQF21" s="3507"/>
      <c r="KQG21" s="3507"/>
      <c r="KQH21" s="3507"/>
      <c r="KQI21" s="3507"/>
      <c r="KQJ21" s="3507"/>
      <c r="KQK21" s="3507"/>
      <c r="KQL21" s="3507"/>
      <c r="KQM21" s="3507"/>
      <c r="KQN21" s="3507"/>
      <c r="KQO21" s="3507"/>
      <c r="KQP21" s="3507"/>
      <c r="KQQ21" s="3507"/>
      <c r="KQR21" s="3507"/>
      <c r="KQS21" s="3507"/>
      <c r="KQT21" s="3507"/>
      <c r="KQU21" s="3507"/>
      <c r="KQV21" s="3507"/>
      <c r="KQW21" s="3507"/>
      <c r="KQX21" s="3507"/>
      <c r="KQY21" s="3507"/>
      <c r="KQZ21" s="3507"/>
      <c r="KRA21" s="3507"/>
      <c r="KRB21" s="3507"/>
      <c r="KRC21" s="3507"/>
      <c r="KRD21" s="3507"/>
      <c r="KRE21" s="3507"/>
      <c r="KRF21" s="3507"/>
      <c r="KRG21" s="3507"/>
      <c r="KRH21" s="3507"/>
      <c r="KRI21" s="3507"/>
      <c r="KRJ21" s="3507"/>
      <c r="KRK21" s="3507"/>
      <c r="KRL21" s="3507"/>
      <c r="KRM21" s="3507"/>
      <c r="KRN21" s="3507"/>
      <c r="KRO21" s="3507"/>
      <c r="KRP21" s="3507"/>
      <c r="KRQ21" s="3507"/>
      <c r="KRR21" s="3507"/>
      <c r="KRS21" s="3507"/>
      <c r="KRT21" s="3507"/>
      <c r="KRU21" s="3507"/>
      <c r="KRV21" s="3507"/>
      <c r="KRW21" s="3507"/>
      <c r="KRX21" s="3507"/>
      <c r="KRY21" s="3507"/>
      <c r="KRZ21" s="3507"/>
      <c r="KSA21" s="3507"/>
      <c r="KSB21" s="3507"/>
      <c r="KSC21" s="3507"/>
      <c r="KSD21" s="3507"/>
      <c r="KSE21" s="3507"/>
      <c r="KSF21" s="3507"/>
      <c r="KSG21" s="3507"/>
      <c r="KSH21" s="3507"/>
      <c r="KSI21" s="3507"/>
      <c r="KSJ21" s="3507"/>
      <c r="KSK21" s="3507"/>
      <c r="KSL21" s="3507"/>
      <c r="KSM21" s="3507"/>
      <c r="KSN21" s="3507"/>
      <c r="KSO21" s="3507"/>
      <c r="KSP21" s="3507"/>
      <c r="KSQ21" s="3507"/>
      <c r="KSR21" s="3507"/>
      <c r="KSS21" s="3507"/>
      <c r="KST21" s="3507"/>
      <c r="KSU21" s="3507"/>
      <c r="KSV21" s="3507"/>
      <c r="KSW21" s="3507"/>
      <c r="KSX21" s="3507"/>
      <c r="KSY21" s="3507"/>
      <c r="KSZ21" s="3507"/>
      <c r="KTA21" s="3507"/>
      <c r="KTB21" s="3507"/>
      <c r="KTC21" s="3507"/>
      <c r="KTD21" s="3507"/>
      <c r="KTE21" s="3507"/>
      <c r="KTF21" s="3507"/>
      <c r="KTG21" s="3507"/>
      <c r="KTH21" s="3507"/>
      <c r="KTI21" s="3507"/>
      <c r="KTJ21" s="3507"/>
      <c r="KTK21" s="3507"/>
      <c r="KTL21" s="3507"/>
      <c r="KTM21" s="3507"/>
      <c r="KTN21" s="3507"/>
      <c r="KTO21" s="3507"/>
      <c r="KTP21" s="3507"/>
      <c r="KTQ21" s="3507"/>
      <c r="KTR21" s="3507"/>
      <c r="KTS21" s="3507"/>
      <c r="KTT21" s="3507"/>
      <c r="KTU21" s="3507"/>
      <c r="KTV21" s="3507"/>
      <c r="KTW21" s="3507"/>
      <c r="KTX21" s="3507"/>
      <c r="KTY21" s="3507"/>
      <c r="KTZ21" s="3507"/>
      <c r="KUA21" s="3507"/>
      <c r="KUB21" s="3507"/>
      <c r="KUC21" s="3507"/>
      <c r="KUD21" s="3507"/>
      <c r="KUE21" s="3507"/>
      <c r="KUF21" s="3507"/>
      <c r="KUG21" s="3507"/>
      <c r="KUH21" s="3507"/>
      <c r="KUI21" s="3507"/>
      <c r="KUJ21" s="3507"/>
      <c r="KUK21" s="3507"/>
      <c r="KUL21" s="3507"/>
      <c r="KUM21" s="3507"/>
      <c r="KUN21" s="3507"/>
      <c r="KUO21" s="3507"/>
      <c r="KUP21" s="3507"/>
      <c r="KUQ21" s="3507"/>
      <c r="KUR21" s="3507"/>
      <c r="KUS21" s="3507"/>
      <c r="KUT21" s="3507"/>
      <c r="KUU21" s="3507"/>
      <c r="KUV21" s="3507"/>
      <c r="KUW21" s="3507"/>
      <c r="KUX21" s="3507"/>
      <c r="KUY21" s="3507"/>
      <c r="KUZ21" s="3507"/>
      <c r="KVA21" s="3507"/>
      <c r="KVB21" s="3507"/>
      <c r="KVC21" s="3507"/>
      <c r="KVD21" s="3507"/>
      <c r="KVE21" s="3507"/>
      <c r="KVF21" s="3507"/>
      <c r="KVG21" s="3507"/>
      <c r="KVH21" s="3507"/>
      <c r="KVI21" s="3507"/>
      <c r="KVJ21" s="3507"/>
      <c r="KVK21" s="3507"/>
      <c r="KVL21" s="3507"/>
      <c r="KVM21" s="3507"/>
      <c r="KVN21" s="3507"/>
      <c r="KVO21" s="3507"/>
      <c r="KVP21" s="3507"/>
      <c r="KVQ21" s="3507"/>
      <c r="KVR21" s="3507"/>
      <c r="KVS21" s="3507"/>
      <c r="KVT21" s="3507"/>
      <c r="KVU21" s="3507"/>
      <c r="KVV21" s="3507"/>
      <c r="KVW21" s="3507"/>
      <c r="KVX21" s="3507"/>
      <c r="KVY21" s="3507"/>
      <c r="KVZ21" s="3507"/>
      <c r="KWA21" s="3507"/>
      <c r="KWB21" s="3507"/>
      <c r="KWC21" s="3507"/>
      <c r="KWD21" s="3507"/>
      <c r="KWE21" s="3507"/>
      <c r="KWF21" s="3507"/>
      <c r="KWG21" s="3507"/>
      <c r="KWH21" s="3507"/>
      <c r="KWI21" s="3507"/>
      <c r="KWJ21" s="3507"/>
      <c r="KWK21" s="3507"/>
      <c r="KWL21" s="3507"/>
      <c r="KWM21" s="3507"/>
      <c r="KWN21" s="3507"/>
      <c r="KWO21" s="3507"/>
      <c r="KWP21" s="3507"/>
      <c r="KWQ21" s="3507"/>
      <c r="KWR21" s="3507"/>
      <c r="KWS21" s="3507"/>
      <c r="KWT21" s="3507"/>
      <c r="KWU21" s="3507"/>
      <c r="KWV21" s="3507"/>
      <c r="KWW21" s="3507"/>
      <c r="KWX21" s="3507"/>
      <c r="KWY21" s="3507"/>
      <c r="KWZ21" s="3507"/>
      <c r="KXA21" s="3507"/>
      <c r="KXB21" s="3507"/>
      <c r="KXC21" s="3507"/>
      <c r="KXD21" s="3507"/>
      <c r="KXE21" s="3507"/>
      <c r="KXF21" s="3507"/>
      <c r="KXG21" s="3507"/>
      <c r="KXH21" s="3507"/>
      <c r="KXI21" s="3507"/>
      <c r="KXJ21" s="3507"/>
      <c r="KXK21" s="3507"/>
      <c r="KXL21" s="3507"/>
      <c r="KXM21" s="3507"/>
      <c r="KXN21" s="3507"/>
      <c r="KXO21" s="3507"/>
      <c r="KXP21" s="3507"/>
      <c r="KXQ21" s="3507"/>
      <c r="KXR21" s="3507"/>
      <c r="KXS21" s="3507"/>
      <c r="KXT21" s="3507"/>
      <c r="KXU21" s="3507"/>
      <c r="KXV21" s="3507"/>
      <c r="KXW21" s="3507"/>
      <c r="KXX21" s="3507"/>
      <c r="KXY21" s="3507"/>
      <c r="KXZ21" s="3507"/>
      <c r="KYA21" s="3507"/>
      <c r="KYB21" s="3507"/>
      <c r="KYC21" s="3507"/>
      <c r="KYD21" s="3507"/>
      <c r="KYE21" s="3507"/>
      <c r="KYF21" s="3507"/>
      <c r="KYG21" s="3507"/>
      <c r="KYH21" s="3507"/>
      <c r="KYI21" s="3507"/>
      <c r="KYJ21" s="3507"/>
      <c r="KYK21" s="3507"/>
      <c r="KYL21" s="3507"/>
      <c r="KYM21" s="3507"/>
      <c r="KYN21" s="3507"/>
      <c r="KYO21" s="3507"/>
      <c r="KYP21" s="3507"/>
      <c r="KYQ21" s="3507"/>
      <c r="KYR21" s="3507"/>
      <c r="KYS21" s="3507"/>
      <c r="KYT21" s="3507"/>
      <c r="KYU21" s="3507"/>
      <c r="KYV21" s="3507"/>
      <c r="KYW21" s="3507"/>
      <c r="KYX21" s="3507"/>
      <c r="KYY21" s="3507"/>
      <c r="KYZ21" s="3507"/>
      <c r="KZA21" s="3507"/>
      <c r="KZB21" s="3507"/>
      <c r="KZC21" s="3507"/>
      <c r="KZD21" s="3507"/>
      <c r="KZE21" s="3507"/>
      <c r="KZF21" s="3507"/>
      <c r="KZG21" s="3507"/>
      <c r="KZH21" s="3507"/>
      <c r="KZI21" s="3507"/>
      <c r="KZJ21" s="3507"/>
      <c r="KZK21" s="3507"/>
      <c r="KZL21" s="3507"/>
      <c r="KZM21" s="3507"/>
      <c r="KZN21" s="3507"/>
      <c r="KZO21" s="3507"/>
      <c r="KZP21" s="3507"/>
      <c r="KZQ21" s="3507"/>
      <c r="KZR21" s="3507"/>
      <c r="KZS21" s="3507"/>
      <c r="KZT21" s="3507"/>
      <c r="KZU21" s="3507"/>
      <c r="KZV21" s="3507"/>
      <c r="KZW21" s="3507"/>
      <c r="KZX21" s="3507"/>
      <c r="KZY21" s="3507"/>
      <c r="KZZ21" s="3507"/>
      <c r="LAA21" s="3507"/>
      <c r="LAB21" s="3507"/>
      <c r="LAC21" s="3507"/>
      <c r="LAD21" s="3507"/>
      <c r="LAE21" s="3507"/>
      <c r="LAF21" s="3507"/>
      <c r="LAG21" s="3507"/>
      <c r="LAH21" s="3507"/>
      <c r="LAI21" s="3507"/>
      <c r="LAJ21" s="3507"/>
      <c r="LAK21" s="3507"/>
      <c r="LAL21" s="3507"/>
      <c r="LAM21" s="3507"/>
      <c r="LAN21" s="3507"/>
      <c r="LAO21" s="3507"/>
      <c r="LAP21" s="3507"/>
      <c r="LAQ21" s="3507"/>
      <c r="LAR21" s="3507"/>
      <c r="LAS21" s="3507"/>
      <c r="LAT21" s="3507"/>
      <c r="LAU21" s="3507"/>
      <c r="LAV21" s="3507"/>
      <c r="LAW21" s="3507"/>
      <c r="LAX21" s="3507"/>
      <c r="LAY21" s="3507"/>
      <c r="LAZ21" s="3507"/>
      <c r="LBA21" s="3507"/>
      <c r="LBB21" s="3507"/>
      <c r="LBC21" s="3507"/>
      <c r="LBD21" s="3507"/>
      <c r="LBE21" s="3507"/>
      <c r="LBF21" s="3507"/>
      <c r="LBG21" s="3507"/>
      <c r="LBH21" s="3507"/>
      <c r="LBI21" s="3507"/>
      <c r="LBJ21" s="3507"/>
      <c r="LBK21" s="3507"/>
      <c r="LBL21" s="3507"/>
      <c r="LBM21" s="3507"/>
      <c r="LBN21" s="3507"/>
      <c r="LBO21" s="3507"/>
      <c r="LBP21" s="3507"/>
      <c r="LBQ21" s="3507"/>
      <c r="LBR21" s="3507"/>
      <c r="LBS21" s="3507"/>
      <c r="LBT21" s="3507"/>
      <c r="LBU21" s="3507"/>
      <c r="LBV21" s="3507"/>
      <c r="LBW21" s="3507"/>
      <c r="LBX21" s="3507"/>
      <c r="LBY21" s="3507"/>
      <c r="LBZ21" s="3507"/>
      <c r="LCA21" s="3507"/>
      <c r="LCB21" s="3507"/>
      <c r="LCC21" s="3507"/>
      <c r="LCD21" s="3507"/>
      <c r="LCE21" s="3507"/>
      <c r="LCF21" s="3507"/>
      <c r="LCG21" s="3507"/>
      <c r="LCH21" s="3507"/>
      <c r="LCI21" s="3507"/>
      <c r="LCJ21" s="3507"/>
      <c r="LCK21" s="3507"/>
      <c r="LCL21" s="3507"/>
      <c r="LCM21" s="3507"/>
      <c r="LCN21" s="3507"/>
      <c r="LCO21" s="3507"/>
      <c r="LCP21" s="3507"/>
      <c r="LCQ21" s="3507"/>
      <c r="LCR21" s="3507"/>
      <c r="LCS21" s="3507"/>
      <c r="LCT21" s="3507"/>
      <c r="LCU21" s="3507"/>
      <c r="LCV21" s="3507"/>
      <c r="LCW21" s="3507"/>
      <c r="LCX21" s="3507"/>
      <c r="LCY21" s="3507"/>
      <c r="LCZ21" s="3507"/>
      <c r="LDA21" s="3507"/>
      <c r="LDB21" s="3507"/>
      <c r="LDC21" s="3507"/>
      <c r="LDD21" s="3507"/>
      <c r="LDE21" s="3507"/>
      <c r="LDF21" s="3507"/>
      <c r="LDG21" s="3507"/>
      <c r="LDH21" s="3507"/>
      <c r="LDI21" s="3507"/>
      <c r="LDJ21" s="3507"/>
      <c r="LDK21" s="3507"/>
      <c r="LDL21" s="3507"/>
      <c r="LDM21" s="3507"/>
      <c r="LDN21" s="3507"/>
      <c r="LDO21" s="3507"/>
      <c r="LDP21" s="3507"/>
      <c r="LDQ21" s="3507"/>
      <c r="LDR21" s="3507"/>
      <c r="LDS21" s="3507"/>
      <c r="LDT21" s="3507"/>
      <c r="LDU21" s="3507"/>
      <c r="LDV21" s="3507"/>
      <c r="LDW21" s="3507"/>
      <c r="LDX21" s="3507"/>
      <c r="LDY21" s="3507"/>
      <c r="LDZ21" s="3507"/>
      <c r="LEA21" s="3507"/>
      <c r="LEB21" s="3507"/>
      <c r="LEC21" s="3507"/>
      <c r="LED21" s="3507"/>
      <c r="LEE21" s="3507"/>
      <c r="LEF21" s="3507"/>
      <c r="LEG21" s="3507"/>
      <c r="LEH21" s="3507"/>
      <c r="LEI21" s="3507"/>
      <c r="LEJ21" s="3507"/>
      <c r="LEK21" s="3507"/>
      <c r="LEL21" s="3507"/>
      <c r="LEM21" s="3507"/>
      <c r="LEN21" s="3507"/>
      <c r="LEO21" s="3507"/>
      <c r="LEP21" s="3507"/>
      <c r="LEQ21" s="3507"/>
      <c r="LER21" s="3507"/>
      <c r="LES21" s="3507"/>
      <c r="LET21" s="3507"/>
      <c r="LEU21" s="3507"/>
      <c r="LEV21" s="3507"/>
      <c r="LEW21" s="3507"/>
      <c r="LEX21" s="3507"/>
      <c r="LEY21" s="3507"/>
      <c r="LEZ21" s="3507"/>
      <c r="LFA21" s="3507"/>
      <c r="LFB21" s="3507"/>
      <c r="LFC21" s="3507"/>
      <c r="LFD21" s="3507"/>
      <c r="LFE21" s="3507"/>
      <c r="LFF21" s="3507"/>
      <c r="LFG21" s="3507"/>
      <c r="LFH21" s="3507"/>
      <c r="LFI21" s="3507"/>
      <c r="LFJ21" s="3507"/>
      <c r="LFK21" s="3507"/>
      <c r="LFL21" s="3507"/>
      <c r="LFM21" s="3507"/>
      <c r="LFN21" s="3507"/>
      <c r="LFO21" s="3507"/>
      <c r="LFP21" s="3507"/>
      <c r="LFQ21" s="3507"/>
      <c r="LFR21" s="3507"/>
      <c r="LFS21" s="3507"/>
      <c r="LFT21" s="3507"/>
      <c r="LFU21" s="3507"/>
      <c r="LFV21" s="3507"/>
      <c r="LFW21" s="3507"/>
      <c r="LFX21" s="3507"/>
      <c r="LFY21" s="3507"/>
      <c r="LFZ21" s="3507"/>
      <c r="LGA21" s="3507"/>
      <c r="LGB21" s="3507"/>
      <c r="LGC21" s="3507"/>
      <c r="LGD21" s="3507"/>
      <c r="LGE21" s="3507"/>
      <c r="LGF21" s="3507"/>
      <c r="LGG21" s="3507"/>
      <c r="LGH21" s="3507"/>
      <c r="LGI21" s="3507"/>
      <c r="LGJ21" s="3507"/>
      <c r="LGK21" s="3507"/>
      <c r="LGL21" s="3507"/>
      <c r="LGM21" s="3507"/>
      <c r="LGN21" s="3507"/>
      <c r="LGO21" s="3507"/>
      <c r="LGP21" s="3507"/>
      <c r="LGQ21" s="3507"/>
      <c r="LGR21" s="3507"/>
      <c r="LGS21" s="3507"/>
      <c r="LGT21" s="3507"/>
      <c r="LGU21" s="3507"/>
      <c r="LGV21" s="3507"/>
      <c r="LGW21" s="3507"/>
      <c r="LGX21" s="3507"/>
      <c r="LGY21" s="3507"/>
      <c r="LGZ21" s="3507"/>
      <c r="LHA21" s="3507"/>
      <c r="LHB21" s="3507"/>
      <c r="LHC21" s="3507"/>
      <c r="LHD21" s="3507"/>
      <c r="LHE21" s="3507"/>
      <c r="LHF21" s="3507"/>
      <c r="LHG21" s="3507"/>
      <c r="LHH21" s="3507"/>
      <c r="LHI21" s="3507"/>
      <c r="LHJ21" s="3507"/>
      <c r="LHK21" s="3507"/>
      <c r="LHL21" s="3507"/>
      <c r="LHM21" s="3507"/>
      <c r="LHN21" s="3507"/>
      <c r="LHO21" s="3507"/>
      <c r="LHP21" s="3507"/>
      <c r="LHQ21" s="3507"/>
      <c r="LHR21" s="3507"/>
      <c r="LHS21" s="3507"/>
      <c r="LHT21" s="3507"/>
      <c r="LHU21" s="3507"/>
      <c r="LHV21" s="3507"/>
      <c r="LHW21" s="3507"/>
      <c r="LHX21" s="3507"/>
      <c r="LHY21" s="3507"/>
      <c r="LHZ21" s="3507"/>
      <c r="LIA21" s="3507"/>
      <c r="LIB21" s="3507"/>
      <c r="LIC21" s="3507"/>
      <c r="LID21" s="3507"/>
      <c r="LIE21" s="3507"/>
      <c r="LIF21" s="3507"/>
      <c r="LIG21" s="3507"/>
      <c r="LIH21" s="3507"/>
      <c r="LII21" s="3507"/>
      <c r="LIJ21" s="3507"/>
      <c r="LIK21" s="3507"/>
      <c r="LIL21" s="3507"/>
      <c r="LIM21" s="3507"/>
      <c r="LIN21" s="3507"/>
      <c r="LIO21" s="3507"/>
      <c r="LIP21" s="3507"/>
      <c r="LIQ21" s="3507"/>
      <c r="LIR21" s="3507"/>
      <c r="LIS21" s="3507"/>
      <c r="LIT21" s="3507"/>
      <c r="LIU21" s="3507"/>
      <c r="LIV21" s="3507"/>
      <c r="LIW21" s="3507"/>
      <c r="LIX21" s="3507"/>
      <c r="LIY21" s="3507"/>
      <c r="LIZ21" s="3507"/>
      <c r="LJA21" s="3507"/>
      <c r="LJB21" s="3507"/>
      <c r="LJC21" s="3507"/>
      <c r="LJD21" s="3507"/>
      <c r="LJE21" s="3507"/>
      <c r="LJF21" s="3507"/>
      <c r="LJG21" s="3507"/>
      <c r="LJH21" s="3507"/>
      <c r="LJI21" s="3507"/>
      <c r="LJJ21" s="3507"/>
      <c r="LJK21" s="3507"/>
      <c r="LJL21" s="3507"/>
      <c r="LJM21" s="3507"/>
      <c r="LJN21" s="3507"/>
      <c r="LJO21" s="3507"/>
      <c r="LJP21" s="3507"/>
      <c r="LJQ21" s="3507"/>
      <c r="LJR21" s="3507"/>
      <c r="LJS21" s="3507"/>
      <c r="LJT21" s="3507"/>
      <c r="LJU21" s="3507"/>
      <c r="LJV21" s="3507"/>
      <c r="LJW21" s="3507"/>
      <c r="LJX21" s="3507"/>
      <c r="LJY21" s="3507"/>
      <c r="LJZ21" s="3507"/>
      <c r="LKA21" s="3507"/>
      <c r="LKB21" s="3507"/>
      <c r="LKC21" s="3507"/>
      <c r="LKD21" s="3507"/>
      <c r="LKE21" s="3507"/>
      <c r="LKF21" s="3507"/>
      <c r="LKG21" s="3507"/>
      <c r="LKH21" s="3507"/>
      <c r="LKI21" s="3507"/>
      <c r="LKJ21" s="3507"/>
      <c r="LKK21" s="3507"/>
      <c r="LKL21" s="3507"/>
      <c r="LKM21" s="3507"/>
      <c r="LKN21" s="3507"/>
      <c r="LKO21" s="3507"/>
      <c r="LKP21" s="3507"/>
      <c r="LKQ21" s="3507"/>
      <c r="LKR21" s="3507"/>
      <c r="LKS21" s="3507"/>
      <c r="LKT21" s="3507"/>
      <c r="LKU21" s="3507"/>
      <c r="LKV21" s="3507"/>
      <c r="LKW21" s="3507"/>
      <c r="LKX21" s="3507"/>
      <c r="LKY21" s="3507"/>
      <c r="LKZ21" s="3507"/>
      <c r="LLA21" s="3507"/>
      <c r="LLB21" s="3507"/>
      <c r="LLC21" s="3507"/>
      <c r="LLD21" s="3507"/>
      <c r="LLE21" s="3507"/>
      <c r="LLF21" s="3507"/>
      <c r="LLG21" s="3507"/>
      <c r="LLH21" s="3507"/>
      <c r="LLI21" s="3507"/>
      <c r="LLJ21" s="3507"/>
      <c r="LLK21" s="3507"/>
      <c r="LLL21" s="3507"/>
      <c r="LLM21" s="3507"/>
      <c r="LLN21" s="3507"/>
      <c r="LLO21" s="3507"/>
      <c r="LLP21" s="3507"/>
      <c r="LLQ21" s="3507"/>
      <c r="LLR21" s="3507"/>
      <c r="LLS21" s="3507"/>
      <c r="LLT21" s="3507"/>
      <c r="LLU21" s="3507"/>
      <c r="LLV21" s="3507"/>
      <c r="LLW21" s="3507"/>
      <c r="LLX21" s="3507"/>
      <c r="LLY21" s="3507"/>
      <c r="LLZ21" s="3507"/>
      <c r="LMA21" s="3507"/>
      <c r="LMB21" s="3507"/>
      <c r="LMC21" s="3507"/>
      <c r="LMD21" s="3507"/>
      <c r="LME21" s="3507"/>
      <c r="LMF21" s="3507"/>
      <c r="LMG21" s="3507"/>
      <c r="LMH21" s="3507"/>
      <c r="LMI21" s="3507"/>
      <c r="LMJ21" s="3507"/>
      <c r="LMK21" s="3507"/>
      <c r="LML21" s="3507"/>
      <c r="LMM21" s="3507"/>
      <c r="LMN21" s="3507"/>
      <c r="LMO21" s="3507"/>
      <c r="LMP21" s="3507"/>
      <c r="LMQ21" s="3507"/>
      <c r="LMR21" s="3507"/>
      <c r="LMS21" s="3507"/>
      <c r="LMT21" s="3507"/>
      <c r="LMU21" s="3507"/>
      <c r="LMV21" s="3507"/>
      <c r="LMW21" s="3507"/>
      <c r="LMX21" s="3507"/>
      <c r="LMY21" s="3507"/>
      <c r="LMZ21" s="3507"/>
      <c r="LNA21" s="3507"/>
      <c r="LNB21" s="3507"/>
      <c r="LNC21" s="3507"/>
      <c r="LND21" s="3507"/>
      <c r="LNE21" s="3507"/>
      <c r="LNF21" s="3507"/>
      <c r="LNG21" s="3507"/>
      <c r="LNH21" s="3507"/>
      <c r="LNI21" s="3507"/>
      <c r="LNJ21" s="3507"/>
      <c r="LNK21" s="3507"/>
      <c r="LNL21" s="3507"/>
      <c r="LNM21" s="3507"/>
      <c r="LNN21" s="3507"/>
      <c r="LNO21" s="3507"/>
      <c r="LNP21" s="3507"/>
      <c r="LNQ21" s="3507"/>
      <c r="LNR21" s="3507"/>
      <c r="LNS21" s="3507"/>
      <c r="LNT21" s="3507"/>
      <c r="LNU21" s="3507"/>
      <c r="LNV21" s="3507"/>
      <c r="LNW21" s="3507"/>
      <c r="LNX21" s="3507"/>
      <c r="LNY21" s="3507"/>
      <c r="LNZ21" s="3507"/>
      <c r="LOA21" s="3507"/>
      <c r="LOB21" s="3507"/>
      <c r="LOC21" s="3507"/>
      <c r="LOD21" s="3507"/>
      <c r="LOE21" s="3507"/>
      <c r="LOF21" s="3507"/>
      <c r="LOG21" s="3507"/>
      <c r="LOH21" s="3507"/>
      <c r="LOI21" s="3507"/>
      <c r="LOJ21" s="3507"/>
      <c r="LOK21" s="3507"/>
      <c r="LOL21" s="3507"/>
      <c r="LOM21" s="3507"/>
      <c r="LON21" s="3507"/>
      <c r="LOO21" s="3507"/>
      <c r="LOP21" s="3507"/>
      <c r="LOQ21" s="3507"/>
      <c r="LOR21" s="3507"/>
      <c r="LOS21" s="3507"/>
      <c r="LOT21" s="3507"/>
      <c r="LOU21" s="3507"/>
      <c r="LOV21" s="3507"/>
      <c r="LOW21" s="3507"/>
      <c r="LOX21" s="3507"/>
      <c r="LOY21" s="3507"/>
      <c r="LOZ21" s="3507"/>
      <c r="LPA21" s="3507"/>
      <c r="LPB21" s="3507"/>
      <c r="LPC21" s="3507"/>
      <c r="LPD21" s="3507"/>
      <c r="LPE21" s="3507"/>
      <c r="LPF21" s="3507"/>
      <c r="LPG21" s="3507"/>
      <c r="LPH21" s="3507"/>
      <c r="LPI21" s="3507"/>
      <c r="LPJ21" s="3507"/>
      <c r="LPK21" s="3507"/>
      <c r="LPL21" s="3507"/>
      <c r="LPM21" s="3507"/>
      <c r="LPN21" s="3507"/>
      <c r="LPO21" s="3507"/>
      <c r="LPP21" s="3507"/>
      <c r="LPQ21" s="3507"/>
      <c r="LPR21" s="3507"/>
      <c r="LPS21" s="3507"/>
      <c r="LPT21" s="3507"/>
      <c r="LPU21" s="3507"/>
      <c r="LPV21" s="3507"/>
      <c r="LPW21" s="3507"/>
      <c r="LPX21" s="3507"/>
      <c r="LPY21" s="3507"/>
      <c r="LPZ21" s="3507"/>
      <c r="LQA21" s="3507"/>
      <c r="LQB21" s="3507"/>
      <c r="LQC21" s="3507"/>
      <c r="LQD21" s="3507"/>
      <c r="LQE21" s="3507"/>
      <c r="LQF21" s="3507"/>
      <c r="LQG21" s="3507"/>
      <c r="LQH21" s="3507"/>
      <c r="LQI21" s="3507"/>
      <c r="LQJ21" s="3507"/>
      <c r="LQK21" s="3507"/>
      <c r="LQL21" s="3507"/>
      <c r="LQM21" s="3507"/>
      <c r="LQN21" s="3507"/>
      <c r="LQO21" s="3507"/>
      <c r="LQP21" s="3507"/>
      <c r="LQQ21" s="3507"/>
      <c r="LQR21" s="3507"/>
      <c r="LQS21" s="3507"/>
      <c r="LQT21" s="3507"/>
      <c r="LQU21" s="3507"/>
      <c r="LQV21" s="3507"/>
      <c r="LQW21" s="3507"/>
      <c r="LQX21" s="3507"/>
      <c r="LQY21" s="3507"/>
      <c r="LQZ21" s="3507"/>
      <c r="LRA21" s="3507"/>
      <c r="LRB21" s="3507"/>
      <c r="LRC21" s="3507"/>
      <c r="LRD21" s="3507"/>
      <c r="LRE21" s="3507"/>
      <c r="LRF21" s="3507"/>
      <c r="LRG21" s="3507"/>
      <c r="LRH21" s="3507"/>
      <c r="LRI21" s="3507"/>
      <c r="LRJ21" s="3507"/>
      <c r="LRK21" s="3507"/>
      <c r="LRL21" s="3507"/>
      <c r="LRM21" s="3507"/>
      <c r="LRN21" s="3507"/>
      <c r="LRO21" s="3507"/>
      <c r="LRP21" s="3507"/>
      <c r="LRQ21" s="3507"/>
      <c r="LRR21" s="3507"/>
      <c r="LRS21" s="3507"/>
      <c r="LRT21" s="3507"/>
      <c r="LRU21" s="3507"/>
      <c r="LRV21" s="3507"/>
      <c r="LRW21" s="3507"/>
      <c r="LRX21" s="3507"/>
      <c r="LRY21" s="3507"/>
      <c r="LRZ21" s="3507"/>
      <c r="LSA21" s="3507"/>
      <c r="LSB21" s="3507"/>
      <c r="LSC21" s="3507"/>
      <c r="LSD21" s="3507"/>
      <c r="LSE21" s="3507"/>
      <c r="LSF21" s="3507"/>
      <c r="LSG21" s="3507"/>
      <c r="LSH21" s="3507"/>
      <c r="LSI21" s="3507"/>
      <c r="LSJ21" s="3507"/>
      <c r="LSK21" s="3507"/>
      <c r="LSL21" s="3507"/>
      <c r="LSM21" s="3507"/>
      <c r="LSN21" s="3507"/>
      <c r="LSO21" s="3507"/>
      <c r="LSP21" s="3507"/>
      <c r="LSQ21" s="3507"/>
      <c r="LSR21" s="3507"/>
      <c r="LSS21" s="3507"/>
      <c r="LST21" s="3507"/>
      <c r="LSU21" s="3507"/>
      <c r="LSV21" s="3507"/>
      <c r="LSW21" s="3507"/>
      <c r="LSX21" s="3507"/>
      <c r="LSY21" s="3507"/>
      <c r="LSZ21" s="3507"/>
      <c r="LTA21" s="3507"/>
      <c r="LTB21" s="3507"/>
      <c r="LTC21" s="3507"/>
      <c r="LTD21" s="3507"/>
      <c r="LTE21" s="3507"/>
      <c r="LTF21" s="3507"/>
      <c r="LTG21" s="3507"/>
      <c r="LTH21" s="3507"/>
      <c r="LTI21" s="3507"/>
      <c r="LTJ21" s="3507"/>
      <c r="LTK21" s="3507"/>
      <c r="LTL21" s="3507"/>
      <c r="LTM21" s="3507"/>
      <c r="LTN21" s="3507"/>
      <c r="LTO21" s="3507"/>
      <c r="LTP21" s="3507"/>
      <c r="LTQ21" s="3507"/>
      <c r="LTR21" s="3507"/>
      <c r="LTS21" s="3507"/>
      <c r="LTT21" s="3507"/>
      <c r="LTU21" s="3507"/>
      <c r="LTV21" s="3507"/>
      <c r="LTW21" s="3507"/>
      <c r="LTX21" s="3507"/>
      <c r="LTY21" s="3507"/>
      <c r="LTZ21" s="3507"/>
      <c r="LUA21" s="3507"/>
      <c r="LUB21" s="3507"/>
      <c r="LUC21" s="3507"/>
      <c r="LUD21" s="3507"/>
      <c r="LUE21" s="3507"/>
      <c r="LUF21" s="3507"/>
      <c r="LUG21" s="3507"/>
      <c r="LUH21" s="3507"/>
      <c r="LUI21" s="3507"/>
      <c r="LUJ21" s="3507"/>
      <c r="LUK21" s="3507"/>
      <c r="LUL21" s="3507"/>
      <c r="LUM21" s="3507"/>
      <c r="LUN21" s="3507"/>
      <c r="LUO21" s="3507"/>
      <c r="LUP21" s="3507"/>
      <c r="LUQ21" s="3507"/>
      <c r="LUR21" s="3507"/>
      <c r="LUS21" s="3507"/>
      <c r="LUT21" s="3507"/>
      <c r="LUU21" s="3507"/>
      <c r="LUV21" s="3507"/>
      <c r="LUW21" s="3507"/>
      <c r="LUX21" s="3507"/>
      <c r="LUY21" s="3507"/>
      <c r="LUZ21" s="3507"/>
      <c r="LVA21" s="3507"/>
      <c r="LVB21" s="3507"/>
      <c r="LVC21" s="3507"/>
      <c r="LVD21" s="3507"/>
      <c r="LVE21" s="3507"/>
      <c r="LVF21" s="3507"/>
      <c r="LVG21" s="3507"/>
      <c r="LVH21" s="3507"/>
      <c r="LVI21" s="3507"/>
      <c r="LVJ21" s="3507"/>
      <c r="LVK21" s="3507"/>
      <c r="LVL21" s="3507"/>
      <c r="LVM21" s="3507"/>
      <c r="LVN21" s="3507"/>
      <c r="LVO21" s="3507"/>
      <c r="LVP21" s="3507"/>
      <c r="LVQ21" s="3507"/>
      <c r="LVR21" s="3507"/>
      <c r="LVS21" s="3507"/>
      <c r="LVT21" s="3507"/>
      <c r="LVU21" s="3507"/>
      <c r="LVV21" s="3507"/>
      <c r="LVW21" s="3507"/>
      <c r="LVX21" s="3507"/>
      <c r="LVY21" s="3507"/>
      <c r="LVZ21" s="3507"/>
      <c r="LWA21" s="3507"/>
      <c r="LWB21" s="3507"/>
      <c r="LWC21" s="3507"/>
      <c r="LWD21" s="3507"/>
      <c r="LWE21" s="3507"/>
      <c r="LWF21" s="3507"/>
      <c r="LWG21" s="3507"/>
      <c r="LWH21" s="3507"/>
      <c r="LWI21" s="3507"/>
      <c r="LWJ21" s="3507"/>
      <c r="LWK21" s="3507"/>
      <c r="LWL21" s="3507"/>
      <c r="LWM21" s="3507"/>
      <c r="LWN21" s="3507"/>
      <c r="LWO21" s="3507"/>
      <c r="LWP21" s="3507"/>
      <c r="LWQ21" s="3507"/>
      <c r="LWR21" s="3507"/>
      <c r="LWS21" s="3507"/>
      <c r="LWT21" s="3507"/>
      <c r="LWU21" s="3507"/>
      <c r="LWV21" s="3507"/>
      <c r="LWW21" s="3507"/>
      <c r="LWX21" s="3507"/>
      <c r="LWY21" s="3507"/>
      <c r="LWZ21" s="3507"/>
      <c r="LXA21" s="3507"/>
      <c r="LXB21" s="3507"/>
      <c r="LXC21" s="3507"/>
      <c r="LXD21" s="3507"/>
      <c r="LXE21" s="3507"/>
      <c r="LXF21" s="3507"/>
      <c r="LXG21" s="3507"/>
      <c r="LXH21" s="3507"/>
      <c r="LXI21" s="3507"/>
      <c r="LXJ21" s="3507"/>
      <c r="LXK21" s="3507"/>
      <c r="LXL21" s="3507"/>
      <c r="LXM21" s="3507"/>
      <c r="LXN21" s="3507"/>
      <c r="LXO21" s="3507"/>
      <c r="LXP21" s="3507"/>
      <c r="LXQ21" s="3507"/>
      <c r="LXR21" s="3507"/>
      <c r="LXS21" s="3507"/>
      <c r="LXT21" s="3507"/>
      <c r="LXU21" s="3507"/>
      <c r="LXV21" s="3507"/>
      <c r="LXW21" s="3507"/>
      <c r="LXX21" s="3507"/>
      <c r="LXY21" s="3507"/>
      <c r="LXZ21" s="3507"/>
      <c r="LYA21" s="3507"/>
      <c r="LYB21" s="3507"/>
      <c r="LYC21" s="3507"/>
      <c r="LYD21" s="3507"/>
      <c r="LYE21" s="3507"/>
      <c r="LYF21" s="3507"/>
      <c r="LYG21" s="3507"/>
      <c r="LYH21" s="3507"/>
      <c r="LYI21" s="3507"/>
      <c r="LYJ21" s="3507"/>
      <c r="LYK21" s="3507"/>
      <c r="LYL21" s="3507"/>
      <c r="LYM21" s="3507"/>
      <c r="LYN21" s="3507"/>
      <c r="LYO21" s="3507"/>
      <c r="LYP21" s="3507"/>
      <c r="LYQ21" s="3507"/>
      <c r="LYR21" s="3507"/>
      <c r="LYS21" s="3507"/>
      <c r="LYT21" s="3507"/>
      <c r="LYU21" s="3507"/>
      <c r="LYV21" s="3507"/>
      <c r="LYW21" s="3507"/>
      <c r="LYX21" s="3507"/>
      <c r="LYY21" s="3507"/>
      <c r="LYZ21" s="3507"/>
      <c r="LZA21" s="3507"/>
      <c r="LZB21" s="3507"/>
      <c r="LZC21" s="3507"/>
      <c r="LZD21" s="3507"/>
      <c r="LZE21" s="3507"/>
      <c r="LZF21" s="3507"/>
      <c r="LZG21" s="3507"/>
      <c r="LZH21" s="3507"/>
      <c r="LZI21" s="3507"/>
      <c r="LZJ21" s="3507"/>
      <c r="LZK21" s="3507"/>
      <c r="LZL21" s="3507"/>
      <c r="LZM21" s="3507"/>
      <c r="LZN21" s="3507"/>
      <c r="LZO21" s="3507"/>
      <c r="LZP21" s="3507"/>
      <c r="LZQ21" s="3507"/>
      <c r="LZR21" s="3507"/>
      <c r="LZS21" s="3507"/>
      <c r="LZT21" s="3507"/>
      <c r="LZU21" s="3507"/>
      <c r="LZV21" s="3507"/>
      <c r="LZW21" s="3507"/>
      <c r="LZX21" s="3507"/>
      <c r="LZY21" s="3507"/>
      <c r="LZZ21" s="3507"/>
      <c r="MAA21" s="3507"/>
      <c r="MAB21" s="3507"/>
      <c r="MAC21" s="3507"/>
      <c r="MAD21" s="3507"/>
      <c r="MAE21" s="3507"/>
      <c r="MAF21" s="3507"/>
      <c r="MAG21" s="3507"/>
      <c r="MAH21" s="3507"/>
      <c r="MAI21" s="3507"/>
      <c r="MAJ21" s="3507"/>
      <c r="MAK21" s="3507"/>
      <c r="MAL21" s="3507"/>
      <c r="MAM21" s="3507"/>
      <c r="MAN21" s="3507"/>
      <c r="MAO21" s="3507"/>
      <c r="MAP21" s="3507"/>
      <c r="MAQ21" s="3507"/>
      <c r="MAR21" s="3507"/>
      <c r="MAS21" s="3507"/>
      <c r="MAT21" s="3507"/>
      <c r="MAU21" s="3507"/>
      <c r="MAV21" s="3507"/>
      <c r="MAW21" s="3507"/>
      <c r="MAX21" s="3507"/>
      <c r="MAY21" s="3507"/>
      <c r="MAZ21" s="3507"/>
      <c r="MBA21" s="3507"/>
      <c r="MBB21" s="3507"/>
      <c r="MBC21" s="3507"/>
      <c r="MBD21" s="3507"/>
      <c r="MBE21" s="3507"/>
      <c r="MBF21" s="3507"/>
      <c r="MBG21" s="3507"/>
      <c r="MBH21" s="3507"/>
      <c r="MBI21" s="3507"/>
      <c r="MBJ21" s="3507"/>
      <c r="MBK21" s="3507"/>
      <c r="MBL21" s="3507"/>
      <c r="MBM21" s="3507"/>
      <c r="MBN21" s="3507"/>
      <c r="MBO21" s="3507"/>
      <c r="MBP21" s="3507"/>
      <c r="MBQ21" s="3507"/>
      <c r="MBR21" s="3507"/>
      <c r="MBS21" s="3507"/>
      <c r="MBT21" s="3507"/>
      <c r="MBU21" s="3507"/>
      <c r="MBV21" s="3507"/>
      <c r="MBW21" s="3507"/>
      <c r="MBX21" s="3507"/>
      <c r="MBY21" s="3507"/>
      <c r="MBZ21" s="3507"/>
      <c r="MCA21" s="3507"/>
      <c r="MCB21" s="3507"/>
      <c r="MCC21" s="3507"/>
      <c r="MCD21" s="3507"/>
      <c r="MCE21" s="3507"/>
      <c r="MCF21" s="3507"/>
      <c r="MCG21" s="3507"/>
      <c r="MCH21" s="3507"/>
      <c r="MCI21" s="3507"/>
      <c r="MCJ21" s="3507"/>
      <c r="MCK21" s="3507"/>
      <c r="MCL21" s="3507"/>
      <c r="MCM21" s="3507"/>
      <c r="MCN21" s="3507"/>
      <c r="MCO21" s="3507"/>
      <c r="MCP21" s="3507"/>
      <c r="MCQ21" s="3507"/>
      <c r="MCR21" s="3507"/>
      <c r="MCS21" s="3507"/>
      <c r="MCT21" s="3507"/>
      <c r="MCU21" s="3507"/>
      <c r="MCV21" s="3507"/>
      <c r="MCW21" s="3507"/>
      <c r="MCX21" s="3507"/>
      <c r="MCY21" s="3507"/>
      <c r="MCZ21" s="3507"/>
      <c r="MDA21" s="3507"/>
      <c r="MDB21" s="3507"/>
      <c r="MDC21" s="3507"/>
      <c r="MDD21" s="3507"/>
      <c r="MDE21" s="3507"/>
      <c r="MDF21" s="3507"/>
      <c r="MDG21" s="3507"/>
      <c r="MDH21" s="3507"/>
      <c r="MDI21" s="3507"/>
      <c r="MDJ21" s="3507"/>
      <c r="MDK21" s="3507"/>
      <c r="MDL21" s="3507"/>
      <c r="MDM21" s="3507"/>
      <c r="MDN21" s="3507"/>
      <c r="MDO21" s="3507"/>
      <c r="MDP21" s="3507"/>
      <c r="MDQ21" s="3507"/>
      <c r="MDR21" s="3507"/>
      <c r="MDS21" s="3507"/>
      <c r="MDT21" s="3507"/>
      <c r="MDU21" s="3507"/>
      <c r="MDV21" s="3507"/>
      <c r="MDW21" s="3507"/>
      <c r="MDX21" s="3507"/>
      <c r="MDY21" s="3507"/>
      <c r="MDZ21" s="3507"/>
      <c r="MEA21" s="3507"/>
      <c r="MEB21" s="3507"/>
      <c r="MEC21" s="3507"/>
      <c r="MED21" s="3507"/>
      <c r="MEE21" s="3507"/>
      <c r="MEF21" s="3507"/>
      <c r="MEG21" s="3507"/>
      <c r="MEH21" s="3507"/>
      <c r="MEI21" s="3507"/>
      <c r="MEJ21" s="3507"/>
      <c r="MEK21" s="3507"/>
      <c r="MEL21" s="3507"/>
      <c r="MEM21" s="3507"/>
      <c r="MEN21" s="3507"/>
      <c r="MEO21" s="3507"/>
      <c r="MEP21" s="3507"/>
      <c r="MEQ21" s="3507"/>
      <c r="MER21" s="3507"/>
      <c r="MES21" s="3507"/>
      <c r="MET21" s="3507"/>
      <c r="MEU21" s="3507"/>
      <c r="MEV21" s="3507"/>
      <c r="MEW21" s="3507"/>
      <c r="MEX21" s="3507"/>
      <c r="MEY21" s="3507"/>
      <c r="MEZ21" s="3507"/>
      <c r="MFA21" s="3507"/>
      <c r="MFB21" s="3507"/>
      <c r="MFC21" s="3507"/>
      <c r="MFD21" s="3507"/>
      <c r="MFE21" s="3507"/>
      <c r="MFF21" s="3507"/>
      <c r="MFG21" s="3507"/>
      <c r="MFH21" s="3507"/>
      <c r="MFI21" s="3507"/>
      <c r="MFJ21" s="3507"/>
      <c r="MFK21" s="3507"/>
      <c r="MFL21" s="3507"/>
      <c r="MFM21" s="3507"/>
      <c r="MFN21" s="3507"/>
      <c r="MFO21" s="3507"/>
      <c r="MFP21" s="3507"/>
      <c r="MFQ21" s="3507"/>
      <c r="MFR21" s="3507"/>
      <c r="MFS21" s="3507"/>
      <c r="MFT21" s="3507"/>
      <c r="MFU21" s="3507"/>
      <c r="MFV21" s="3507"/>
      <c r="MFW21" s="3507"/>
      <c r="MFX21" s="3507"/>
      <c r="MFY21" s="3507"/>
      <c r="MFZ21" s="3507"/>
      <c r="MGA21" s="3507"/>
      <c r="MGB21" s="3507"/>
      <c r="MGC21" s="3507"/>
      <c r="MGD21" s="3507"/>
      <c r="MGE21" s="3507"/>
      <c r="MGF21" s="3507"/>
      <c r="MGG21" s="3507"/>
      <c r="MGH21" s="3507"/>
      <c r="MGI21" s="3507"/>
      <c r="MGJ21" s="3507"/>
      <c r="MGK21" s="3507"/>
      <c r="MGL21" s="3507"/>
      <c r="MGM21" s="3507"/>
      <c r="MGN21" s="3507"/>
      <c r="MGO21" s="3507"/>
      <c r="MGP21" s="3507"/>
      <c r="MGQ21" s="3507"/>
      <c r="MGR21" s="3507"/>
      <c r="MGS21" s="3507"/>
      <c r="MGT21" s="3507"/>
      <c r="MGU21" s="3507"/>
      <c r="MGV21" s="3507"/>
      <c r="MGW21" s="3507"/>
      <c r="MGX21" s="3507"/>
      <c r="MGY21" s="3507"/>
      <c r="MGZ21" s="3507"/>
      <c r="MHA21" s="3507"/>
      <c r="MHB21" s="3507"/>
      <c r="MHC21" s="3507"/>
      <c r="MHD21" s="3507"/>
      <c r="MHE21" s="3507"/>
      <c r="MHF21" s="3507"/>
      <c r="MHG21" s="3507"/>
      <c r="MHH21" s="3507"/>
      <c r="MHI21" s="3507"/>
      <c r="MHJ21" s="3507"/>
      <c r="MHK21" s="3507"/>
      <c r="MHL21" s="3507"/>
      <c r="MHM21" s="3507"/>
      <c r="MHN21" s="3507"/>
      <c r="MHO21" s="3507"/>
      <c r="MHP21" s="3507"/>
      <c r="MHQ21" s="3507"/>
      <c r="MHR21" s="3507"/>
      <c r="MHS21" s="3507"/>
      <c r="MHT21" s="3507"/>
      <c r="MHU21" s="3507"/>
      <c r="MHV21" s="3507"/>
      <c r="MHW21" s="3507"/>
      <c r="MHX21" s="3507"/>
      <c r="MHY21" s="3507"/>
      <c r="MHZ21" s="3507"/>
      <c r="MIA21" s="3507"/>
      <c r="MIB21" s="3507"/>
      <c r="MIC21" s="3507"/>
      <c r="MID21" s="3507"/>
      <c r="MIE21" s="3507"/>
      <c r="MIF21" s="3507"/>
      <c r="MIG21" s="3507"/>
      <c r="MIH21" s="3507"/>
      <c r="MII21" s="3507"/>
      <c r="MIJ21" s="3507"/>
      <c r="MIK21" s="3507"/>
      <c r="MIL21" s="3507"/>
      <c r="MIM21" s="3507"/>
      <c r="MIN21" s="3507"/>
      <c r="MIO21" s="3507"/>
      <c r="MIP21" s="3507"/>
      <c r="MIQ21" s="3507"/>
      <c r="MIR21" s="3507"/>
      <c r="MIS21" s="3507"/>
      <c r="MIT21" s="3507"/>
      <c r="MIU21" s="3507"/>
      <c r="MIV21" s="3507"/>
      <c r="MIW21" s="3507"/>
      <c r="MIX21" s="3507"/>
      <c r="MIY21" s="3507"/>
      <c r="MIZ21" s="3507"/>
      <c r="MJA21" s="3507"/>
      <c r="MJB21" s="3507"/>
      <c r="MJC21" s="3507"/>
      <c r="MJD21" s="3507"/>
      <c r="MJE21" s="3507"/>
      <c r="MJF21" s="3507"/>
      <c r="MJG21" s="3507"/>
      <c r="MJH21" s="3507"/>
      <c r="MJI21" s="3507"/>
      <c r="MJJ21" s="3507"/>
      <c r="MJK21" s="3507"/>
      <c r="MJL21" s="3507"/>
      <c r="MJM21" s="3507"/>
      <c r="MJN21" s="3507"/>
      <c r="MJO21" s="3507"/>
      <c r="MJP21" s="3507"/>
      <c r="MJQ21" s="3507"/>
      <c r="MJR21" s="3507"/>
      <c r="MJS21" s="3507"/>
      <c r="MJT21" s="3507"/>
      <c r="MJU21" s="3507"/>
      <c r="MJV21" s="3507"/>
      <c r="MJW21" s="3507"/>
      <c r="MJX21" s="3507"/>
      <c r="MJY21" s="3507"/>
      <c r="MJZ21" s="3507"/>
      <c r="MKA21" s="3507"/>
      <c r="MKB21" s="3507"/>
      <c r="MKC21" s="3507"/>
      <c r="MKD21" s="3507"/>
      <c r="MKE21" s="3507"/>
      <c r="MKF21" s="3507"/>
      <c r="MKG21" s="3507"/>
      <c r="MKH21" s="3507"/>
      <c r="MKI21" s="3507"/>
      <c r="MKJ21" s="3507"/>
      <c r="MKK21" s="3507"/>
      <c r="MKL21" s="3507"/>
      <c r="MKM21" s="3507"/>
      <c r="MKN21" s="3507"/>
      <c r="MKO21" s="3507"/>
      <c r="MKP21" s="3507"/>
      <c r="MKQ21" s="3507"/>
      <c r="MKR21" s="3507"/>
      <c r="MKS21" s="3507"/>
      <c r="MKT21" s="3507"/>
      <c r="MKU21" s="3507"/>
      <c r="MKV21" s="3507"/>
      <c r="MKW21" s="3507"/>
      <c r="MKX21" s="3507"/>
      <c r="MKY21" s="3507"/>
      <c r="MKZ21" s="3507"/>
      <c r="MLA21" s="3507"/>
      <c r="MLB21" s="3507"/>
      <c r="MLC21" s="3507"/>
      <c r="MLD21" s="3507"/>
      <c r="MLE21" s="3507"/>
      <c r="MLF21" s="3507"/>
      <c r="MLG21" s="3507"/>
      <c r="MLH21" s="3507"/>
      <c r="MLI21" s="3507"/>
      <c r="MLJ21" s="3507"/>
      <c r="MLK21" s="3507"/>
      <c r="MLL21" s="3507"/>
      <c r="MLM21" s="3507"/>
      <c r="MLN21" s="3507"/>
      <c r="MLO21" s="3507"/>
      <c r="MLP21" s="3507"/>
      <c r="MLQ21" s="3507"/>
      <c r="MLR21" s="3507"/>
      <c r="MLS21" s="3507"/>
      <c r="MLT21" s="3507"/>
      <c r="MLU21" s="3507"/>
      <c r="MLV21" s="3507"/>
      <c r="MLW21" s="3507"/>
      <c r="MLX21" s="3507"/>
      <c r="MLY21" s="3507"/>
      <c r="MLZ21" s="3507"/>
      <c r="MMA21" s="3507"/>
      <c r="MMB21" s="3507"/>
      <c r="MMC21" s="3507"/>
      <c r="MMD21" s="3507"/>
      <c r="MME21" s="3507"/>
      <c r="MMF21" s="3507"/>
      <c r="MMG21" s="3507"/>
      <c r="MMH21" s="3507"/>
      <c r="MMI21" s="3507"/>
      <c r="MMJ21" s="3507"/>
      <c r="MMK21" s="3507"/>
      <c r="MML21" s="3507"/>
      <c r="MMM21" s="3507"/>
      <c r="MMN21" s="3507"/>
      <c r="MMO21" s="3507"/>
      <c r="MMP21" s="3507"/>
      <c r="MMQ21" s="3507"/>
      <c r="MMR21" s="3507"/>
      <c r="MMS21" s="3507"/>
      <c r="MMT21" s="3507"/>
      <c r="MMU21" s="3507"/>
      <c r="MMV21" s="3507"/>
      <c r="MMW21" s="3507"/>
      <c r="MMX21" s="3507"/>
      <c r="MMY21" s="3507"/>
      <c r="MMZ21" s="3507"/>
      <c r="MNA21" s="3507"/>
      <c r="MNB21" s="3507"/>
      <c r="MNC21" s="3507"/>
      <c r="MND21" s="3507"/>
      <c r="MNE21" s="3507"/>
      <c r="MNF21" s="3507"/>
      <c r="MNG21" s="3507"/>
      <c r="MNH21" s="3507"/>
      <c r="MNI21" s="3507"/>
      <c r="MNJ21" s="3507"/>
      <c r="MNK21" s="3507"/>
      <c r="MNL21" s="3507"/>
      <c r="MNM21" s="3507"/>
      <c r="MNN21" s="3507"/>
      <c r="MNO21" s="3507"/>
      <c r="MNP21" s="3507"/>
      <c r="MNQ21" s="3507"/>
      <c r="MNR21" s="3507"/>
      <c r="MNS21" s="3507"/>
      <c r="MNT21" s="3507"/>
      <c r="MNU21" s="3507"/>
      <c r="MNV21" s="3507"/>
      <c r="MNW21" s="3507"/>
      <c r="MNX21" s="3507"/>
      <c r="MNY21" s="3507"/>
      <c r="MNZ21" s="3507"/>
      <c r="MOA21" s="3507"/>
      <c r="MOB21" s="3507"/>
      <c r="MOC21" s="3507"/>
      <c r="MOD21" s="3507"/>
      <c r="MOE21" s="3507"/>
      <c r="MOF21" s="3507"/>
      <c r="MOG21" s="3507"/>
      <c r="MOH21" s="3507"/>
      <c r="MOI21" s="3507"/>
      <c r="MOJ21" s="3507"/>
      <c r="MOK21" s="3507"/>
      <c r="MOL21" s="3507"/>
      <c r="MOM21" s="3507"/>
      <c r="MON21" s="3507"/>
      <c r="MOO21" s="3507"/>
      <c r="MOP21" s="3507"/>
      <c r="MOQ21" s="3507"/>
      <c r="MOR21" s="3507"/>
      <c r="MOS21" s="3507"/>
      <c r="MOT21" s="3507"/>
      <c r="MOU21" s="3507"/>
      <c r="MOV21" s="3507"/>
      <c r="MOW21" s="3507"/>
      <c r="MOX21" s="3507"/>
      <c r="MOY21" s="3507"/>
      <c r="MOZ21" s="3507"/>
      <c r="MPA21" s="3507"/>
      <c r="MPB21" s="3507"/>
      <c r="MPC21" s="3507"/>
      <c r="MPD21" s="3507"/>
      <c r="MPE21" s="3507"/>
      <c r="MPF21" s="3507"/>
      <c r="MPG21" s="3507"/>
      <c r="MPH21" s="3507"/>
      <c r="MPI21" s="3507"/>
      <c r="MPJ21" s="3507"/>
      <c r="MPK21" s="3507"/>
      <c r="MPL21" s="3507"/>
      <c r="MPM21" s="3507"/>
      <c r="MPN21" s="3507"/>
      <c r="MPO21" s="3507"/>
      <c r="MPP21" s="3507"/>
      <c r="MPQ21" s="3507"/>
      <c r="MPR21" s="3507"/>
      <c r="MPS21" s="3507"/>
      <c r="MPT21" s="3507"/>
      <c r="MPU21" s="3507"/>
      <c r="MPV21" s="3507"/>
      <c r="MPW21" s="3507"/>
      <c r="MPX21" s="3507"/>
      <c r="MPY21" s="3507"/>
      <c r="MPZ21" s="3507"/>
      <c r="MQA21" s="3507"/>
      <c r="MQB21" s="3507"/>
      <c r="MQC21" s="3507"/>
      <c r="MQD21" s="3507"/>
      <c r="MQE21" s="3507"/>
      <c r="MQF21" s="3507"/>
      <c r="MQG21" s="3507"/>
      <c r="MQH21" s="3507"/>
      <c r="MQI21" s="3507"/>
      <c r="MQJ21" s="3507"/>
      <c r="MQK21" s="3507"/>
      <c r="MQL21" s="3507"/>
      <c r="MQM21" s="3507"/>
      <c r="MQN21" s="3507"/>
      <c r="MQO21" s="3507"/>
      <c r="MQP21" s="3507"/>
      <c r="MQQ21" s="3507"/>
      <c r="MQR21" s="3507"/>
      <c r="MQS21" s="3507"/>
      <c r="MQT21" s="3507"/>
      <c r="MQU21" s="3507"/>
      <c r="MQV21" s="3507"/>
      <c r="MQW21" s="3507"/>
      <c r="MQX21" s="3507"/>
      <c r="MQY21" s="3507"/>
      <c r="MQZ21" s="3507"/>
      <c r="MRA21" s="3507"/>
      <c r="MRB21" s="3507"/>
      <c r="MRC21" s="3507"/>
      <c r="MRD21" s="3507"/>
      <c r="MRE21" s="3507"/>
      <c r="MRF21" s="3507"/>
      <c r="MRG21" s="3507"/>
      <c r="MRH21" s="3507"/>
      <c r="MRI21" s="3507"/>
      <c r="MRJ21" s="3507"/>
      <c r="MRK21" s="3507"/>
      <c r="MRL21" s="3507"/>
      <c r="MRM21" s="3507"/>
      <c r="MRN21" s="3507"/>
      <c r="MRO21" s="3507"/>
      <c r="MRP21" s="3507"/>
      <c r="MRQ21" s="3507"/>
      <c r="MRR21" s="3507"/>
      <c r="MRS21" s="3507"/>
      <c r="MRT21" s="3507"/>
      <c r="MRU21" s="3507"/>
      <c r="MRV21" s="3507"/>
      <c r="MRW21" s="3507"/>
      <c r="MRX21" s="3507"/>
      <c r="MRY21" s="3507"/>
      <c r="MRZ21" s="3507"/>
      <c r="MSA21" s="3507"/>
      <c r="MSB21" s="3507"/>
      <c r="MSC21" s="3507"/>
      <c r="MSD21" s="3507"/>
      <c r="MSE21" s="3507"/>
      <c r="MSF21" s="3507"/>
      <c r="MSG21" s="3507"/>
      <c r="MSH21" s="3507"/>
      <c r="MSI21" s="3507"/>
      <c r="MSJ21" s="3507"/>
      <c r="MSK21" s="3507"/>
      <c r="MSL21" s="3507"/>
      <c r="MSM21" s="3507"/>
      <c r="MSN21" s="3507"/>
      <c r="MSO21" s="3507"/>
      <c r="MSP21" s="3507"/>
      <c r="MSQ21" s="3507"/>
      <c r="MSR21" s="3507"/>
      <c r="MSS21" s="3507"/>
      <c r="MST21" s="3507"/>
      <c r="MSU21" s="3507"/>
      <c r="MSV21" s="3507"/>
      <c r="MSW21" s="3507"/>
      <c r="MSX21" s="3507"/>
      <c r="MSY21" s="3507"/>
      <c r="MSZ21" s="3507"/>
      <c r="MTA21" s="3507"/>
      <c r="MTB21" s="3507"/>
      <c r="MTC21" s="3507"/>
      <c r="MTD21" s="3507"/>
      <c r="MTE21" s="3507"/>
      <c r="MTF21" s="3507"/>
      <c r="MTG21" s="3507"/>
      <c r="MTH21" s="3507"/>
      <c r="MTI21" s="3507"/>
      <c r="MTJ21" s="3507"/>
      <c r="MTK21" s="3507"/>
      <c r="MTL21" s="3507"/>
      <c r="MTM21" s="3507"/>
      <c r="MTN21" s="3507"/>
      <c r="MTO21" s="3507"/>
      <c r="MTP21" s="3507"/>
      <c r="MTQ21" s="3507"/>
      <c r="MTR21" s="3507"/>
      <c r="MTS21" s="3507"/>
      <c r="MTT21" s="3507"/>
      <c r="MTU21" s="3507"/>
      <c r="MTV21" s="3507"/>
      <c r="MTW21" s="3507"/>
      <c r="MTX21" s="3507"/>
      <c r="MTY21" s="3507"/>
      <c r="MTZ21" s="3507"/>
      <c r="MUA21" s="3507"/>
      <c r="MUB21" s="3507"/>
      <c r="MUC21" s="3507"/>
      <c r="MUD21" s="3507"/>
      <c r="MUE21" s="3507"/>
      <c r="MUF21" s="3507"/>
      <c r="MUG21" s="3507"/>
      <c r="MUH21" s="3507"/>
      <c r="MUI21" s="3507"/>
      <c r="MUJ21" s="3507"/>
      <c r="MUK21" s="3507"/>
      <c r="MUL21" s="3507"/>
      <c r="MUM21" s="3507"/>
      <c r="MUN21" s="3507"/>
      <c r="MUO21" s="3507"/>
      <c r="MUP21" s="3507"/>
      <c r="MUQ21" s="3507"/>
      <c r="MUR21" s="3507"/>
      <c r="MUS21" s="3507"/>
      <c r="MUT21" s="3507"/>
      <c r="MUU21" s="3507"/>
      <c r="MUV21" s="3507"/>
      <c r="MUW21" s="3507"/>
      <c r="MUX21" s="3507"/>
      <c r="MUY21" s="3507"/>
      <c r="MUZ21" s="3507"/>
      <c r="MVA21" s="3507"/>
      <c r="MVB21" s="3507"/>
      <c r="MVC21" s="3507"/>
      <c r="MVD21" s="3507"/>
      <c r="MVE21" s="3507"/>
      <c r="MVF21" s="3507"/>
      <c r="MVG21" s="3507"/>
      <c r="MVH21" s="3507"/>
      <c r="MVI21" s="3507"/>
      <c r="MVJ21" s="3507"/>
      <c r="MVK21" s="3507"/>
      <c r="MVL21" s="3507"/>
      <c r="MVM21" s="3507"/>
      <c r="MVN21" s="3507"/>
      <c r="MVO21" s="3507"/>
      <c r="MVP21" s="3507"/>
      <c r="MVQ21" s="3507"/>
      <c r="MVR21" s="3507"/>
      <c r="MVS21" s="3507"/>
      <c r="MVT21" s="3507"/>
      <c r="MVU21" s="3507"/>
      <c r="MVV21" s="3507"/>
      <c r="MVW21" s="3507"/>
      <c r="MVX21" s="3507"/>
      <c r="MVY21" s="3507"/>
      <c r="MVZ21" s="3507"/>
      <c r="MWA21" s="3507"/>
      <c r="MWB21" s="3507"/>
      <c r="MWC21" s="3507"/>
      <c r="MWD21" s="3507"/>
      <c r="MWE21" s="3507"/>
      <c r="MWF21" s="3507"/>
      <c r="MWG21" s="3507"/>
      <c r="MWH21" s="3507"/>
      <c r="MWI21" s="3507"/>
      <c r="MWJ21" s="3507"/>
      <c r="MWK21" s="3507"/>
      <c r="MWL21" s="3507"/>
      <c r="MWM21" s="3507"/>
      <c r="MWN21" s="3507"/>
      <c r="MWO21" s="3507"/>
      <c r="MWP21" s="3507"/>
      <c r="MWQ21" s="3507"/>
      <c r="MWR21" s="3507"/>
      <c r="MWS21" s="3507"/>
      <c r="MWT21" s="3507"/>
      <c r="MWU21" s="3507"/>
      <c r="MWV21" s="3507"/>
      <c r="MWW21" s="3507"/>
      <c r="MWX21" s="3507"/>
      <c r="MWY21" s="3507"/>
      <c r="MWZ21" s="3507"/>
      <c r="MXA21" s="3507"/>
      <c r="MXB21" s="3507"/>
      <c r="MXC21" s="3507"/>
      <c r="MXD21" s="3507"/>
      <c r="MXE21" s="3507"/>
      <c r="MXF21" s="3507"/>
      <c r="MXG21" s="3507"/>
      <c r="MXH21" s="3507"/>
      <c r="MXI21" s="3507"/>
      <c r="MXJ21" s="3507"/>
      <c r="MXK21" s="3507"/>
      <c r="MXL21" s="3507"/>
      <c r="MXM21" s="3507"/>
      <c r="MXN21" s="3507"/>
      <c r="MXO21" s="3507"/>
      <c r="MXP21" s="3507"/>
      <c r="MXQ21" s="3507"/>
      <c r="MXR21" s="3507"/>
      <c r="MXS21" s="3507"/>
      <c r="MXT21" s="3507"/>
      <c r="MXU21" s="3507"/>
      <c r="MXV21" s="3507"/>
      <c r="MXW21" s="3507"/>
      <c r="MXX21" s="3507"/>
      <c r="MXY21" s="3507"/>
      <c r="MXZ21" s="3507"/>
      <c r="MYA21" s="3507"/>
      <c r="MYB21" s="3507"/>
      <c r="MYC21" s="3507"/>
      <c r="MYD21" s="3507"/>
      <c r="MYE21" s="3507"/>
      <c r="MYF21" s="3507"/>
      <c r="MYG21" s="3507"/>
      <c r="MYH21" s="3507"/>
      <c r="MYI21" s="3507"/>
      <c r="MYJ21" s="3507"/>
      <c r="MYK21" s="3507"/>
      <c r="MYL21" s="3507"/>
      <c r="MYM21" s="3507"/>
      <c r="MYN21" s="3507"/>
      <c r="MYO21" s="3507"/>
      <c r="MYP21" s="3507"/>
      <c r="MYQ21" s="3507"/>
      <c r="MYR21" s="3507"/>
      <c r="MYS21" s="3507"/>
      <c r="MYT21" s="3507"/>
      <c r="MYU21" s="3507"/>
      <c r="MYV21" s="3507"/>
      <c r="MYW21" s="3507"/>
      <c r="MYX21" s="3507"/>
      <c r="MYY21" s="3507"/>
      <c r="MYZ21" s="3507"/>
      <c r="MZA21" s="3507"/>
      <c r="MZB21" s="3507"/>
      <c r="MZC21" s="3507"/>
      <c r="MZD21" s="3507"/>
      <c r="MZE21" s="3507"/>
      <c r="MZF21" s="3507"/>
      <c r="MZG21" s="3507"/>
      <c r="MZH21" s="3507"/>
      <c r="MZI21" s="3507"/>
      <c r="MZJ21" s="3507"/>
      <c r="MZK21" s="3507"/>
      <c r="MZL21" s="3507"/>
      <c r="MZM21" s="3507"/>
      <c r="MZN21" s="3507"/>
      <c r="MZO21" s="3507"/>
      <c r="MZP21" s="3507"/>
      <c r="MZQ21" s="3507"/>
      <c r="MZR21" s="3507"/>
      <c r="MZS21" s="3507"/>
      <c r="MZT21" s="3507"/>
      <c r="MZU21" s="3507"/>
      <c r="MZV21" s="3507"/>
      <c r="MZW21" s="3507"/>
      <c r="MZX21" s="3507"/>
      <c r="MZY21" s="3507"/>
      <c r="MZZ21" s="3507"/>
      <c r="NAA21" s="3507"/>
      <c r="NAB21" s="3507"/>
      <c r="NAC21" s="3507"/>
      <c r="NAD21" s="3507"/>
      <c r="NAE21" s="3507"/>
      <c r="NAF21" s="3507"/>
      <c r="NAG21" s="3507"/>
      <c r="NAH21" s="3507"/>
      <c r="NAI21" s="3507"/>
      <c r="NAJ21" s="3507"/>
      <c r="NAK21" s="3507"/>
      <c r="NAL21" s="3507"/>
      <c r="NAM21" s="3507"/>
      <c r="NAN21" s="3507"/>
      <c r="NAO21" s="3507"/>
      <c r="NAP21" s="3507"/>
      <c r="NAQ21" s="3507"/>
      <c r="NAR21" s="3507"/>
      <c r="NAS21" s="3507"/>
      <c r="NAT21" s="3507"/>
      <c r="NAU21" s="3507"/>
      <c r="NAV21" s="3507"/>
      <c r="NAW21" s="3507"/>
      <c r="NAX21" s="3507"/>
      <c r="NAY21" s="3507"/>
      <c r="NAZ21" s="3507"/>
      <c r="NBA21" s="3507"/>
      <c r="NBB21" s="3507"/>
      <c r="NBC21" s="3507"/>
      <c r="NBD21" s="3507"/>
      <c r="NBE21" s="3507"/>
      <c r="NBF21" s="3507"/>
      <c r="NBG21" s="3507"/>
      <c r="NBH21" s="3507"/>
      <c r="NBI21" s="3507"/>
      <c r="NBJ21" s="3507"/>
      <c r="NBK21" s="3507"/>
      <c r="NBL21" s="3507"/>
      <c r="NBM21" s="3507"/>
      <c r="NBN21" s="3507"/>
      <c r="NBO21" s="3507"/>
      <c r="NBP21" s="3507"/>
      <c r="NBQ21" s="3507"/>
      <c r="NBR21" s="3507"/>
      <c r="NBS21" s="3507"/>
      <c r="NBT21" s="3507"/>
      <c r="NBU21" s="3507"/>
      <c r="NBV21" s="3507"/>
      <c r="NBW21" s="3507"/>
      <c r="NBX21" s="3507"/>
      <c r="NBY21" s="3507"/>
      <c r="NBZ21" s="3507"/>
      <c r="NCA21" s="3507"/>
      <c r="NCB21" s="3507"/>
      <c r="NCC21" s="3507"/>
      <c r="NCD21" s="3507"/>
      <c r="NCE21" s="3507"/>
      <c r="NCF21" s="3507"/>
      <c r="NCG21" s="3507"/>
      <c r="NCH21" s="3507"/>
      <c r="NCI21" s="3507"/>
      <c r="NCJ21" s="3507"/>
      <c r="NCK21" s="3507"/>
      <c r="NCL21" s="3507"/>
      <c r="NCM21" s="3507"/>
      <c r="NCN21" s="3507"/>
      <c r="NCO21" s="3507"/>
      <c r="NCP21" s="3507"/>
      <c r="NCQ21" s="3507"/>
      <c r="NCR21" s="3507"/>
      <c r="NCS21" s="3507"/>
      <c r="NCT21" s="3507"/>
      <c r="NCU21" s="3507"/>
      <c r="NCV21" s="3507"/>
      <c r="NCW21" s="3507"/>
      <c r="NCX21" s="3507"/>
      <c r="NCY21" s="3507"/>
      <c r="NCZ21" s="3507"/>
      <c r="NDA21" s="3507"/>
      <c r="NDB21" s="3507"/>
      <c r="NDC21" s="3507"/>
      <c r="NDD21" s="3507"/>
      <c r="NDE21" s="3507"/>
      <c r="NDF21" s="3507"/>
      <c r="NDG21" s="3507"/>
      <c r="NDH21" s="3507"/>
      <c r="NDI21" s="3507"/>
      <c r="NDJ21" s="3507"/>
      <c r="NDK21" s="3507"/>
      <c r="NDL21" s="3507"/>
      <c r="NDM21" s="3507"/>
      <c r="NDN21" s="3507"/>
      <c r="NDO21" s="3507"/>
      <c r="NDP21" s="3507"/>
      <c r="NDQ21" s="3507"/>
      <c r="NDR21" s="3507"/>
      <c r="NDS21" s="3507"/>
      <c r="NDT21" s="3507"/>
      <c r="NDU21" s="3507"/>
      <c r="NDV21" s="3507"/>
      <c r="NDW21" s="3507"/>
      <c r="NDX21" s="3507"/>
      <c r="NDY21" s="3507"/>
      <c r="NDZ21" s="3507"/>
      <c r="NEA21" s="3507"/>
      <c r="NEB21" s="3507"/>
      <c r="NEC21" s="3507"/>
      <c r="NED21" s="3507"/>
      <c r="NEE21" s="3507"/>
      <c r="NEF21" s="3507"/>
      <c r="NEG21" s="3507"/>
      <c r="NEH21" s="3507"/>
      <c r="NEI21" s="3507"/>
      <c r="NEJ21" s="3507"/>
      <c r="NEK21" s="3507"/>
      <c r="NEL21" s="3507"/>
      <c r="NEM21" s="3507"/>
      <c r="NEN21" s="3507"/>
      <c r="NEO21" s="3507"/>
      <c r="NEP21" s="3507"/>
      <c r="NEQ21" s="3507"/>
      <c r="NER21" s="3507"/>
      <c r="NES21" s="3507"/>
      <c r="NET21" s="3507"/>
      <c r="NEU21" s="3507"/>
      <c r="NEV21" s="3507"/>
      <c r="NEW21" s="3507"/>
      <c r="NEX21" s="3507"/>
      <c r="NEY21" s="3507"/>
      <c r="NEZ21" s="3507"/>
      <c r="NFA21" s="3507"/>
      <c r="NFB21" s="3507"/>
      <c r="NFC21" s="3507"/>
      <c r="NFD21" s="3507"/>
      <c r="NFE21" s="3507"/>
      <c r="NFF21" s="3507"/>
      <c r="NFG21" s="3507"/>
      <c r="NFH21" s="3507"/>
      <c r="NFI21" s="3507"/>
      <c r="NFJ21" s="3507"/>
      <c r="NFK21" s="3507"/>
      <c r="NFL21" s="3507"/>
      <c r="NFM21" s="3507"/>
      <c r="NFN21" s="3507"/>
      <c r="NFO21" s="3507"/>
      <c r="NFP21" s="3507"/>
      <c r="NFQ21" s="3507"/>
      <c r="NFR21" s="3507"/>
      <c r="NFS21" s="3507"/>
      <c r="NFT21" s="3507"/>
      <c r="NFU21" s="3507"/>
      <c r="NFV21" s="3507"/>
      <c r="NFW21" s="3507"/>
      <c r="NFX21" s="3507"/>
      <c r="NFY21" s="3507"/>
      <c r="NFZ21" s="3507"/>
      <c r="NGA21" s="3507"/>
      <c r="NGB21" s="3507"/>
      <c r="NGC21" s="3507"/>
      <c r="NGD21" s="3507"/>
      <c r="NGE21" s="3507"/>
      <c r="NGF21" s="3507"/>
      <c r="NGG21" s="3507"/>
      <c r="NGH21" s="3507"/>
      <c r="NGI21" s="3507"/>
      <c r="NGJ21" s="3507"/>
      <c r="NGK21" s="3507"/>
      <c r="NGL21" s="3507"/>
      <c r="NGM21" s="3507"/>
      <c r="NGN21" s="3507"/>
      <c r="NGO21" s="3507"/>
      <c r="NGP21" s="3507"/>
      <c r="NGQ21" s="3507"/>
      <c r="NGR21" s="3507"/>
      <c r="NGS21" s="3507"/>
      <c r="NGT21" s="3507"/>
      <c r="NGU21" s="3507"/>
      <c r="NGV21" s="3507"/>
      <c r="NGW21" s="3507"/>
      <c r="NGX21" s="3507"/>
      <c r="NGY21" s="3507"/>
      <c r="NGZ21" s="3507"/>
      <c r="NHA21" s="3507"/>
      <c r="NHB21" s="3507"/>
      <c r="NHC21" s="3507"/>
      <c r="NHD21" s="3507"/>
      <c r="NHE21" s="3507"/>
      <c r="NHF21" s="3507"/>
      <c r="NHG21" s="3507"/>
      <c r="NHH21" s="3507"/>
      <c r="NHI21" s="3507"/>
      <c r="NHJ21" s="3507"/>
      <c r="NHK21" s="3507"/>
      <c r="NHL21" s="3507"/>
      <c r="NHM21" s="3507"/>
      <c r="NHN21" s="3507"/>
      <c r="NHO21" s="3507"/>
      <c r="NHP21" s="3507"/>
      <c r="NHQ21" s="3507"/>
      <c r="NHR21" s="3507"/>
      <c r="NHS21" s="3507"/>
      <c r="NHT21" s="3507"/>
      <c r="NHU21" s="3507"/>
      <c r="NHV21" s="3507"/>
      <c r="NHW21" s="3507"/>
      <c r="NHX21" s="3507"/>
      <c r="NHY21" s="3507"/>
      <c r="NHZ21" s="3507"/>
      <c r="NIA21" s="3507"/>
      <c r="NIB21" s="3507"/>
      <c r="NIC21" s="3507"/>
      <c r="NID21" s="3507"/>
      <c r="NIE21" s="3507"/>
      <c r="NIF21" s="3507"/>
      <c r="NIG21" s="3507"/>
      <c r="NIH21" s="3507"/>
      <c r="NII21" s="3507"/>
      <c r="NIJ21" s="3507"/>
      <c r="NIK21" s="3507"/>
      <c r="NIL21" s="3507"/>
      <c r="NIM21" s="3507"/>
      <c r="NIN21" s="3507"/>
      <c r="NIO21" s="3507"/>
      <c r="NIP21" s="3507"/>
      <c r="NIQ21" s="3507"/>
      <c r="NIR21" s="3507"/>
      <c r="NIS21" s="3507"/>
      <c r="NIT21" s="3507"/>
      <c r="NIU21" s="3507"/>
      <c r="NIV21" s="3507"/>
      <c r="NIW21" s="3507"/>
      <c r="NIX21" s="3507"/>
      <c r="NIY21" s="3507"/>
      <c r="NIZ21" s="3507"/>
      <c r="NJA21" s="3507"/>
      <c r="NJB21" s="3507"/>
      <c r="NJC21" s="3507"/>
      <c r="NJD21" s="3507"/>
      <c r="NJE21" s="3507"/>
      <c r="NJF21" s="3507"/>
      <c r="NJG21" s="3507"/>
      <c r="NJH21" s="3507"/>
      <c r="NJI21" s="3507"/>
      <c r="NJJ21" s="3507"/>
      <c r="NJK21" s="3507"/>
      <c r="NJL21" s="3507"/>
      <c r="NJM21" s="3507"/>
      <c r="NJN21" s="3507"/>
      <c r="NJO21" s="3507"/>
      <c r="NJP21" s="3507"/>
      <c r="NJQ21" s="3507"/>
      <c r="NJR21" s="3507"/>
      <c r="NJS21" s="3507"/>
      <c r="NJT21" s="3507"/>
      <c r="NJU21" s="3507"/>
      <c r="NJV21" s="3507"/>
      <c r="NJW21" s="3507"/>
      <c r="NJX21" s="3507"/>
      <c r="NJY21" s="3507"/>
      <c r="NJZ21" s="3507"/>
      <c r="NKA21" s="3507"/>
      <c r="NKB21" s="3507"/>
      <c r="NKC21" s="3507"/>
      <c r="NKD21" s="3507"/>
      <c r="NKE21" s="3507"/>
      <c r="NKF21" s="3507"/>
      <c r="NKG21" s="3507"/>
      <c r="NKH21" s="3507"/>
      <c r="NKI21" s="3507"/>
      <c r="NKJ21" s="3507"/>
      <c r="NKK21" s="3507"/>
      <c r="NKL21" s="3507"/>
      <c r="NKM21" s="3507"/>
      <c r="NKN21" s="3507"/>
      <c r="NKO21" s="3507"/>
      <c r="NKP21" s="3507"/>
      <c r="NKQ21" s="3507"/>
      <c r="NKR21" s="3507"/>
      <c r="NKS21" s="3507"/>
      <c r="NKT21" s="3507"/>
      <c r="NKU21" s="3507"/>
      <c r="NKV21" s="3507"/>
      <c r="NKW21" s="3507"/>
      <c r="NKX21" s="3507"/>
      <c r="NKY21" s="3507"/>
      <c r="NKZ21" s="3507"/>
      <c r="NLA21" s="3507"/>
      <c r="NLB21" s="3507"/>
      <c r="NLC21" s="3507"/>
      <c r="NLD21" s="3507"/>
      <c r="NLE21" s="3507"/>
      <c r="NLF21" s="3507"/>
      <c r="NLG21" s="3507"/>
      <c r="NLH21" s="3507"/>
      <c r="NLI21" s="3507"/>
      <c r="NLJ21" s="3507"/>
      <c r="NLK21" s="3507"/>
      <c r="NLL21" s="3507"/>
      <c r="NLM21" s="3507"/>
      <c r="NLN21" s="3507"/>
      <c r="NLO21" s="3507"/>
      <c r="NLP21" s="3507"/>
      <c r="NLQ21" s="3507"/>
      <c r="NLR21" s="3507"/>
      <c r="NLS21" s="3507"/>
      <c r="NLT21" s="3507"/>
      <c r="NLU21" s="3507"/>
      <c r="NLV21" s="3507"/>
      <c r="NLW21" s="3507"/>
      <c r="NLX21" s="3507"/>
      <c r="NLY21" s="3507"/>
      <c r="NLZ21" s="3507"/>
      <c r="NMA21" s="3507"/>
      <c r="NMB21" s="3507"/>
      <c r="NMC21" s="3507"/>
      <c r="NMD21" s="3507"/>
      <c r="NME21" s="3507"/>
      <c r="NMF21" s="3507"/>
      <c r="NMG21" s="3507"/>
      <c r="NMH21" s="3507"/>
      <c r="NMI21" s="3507"/>
      <c r="NMJ21" s="3507"/>
      <c r="NMK21" s="3507"/>
      <c r="NML21" s="3507"/>
      <c r="NMM21" s="3507"/>
      <c r="NMN21" s="3507"/>
      <c r="NMO21" s="3507"/>
      <c r="NMP21" s="3507"/>
      <c r="NMQ21" s="3507"/>
      <c r="NMR21" s="3507"/>
      <c r="NMS21" s="3507"/>
      <c r="NMT21" s="3507"/>
      <c r="NMU21" s="3507"/>
      <c r="NMV21" s="3507"/>
      <c r="NMW21" s="3507"/>
      <c r="NMX21" s="3507"/>
      <c r="NMY21" s="3507"/>
      <c r="NMZ21" s="3507"/>
      <c r="NNA21" s="3507"/>
      <c r="NNB21" s="3507"/>
      <c r="NNC21" s="3507"/>
      <c r="NND21" s="3507"/>
      <c r="NNE21" s="3507"/>
      <c r="NNF21" s="3507"/>
      <c r="NNG21" s="3507"/>
      <c r="NNH21" s="3507"/>
      <c r="NNI21" s="3507"/>
      <c r="NNJ21" s="3507"/>
      <c r="NNK21" s="3507"/>
      <c r="NNL21" s="3507"/>
      <c r="NNM21" s="3507"/>
      <c r="NNN21" s="3507"/>
      <c r="NNO21" s="3507"/>
      <c r="NNP21" s="3507"/>
      <c r="NNQ21" s="3507"/>
      <c r="NNR21" s="3507"/>
      <c r="NNS21" s="3507"/>
      <c r="NNT21" s="3507"/>
      <c r="NNU21" s="3507"/>
      <c r="NNV21" s="3507"/>
      <c r="NNW21" s="3507"/>
      <c r="NNX21" s="3507"/>
      <c r="NNY21" s="3507"/>
      <c r="NNZ21" s="3507"/>
      <c r="NOA21" s="3507"/>
      <c r="NOB21" s="3507"/>
      <c r="NOC21" s="3507"/>
      <c r="NOD21" s="3507"/>
      <c r="NOE21" s="3507"/>
      <c r="NOF21" s="3507"/>
      <c r="NOG21" s="3507"/>
      <c r="NOH21" s="3507"/>
      <c r="NOI21" s="3507"/>
      <c r="NOJ21" s="3507"/>
      <c r="NOK21" s="3507"/>
      <c r="NOL21" s="3507"/>
      <c r="NOM21" s="3507"/>
      <c r="NON21" s="3507"/>
      <c r="NOO21" s="3507"/>
      <c r="NOP21" s="3507"/>
      <c r="NOQ21" s="3507"/>
      <c r="NOR21" s="3507"/>
      <c r="NOS21" s="3507"/>
      <c r="NOT21" s="3507"/>
      <c r="NOU21" s="3507"/>
      <c r="NOV21" s="3507"/>
      <c r="NOW21" s="3507"/>
      <c r="NOX21" s="3507"/>
      <c r="NOY21" s="3507"/>
      <c r="NOZ21" s="3507"/>
      <c r="NPA21" s="3507"/>
      <c r="NPB21" s="3507"/>
      <c r="NPC21" s="3507"/>
      <c r="NPD21" s="3507"/>
      <c r="NPE21" s="3507"/>
      <c r="NPF21" s="3507"/>
      <c r="NPG21" s="3507"/>
      <c r="NPH21" s="3507"/>
      <c r="NPI21" s="3507"/>
      <c r="NPJ21" s="3507"/>
      <c r="NPK21" s="3507"/>
      <c r="NPL21" s="3507"/>
      <c r="NPM21" s="3507"/>
      <c r="NPN21" s="3507"/>
      <c r="NPO21" s="3507"/>
      <c r="NPP21" s="3507"/>
      <c r="NPQ21" s="3507"/>
      <c r="NPR21" s="3507"/>
      <c r="NPS21" s="3507"/>
      <c r="NPT21" s="3507"/>
      <c r="NPU21" s="3507"/>
      <c r="NPV21" s="3507"/>
      <c r="NPW21" s="3507"/>
      <c r="NPX21" s="3507"/>
      <c r="NPY21" s="3507"/>
      <c r="NPZ21" s="3507"/>
      <c r="NQA21" s="3507"/>
      <c r="NQB21" s="3507"/>
      <c r="NQC21" s="3507"/>
      <c r="NQD21" s="3507"/>
      <c r="NQE21" s="3507"/>
      <c r="NQF21" s="3507"/>
      <c r="NQG21" s="3507"/>
      <c r="NQH21" s="3507"/>
      <c r="NQI21" s="3507"/>
      <c r="NQJ21" s="3507"/>
      <c r="NQK21" s="3507"/>
      <c r="NQL21" s="3507"/>
      <c r="NQM21" s="3507"/>
      <c r="NQN21" s="3507"/>
      <c r="NQO21" s="3507"/>
      <c r="NQP21" s="3507"/>
      <c r="NQQ21" s="3507"/>
      <c r="NQR21" s="3507"/>
      <c r="NQS21" s="3507"/>
      <c r="NQT21" s="3507"/>
      <c r="NQU21" s="3507"/>
      <c r="NQV21" s="3507"/>
      <c r="NQW21" s="3507"/>
      <c r="NQX21" s="3507"/>
      <c r="NQY21" s="3507"/>
      <c r="NQZ21" s="3507"/>
      <c r="NRA21" s="3507"/>
      <c r="NRB21" s="3507"/>
      <c r="NRC21" s="3507"/>
      <c r="NRD21" s="3507"/>
      <c r="NRE21" s="3507"/>
      <c r="NRF21" s="3507"/>
      <c r="NRG21" s="3507"/>
      <c r="NRH21" s="3507"/>
      <c r="NRI21" s="3507"/>
      <c r="NRJ21" s="3507"/>
      <c r="NRK21" s="3507"/>
      <c r="NRL21" s="3507"/>
      <c r="NRM21" s="3507"/>
      <c r="NRN21" s="3507"/>
      <c r="NRO21" s="3507"/>
      <c r="NRP21" s="3507"/>
      <c r="NRQ21" s="3507"/>
      <c r="NRR21" s="3507"/>
      <c r="NRS21" s="3507"/>
      <c r="NRT21" s="3507"/>
      <c r="NRU21" s="3507"/>
      <c r="NRV21" s="3507"/>
      <c r="NRW21" s="3507"/>
      <c r="NRX21" s="3507"/>
      <c r="NRY21" s="3507"/>
      <c r="NRZ21" s="3507"/>
      <c r="NSA21" s="3507"/>
      <c r="NSB21" s="3507"/>
      <c r="NSC21" s="3507"/>
      <c r="NSD21" s="3507"/>
      <c r="NSE21" s="3507"/>
      <c r="NSF21" s="3507"/>
      <c r="NSG21" s="3507"/>
      <c r="NSH21" s="3507"/>
      <c r="NSI21" s="3507"/>
      <c r="NSJ21" s="3507"/>
      <c r="NSK21" s="3507"/>
      <c r="NSL21" s="3507"/>
      <c r="NSM21" s="3507"/>
      <c r="NSN21" s="3507"/>
      <c r="NSO21" s="3507"/>
      <c r="NSP21" s="3507"/>
      <c r="NSQ21" s="3507"/>
      <c r="NSR21" s="3507"/>
      <c r="NSS21" s="3507"/>
      <c r="NST21" s="3507"/>
      <c r="NSU21" s="3507"/>
      <c r="NSV21" s="3507"/>
      <c r="NSW21" s="3507"/>
      <c r="NSX21" s="3507"/>
      <c r="NSY21" s="3507"/>
      <c r="NSZ21" s="3507"/>
      <c r="NTA21" s="3507"/>
      <c r="NTB21" s="3507"/>
      <c r="NTC21" s="3507"/>
      <c r="NTD21" s="3507"/>
      <c r="NTE21" s="3507"/>
      <c r="NTF21" s="3507"/>
      <c r="NTG21" s="3507"/>
      <c r="NTH21" s="3507"/>
      <c r="NTI21" s="3507"/>
      <c r="NTJ21" s="3507"/>
      <c r="NTK21" s="3507"/>
      <c r="NTL21" s="3507"/>
      <c r="NTM21" s="3507"/>
      <c r="NTN21" s="3507"/>
      <c r="NTO21" s="3507"/>
      <c r="NTP21" s="3507"/>
      <c r="NTQ21" s="3507"/>
      <c r="NTR21" s="3507"/>
      <c r="NTS21" s="3507"/>
      <c r="NTT21" s="3507"/>
      <c r="NTU21" s="3507"/>
      <c r="NTV21" s="3507"/>
      <c r="NTW21" s="3507"/>
      <c r="NTX21" s="3507"/>
      <c r="NTY21" s="3507"/>
      <c r="NTZ21" s="3507"/>
      <c r="NUA21" s="3507"/>
      <c r="NUB21" s="3507"/>
      <c r="NUC21" s="3507"/>
      <c r="NUD21" s="3507"/>
      <c r="NUE21" s="3507"/>
      <c r="NUF21" s="3507"/>
      <c r="NUG21" s="3507"/>
      <c r="NUH21" s="3507"/>
      <c r="NUI21" s="3507"/>
      <c r="NUJ21" s="3507"/>
      <c r="NUK21" s="3507"/>
      <c r="NUL21" s="3507"/>
      <c r="NUM21" s="3507"/>
      <c r="NUN21" s="3507"/>
      <c r="NUO21" s="3507"/>
      <c r="NUP21" s="3507"/>
      <c r="NUQ21" s="3507"/>
      <c r="NUR21" s="3507"/>
      <c r="NUS21" s="3507"/>
      <c r="NUT21" s="3507"/>
      <c r="NUU21" s="3507"/>
      <c r="NUV21" s="3507"/>
      <c r="NUW21" s="3507"/>
      <c r="NUX21" s="3507"/>
      <c r="NUY21" s="3507"/>
      <c r="NUZ21" s="3507"/>
      <c r="NVA21" s="3507"/>
      <c r="NVB21" s="3507"/>
      <c r="NVC21" s="3507"/>
      <c r="NVD21" s="3507"/>
      <c r="NVE21" s="3507"/>
      <c r="NVF21" s="3507"/>
      <c r="NVG21" s="3507"/>
      <c r="NVH21" s="3507"/>
      <c r="NVI21" s="3507"/>
      <c r="NVJ21" s="3507"/>
      <c r="NVK21" s="3507"/>
      <c r="NVL21" s="3507"/>
      <c r="NVM21" s="3507"/>
      <c r="NVN21" s="3507"/>
      <c r="NVO21" s="3507"/>
      <c r="NVP21" s="3507"/>
      <c r="NVQ21" s="3507"/>
      <c r="NVR21" s="3507"/>
      <c r="NVS21" s="3507"/>
      <c r="NVT21" s="3507"/>
      <c r="NVU21" s="3507"/>
      <c r="NVV21" s="3507"/>
      <c r="NVW21" s="3507"/>
      <c r="NVX21" s="3507"/>
      <c r="NVY21" s="3507"/>
      <c r="NVZ21" s="3507"/>
      <c r="NWA21" s="3507"/>
      <c r="NWB21" s="3507"/>
      <c r="NWC21" s="3507"/>
      <c r="NWD21" s="3507"/>
      <c r="NWE21" s="3507"/>
      <c r="NWF21" s="3507"/>
      <c r="NWG21" s="3507"/>
      <c r="NWH21" s="3507"/>
      <c r="NWI21" s="3507"/>
      <c r="NWJ21" s="3507"/>
      <c r="NWK21" s="3507"/>
      <c r="NWL21" s="3507"/>
      <c r="NWM21" s="3507"/>
      <c r="NWN21" s="3507"/>
      <c r="NWO21" s="3507"/>
      <c r="NWP21" s="3507"/>
      <c r="NWQ21" s="3507"/>
      <c r="NWR21" s="3507"/>
      <c r="NWS21" s="3507"/>
      <c r="NWT21" s="3507"/>
      <c r="NWU21" s="3507"/>
      <c r="NWV21" s="3507"/>
      <c r="NWW21" s="3507"/>
      <c r="NWX21" s="3507"/>
      <c r="NWY21" s="3507"/>
      <c r="NWZ21" s="3507"/>
      <c r="NXA21" s="3507"/>
      <c r="NXB21" s="3507"/>
      <c r="NXC21" s="3507"/>
      <c r="NXD21" s="3507"/>
      <c r="NXE21" s="3507"/>
      <c r="NXF21" s="3507"/>
      <c r="NXG21" s="3507"/>
      <c r="NXH21" s="3507"/>
      <c r="NXI21" s="3507"/>
      <c r="NXJ21" s="3507"/>
      <c r="NXK21" s="3507"/>
      <c r="NXL21" s="3507"/>
      <c r="NXM21" s="3507"/>
      <c r="NXN21" s="3507"/>
      <c r="NXO21" s="3507"/>
      <c r="NXP21" s="3507"/>
      <c r="NXQ21" s="3507"/>
      <c r="NXR21" s="3507"/>
      <c r="NXS21" s="3507"/>
      <c r="NXT21" s="3507"/>
      <c r="NXU21" s="3507"/>
      <c r="NXV21" s="3507"/>
      <c r="NXW21" s="3507"/>
      <c r="NXX21" s="3507"/>
      <c r="NXY21" s="3507"/>
      <c r="NXZ21" s="3507"/>
      <c r="NYA21" s="3507"/>
      <c r="NYB21" s="3507"/>
      <c r="NYC21" s="3507"/>
      <c r="NYD21" s="3507"/>
      <c r="NYE21" s="3507"/>
      <c r="NYF21" s="3507"/>
      <c r="NYG21" s="3507"/>
      <c r="NYH21" s="3507"/>
      <c r="NYI21" s="3507"/>
      <c r="NYJ21" s="3507"/>
      <c r="NYK21" s="3507"/>
      <c r="NYL21" s="3507"/>
      <c r="NYM21" s="3507"/>
      <c r="NYN21" s="3507"/>
      <c r="NYO21" s="3507"/>
      <c r="NYP21" s="3507"/>
      <c r="NYQ21" s="3507"/>
      <c r="NYR21" s="3507"/>
      <c r="NYS21" s="3507"/>
      <c r="NYT21" s="3507"/>
      <c r="NYU21" s="3507"/>
      <c r="NYV21" s="3507"/>
      <c r="NYW21" s="3507"/>
      <c r="NYX21" s="3507"/>
      <c r="NYY21" s="3507"/>
      <c r="NYZ21" s="3507"/>
      <c r="NZA21" s="3507"/>
      <c r="NZB21" s="3507"/>
      <c r="NZC21" s="3507"/>
      <c r="NZD21" s="3507"/>
      <c r="NZE21" s="3507"/>
      <c r="NZF21" s="3507"/>
      <c r="NZG21" s="3507"/>
      <c r="NZH21" s="3507"/>
      <c r="NZI21" s="3507"/>
      <c r="NZJ21" s="3507"/>
      <c r="NZK21" s="3507"/>
      <c r="NZL21" s="3507"/>
      <c r="NZM21" s="3507"/>
      <c r="NZN21" s="3507"/>
      <c r="NZO21" s="3507"/>
      <c r="NZP21" s="3507"/>
      <c r="NZQ21" s="3507"/>
      <c r="NZR21" s="3507"/>
      <c r="NZS21" s="3507"/>
      <c r="NZT21" s="3507"/>
      <c r="NZU21" s="3507"/>
      <c r="NZV21" s="3507"/>
      <c r="NZW21" s="3507"/>
      <c r="NZX21" s="3507"/>
      <c r="NZY21" s="3507"/>
      <c r="NZZ21" s="3507"/>
      <c r="OAA21" s="3507"/>
      <c r="OAB21" s="3507"/>
      <c r="OAC21" s="3507"/>
      <c r="OAD21" s="3507"/>
      <c r="OAE21" s="3507"/>
      <c r="OAF21" s="3507"/>
      <c r="OAG21" s="3507"/>
      <c r="OAH21" s="3507"/>
      <c r="OAI21" s="3507"/>
      <c r="OAJ21" s="3507"/>
      <c r="OAK21" s="3507"/>
      <c r="OAL21" s="3507"/>
      <c r="OAM21" s="3507"/>
      <c r="OAN21" s="3507"/>
      <c r="OAO21" s="3507"/>
      <c r="OAP21" s="3507"/>
      <c r="OAQ21" s="3507"/>
      <c r="OAR21" s="3507"/>
      <c r="OAS21" s="3507"/>
      <c r="OAT21" s="3507"/>
      <c r="OAU21" s="3507"/>
      <c r="OAV21" s="3507"/>
      <c r="OAW21" s="3507"/>
      <c r="OAX21" s="3507"/>
      <c r="OAY21" s="3507"/>
      <c r="OAZ21" s="3507"/>
      <c r="OBA21" s="3507"/>
      <c r="OBB21" s="3507"/>
      <c r="OBC21" s="3507"/>
      <c r="OBD21" s="3507"/>
      <c r="OBE21" s="3507"/>
      <c r="OBF21" s="3507"/>
      <c r="OBG21" s="3507"/>
      <c r="OBH21" s="3507"/>
      <c r="OBI21" s="3507"/>
      <c r="OBJ21" s="3507"/>
      <c r="OBK21" s="3507"/>
      <c r="OBL21" s="3507"/>
      <c r="OBM21" s="3507"/>
      <c r="OBN21" s="3507"/>
      <c r="OBO21" s="3507"/>
      <c r="OBP21" s="3507"/>
      <c r="OBQ21" s="3507"/>
      <c r="OBR21" s="3507"/>
      <c r="OBS21" s="3507"/>
      <c r="OBT21" s="3507"/>
      <c r="OBU21" s="3507"/>
      <c r="OBV21" s="3507"/>
      <c r="OBW21" s="3507"/>
      <c r="OBX21" s="3507"/>
      <c r="OBY21" s="3507"/>
      <c r="OBZ21" s="3507"/>
      <c r="OCA21" s="3507"/>
      <c r="OCB21" s="3507"/>
      <c r="OCC21" s="3507"/>
      <c r="OCD21" s="3507"/>
      <c r="OCE21" s="3507"/>
      <c r="OCF21" s="3507"/>
      <c r="OCG21" s="3507"/>
      <c r="OCH21" s="3507"/>
      <c r="OCI21" s="3507"/>
      <c r="OCJ21" s="3507"/>
      <c r="OCK21" s="3507"/>
      <c r="OCL21" s="3507"/>
      <c r="OCM21" s="3507"/>
      <c r="OCN21" s="3507"/>
      <c r="OCO21" s="3507"/>
      <c r="OCP21" s="3507"/>
      <c r="OCQ21" s="3507"/>
      <c r="OCR21" s="3507"/>
      <c r="OCS21" s="3507"/>
      <c r="OCT21" s="3507"/>
      <c r="OCU21" s="3507"/>
      <c r="OCV21" s="3507"/>
      <c r="OCW21" s="3507"/>
      <c r="OCX21" s="3507"/>
      <c r="OCY21" s="3507"/>
      <c r="OCZ21" s="3507"/>
      <c r="ODA21" s="3507"/>
      <c r="ODB21" s="3507"/>
      <c r="ODC21" s="3507"/>
      <c r="ODD21" s="3507"/>
      <c r="ODE21" s="3507"/>
      <c r="ODF21" s="3507"/>
      <c r="ODG21" s="3507"/>
      <c r="ODH21" s="3507"/>
      <c r="ODI21" s="3507"/>
      <c r="ODJ21" s="3507"/>
      <c r="ODK21" s="3507"/>
      <c r="ODL21" s="3507"/>
      <c r="ODM21" s="3507"/>
      <c r="ODN21" s="3507"/>
      <c r="ODO21" s="3507"/>
      <c r="ODP21" s="3507"/>
      <c r="ODQ21" s="3507"/>
      <c r="ODR21" s="3507"/>
      <c r="ODS21" s="3507"/>
      <c r="ODT21" s="3507"/>
      <c r="ODU21" s="3507"/>
      <c r="ODV21" s="3507"/>
      <c r="ODW21" s="3507"/>
      <c r="ODX21" s="3507"/>
      <c r="ODY21" s="3507"/>
      <c r="ODZ21" s="3507"/>
      <c r="OEA21" s="3507"/>
      <c r="OEB21" s="3507"/>
      <c r="OEC21" s="3507"/>
      <c r="OED21" s="3507"/>
      <c r="OEE21" s="3507"/>
      <c r="OEF21" s="3507"/>
      <c r="OEG21" s="3507"/>
      <c r="OEH21" s="3507"/>
      <c r="OEI21" s="3507"/>
      <c r="OEJ21" s="3507"/>
      <c r="OEK21" s="3507"/>
      <c r="OEL21" s="3507"/>
      <c r="OEM21" s="3507"/>
      <c r="OEN21" s="3507"/>
      <c r="OEO21" s="3507"/>
      <c r="OEP21" s="3507"/>
      <c r="OEQ21" s="3507"/>
      <c r="OER21" s="3507"/>
      <c r="OES21" s="3507"/>
      <c r="OET21" s="3507"/>
      <c r="OEU21" s="3507"/>
      <c r="OEV21" s="3507"/>
      <c r="OEW21" s="3507"/>
      <c r="OEX21" s="3507"/>
      <c r="OEY21" s="3507"/>
      <c r="OEZ21" s="3507"/>
      <c r="OFA21" s="3507"/>
      <c r="OFB21" s="3507"/>
      <c r="OFC21" s="3507"/>
      <c r="OFD21" s="3507"/>
      <c r="OFE21" s="3507"/>
      <c r="OFF21" s="3507"/>
      <c r="OFG21" s="3507"/>
      <c r="OFH21" s="3507"/>
      <c r="OFI21" s="3507"/>
      <c r="OFJ21" s="3507"/>
      <c r="OFK21" s="3507"/>
      <c r="OFL21" s="3507"/>
      <c r="OFM21" s="3507"/>
      <c r="OFN21" s="3507"/>
      <c r="OFO21" s="3507"/>
      <c r="OFP21" s="3507"/>
      <c r="OFQ21" s="3507"/>
      <c r="OFR21" s="3507"/>
      <c r="OFS21" s="3507"/>
      <c r="OFT21" s="3507"/>
      <c r="OFU21" s="3507"/>
      <c r="OFV21" s="3507"/>
      <c r="OFW21" s="3507"/>
      <c r="OFX21" s="3507"/>
      <c r="OFY21" s="3507"/>
      <c r="OFZ21" s="3507"/>
      <c r="OGA21" s="3507"/>
      <c r="OGB21" s="3507"/>
      <c r="OGC21" s="3507"/>
      <c r="OGD21" s="3507"/>
      <c r="OGE21" s="3507"/>
      <c r="OGF21" s="3507"/>
      <c r="OGG21" s="3507"/>
      <c r="OGH21" s="3507"/>
      <c r="OGI21" s="3507"/>
      <c r="OGJ21" s="3507"/>
      <c r="OGK21" s="3507"/>
      <c r="OGL21" s="3507"/>
      <c r="OGM21" s="3507"/>
      <c r="OGN21" s="3507"/>
      <c r="OGO21" s="3507"/>
      <c r="OGP21" s="3507"/>
      <c r="OGQ21" s="3507"/>
      <c r="OGR21" s="3507"/>
      <c r="OGS21" s="3507"/>
      <c r="OGT21" s="3507"/>
      <c r="OGU21" s="3507"/>
      <c r="OGV21" s="3507"/>
      <c r="OGW21" s="3507"/>
      <c r="OGX21" s="3507"/>
      <c r="OGY21" s="3507"/>
      <c r="OGZ21" s="3507"/>
      <c r="OHA21" s="3507"/>
      <c r="OHB21" s="3507"/>
      <c r="OHC21" s="3507"/>
      <c r="OHD21" s="3507"/>
      <c r="OHE21" s="3507"/>
      <c r="OHF21" s="3507"/>
      <c r="OHG21" s="3507"/>
      <c r="OHH21" s="3507"/>
      <c r="OHI21" s="3507"/>
      <c r="OHJ21" s="3507"/>
      <c r="OHK21" s="3507"/>
      <c r="OHL21" s="3507"/>
      <c r="OHM21" s="3507"/>
      <c r="OHN21" s="3507"/>
      <c r="OHO21" s="3507"/>
      <c r="OHP21" s="3507"/>
      <c r="OHQ21" s="3507"/>
      <c r="OHR21" s="3507"/>
      <c r="OHS21" s="3507"/>
      <c r="OHT21" s="3507"/>
      <c r="OHU21" s="3507"/>
      <c r="OHV21" s="3507"/>
      <c r="OHW21" s="3507"/>
      <c r="OHX21" s="3507"/>
      <c r="OHY21" s="3507"/>
      <c r="OHZ21" s="3507"/>
      <c r="OIA21" s="3507"/>
      <c r="OIB21" s="3507"/>
      <c r="OIC21" s="3507"/>
      <c r="OID21" s="3507"/>
      <c r="OIE21" s="3507"/>
      <c r="OIF21" s="3507"/>
      <c r="OIG21" s="3507"/>
      <c r="OIH21" s="3507"/>
      <c r="OII21" s="3507"/>
      <c r="OIJ21" s="3507"/>
      <c r="OIK21" s="3507"/>
      <c r="OIL21" s="3507"/>
      <c r="OIM21" s="3507"/>
      <c r="OIN21" s="3507"/>
      <c r="OIO21" s="3507"/>
      <c r="OIP21" s="3507"/>
      <c r="OIQ21" s="3507"/>
      <c r="OIR21" s="3507"/>
      <c r="OIS21" s="3507"/>
      <c r="OIT21" s="3507"/>
      <c r="OIU21" s="3507"/>
      <c r="OIV21" s="3507"/>
      <c r="OIW21" s="3507"/>
      <c r="OIX21" s="3507"/>
      <c r="OIY21" s="3507"/>
      <c r="OIZ21" s="3507"/>
      <c r="OJA21" s="3507"/>
      <c r="OJB21" s="3507"/>
      <c r="OJC21" s="3507"/>
      <c r="OJD21" s="3507"/>
      <c r="OJE21" s="3507"/>
      <c r="OJF21" s="3507"/>
      <c r="OJG21" s="3507"/>
      <c r="OJH21" s="3507"/>
      <c r="OJI21" s="3507"/>
      <c r="OJJ21" s="3507"/>
      <c r="OJK21" s="3507"/>
      <c r="OJL21" s="3507"/>
      <c r="OJM21" s="3507"/>
      <c r="OJN21" s="3507"/>
      <c r="OJO21" s="3507"/>
      <c r="OJP21" s="3507"/>
      <c r="OJQ21" s="3507"/>
      <c r="OJR21" s="3507"/>
      <c r="OJS21" s="3507"/>
      <c r="OJT21" s="3507"/>
      <c r="OJU21" s="3507"/>
      <c r="OJV21" s="3507"/>
      <c r="OJW21" s="3507"/>
      <c r="OJX21" s="3507"/>
      <c r="OJY21" s="3507"/>
      <c r="OJZ21" s="3507"/>
      <c r="OKA21" s="3507"/>
      <c r="OKB21" s="3507"/>
      <c r="OKC21" s="3507"/>
      <c r="OKD21" s="3507"/>
      <c r="OKE21" s="3507"/>
      <c r="OKF21" s="3507"/>
      <c r="OKG21" s="3507"/>
      <c r="OKH21" s="3507"/>
      <c r="OKI21" s="3507"/>
      <c r="OKJ21" s="3507"/>
      <c r="OKK21" s="3507"/>
      <c r="OKL21" s="3507"/>
      <c r="OKM21" s="3507"/>
      <c r="OKN21" s="3507"/>
      <c r="OKO21" s="3507"/>
      <c r="OKP21" s="3507"/>
      <c r="OKQ21" s="3507"/>
      <c r="OKR21" s="3507"/>
      <c r="OKS21" s="3507"/>
      <c r="OKT21" s="3507"/>
      <c r="OKU21" s="3507"/>
      <c r="OKV21" s="3507"/>
      <c r="OKW21" s="3507"/>
      <c r="OKX21" s="3507"/>
      <c r="OKY21" s="3507"/>
      <c r="OKZ21" s="3507"/>
      <c r="OLA21" s="3507"/>
      <c r="OLB21" s="3507"/>
      <c r="OLC21" s="3507"/>
      <c r="OLD21" s="3507"/>
      <c r="OLE21" s="3507"/>
      <c r="OLF21" s="3507"/>
      <c r="OLG21" s="3507"/>
      <c r="OLH21" s="3507"/>
      <c r="OLI21" s="3507"/>
      <c r="OLJ21" s="3507"/>
      <c r="OLK21" s="3507"/>
      <c r="OLL21" s="3507"/>
      <c r="OLM21" s="3507"/>
      <c r="OLN21" s="3507"/>
      <c r="OLO21" s="3507"/>
      <c r="OLP21" s="3507"/>
      <c r="OLQ21" s="3507"/>
      <c r="OLR21" s="3507"/>
      <c r="OLS21" s="3507"/>
      <c r="OLT21" s="3507"/>
      <c r="OLU21" s="3507"/>
      <c r="OLV21" s="3507"/>
      <c r="OLW21" s="3507"/>
      <c r="OLX21" s="3507"/>
      <c r="OLY21" s="3507"/>
      <c r="OLZ21" s="3507"/>
      <c r="OMA21" s="3507"/>
      <c r="OMB21" s="3507"/>
      <c r="OMC21" s="3507"/>
      <c r="OMD21" s="3507"/>
      <c r="OME21" s="3507"/>
      <c r="OMF21" s="3507"/>
      <c r="OMG21" s="3507"/>
      <c r="OMH21" s="3507"/>
      <c r="OMI21" s="3507"/>
      <c r="OMJ21" s="3507"/>
      <c r="OMK21" s="3507"/>
      <c r="OML21" s="3507"/>
      <c r="OMM21" s="3507"/>
      <c r="OMN21" s="3507"/>
      <c r="OMO21" s="3507"/>
      <c r="OMP21" s="3507"/>
      <c r="OMQ21" s="3507"/>
      <c r="OMR21" s="3507"/>
      <c r="OMS21" s="3507"/>
      <c r="OMT21" s="3507"/>
      <c r="OMU21" s="3507"/>
      <c r="OMV21" s="3507"/>
      <c r="OMW21" s="3507"/>
      <c r="OMX21" s="3507"/>
      <c r="OMY21" s="3507"/>
      <c r="OMZ21" s="3507"/>
      <c r="ONA21" s="3507"/>
      <c r="ONB21" s="3507"/>
      <c r="ONC21" s="3507"/>
      <c r="OND21" s="3507"/>
      <c r="ONE21" s="3507"/>
      <c r="ONF21" s="3507"/>
      <c r="ONG21" s="3507"/>
      <c r="ONH21" s="3507"/>
      <c r="ONI21" s="3507"/>
      <c r="ONJ21" s="3507"/>
      <c r="ONK21" s="3507"/>
      <c r="ONL21" s="3507"/>
      <c r="ONM21" s="3507"/>
      <c r="ONN21" s="3507"/>
      <c r="ONO21" s="3507"/>
      <c r="ONP21" s="3507"/>
      <c r="ONQ21" s="3507"/>
      <c r="ONR21" s="3507"/>
      <c r="ONS21" s="3507"/>
      <c r="ONT21" s="3507"/>
      <c r="ONU21" s="3507"/>
      <c r="ONV21" s="3507"/>
      <c r="ONW21" s="3507"/>
      <c r="ONX21" s="3507"/>
      <c r="ONY21" s="3507"/>
      <c r="ONZ21" s="3507"/>
      <c r="OOA21" s="3507"/>
      <c r="OOB21" s="3507"/>
      <c r="OOC21" s="3507"/>
      <c r="OOD21" s="3507"/>
      <c r="OOE21" s="3507"/>
      <c r="OOF21" s="3507"/>
      <c r="OOG21" s="3507"/>
      <c r="OOH21" s="3507"/>
      <c r="OOI21" s="3507"/>
      <c r="OOJ21" s="3507"/>
      <c r="OOK21" s="3507"/>
      <c r="OOL21" s="3507"/>
      <c r="OOM21" s="3507"/>
      <c r="OON21" s="3507"/>
      <c r="OOO21" s="3507"/>
      <c r="OOP21" s="3507"/>
      <c r="OOQ21" s="3507"/>
      <c r="OOR21" s="3507"/>
      <c r="OOS21" s="3507"/>
      <c r="OOT21" s="3507"/>
      <c r="OOU21" s="3507"/>
      <c r="OOV21" s="3507"/>
      <c r="OOW21" s="3507"/>
      <c r="OOX21" s="3507"/>
      <c r="OOY21" s="3507"/>
      <c r="OOZ21" s="3507"/>
      <c r="OPA21" s="3507"/>
      <c r="OPB21" s="3507"/>
      <c r="OPC21" s="3507"/>
      <c r="OPD21" s="3507"/>
      <c r="OPE21" s="3507"/>
      <c r="OPF21" s="3507"/>
      <c r="OPG21" s="3507"/>
      <c r="OPH21" s="3507"/>
      <c r="OPI21" s="3507"/>
      <c r="OPJ21" s="3507"/>
      <c r="OPK21" s="3507"/>
      <c r="OPL21" s="3507"/>
      <c r="OPM21" s="3507"/>
      <c r="OPN21" s="3507"/>
      <c r="OPO21" s="3507"/>
      <c r="OPP21" s="3507"/>
      <c r="OPQ21" s="3507"/>
      <c r="OPR21" s="3507"/>
      <c r="OPS21" s="3507"/>
      <c r="OPT21" s="3507"/>
      <c r="OPU21" s="3507"/>
      <c r="OPV21" s="3507"/>
      <c r="OPW21" s="3507"/>
      <c r="OPX21" s="3507"/>
      <c r="OPY21" s="3507"/>
      <c r="OPZ21" s="3507"/>
      <c r="OQA21" s="3507"/>
      <c r="OQB21" s="3507"/>
      <c r="OQC21" s="3507"/>
      <c r="OQD21" s="3507"/>
      <c r="OQE21" s="3507"/>
      <c r="OQF21" s="3507"/>
      <c r="OQG21" s="3507"/>
      <c r="OQH21" s="3507"/>
      <c r="OQI21" s="3507"/>
      <c r="OQJ21" s="3507"/>
      <c r="OQK21" s="3507"/>
      <c r="OQL21" s="3507"/>
      <c r="OQM21" s="3507"/>
      <c r="OQN21" s="3507"/>
      <c r="OQO21" s="3507"/>
      <c r="OQP21" s="3507"/>
      <c r="OQQ21" s="3507"/>
      <c r="OQR21" s="3507"/>
      <c r="OQS21" s="3507"/>
      <c r="OQT21" s="3507"/>
      <c r="OQU21" s="3507"/>
      <c r="OQV21" s="3507"/>
      <c r="OQW21" s="3507"/>
      <c r="OQX21" s="3507"/>
      <c r="OQY21" s="3507"/>
      <c r="OQZ21" s="3507"/>
      <c r="ORA21" s="3507"/>
      <c r="ORB21" s="3507"/>
      <c r="ORC21" s="3507"/>
      <c r="ORD21" s="3507"/>
      <c r="ORE21" s="3507"/>
      <c r="ORF21" s="3507"/>
      <c r="ORG21" s="3507"/>
      <c r="ORH21" s="3507"/>
      <c r="ORI21" s="3507"/>
      <c r="ORJ21" s="3507"/>
      <c r="ORK21" s="3507"/>
      <c r="ORL21" s="3507"/>
      <c r="ORM21" s="3507"/>
      <c r="ORN21" s="3507"/>
      <c r="ORO21" s="3507"/>
      <c r="ORP21" s="3507"/>
      <c r="ORQ21" s="3507"/>
      <c r="ORR21" s="3507"/>
      <c r="ORS21" s="3507"/>
      <c r="ORT21" s="3507"/>
      <c r="ORU21" s="3507"/>
      <c r="ORV21" s="3507"/>
      <c r="ORW21" s="3507"/>
      <c r="ORX21" s="3507"/>
      <c r="ORY21" s="3507"/>
      <c r="ORZ21" s="3507"/>
      <c r="OSA21" s="3507"/>
      <c r="OSB21" s="3507"/>
      <c r="OSC21" s="3507"/>
      <c r="OSD21" s="3507"/>
      <c r="OSE21" s="3507"/>
      <c r="OSF21" s="3507"/>
      <c r="OSG21" s="3507"/>
      <c r="OSH21" s="3507"/>
      <c r="OSI21" s="3507"/>
      <c r="OSJ21" s="3507"/>
      <c r="OSK21" s="3507"/>
      <c r="OSL21" s="3507"/>
      <c r="OSM21" s="3507"/>
      <c r="OSN21" s="3507"/>
      <c r="OSO21" s="3507"/>
      <c r="OSP21" s="3507"/>
      <c r="OSQ21" s="3507"/>
      <c r="OSR21" s="3507"/>
      <c r="OSS21" s="3507"/>
      <c r="OST21" s="3507"/>
      <c r="OSU21" s="3507"/>
      <c r="OSV21" s="3507"/>
      <c r="OSW21" s="3507"/>
      <c r="OSX21" s="3507"/>
      <c r="OSY21" s="3507"/>
      <c r="OSZ21" s="3507"/>
      <c r="OTA21" s="3507"/>
      <c r="OTB21" s="3507"/>
      <c r="OTC21" s="3507"/>
      <c r="OTD21" s="3507"/>
      <c r="OTE21" s="3507"/>
      <c r="OTF21" s="3507"/>
      <c r="OTG21" s="3507"/>
      <c r="OTH21" s="3507"/>
      <c r="OTI21" s="3507"/>
      <c r="OTJ21" s="3507"/>
      <c r="OTK21" s="3507"/>
      <c r="OTL21" s="3507"/>
      <c r="OTM21" s="3507"/>
      <c r="OTN21" s="3507"/>
      <c r="OTO21" s="3507"/>
      <c r="OTP21" s="3507"/>
      <c r="OTQ21" s="3507"/>
      <c r="OTR21" s="3507"/>
      <c r="OTS21" s="3507"/>
      <c r="OTT21" s="3507"/>
      <c r="OTU21" s="3507"/>
      <c r="OTV21" s="3507"/>
      <c r="OTW21" s="3507"/>
      <c r="OTX21" s="3507"/>
      <c r="OTY21" s="3507"/>
      <c r="OTZ21" s="3507"/>
      <c r="OUA21" s="3507"/>
      <c r="OUB21" s="3507"/>
      <c r="OUC21" s="3507"/>
      <c r="OUD21" s="3507"/>
      <c r="OUE21" s="3507"/>
      <c r="OUF21" s="3507"/>
      <c r="OUG21" s="3507"/>
      <c r="OUH21" s="3507"/>
      <c r="OUI21" s="3507"/>
      <c r="OUJ21" s="3507"/>
      <c r="OUK21" s="3507"/>
      <c r="OUL21" s="3507"/>
      <c r="OUM21" s="3507"/>
      <c r="OUN21" s="3507"/>
      <c r="OUO21" s="3507"/>
      <c r="OUP21" s="3507"/>
      <c r="OUQ21" s="3507"/>
      <c r="OUR21" s="3507"/>
      <c r="OUS21" s="3507"/>
      <c r="OUT21" s="3507"/>
      <c r="OUU21" s="3507"/>
      <c r="OUV21" s="3507"/>
      <c r="OUW21" s="3507"/>
      <c r="OUX21" s="3507"/>
      <c r="OUY21" s="3507"/>
      <c r="OUZ21" s="3507"/>
      <c r="OVA21" s="3507"/>
      <c r="OVB21" s="3507"/>
      <c r="OVC21" s="3507"/>
      <c r="OVD21" s="3507"/>
      <c r="OVE21" s="3507"/>
      <c r="OVF21" s="3507"/>
      <c r="OVG21" s="3507"/>
      <c r="OVH21" s="3507"/>
      <c r="OVI21" s="3507"/>
      <c r="OVJ21" s="3507"/>
      <c r="OVK21" s="3507"/>
      <c r="OVL21" s="3507"/>
      <c r="OVM21" s="3507"/>
      <c r="OVN21" s="3507"/>
      <c r="OVO21" s="3507"/>
      <c r="OVP21" s="3507"/>
      <c r="OVQ21" s="3507"/>
      <c r="OVR21" s="3507"/>
      <c r="OVS21" s="3507"/>
      <c r="OVT21" s="3507"/>
      <c r="OVU21" s="3507"/>
      <c r="OVV21" s="3507"/>
      <c r="OVW21" s="3507"/>
      <c r="OVX21" s="3507"/>
      <c r="OVY21" s="3507"/>
      <c r="OVZ21" s="3507"/>
      <c r="OWA21" s="3507"/>
      <c r="OWB21" s="3507"/>
      <c r="OWC21" s="3507"/>
      <c r="OWD21" s="3507"/>
      <c r="OWE21" s="3507"/>
      <c r="OWF21" s="3507"/>
      <c r="OWG21" s="3507"/>
      <c r="OWH21" s="3507"/>
      <c r="OWI21" s="3507"/>
      <c r="OWJ21" s="3507"/>
      <c r="OWK21" s="3507"/>
      <c r="OWL21" s="3507"/>
      <c r="OWM21" s="3507"/>
      <c r="OWN21" s="3507"/>
      <c r="OWO21" s="3507"/>
      <c r="OWP21" s="3507"/>
      <c r="OWQ21" s="3507"/>
      <c r="OWR21" s="3507"/>
      <c r="OWS21" s="3507"/>
      <c r="OWT21" s="3507"/>
      <c r="OWU21" s="3507"/>
      <c r="OWV21" s="3507"/>
      <c r="OWW21" s="3507"/>
      <c r="OWX21" s="3507"/>
      <c r="OWY21" s="3507"/>
      <c r="OWZ21" s="3507"/>
      <c r="OXA21" s="3507"/>
      <c r="OXB21" s="3507"/>
      <c r="OXC21" s="3507"/>
      <c r="OXD21" s="3507"/>
      <c r="OXE21" s="3507"/>
      <c r="OXF21" s="3507"/>
      <c r="OXG21" s="3507"/>
      <c r="OXH21" s="3507"/>
      <c r="OXI21" s="3507"/>
      <c r="OXJ21" s="3507"/>
      <c r="OXK21" s="3507"/>
      <c r="OXL21" s="3507"/>
      <c r="OXM21" s="3507"/>
      <c r="OXN21" s="3507"/>
      <c r="OXO21" s="3507"/>
      <c r="OXP21" s="3507"/>
      <c r="OXQ21" s="3507"/>
      <c r="OXR21" s="3507"/>
      <c r="OXS21" s="3507"/>
      <c r="OXT21" s="3507"/>
      <c r="OXU21" s="3507"/>
      <c r="OXV21" s="3507"/>
      <c r="OXW21" s="3507"/>
      <c r="OXX21" s="3507"/>
      <c r="OXY21" s="3507"/>
      <c r="OXZ21" s="3507"/>
      <c r="OYA21" s="3507"/>
      <c r="OYB21" s="3507"/>
      <c r="OYC21" s="3507"/>
      <c r="OYD21" s="3507"/>
      <c r="OYE21" s="3507"/>
      <c r="OYF21" s="3507"/>
      <c r="OYG21" s="3507"/>
      <c r="OYH21" s="3507"/>
      <c r="OYI21" s="3507"/>
      <c r="OYJ21" s="3507"/>
      <c r="OYK21" s="3507"/>
      <c r="OYL21" s="3507"/>
      <c r="OYM21" s="3507"/>
      <c r="OYN21" s="3507"/>
      <c r="OYO21" s="3507"/>
      <c r="OYP21" s="3507"/>
      <c r="OYQ21" s="3507"/>
      <c r="OYR21" s="3507"/>
      <c r="OYS21" s="3507"/>
      <c r="OYT21" s="3507"/>
      <c r="OYU21" s="3507"/>
      <c r="OYV21" s="3507"/>
      <c r="OYW21" s="3507"/>
      <c r="OYX21" s="3507"/>
      <c r="OYY21" s="3507"/>
      <c r="OYZ21" s="3507"/>
      <c r="OZA21" s="3507"/>
      <c r="OZB21" s="3507"/>
      <c r="OZC21" s="3507"/>
      <c r="OZD21" s="3507"/>
      <c r="OZE21" s="3507"/>
      <c r="OZF21" s="3507"/>
      <c r="OZG21" s="3507"/>
      <c r="OZH21" s="3507"/>
      <c r="OZI21" s="3507"/>
      <c r="OZJ21" s="3507"/>
      <c r="OZK21" s="3507"/>
      <c r="OZL21" s="3507"/>
      <c r="OZM21" s="3507"/>
      <c r="OZN21" s="3507"/>
      <c r="OZO21" s="3507"/>
      <c r="OZP21" s="3507"/>
      <c r="OZQ21" s="3507"/>
      <c r="OZR21" s="3507"/>
      <c r="OZS21" s="3507"/>
      <c r="OZT21" s="3507"/>
      <c r="OZU21" s="3507"/>
      <c r="OZV21" s="3507"/>
      <c r="OZW21" s="3507"/>
      <c r="OZX21" s="3507"/>
      <c r="OZY21" s="3507"/>
      <c r="OZZ21" s="3507"/>
      <c r="PAA21" s="3507"/>
      <c r="PAB21" s="3507"/>
      <c r="PAC21" s="3507"/>
      <c r="PAD21" s="3507"/>
      <c r="PAE21" s="3507"/>
      <c r="PAF21" s="3507"/>
      <c r="PAG21" s="3507"/>
      <c r="PAH21" s="3507"/>
      <c r="PAI21" s="3507"/>
      <c r="PAJ21" s="3507"/>
      <c r="PAK21" s="3507"/>
      <c r="PAL21" s="3507"/>
      <c r="PAM21" s="3507"/>
      <c r="PAN21" s="3507"/>
      <c r="PAO21" s="3507"/>
      <c r="PAP21" s="3507"/>
      <c r="PAQ21" s="3507"/>
      <c r="PAR21" s="3507"/>
      <c r="PAS21" s="3507"/>
      <c r="PAT21" s="3507"/>
      <c r="PAU21" s="3507"/>
      <c r="PAV21" s="3507"/>
      <c r="PAW21" s="3507"/>
      <c r="PAX21" s="3507"/>
      <c r="PAY21" s="3507"/>
      <c r="PAZ21" s="3507"/>
      <c r="PBA21" s="3507"/>
      <c r="PBB21" s="3507"/>
      <c r="PBC21" s="3507"/>
      <c r="PBD21" s="3507"/>
      <c r="PBE21" s="3507"/>
      <c r="PBF21" s="3507"/>
      <c r="PBG21" s="3507"/>
      <c r="PBH21" s="3507"/>
      <c r="PBI21" s="3507"/>
      <c r="PBJ21" s="3507"/>
      <c r="PBK21" s="3507"/>
      <c r="PBL21" s="3507"/>
      <c r="PBM21" s="3507"/>
      <c r="PBN21" s="3507"/>
      <c r="PBO21" s="3507"/>
      <c r="PBP21" s="3507"/>
      <c r="PBQ21" s="3507"/>
      <c r="PBR21" s="3507"/>
      <c r="PBS21" s="3507"/>
      <c r="PBT21" s="3507"/>
      <c r="PBU21" s="3507"/>
      <c r="PBV21" s="3507"/>
      <c r="PBW21" s="3507"/>
      <c r="PBX21" s="3507"/>
      <c r="PBY21" s="3507"/>
      <c r="PBZ21" s="3507"/>
      <c r="PCA21" s="3507"/>
      <c r="PCB21" s="3507"/>
      <c r="PCC21" s="3507"/>
      <c r="PCD21" s="3507"/>
      <c r="PCE21" s="3507"/>
      <c r="PCF21" s="3507"/>
      <c r="PCG21" s="3507"/>
      <c r="PCH21" s="3507"/>
      <c r="PCI21" s="3507"/>
      <c r="PCJ21" s="3507"/>
      <c r="PCK21" s="3507"/>
      <c r="PCL21" s="3507"/>
      <c r="PCM21" s="3507"/>
      <c r="PCN21" s="3507"/>
      <c r="PCO21" s="3507"/>
      <c r="PCP21" s="3507"/>
      <c r="PCQ21" s="3507"/>
      <c r="PCR21" s="3507"/>
      <c r="PCS21" s="3507"/>
      <c r="PCT21" s="3507"/>
      <c r="PCU21" s="3507"/>
      <c r="PCV21" s="3507"/>
      <c r="PCW21" s="3507"/>
      <c r="PCX21" s="3507"/>
      <c r="PCY21" s="3507"/>
      <c r="PCZ21" s="3507"/>
      <c r="PDA21" s="3507"/>
      <c r="PDB21" s="3507"/>
      <c r="PDC21" s="3507"/>
      <c r="PDD21" s="3507"/>
      <c r="PDE21" s="3507"/>
      <c r="PDF21" s="3507"/>
      <c r="PDG21" s="3507"/>
      <c r="PDH21" s="3507"/>
      <c r="PDI21" s="3507"/>
      <c r="PDJ21" s="3507"/>
      <c r="PDK21" s="3507"/>
      <c r="PDL21" s="3507"/>
      <c r="PDM21" s="3507"/>
      <c r="PDN21" s="3507"/>
      <c r="PDO21" s="3507"/>
      <c r="PDP21" s="3507"/>
      <c r="PDQ21" s="3507"/>
      <c r="PDR21" s="3507"/>
      <c r="PDS21" s="3507"/>
      <c r="PDT21" s="3507"/>
      <c r="PDU21" s="3507"/>
      <c r="PDV21" s="3507"/>
      <c r="PDW21" s="3507"/>
      <c r="PDX21" s="3507"/>
      <c r="PDY21" s="3507"/>
      <c r="PDZ21" s="3507"/>
      <c r="PEA21" s="3507"/>
      <c r="PEB21" s="3507"/>
      <c r="PEC21" s="3507"/>
      <c r="PED21" s="3507"/>
      <c r="PEE21" s="3507"/>
      <c r="PEF21" s="3507"/>
      <c r="PEG21" s="3507"/>
      <c r="PEH21" s="3507"/>
      <c r="PEI21" s="3507"/>
      <c r="PEJ21" s="3507"/>
      <c r="PEK21" s="3507"/>
      <c r="PEL21" s="3507"/>
      <c r="PEM21" s="3507"/>
      <c r="PEN21" s="3507"/>
      <c r="PEO21" s="3507"/>
      <c r="PEP21" s="3507"/>
      <c r="PEQ21" s="3507"/>
      <c r="PER21" s="3507"/>
      <c r="PES21" s="3507"/>
      <c r="PET21" s="3507"/>
      <c r="PEU21" s="3507"/>
      <c r="PEV21" s="3507"/>
      <c r="PEW21" s="3507"/>
      <c r="PEX21" s="3507"/>
      <c r="PEY21" s="3507"/>
      <c r="PEZ21" s="3507"/>
      <c r="PFA21" s="3507"/>
      <c r="PFB21" s="3507"/>
      <c r="PFC21" s="3507"/>
      <c r="PFD21" s="3507"/>
      <c r="PFE21" s="3507"/>
      <c r="PFF21" s="3507"/>
      <c r="PFG21" s="3507"/>
      <c r="PFH21" s="3507"/>
      <c r="PFI21" s="3507"/>
      <c r="PFJ21" s="3507"/>
      <c r="PFK21" s="3507"/>
      <c r="PFL21" s="3507"/>
      <c r="PFM21" s="3507"/>
      <c r="PFN21" s="3507"/>
      <c r="PFO21" s="3507"/>
      <c r="PFP21" s="3507"/>
      <c r="PFQ21" s="3507"/>
      <c r="PFR21" s="3507"/>
      <c r="PFS21" s="3507"/>
      <c r="PFT21" s="3507"/>
      <c r="PFU21" s="3507"/>
      <c r="PFV21" s="3507"/>
      <c r="PFW21" s="3507"/>
      <c r="PFX21" s="3507"/>
      <c r="PFY21" s="3507"/>
      <c r="PFZ21" s="3507"/>
      <c r="PGA21" s="3507"/>
      <c r="PGB21" s="3507"/>
      <c r="PGC21" s="3507"/>
      <c r="PGD21" s="3507"/>
      <c r="PGE21" s="3507"/>
      <c r="PGF21" s="3507"/>
      <c r="PGG21" s="3507"/>
      <c r="PGH21" s="3507"/>
      <c r="PGI21" s="3507"/>
      <c r="PGJ21" s="3507"/>
      <c r="PGK21" s="3507"/>
      <c r="PGL21" s="3507"/>
      <c r="PGM21" s="3507"/>
      <c r="PGN21" s="3507"/>
      <c r="PGO21" s="3507"/>
      <c r="PGP21" s="3507"/>
      <c r="PGQ21" s="3507"/>
      <c r="PGR21" s="3507"/>
      <c r="PGS21" s="3507"/>
      <c r="PGT21" s="3507"/>
      <c r="PGU21" s="3507"/>
      <c r="PGV21" s="3507"/>
      <c r="PGW21" s="3507"/>
      <c r="PGX21" s="3507"/>
      <c r="PGY21" s="3507"/>
      <c r="PGZ21" s="3507"/>
      <c r="PHA21" s="3507"/>
      <c r="PHB21" s="3507"/>
      <c r="PHC21" s="3507"/>
      <c r="PHD21" s="3507"/>
      <c r="PHE21" s="3507"/>
      <c r="PHF21" s="3507"/>
      <c r="PHG21" s="3507"/>
      <c r="PHH21" s="3507"/>
      <c r="PHI21" s="3507"/>
      <c r="PHJ21" s="3507"/>
      <c r="PHK21" s="3507"/>
      <c r="PHL21" s="3507"/>
      <c r="PHM21" s="3507"/>
      <c r="PHN21" s="3507"/>
      <c r="PHO21" s="3507"/>
      <c r="PHP21" s="3507"/>
      <c r="PHQ21" s="3507"/>
      <c r="PHR21" s="3507"/>
      <c r="PHS21" s="3507"/>
      <c r="PHT21" s="3507"/>
      <c r="PHU21" s="3507"/>
      <c r="PHV21" s="3507"/>
      <c r="PHW21" s="3507"/>
      <c r="PHX21" s="3507"/>
      <c r="PHY21" s="3507"/>
      <c r="PHZ21" s="3507"/>
      <c r="PIA21" s="3507"/>
      <c r="PIB21" s="3507"/>
      <c r="PIC21" s="3507"/>
      <c r="PID21" s="3507"/>
      <c r="PIE21" s="3507"/>
      <c r="PIF21" s="3507"/>
      <c r="PIG21" s="3507"/>
      <c r="PIH21" s="3507"/>
      <c r="PII21" s="3507"/>
      <c r="PIJ21" s="3507"/>
      <c r="PIK21" s="3507"/>
      <c r="PIL21" s="3507"/>
      <c r="PIM21" s="3507"/>
      <c r="PIN21" s="3507"/>
      <c r="PIO21" s="3507"/>
      <c r="PIP21" s="3507"/>
      <c r="PIQ21" s="3507"/>
      <c r="PIR21" s="3507"/>
      <c r="PIS21" s="3507"/>
      <c r="PIT21" s="3507"/>
      <c r="PIU21" s="3507"/>
      <c r="PIV21" s="3507"/>
      <c r="PIW21" s="3507"/>
      <c r="PIX21" s="3507"/>
      <c r="PIY21" s="3507"/>
      <c r="PIZ21" s="3507"/>
      <c r="PJA21" s="3507"/>
      <c r="PJB21" s="3507"/>
      <c r="PJC21" s="3507"/>
      <c r="PJD21" s="3507"/>
      <c r="PJE21" s="3507"/>
      <c r="PJF21" s="3507"/>
      <c r="PJG21" s="3507"/>
      <c r="PJH21" s="3507"/>
      <c r="PJI21" s="3507"/>
      <c r="PJJ21" s="3507"/>
      <c r="PJK21" s="3507"/>
      <c r="PJL21" s="3507"/>
      <c r="PJM21" s="3507"/>
      <c r="PJN21" s="3507"/>
      <c r="PJO21" s="3507"/>
      <c r="PJP21" s="3507"/>
      <c r="PJQ21" s="3507"/>
      <c r="PJR21" s="3507"/>
      <c r="PJS21" s="3507"/>
      <c r="PJT21" s="3507"/>
      <c r="PJU21" s="3507"/>
      <c r="PJV21" s="3507"/>
      <c r="PJW21" s="3507"/>
      <c r="PJX21" s="3507"/>
      <c r="PJY21" s="3507"/>
      <c r="PJZ21" s="3507"/>
      <c r="PKA21" s="3507"/>
      <c r="PKB21" s="3507"/>
      <c r="PKC21" s="3507"/>
      <c r="PKD21" s="3507"/>
      <c r="PKE21" s="3507"/>
      <c r="PKF21" s="3507"/>
      <c r="PKG21" s="3507"/>
      <c r="PKH21" s="3507"/>
      <c r="PKI21" s="3507"/>
      <c r="PKJ21" s="3507"/>
      <c r="PKK21" s="3507"/>
      <c r="PKL21" s="3507"/>
      <c r="PKM21" s="3507"/>
      <c r="PKN21" s="3507"/>
      <c r="PKO21" s="3507"/>
      <c r="PKP21" s="3507"/>
      <c r="PKQ21" s="3507"/>
      <c r="PKR21" s="3507"/>
      <c r="PKS21" s="3507"/>
      <c r="PKT21" s="3507"/>
      <c r="PKU21" s="3507"/>
      <c r="PKV21" s="3507"/>
      <c r="PKW21" s="3507"/>
      <c r="PKX21" s="3507"/>
      <c r="PKY21" s="3507"/>
      <c r="PKZ21" s="3507"/>
      <c r="PLA21" s="3507"/>
      <c r="PLB21" s="3507"/>
      <c r="PLC21" s="3507"/>
      <c r="PLD21" s="3507"/>
      <c r="PLE21" s="3507"/>
      <c r="PLF21" s="3507"/>
      <c r="PLG21" s="3507"/>
      <c r="PLH21" s="3507"/>
      <c r="PLI21" s="3507"/>
      <c r="PLJ21" s="3507"/>
      <c r="PLK21" s="3507"/>
      <c r="PLL21" s="3507"/>
      <c r="PLM21" s="3507"/>
      <c r="PLN21" s="3507"/>
      <c r="PLO21" s="3507"/>
      <c r="PLP21" s="3507"/>
      <c r="PLQ21" s="3507"/>
      <c r="PLR21" s="3507"/>
      <c r="PLS21" s="3507"/>
      <c r="PLT21" s="3507"/>
      <c r="PLU21" s="3507"/>
      <c r="PLV21" s="3507"/>
      <c r="PLW21" s="3507"/>
      <c r="PLX21" s="3507"/>
      <c r="PLY21" s="3507"/>
      <c r="PLZ21" s="3507"/>
      <c r="PMA21" s="3507"/>
      <c r="PMB21" s="3507"/>
      <c r="PMC21" s="3507"/>
      <c r="PMD21" s="3507"/>
      <c r="PME21" s="3507"/>
      <c r="PMF21" s="3507"/>
      <c r="PMG21" s="3507"/>
      <c r="PMH21" s="3507"/>
      <c r="PMI21" s="3507"/>
      <c r="PMJ21" s="3507"/>
      <c r="PMK21" s="3507"/>
      <c r="PML21" s="3507"/>
      <c r="PMM21" s="3507"/>
      <c r="PMN21" s="3507"/>
      <c r="PMO21" s="3507"/>
      <c r="PMP21" s="3507"/>
      <c r="PMQ21" s="3507"/>
      <c r="PMR21" s="3507"/>
      <c r="PMS21" s="3507"/>
      <c r="PMT21" s="3507"/>
      <c r="PMU21" s="3507"/>
      <c r="PMV21" s="3507"/>
      <c r="PMW21" s="3507"/>
      <c r="PMX21" s="3507"/>
      <c r="PMY21" s="3507"/>
      <c r="PMZ21" s="3507"/>
      <c r="PNA21" s="3507"/>
      <c r="PNB21" s="3507"/>
      <c r="PNC21" s="3507"/>
      <c r="PND21" s="3507"/>
      <c r="PNE21" s="3507"/>
      <c r="PNF21" s="3507"/>
      <c r="PNG21" s="3507"/>
      <c r="PNH21" s="3507"/>
      <c r="PNI21" s="3507"/>
      <c r="PNJ21" s="3507"/>
      <c r="PNK21" s="3507"/>
      <c r="PNL21" s="3507"/>
      <c r="PNM21" s="3507"/>
      <c r="PNN21" s="3507"/>
      <c r="PNO21" s="3507"/>
      <c r="PNP21" s="3507"/>
      <c r="PNQ21" s="3507"/>
      <c r="PNR21" s="3507"/>
      <c r="PNS21" s="3507"/>
      <c r="PNT21" s="3507"/>
      <c r="PNU21" s="3507"/>
      <c r="PNV21" s="3507"/>
      <c r="PNW21" s="3507"/>
      <c r="PNX21" s="3507"/>
      <c r="PNY21" s="3507"/>
      <c r="PNZ21" s="3507"/>
      <c r="POA21" s="3507"/>
      <c r="POB21" s="3507"/>
      <c r="POC21" s="3507"/>
      <c r="POD21" s="3507"/>
      <c r="POE21" s="3507"/>
      <c r="POF21" s="3507"/>
      <c r="POG21" s="3507"/>
      <c r="POH21" s="3507"/>
      <c r="POI21" s="3507"/>
      <c r="POJ21" s="3507"/>
      <c r="POK21" s="3507"/>
      <c r="POL21" s="3507"/>
      <c r="POM21" s="3507"/>
      <c r="PON21" s="3507"/>
      <c r="POO21" s="3507"/>
      <c r="POP21" s="3507"/>
      <c r="POQ21" s="3507"/>
      <c r="POR21" s="3507"/>
      <c r="POS21" s="3507"/>
      <c r="POT21" s="3507"/>
      <c r="POU21" s="3507"/>
      <c r="POV21" s="3507"/>
      <c r="POW21" s="3507"/>
      <c r="POX21" s="3507"/>
      <c r="POY21" s="3507"/>
      <c r="POZ21" s="3507"/>
      <c r="PPA21" s="3507"/>
      <c r="PPB21" s="3507"/>
      <c r="PPC21" s="3507"/>
      <c r="PPD21" s="3507"/>
      <c r="PPE21" s="3507"/>
      <c r="PPF21" s="3507"/>
      <c r="PPG21" s="3507"/>
      <c r="PPH21" s="3507"/>
      <c r="PPI21" s="3507"/>
      <c r="PPJ21" s="3507"/>
      <c r="PPK21" s="3507"/>
      <c r="PPL21" s="3507"/>
      <c r="PPM21" s="3507"/>
      <c r="PPN21" s="3507"/>
      <c r="PPO21" s="3507"/>
      <c r="PPP21" s="3507"/>
      <c r="PPQ21" s="3507"/>
      <c r="PPR21" s="3507"/>
      <c r="PPS21" s="3507"/>
      <c r="PPT21" s="3507"/>
      <c r="PPU21" s="3507"/>
      <c r="PPV21" s="3507"/>
      <c r="PPW21" s="3507"/>
      <c r="PPX21" s="3507"/>
      <c r="PPY21" s="3507"/>
      <c r="PPZ21" s="3507"/>
      <c r="PQA21" s="3507"/>
      <c r="PQB21" s="3507"/>
      <c r="PQC21" s="3507"/>
      <c r="PQD21" s="3507"/>
      <c r="PQE21" s="3507"/>
      <c r="PQF21" s="3507"/>
      <c r="PQG21" s="3507"/>
      <c r="PQH21" s="3507"/>
      <c r="PQI21" s="3507"/>
      <c r="PQJ21" s="3507"/>
      <c r="PQK21" s="3507"/>
      <c r="PQL21" s="3507"/>
      <c r="PQM21" s="3507"/>
      <c r="PQN21" s="3507"/>
      <c r="PQO21" s="3507"/>
      <c r="PQP21" s="3507"/>
      <c r="PQQ21" s="3507"/>
      <c r="PQR21" s="3507"/>
      <c r="PQS21" s="3507"/>
      <c r="PQT21" s="3507"/>
      <c r="PQU21" s="3507"/>
      <c r="PQV21" s="3507"/>
      <c r="PQW21" s="3507"/>
      <c r="PQX21" s="3507"/>
      <c r="PQY21" s="3507"/>
      <c r="PQZ21" s="3507"/>
      <c r="PRA21" s="3507"/>
      <c r="PRB21" s="3507"/>
      <c r="PRC21" s="3507"/>
      <c r="PRD21" s="3507"/>
      <c r="PRE21" s="3507"/>
      <c r="PRF21" s="3507"/>
      <c r="PRG21" s="3507"/>
      <c r="PRH21" s="3507"/>
      <c r="PRI21" s="3507"/>
      <c r="PRJ21" s="3507"/>
      <c r="PRK21" s="3507"/>
      <c r="PRL21" s="3507"/>
      <c r="PRM21" s="3507"/>
      <c r="PRN21" s="3507"/>
      <c r="PRO21" s="3507"/>
      <c r="PRP21" s="3507"/>
      <c r="PRQ21" s="3507"/>
      <c r="PRR21" s="3507"/>
      <c r="PRS21" s="3507"/>
      <c r="PRT21" s="3507"/>
      <c r="PRU21" s="3507"/>
      <c r="PRV21" s="3507"/>
      <c r="PRW21" s="3507"/>
      <c r="PRX21" s="3507"/>
      <c r="PRY21" s="3507"/>
      <c r="PRZ21" s="3507"/>
      <c r="PSA21" s="3507"/>
      <c r="PSB21" s="3507"/>
      <c r="PSC21" s="3507"/>
      <c r="PSD21" s="3507"/>
      <c r="PSE21" s="3507"/>
      <c r="PSF21" s="3507"/>
      <c r="PSG21" s="3507"/>
      <c r="PSH21" s="3507"/>
      <c r="PSI21" s="3507"/>
      <c r="PSJ21" s="3507"/>
      <c r="PSK21" s="3507"/>
      <c r="PSL21" s="3507"/>
      <c r="PSM21" s="3507"/>
      <c r="PSN21" s="3507"/>
      <c r="PSO21" s="3507"/>
      <c r="PSP21" s="3507"/>
      <c r="PSQ21" s="3507"/>
      <c r="PSR21" s="3507"/>
      <c r="PSS21" s="3507"/>
      <c r="PST21" s="3507"/>
      <c r="PSU21" s="3507"/>
      <c r="PSV21" s="3507"/>
      <c r="PSW21" s="3507"/>
      <c r="PSX21" s="3507"/>
      <c r="PSY21" s="3507"/>
      <c r="PSZ21" s="3507"/>
      <c r="PTA21" s="3507"/>
      <c r="PTB21" s="3507"/>
      <c r="PTC21" s="3507"/>
      <c r="PTD21" s="3507"/>
      <c r="PTE21" s="3507"/>
      <c r="PTF21" s="3507"/>
      <c r="PTG21" s="3507"/>
      <c r="PTH21" s="3507"/>
      <c r="PTI21" s="3507"/>
      <c r="PTJ21" s="3507"/>
      <c r="PTK21" s="3507"/>
      <c r="PTL21" s="3507"/>
      <c r="PTM21" s="3507"/>
      <c r="PTN21" s="3507"/>
      <c r="PTO21" s="3507"/>
      <c r="PTP21" s="3507"/>
      <c r="PTQ21" s="3507"/>
      <c r="PTR21" s="3507"/>
      <c r="PTS21" s="3507"/>
      <c r="PTT21" s="3507"/>
      <c r="PTU21" s="3507"/>
      <c r="PTV21" s="3507"/>
      <c r="PTW21" s="3507"/>
      <c r="PTX21" s="3507"/>
      <c r="PTY21" s="3507"/>
      <c r="PTZ21" s="3507"/>
      <c r="PUA21" s="3507"/>
      <c r="PUB21" s="3507"/>
      <c r="PUC21" s="3507"/>
      <c r="PUD21" s="3507"/>
      <c r="PUE21" s="3507"/>
      <c r="PUF21" s="3507"/>
      <c r="PUG21" s="3507"/>
      <c r="PUH21" s="3507"/>
      <c r="PUI21" s="3507"/>
      <c r="PUJ21" s="3507"/>
      <c r="PUK21" s="3507"/>
      <c r="PUL21" s="3507"/>
      <c r="PUM21" s="3507"/>
      <c r="PUN21" s="3507"/>
      <c r="PUO21" s="3507"/>
      <c r="PUP21" s="3507"/>
      <c r="PUQ21" s="3507"/>
      <c r="PUR21" s="3507"/>
      <c r="PUS21" s="3507"/>
      <c r="PUT21" s="3507"/>
      <c r="PUU21" s="3507"/>
      <c r="PUV21" s="3507"/>
      <c r="PUW21" s="3507"/>
      <c r="PUX21" s="3507"/>
      <c r="PUY21" s="3507"/>
      <c r="PUZ21" s="3507"/>
      <c r="PVA21" s="3507"/>
      <c r="PVB21" s="3507"/>
      <c r="PVC21" s="3507"/>
      <c r="PVD21" s="3507"/>
      <c r="PVE21" s="3507"/>
      <c r="PVF21" s="3507"/>
      <c r="PVG21" s="3507"/>
      <c r="PVH21" s="3507"/>
      <c r="PVI21" s="3507"/>
      <c r="PVJ21" s="3507"/>
      <c r="PVK21" s="3507"/>
      <c r="PVL21" s="3507"/>
      <c r="PVM21" s="3507"/>
      <c r="PVN21" s="3507"/>
      <c r="PVO21" s="3507"/>
      <c r="PVP21" s="3507"/>
      <c r="PVQ21" s="3507"/>
      <c r="PVR21" s="3507"/>
      <c r="PVS21" s="3507"/>
      <c r="PVT21" s="3507"/>
      <c r="PVU21" s="3507"/>
      <c r="PVV21" s="3507"/>
      <c r="PVW21" s="3507"/>
      <c r="PVX21" s="3507"/>
      <c r="PVY21" s="3507"/>
      <c r="PVZ21" s="3507"/>
      <c r="PWA21" s="3507"/>
      <c r="PWB21" s="3507"/>
      <c r="PWC21" s="3507"/>
      <c r="PWD21" s="3507"/>
      <c r="PWE21" s="3507"/>
      <c r="PWF21" s="3507"/>
      <c r="PWG21" s="3507"/>
      <c r="PWH21" s="3507"/>
      <c r="PWI21" s="3507"/>
      <c r="PWJ21" s="3507"/>
      <c r="PWK21" s="3507"/>
      <c r="PWL21" s="3507"/>
      <c r="PWM21" s="3507"/>
      <c r="PWN21" s="3507"/>
      <c r="PWO21" s="3507"/>
      <c r="PWP21" s="3507"/>
      <c r="PWQ21" s="3507"/>
      <c r="PWR21" s="3507"/>
      <c r="PWS21" s="3507"/>
      <c r="PWT21" s="3507"/>
      <c r="PWU21" s="3507"/>
      <c r="PWV21" s="3507"/>
      <c r="PWW21" s="3507"/>
      <c r="PWX21" s="3507"/>
      <c r="PWY21" s="3507"/>
      <c r="PWZ21" s="3507"/>
      <c r="PXA21" s="3507"/>
      <c r="PXB21" s="3507"/>
      <c r="PXC21" s="3507"/>
      <c r="PXD21" s="3507"/>
      <c r="PXE21" s="3507"/>
      <c r="PXF21" s="3507"/>
      <c r="PXG21" s="3507"/>
      <c r="PXH21" s="3507"/>
      <c r="PXI21" s="3507"/>
      <c r="PXJ21" s="3507"/>
      <c r="PXK21" s="3507"/>
      <c r="PXL21" s="3507"/>
      <c r="PXM21" s="3507"/>
      <c r="PXN21" s="3507"/>
      <c r="PXO21" s="3507"/>
      <c r="PXP21" s="3507"/>
      <c r="PXQ21" s="3507"/>
      <c r="PXR21" s="3507"/>
      <c r="PXS21" s="3507"/>
      <c r="PXT21" s="3507"/>
      <c r="PXU21" s="3507"/>
      <c r="PXV21" s="3507"/>
      <c r="PXW21" s="3507"/>
      <c r="PXX21" s="3507"/>
      <c r="PXY21" s="3507"/>
      <c r="PXZ21" s="3507"/>
      <c r="PYA21" s="3507"/>
      <c r="PYB21" s="3507"/>
      <c r="PYC21" s="3507"/>
      <c r="PYD21" s="3507"/>
      <c r="PYE21" s="3507"/>
      <c r="PYF21" s="3507"/>
      <c r="PYG21" s="3507"/>
      <c r="PYH21" s="3507"/>
      <c r="PYI21" s="3507"/>
      <c r="PYJ21" s="3507"/>
      <c r="PYK21" s="3507"/>
      <c r="PYL21" s="3507"/>
      <c r="PYM21" s="3507"/>
      <c r="PYN21" s="3507"/>
      <c r="PYO21" s="3507"/>
      <c r="PYP21" s="3507"/>
      <c r="PYQ21" s="3507"/>
      <c r="PYR21" s="3507"/>
      <c r="PYS21" s="3507"/>
      <c r="PYT21" s="3507"/>
      <c r="PYU21" s="3507"/>
      <c r="PYV21" s="3507"/>
      <c r="PYW21" s="3507"/>
      <c r="PYX21" s="3507"/>
      <c r="PYY21" s="3507"/>
      <c r="PYZ21" s="3507"/>
      <c r="PZA21" s="3507"/>
      <c r="PZB21" s="3507"/>
      <c r="PZC21" s="3507"/>
      <c r="PZD21" s="3507"/>
      <c r="PZE21" s="3507"/>
      <c r="PZF21" s="3507"/>
      <c r="PZG21" s="3507"/>
      <c r="PZH21" s="3507"/>
      <c r="PZI21" s="3507"/>
      <c r="PZJ21" s="3507"/>
      <c r="PZK21" s="3507"/>
      <c r="PZL21" s="3507"/>
      <c r="PZM21" s="3507"/>
      <c r="PZN21" s="3507"/>
      <c r="PZO21" s="3507"/>
      <c r="PZP21" s="3507"/>
      <c r="PZQ21" s="3507"/>
      <c r="PZR21" s="3507"/>
      <c r="PZS21" s="3507"/>
      <c r="PZT21" s="3507"/>
      <c r="PZU21" s="3507"/>
      <c r="PZV21" s="3507"/>
      <c r="PZW21" s="3507"/>
      <c r="PZX21" s="3507"/>
      <c r="PZY21" s="3507"/>
      <c r="PZZ21" s="3507"/>
      <c r="QAA21" s="3507"/>
      <c r="QAB21" s="3507"/>
      <c r="QAC21" s="3507"/>
      <c r="QAD21" s="3507"/>
      <c r="QAE21" s="3507"/>
      <c r="QAF21" s="3507"/>
      <c r="QAG21" s="3507"/>
      <c r="QAH21" s="3507"/>
      <c r="QAI21" s="3507"/>
      <c r="QAJ21" s="3507"/>
      <c r="QAK21" s="3507"/>
      <c r="QAL21" s="3507"/>
      <c r="QAM21" s="3507"/>
      <c r="QAN21" s="3507"/>
      <c r="QAO21" s="3507"/>
      <c r="QAP21" s="3507"/>
      <c r="QAQ21" s="3507"/>
      <c r="QAR21" s="3507"/>
      <c r="QAS21" s="3507"/>
      <c r="QAT21" s="3507"/>
      <c r="QAU21" s="3507"/>
      <c r="QAV21" s="3507"/>
      <c r="QAW21" s="3507"/>
      <c r="QAX21" s="3507"/>
      <c r="QAY21" s="3507"/>
      <c r="QAZ21" s="3507"/>
      <c r="QBA21" s="3507"/>
      <c r="QBB21" s="3507"/>
      <c r="QBC21" s="3507"/>
      <c r="QBD21" s="3507"/>
      <c r="QBE21" s="3507"/>
      <c r="QBF21" s="3507"/>
      <c r="QBG21" s="3507"/>
      <c r="QBH21" s="3507"/>
      <c r="QBI21" s="3507"/>
      <c r="QBJ21" s="3507"/>
      <c r="QBK21" s="3507"/>
      <c r="QBL21" s="3507"/>
      <c r="QBM21" s="3507"/>
      <c r="QBN21" s="3507"/>
      <c r="QBO21" s="3507"/>
      <c r="QBP21" s="3507"/>
      <c r="QBQ21" s="3507"/>
      <c r="QBR21" s="3507"/>
      <c r="QBS21" s="3507"/>
      <c r="QBT21" s="3507"/>
      <c r="QBU21" s="3507"/>
      <c r="QBV21" s="3507"/>
      <c r="QBW21" s="3507"/>
      <c r="QBX21" s="3507"/>
      <c r="QBY21" s="3507"/>
      <c r="QBZ21" s="3507"/>
      <c r="QCA21" s="3507"/>
      <c r="QCB21" s="3507"/>
      <c r="QCC21" s="3507"/>
      <c r="QCD21" s="3507"/>
      <c r="QCE21" s="3507"/>
      <c r="QCF21" s="3507"/>
      <c r="QCG21" s="3507"/>
      <c r="QCH21" s="3507"/>
      <c r="QCI21" s="3507"/>
      <c r="QCJ21" s="3507"/>
      <c r="QCK21" s="3507"/>
      <c r="QCL21" s="3507"/>
      <c r="QCM21" s="3507"/>
      <c r="QCN21" s="3507"/>
      <c r="QCO21" s="3507"/>
      <c r="QCP21" s="3507"/>
      <c r="QCQ21" s="3507"/>
      <c r="QCR21" s="3507"/>
      <c r="QCS21" s="3507"/>
      <c r="QCT21" s="3507"/>
      <c r="QCU21" s="3507"/>
      <c r="QCV21" s="3507"/>
      <c r="QCW21" s="3507"/>
      <c r="QCX21" s="3507"/>
      <c r="QCY21" s="3507"/>
      <c r="QCZ21" s="3507"/>
      <c r="QDA21" s="3507"/>
      <c r="QDB21" s="3507"/>
      <c r="QDC21" s="3507"/>
      <c r="QDD21" s="3507"/>
      <c r="QDE21" s="3507"/>
      <c r="QDF21" s="3507"/>
      <c r="QDG21" s="3507"/>
      <c r="QDH21" s="3507"/>
      <c r="QDI21" s="3507"/>
      <c r="QDJ21" s="3507"/>
      <c r="QDK21" s="3507"/>
      <c r="QDL21" s="3507"/>
      <c r="QDM21" s="3507"/>
      <c r="QDN21" s="3507"/>
      <c r="QDO21" s="3507"/>
      <c r="QDP21" s="3507"/>
      <c r="QDQ21" s="3507"/>
      <c r="QDR21" s="3507"/>
      <c r="QDS21" s="3507"/>
      <c r="QDT21" s="3507"/>
      <c r="QDU21" s="3507"/>
      <c r="QDV21" s="3507"/>
      <c r="QDW21" s="3507"/>
      <c r="QDX21" s="3507"/>
      <c r="QDY21" s="3507"/>
      <c r="QDZ21" s="3507"/>
      <c r="QEA21" s="3507"/>
      <c r="QEB21" s="3507"/>
      <c r="QEC21" s="3507"/>
      <c r="QED21" s="3507"/>
      <c r="QEE21" s="3507"/>
      <c r="QEF21" s="3507"/>
      <c r="QEG21" s="3507"/>
      <c r="QEH21" s="3507"/>
      <c r="QEI21" s="3507"/>
      <c r="QEJ21" s="3507"/>
      <c r="QEK21" s="3507"/>
      <c r="QEL21" s="3507"/>
      <c r="QEM21" s="3507"/>
      <c r="QEN21" s="3507"/>
      <c r="QEO21" s="3507"/>
      <c r="QEP21" s="3507"/>
      <c r="QEQ21" s="3507"/>
      <c r="QER21" s="3507"/>
      <c r="QES21" s="3507"/>
      <c r="QET21" s="3507"/>
      <c r="QEU21" s="3507"/>
      <c r="QEV21" s="3507"/>
      <c r="QEW21" s="3507"/>
      <c r="QEX21" s="3507"/>
      <c r="QEY21" s="3507"/>
      <c r="QEZ21" s="3507"/>
      <c r="QFA21" s="3507"/>
      <c r="QFB21" s="3507"/>
      <c r="QFC21" s="3507"/>
      <c r="QFD21" s="3507"/>
      <c r="QFE21" s="3507"/>
      <c r="QFF21" s="3507"/>
      <c r="QFG21" s="3507"/>
      <c r="QFH21" s="3507"/>
      <c r="QFI21" s="3507"/>
      <c r="QFJ21" s="3507"/>
      <c r="QFK21" s="3507"/>
      <c r="QFL21" s="3507"/>
      <c r="QFM21" s="3507"/>
      <c r="QFN21" s="3507"/>
      <c r="QFO21" s="3507"/>
      <c r="QFP21" s="3507"/>
      <c r="QFQ21" s="3507"/>
      <c r="QFR21" s="3507"/>
      <c r="QFS21" s="3507"/>
      <c r="QFT21" s="3507"/>
      <c r="QFU21" s="3507"/>
      <c r="QFV21" s="3507"/>
      <c r="QFW21" s="3507"/>
      <c r="QFX21" s="3507"/>
      <c r="QFY21" s="3507"/>
      <c r="QFZ21" s="3507"/>
      <c r="QGA21" s="3507"/>
      <c r="QGB21" s="3507"/>
      <c r="QGC21" s="3507"/>
      <c r="QGD21" s="3507"/>
      <c r="QGE21" s="3507"/>
      <c r="QGF21" s="3507"/>
      <c r="QGG21" s="3507"/>
      <c r="QGH21" s="3507"/>
      <c r="QGI21" s="3507"/>
      <c r="QGJ21" s="3507"/>
      <c r="QGK21" s="3507"/>
      <c r="QGL21" s="3507"/>
      <c r="QGM21" s="3507"/>
      <c r="QGN21" s="3507"/>
      <c r="QGO21" s="3507"/>
      <c r="QGP21" s="3507"/>
      <c r="QGQ21" s="3507"/>
      <c r="QGR21" s="3507"/>
      <c r="QGS21" s="3507"/>
      <c r="QGT21" s="3507"/>
      <c r="QGU21" s="3507"/>
      <c r="QGV21" s="3507"/>
      <c r="QGW21" s="3507"/>
      <c r="QGX21" s="3507"/>
      <c r="QGY21" s="3507"/>
      <c r="QGZ21" s="3507"/>
      <c r="QHA21" s="3507"/>
      <c r="QHB21" s="3507"/>
      <c r="QHC21" s="3507"/>
      <c r="QHD21" s="3507"/>
      <c r="QHE21" s="3507"/>
      <c r="QHF21" s="3507"/>
      <c r="QHG21" s="3507"/>
      <c r="QHH21" s="3507"/>
      <c r="QHI21" s="3507"/>
      <c r="QHJ21" s="3507"/>
      <c r="QHK21" s="3507"/>
      <c r="QHL21" s="3507"/>
      <c r="QHM21" s="3507"/>
      <c r="QHN21" s="3507"/>
      <c r="QHO21" s="3507"/>
      <c r="QHP21" s="3507"/>
      <c r="QHQ21" s="3507"/>
      <c r="QHR21" s="3507"/>
      <c r="QHS21" s="3507"/>
      <c r="QHT21" s="3507"/>
      <c r="QHU21" s="3507"/>
      <c r="QHV21" s="3507"/>
      <c r="QHW21" s="3507"/>
      <c r="QHX21" s="3507"/>
      <c r="QHY21" s="3507"/>
      <c r="QHZ21" s="3507"/>
      <c r="QIA21" s="3507"/>
      <c r="QIB21" s="3507"/>
      <c r="QIC21" s="3507"/>
      <c r="QID21" s="3507"/>
      <c r="QIE21" s="3507"/>
      <c r="QIF21" s="3507"/>
      <c r="QIG21" s="3507"/>
      <c r="QIH21" s="3507"/>
      <c r="QII21" s="3507"/>
      <c r="QIJ21" s="3507"/>
      <c r="QIK21" s="3507"/>
      <c r="QIL21" s="3507"/>
      <c r="QIM21" s="3507"/>
      <c r="QIN21" s="3507"/>
      <c r="QIO21" s="3507"/>
      <c r="QIP21" s="3507"/>
      <c r="QIQ21" s="3507"/>
      <c r="QIR21" s="3507"/>
      <c r="QIS21" s="3507"/>
      <c r="QIT21" s="3507"/>
      <c r="QIU21" s="3507"/>
      <c r="QIV21" s="3507"/>
      <c r="QIW21" s="3507"/>
      <c r="QIX21" s="3507"/>
      <c r="QIY21" s="3507"/>
      <c r="QIZ21" s="3507"/>
      <c r="QJA21" s="3507"/>
      <c r="QJB21" s="3507"/>
      <c r="QJC21" s="3507"/>
      <c r="QJD21" s="3507"/>
      <c r="QJE21" s="3507"/>
      <c r="QJF21" s="3507"/>
      <c r="QJG21" s="3507"/>
      <c r="QJH21" s="3507"/>
      <c r="QJI21" s="3507"/>
      <c r="QJJ21" s="3507"/>
      <c r="QJK21" s="3507"/>
      <c r="QJL21" s="3507"/>
      <c r="QJM21" s="3507"/>
      <c r="QJN21" s="3507"/>
      <c r="QJO21" s="3507"/>
      <c r="QJP21" s="3507"/>
      <c r="QJQ21" s="3507"/>
      <c r="QJR21" s="3507"/>
      <c r="QJS21" s="3507"/>
      <c r="QJT21" s="3507"/>
      <c r="QJU21" s="3507"/>
      <c r="QJV21" s="3507"/>
      <c r="QJW21" s="3507"/>
      <c r="QJX21" s="3507"/>
      <c r="QJY21" s="3507"/>
      <c r="QJZ21" s="3507"/>
      <c r="QKA21" s="3507"/>
      <c r="QKB21" s="3507"/>
      <c r="QKC21" s="3507"/>
      <c r="QKD21" s="3507"/>
      <c r="QKE21" s="3507"/>
      <c r="QKF21" s="3507"/>
      <c r="QKG21" s="3507"/>
      <c r="QKH21" s="3507"/>
      <c r="QKI21" s="3507"/>
      <c r="QKJ21" s="3507"/>
      <c r="QKK21" s="3507"/>
      <c r="QKL21" s="3507"/>
      <c r="QKM21" s="3507"/>
      <c r="QKN21" s="3507"/>
      <c r="QKO21" s="3507"/>
      <c r="QKP21" s="3507"/>
      <c r="QKQ21" s="3507"/>
      <c r="QKR21" s="3507"/>
      <c r="QKS21" s="3507"/>
      <c r="QKT21" s="3507"/>
      <c r="QKU21" s="3507"/>
      <c r="QKV21" s="3507"/>
      <c r="QKW21" s="3507"/>
      <c r="QKX21" s="3507"/>
      <c r="QKY21" s="3507"/>
      <c r="QKZ21" s="3507"/>
      <c r="QLA21" s="3507"/>
      <c r="QLB21" s="3507"/>
      <c r="QLC21" s="3507"/>
      <c r="QLD21" s="3507"/>
      <c r="QLE21" s="3507"/>
      <c r="QLF21" s="3507"/>
      <c r="QLG21" s="3507"/>
      <c r="QLH21" s="3507"/>
      <c r="QLI21" s="3507"/>
      <c r="QLJ21" s="3507"/>
      <c r="QLK21" s="3507"/>
      <c r="QLL21" s="3507"/>
      <c r="QLM21" s="3507"/>
      <c r="QLN21" s="3507"/>
      <c r="QLO21" s="3507"/>
      <c r="QLP21" s="3507"/>
      <c r="QLQ21" s="3507"/>
      <c r="QLR21" s="3507"/>
      <c r="QLS21" s="3507"/>
      <c r="QLT21" s="3507"/>
      <c r="QLU21" s="3507"/>
      <c r="QLV21" s="3507"/>
      <c r="QLW21" s="3507"/>
      <c r="QLX21" s="3507"/>
      <c r="QLY21" s="3507"/>
      <c r="QLZ21" s="3507"/>
      <c r="QMA21" s="3507"/>
      <c r="QMB21" s="3507"/>
      <c r="QMC21" s="3507"/>
      <c r="QMD21" s="3507"/>
      <c r="QME21" s="3507"/>
      <c r="QMF21" s="3507"/>
      <c r="QMG21" s="3507"/>
      <c r="QMH21" s="3507"/>
      <c r="QMI21" s="3507"/>
      <c r="QMJ21" s="3507"/>
      <c r="QMK21" s="3507"/>
      <c r="QML21" s="3507"/>
      <c r="QMM21" s="3507"/>
      <c r="QMN21" s="3507"/>
      <c r="QMO21" s="3507"/>
      <c r="QMP21" s="3507"/>
      <c r="QMQ21" s="3507"/>
      <c r="QMR21" s="3507"/>
      <c r="QMS21" s="3507"/>
      <c r="QMT21" s="3507"/>
      <c r="QMU21" s="3507"/>
      <c r="QMV21" s="3507"/>
      <c r="QMW21" s="3507"/>
      <c r="QMX21" s="3507"/>
      <c r="QMY21" s="3507"/>
      <c r="QMZ21" s="3507"/>
      <c r="QNA21" s="3507"/>
      <c r="QNB21" s="3507"/>
      <c r="QNC21" s="3507"/>
      <c r="QND21" s="3507"/>
      <c r="QNE21" s="3507"/>
      <c r="QNF21" s="3507"/>
      <c r="QNG21" s="3507"/>
      <c r="QNH21" s="3507"/>
      <c r="QNI21" s="3507"/>
      <c r="QNJ21" s="3507"/>
      <c r="QNK21" s="3507"/>
      <c r="QNL21" s="3507"/>
      <c r="QNM21" s="3507"/>
      <c r="QNN21" s="3507"/>
      <c r="QNO21" s="3507"/>
      <c r="QNP21" s="3507"/>
      <c r="QNQ21" s="3507"/>
      <c r="QNR21" s="3507"/>
      <c r="QNS21" s="3507"/>
      <c r="QNT21" s="3507"/>
      <c r="QNU21" s="3507"/>
      <c r="QNV21" s="3507"/>
      <c r="QNW21" s="3507"/>
      <c r="QNX21" s="3507"/>
      <c r="QNY21" s="3507"/>
      <c r="QNZ21" s="3507"/>
      <c r="QOA21" s="3507"/>
      <c r="QOB21" s="3507"/>
      <c r="QOC21" s="3507"/>
      <c r="QOD21" s="3507"/>
      <c r="QOE21" s="3507"/>
      <c r="QOF21" s="3507"/>
      <c r="QOG21" s="3507"/>
      <c r="QOH21" s="3507"/>
      <c r="QOI21" s="3507"/>
      <c r="QOJ21" s="3507"/>
      <c r="QOK21" s="3507"/>
      <c r="QOL21" s="3507"/>
      <c r="QOM21" s="3507"/>
      <c r="QON21" s="3507"/>
      <c r="QOO21" s="3507"/>
      <c r="QOP21" s="3507"/>
      <c r="QOQ21" s="3507"/>
      <c r="QOR21" s="3507"/>
      <c r="QOS21" s="3507"/>
      <c r="QOT21" s="3507"/>
      <c r="QOU21" s="3507"/>
      <c r="QOV21" s="3507"/>
      <c r="QOW21" s="3507"/>
      <c r="QOX21" s="3507"/>
      <c r="QOY21" s="3507"/>
      <c r="QOZ21" s="3507"/>
      <c r="QPA21" s="3507"/>
      <c r="QPB21" s="3507"/>
      <c r="QPC21" s="3507"/>
      <c r="QPD21" s="3507"/>
      <c r="QPE21" s="3507"/>
      <c r="QPF21" s="3507"/>
      <c r="QPG21" s="3507"/>
      <c r="QPH21" s="3507"/>
      <c r="QPI21" s="3507"/>
      <c r="QPJ21" s="3507"/>
      <c r="QPK21" s="3507"/>
      <c r="QPL21" s="3507"/>
      <c r="QPM21" s="3507"/>
      <c r="QPN21" s="3507"/>
      <c r="QPO21" s="3507"/>
      <c r="QPP21" s="3507"/>
      <c r="QPQ21" s="3507"/>
      <c r="QPR21" s="3507"/>
      <c r="QPS21" s="3507"/>
      <c r="QPT21" s="3507"/>
      <c r="QPU21" s="3507"/>
      <c r="QPV21" s="3507"/>
      <c r="QPW21" s="3507"/>
      <c r="QPX21" s="3507"/>
      <c r="QPY21" s="3507"/>
      <c r="QPZ21" s="3507"/>
      <c r="QQA21" s="3507"/>
      <c r="QQB21" s="3507"/>
      <c r="QQC21" s="3507"/>
      <c r="QQD21" s="3507"/>
      <c r="QQE21" s="3507"/>
      <c r="QQF21" s="3507"/>
      <c r="QQG21" s="3507"/>
      <c r="QQH21" s="3507"/>
      <c r="QQI21" s="3507"/>
      <c r="QQJ21" s="3507"/>
      <c r="QQK21" s="3507"/>
      <c r="QQL21" s="3507"/>
      <c r="QQM21" s="3507"/>
      <c r="QQN21" s="3507"/>
      <c r="QQO21" s="3507"/>
      <c r="QQP21" s="3507"/>
      <c r="QQQ21" s="3507"/>
      <c r="QQR21" s="3507"/>
      <c r="QQS21" s="3507"/>
      <c r="QQT21" s="3507"/>
      <c r="QQU21" s="3507"/>
      <c r="QQV21" s="3507"/>
      <c r="QQW21" s="3507"/>
      <c r="QQX21" s="3507"/>
      <c r="QQY21" s="3507"/>
      <c r="QQZ21" s="3507"/>
      <c r="QRA21" s="3507"/>
      <c r="QRB21" s="3507"/>
      <c r="QRC21" s="3507"/>
      <c r="QRD21" s="3507"/>
      <c r="QRE21" s="3507"/>
      <c r="QRF21" s="3507"/>
      <c r="QRG21" s="3507"/>
      <c r="QRH21" s="3507"/>
      <c r="QRI21" s="3507"/>
      <c r="QRJ21" s="3507"/>
      <c r="QRK21" s="3507"/>
      <c r="QRL21" s="3507"/>
      <c r="QRM21" s="3507"/>
      <c r="QRN21" s="3507"/>
      <c r="QRO21" s="3507"/>
      <c r="QRP21" s="3507"/>
      <c r="QRQ21" s="3507"/>
      <c r="QRR21" s="3507"/>
      <c r="QRS21" s="3507"/>
      <c r="QRT21" s="3507"/>
      <c r="QRU21" s="3507"/>
      <c r="QRV21" s="3507"/>
      <c r="QRW21" s="3507"/>
      <c r="QRX21" s="3507"/>
      <c r="QRY21" s="3507"/>
      <c r="QRZ21" s="3507"/>
      <c r="QSA21" s="3507"/>
      <c r="QSB21" s="3507"/>
      <c r="QSC21" s="3507"/>
      <c r="QSD21" s="3507"/>
      <c r="QSE21" s="3507"/>
      <c r="QSF21" s="3507"/>
      <c r="QSG21" s="3507"/>
      <c r="QSH21" s="3507"/>
      <c r="QSI21" s="3507"/>
      <c r="QSJ21" s="3507"/>
      <c r="QSK21" s="3507"/>
      <c r="QSL21" s="3507"/>
      <c r="QSM21" s="3507"/>
      <c r="QSN21" s="3507"/>
      <c r="QSO21" s="3507"/>
      <c r="QSP21" s="3507"/>
      <c r="QSQ21" s="3507"/>
      <c r="QSR21" s="3507"/>
      <c r="QSS21" s="3507"/>
      <c r="QST21" s="3507"/>
      <c r="QSU21" s="3507"/>
      <c r="QSV21" s="3507"/>
      <c r="QSW21" s="3507"/>
      <c r="QSX21" s="3507"/>
      <c r="QSY21" s="3507"/>
      <c r="QSZ21" s="3507"/>
      <c r="QTA21" s="3507"/>
      <c r="QTB21" s="3507"/>
      <c r="QTC21" s="3507"/>
      <c r="QTD21" s="3507"/>
      <c r="QTE21" s="3507"/>
      <c r="QTF21" s="3507"/>
      <c r="QTG21" s="3507"/>
      <c r="QTH21" s="3507"/>
      <c r="QTI21" s="3507"/>
      <c r="QTJ21" s="3507"/>
      <c r="QTK21" s="3507"/>
      <c r="QTL21" s="3507"/>
      <c r="QTM21" s="3507"/>
      <c r="QTN21" s="3507"/>
      <c r="QTO21" s="3507"/>
      <c r="QTP21" s="3507"/>
      <c r="QTQ21" s="3507"/>
      <c r="QTR21" s="3507"/>
      <c r="QTS21" s="3507"/>
      <c r="QTT21" s="3507"/>
      <c r="QTU21" s="3507"/>
      <c r="QTV21" s="3507"/>
      <c r="QTW21" s="3507"/>
      <c r="QTX21" s="3507"/>
      <c r="QTY21" s="3507"/>
      <c r="QTZ21" s="3507"/>
      <c r="QUA21" s="3507"/>
      <c r="QUB21" s="3507"/>
      <c r="QUC21" s="3507"/>
      <c r="QUD21" s="3507"/>
      <c r="QUE21" s="3507"/>
      <c r="QUF21" s="3507"/>
      <c r="QUG21" s="3507"/>
      <c r="QUH21" s="3507"/>
      <c r="QUI21" s="3507"/>
      <c r="QUJ21" s="3507"/>
      <c r="QUK21" s="3507"/>
      <c r="QUL21" s="3507"/>
      <c r="QUM21" s="3507"/>
      <c r="QUN21" s="3507"/>
      <c r="QUO21" s="3507"/>
      <c r="QUP21" s="3507"/>
      <c r="QUQ21" s="3507"/>
      <c r="QUR21" s="3507"/>
      <c r="QUS21" s="3507"/>
      <c r="QUT21" s="3507"/>
      <c r="QUU21" s="3507"/>
      <c r="QUV21" s="3507"/>
      <c r="QUW21" s="3507"/>
      <c r="QUX21" s="3507"/>
      <c r="QUY21" s="3507"/>
      <c r="QUZ21" s="3507"/>
      <c r="QVA21" s="3507"/>
      <c r="QVB21" s="3507"/>
      <c r="QVC21" s="3507"/>
      <c r="QVD21" s="3507"/>
      <c r="QVE21" s="3507"/>
      <c r="QVF21" s="3507"/>
      <c r="QVG21" s="3507"/>
      <c r="QVH21" s="3507"/>
      <c r="QVI21" s="3507"/>
      <c r="QVJ21" s="3507"/>
      <c r="QVK21" s="3507"/>
      <c r="QVL21" s="3507"/>
      <c r="QVM21" s="3507"/>
      <c r="QVN21" s="3507"/>
      <c r="QVO21" s="3507"/>
      <c r="QVP21" s="3507"/>
      <c r="QVQ21" s="3507"/>
      <c r="QVR21" s="3507"/>
      <c r="QVS21" s="3507"/>
      <c r="QVT21" s="3507"/>
      <c r="QVU21" s="3507"/>
      <c r="QVV21" s="3507"/>
      <c r="QVW21" s="3507"/>
      <c r="QVX21" s="3507"/>
      <c r="QVY21" s="3507"/>
      <c r="QVZ21" s="3507"/>
      <c r="QWA21" s="3507"/>
      <c r="QWB21" s="3507"/>
      <c r="QWC21" s="3507"/>
      <c r="QWD21" s="3507"/>
      <c r="QWE21" s="3507"/>
      <c r="QWF21" s="3507"/>
      <c r="QWG21" s="3507"/>
      <c r="QWH21" s="3507"/>
      <c r="QWI21" s="3507"/>
      <c r="QWJ21" s="3507"/>
      <c r="QWK21" s="3507"/>
      <c r="QWL21" s="3507"/>
      <c r="QWM21" s="3507"/>
      <c r="QWN21" s="3507"/>
      <c r="QWO21" s="3507"/>
      <c r="QWP21" s="3507"/>
      <c r="QWQ21" s="3507"/>
      <c r="QWR21" s="3507"/>
      <c r="QWS21" s="3507"/>
      <c r="QWT21" s="3507"/>
      <c r="QWU21" s="3507"/>
      <c r="QWV21" s="3507"/>
      <c r="QWW21" s="3507"/>
      <c r="QWX21" s="3507"/>
      <c r="QWY21" s="3507"/>
      <c r="QWZ21" s="3507"/>
      <c r="QXA21" s="3507"/>
      <c r="QXB21" s="3507"/>
      <c r="QXC21" s="3507"/>
      <c r="QXD21" s="3507"/>
      <c r="QXE21" s="3507"/>
      <c r="QXF21" s="3507"/>
      <c r="QXG21" s="3507"/>
      <c r="QXH21" s="3507"/>
      <c r="QXI21" s="3507"/>
      <c r="QXJ21" s="3507"/>
      <c r="QXK21" s="3507"/>
      <c r="QXL21" s="3507"/>
      <c r="QXM21" s="3507"/>
      <c r="QXN21" s="3507"/>
      <c r="QXO21" s="3507"/>
      <c r="QXP21" s="3507"/>
      <c r="QXQ21" s="3507"/>
      <c r="QXR21" s="3507"/>
      <c r="QXS21" s="3507"/>
      <c r="QXT21" s="3507"/>
      <c r="QXU21" s="3507"/>
      <c r="QXV21" s="3507"/>
      <c r="QXW21" s="3507"/>
      <c r="QXX21" s="3507"/>
      <c r="QXY21" s="3507"/>
      <c r="QXZ21" s="3507"/>
      <c r="QYA21" s="3507"/>
      <c r="QYB21" s="3507"/>
      <c r="QYC21" s="3507"/>
      <c r="QYD21" s="3507"/>
      <c r="QYE21" s="3507"/>
      <c r="QYF21" s="3507"/>
      <c r="QYG21" s="3507"/>
      <c r="QYH21" s="3507"/>
      <c r="QYI21" s="3507"/>
      <c r="QYJ21" s="3507"/>
      <c r="QYK21" s="3507"/>
      <c r="QYL21" s="3507"/>
      <c r="QYM21" s="3507"/>
      <c r="QYN21" s="3507"/>
      <c r="QYO21" s="3507"/>
      <c r="QYP21" s="3507"/>
      <c r="QYQ21" s="3507"/>
      <c r="QYR21" s="3507"/>
      <c r="QYS21" s="3507"/>
      <c r="QYT21" s="3507"/>
      <c r="QYU21" s="3507"/>
      <c r="QYV21" s="3507"/>
      <c r="QYW21" s="3507"/>
      <c r="QYX21" s="3507"/>
      <c r="QYY21" s="3507"/>
      <c r="QYZ21" s="3507"/>
      <c r="QZA21" s="3507"/>
      <c r="QZB21" s="3507"/>
      <c r="QZC21" s="3507"/>
      <c r="QZD21" s="3507"/>
      <c r="QZE21" s="3507"/>
      <c r="QZF21" s="3507"/>
      <c r="QZG21" s="3507"/>
      <c r="QZH21" s="3507"/>
      <c r="QZI21" s="3507"/>
      <c r="QZJ21" s="3507"/>
      <c r="QZK21" s="3507"/>
      <c r="QZL21" s="3507"/>
      <c r="QZM21" s="3507"/>
      <c r="QZN21" s="3507"/>
      <c r="QZO21" s="3507"/>
      <c r="QZP21" s="3507"/>
      <c r="QZQ21" s="3507"/>
      <c r="QZR21" s="3507"/>
      <c r="QZS21" s="3507"/>
      <c r="QZT21" s="3507"/>
      <c r="QZU21" s="3507"/>
      <c r="QZV21" s="3507"/>
      <c r="QZW21" s="3507"/>
      <c r="QZX21" s="3507"/>
      <c r="QZY21" s="3507"/>
      <c r="QZZ21" s="3507"/>
      <c r="RAA21" s="3507"/>
      <c r="RAB21" s="3507"/>
      <c r="RAC21" s="3507"/>
      <c r="RAD21" s="3507"/>
      <c r="RAE21" s="3507"/>
      <c r="RAF21" s="3507"/>
      <c r="RAG21" s="3507"/>
      <c r="RAH21" s="3507"/>
      <c r="RAI21" s="3507"/>
      <c r="RAJ21" s="3507"/>
      <c r="RAK21" s="3507"/>
      <c r="RAL21" s="3507"/>
      <c r="RAM21" s="3507"/>
      <c r="RAN21" s="3507"/>
      <c r="RAO21" s="3507"/>
      <c r="RAP21" s="3507"/>
      <c r="RAQ21" s="3507"/>
      <c r="RAR21" s="3507"/>
      <c r="RAS21" s="3507"/>
      <c r="RAT21" s="3507"/>
      <c r="RAU21" s="3507"/>
      <c r="RAV21" s="3507"/>
      <c r="RAW21" s="3507"/>
      <c r="RAX21" s="3507"/>
      <c r="RAY21" s="3507"/>
      <c r="RAZ21" s="3507"/>
      <c r="RBA21" s="3507"/>
      <c r="RBB21" s="3507"/>
      <c r="RBC21" s="3507"/>
      <c r="RBD21" s="3507"/>
      <c r="RBE21" s="3507"/>
      <c r="RBF21" s="3507"/>
      <c r="RBG21" s="3507"/>
      <c r="RBH21" s="3507"/>
      <c r="RBI21" s="3507"/>
      <c r="RBJ21" s="3507"/>
      <c r="RBK21" s="3507"/>
      <c r="RBL21" s="3507"/>
      <c r="RBM21" s="3507"/>
      <c r="RBN21" s="3507"/>
      <c r="RBO21" s="3507"/>
      <c r="RBP21" s="3507"/>
      <c r="RBQ21" s="3507"/>
      <c r="RBR21" s="3507"/>
      <c r="RBS21" s="3507"/>
      <c r="RBT21" s="3507"/>
      <c r="RBU21" s="3507"/>
      <c r="RBV21" s="3507"/>
      <c r="RBW21" s="3507"/>
      <c r="RBX21" s="3507"/>
      <c r="RBY21" s="3507"/>
      <c r="RBZ21" s="3507"/>
      <c r="RCA21" s="3507"/>
      <c r="RCB21" s="3507"/>
      <c r="RCC21" s="3507"/>
      <c r="RCD21" s="3507"/>
      <c r="RCE21" s="3507"/>
      <c r="RCF21" s="3507"/>
      <c r="RCG21" s="3507"/>
      <c r="RCH21" s="3507"/>
      <c r="RCI21" s="3507"/>
      <c r="RCJ21" s="3507"/>
      <c r="RCK21" s="3507"/>
      <c r="RCL21" s="3507"/>
      <c r="RCM21" s="3507"/>
      <c r="RCN21" s="3507"/>
      <c r="RCO21" s="3507"/>
      <c r="RCP21" s="3507"/>
      <c r="RCQ21" s="3507"/>
      <c r="RCR21" s="3507"/>
      <c r="RCS21" s="3507"/>
      <c r="RCT21" s="3507"/>
      <c r="RCU21" s="3507"/>
      <c r="RCV21" s="3507"/>
      <c r="RCW21" s="3507"/>
      <c r="RCX21" s="3507"/>
      <c r="RCY21" s="3507"/>
      <c r="RCZ21" s="3507"/>
      <c r="RDA21" s="3507"/>
      <c r="RDB21" s="3507"/>
      <c r="RDC21" s="3507"/>
      <c r="RDD21" s="3507"/>
      <c r="RDE21" s="3507"/>
      <c r="RDF21" s="3507"/>
      <c r="RDG21" s="3507"/>
      <c r="RDH21" s="3507"/>
      <c r="RDI21" s="3507"/>
      <c r="RDJ21" s="3507"/>
      <c r="RDK21" s="3507"/>
      <c r="RDL21" s="3507"/>
      <c r="RDM21" s="3507"/>
      <c r="RDN21" s="3507"/>
      <c r="RDO21" s="3507"/>
      <c r="RDP21" s="3507"/>
      <c r="RDQ21" s="3507"/>
      <c r="RDR21" s="3507"/>
      <c r="RDS21" s="3507"/>
      <c r="RDT21" s="3507"/>
      <c r="RDU21" s="3507"/>
      <c r="RDV21" s="3507"/>
      <c r="RDW21" s="3507"/>
      <c r="RDX21" s="3507"/>
      <c r="RDY21" s="3507"/>
      <c r="RDZ21" s="3507"/>
      <c r="REA21" s="3507"/>
      <c r="REB21" s="3507"/>
      <c r="REC21" s="3507"/>
      <c r="RED21" s="3507"/>
      <c r="REE21" s="3507"/>
      <c r="REF21" s="3507"/>
      <c r="REG21" s="3507"/>
      <c r="REH21" s="3507"/>
      <c r="REI21" s="3507"/>
      <c r="REJ21" s="3507"/>
      <c r="REK21" s="3507"/>
      <c r="REL21" s="3507"/>
      <c r="REM21" s="3507"/>
      <c r="REN21" s="3507"/>
      <c r="REO21" s="3507"/>
      <c r="REP21" s="3507"/>
      <c r="REQ21" s="3507"/>
      <c r="RER21" s="3507"/>
      <c r="RES21" s="3507"/>
      <c r="RET21" s="3507"/>
      <c r="REU21" s="3507"/>
      <c r="REV21" s="3507"/>
      <c r="REW21" s="3507"/>
      <c r="REX21" s="3507"/>
      <c r="REY21" s="3507"/>
      <c r="REZ21" s="3507"/>
      <c r="RFA21" s="3507"/>
      <c r="RFB21" s="3507"/>
      <c r="RFC21" s="3507"/>
      <c r="RFD21" s="3507"/>
      <c r="RFE21" s="3507"/>
      <c r="RFF21" s="3507"/>
      <c r="RFG21" s="3507"/>
      <c r="RFH21" s="3507"/>
      <c r="RFI21" s="3507"/>
      <c r="RFJ21" s="3507"/>
      <c r="RFK21" s="3507"/>
      <c r="RFL21" s="3507"/>
      <c r="RFM21" s="3507"/>
      <c r="RFN21" s="3507"/>
      <c r="RFO21" s="3507"/>
      <c r="RFP21" s="3507"/>
      <c r="RFQ21" s="3507"/>
      <c r="RFR21" s="3507"/>
      <c r="RFS21" s="3507"/>
      <c r="RFT21" s="3507"/>
      <c r="RFU21" s="3507"/>
      <c r="RFV21" s="3507"/>
      <c r="RFW21" s="3507"/>
      <c r="RFX21" s="3507"/>
      <c r="RFY21" s="3507"/>
      <c r="RFZ21" s="3507"/>
      <c r="RGA21" s="3507"/>
      <c r="RGB21" s="3507"/>
      <c r="RGC21" s="3507"/>
      <c r="RGD21" s="3507"/>
      <c r="RGE21" s="3507"/>
      <c r="RGF21" s="3507"/>
      <c r="RGG21" s="3507"/>
      <c r="RGH21" s="3507"/>
      <c r="RGI21" s="3507"/>
      <c r="RGJ21" s="3507"/>
      <c r="RGK21" s="3507"/>
      <c r="RGL21" s="3507"/>
      <c r="RGM21" s="3507"/>
      <c r="RGN21" s="3507"/>
      <c r="RGO21" s="3507"/>
      <c r="RGP21" s="3507"/>
      <c r="RGQ21" s="3507"/>
      <c r="RGR21" s="3507"/>
      <c r="RGS21" s="3507"/>
      <c r="RGT21" s="3507"/>
      <c r="RGU21" s="3507"/>
      <c r="RGV21" s="3507"/>
      <c r="RGW21" s="3507"/>
      <c r="RGX21" s="3507"/>
      <c r="RGY21" s="3507"/>
      <c r="RGZ21" s="3507"/>
      <c r="RHA21" s="3507"/>
      <c r="RHB21" s="3507"/>
      <c r="RHC21" s="3507"/>
      <c r="RHD21" s="3507"/>
      <c r="RHE21" s="3507"/>
      <c r="RHF21" s="3507"/>
      <c r="RHG21" s="3507"/>
      <c r="RHH21" s="3507"/>
      <c r="RHI21" s="3507"/>
      <c r="RHJ21" s="3507"/>
      <c r="RHK21" s="3507"/>
      <c r="RHL21" s="3507"/>
      <c r="RHM21" s="3507"/>
      <c r="RHN21" s="3507"/>
      <c r="RHO21" s="3507"/>
      <c r="RHP21" s="3507"/>
      <c r="RHQ21" s="3507"/>
      <c r="RHR21" s="3507"/>
      <c r="RHS21" s="3507"/>
      <c r="RHT21" s="3507"/>
      <c r="RHU21" s="3507"/>
      <c r="RHV21" s="3507"/>
      <c r="RHW21" s="3507"/>
      <c r="RHX21" s="3507"/>
      <c r="RHY21" s="3507"/>
      <c r="RHZ21" s="3507"/>
      <c r="RIA21" s="3507"/>
      <c r="RIB21" s="3507"/>
      <c r="RIC21" s="3507"/>
      <c r="RID21" s="3507"/>
      <c r="RIE21" s="3507"/>
      <c r="RIF21" s="3507"/>
      <c r="RIG21" s="3507"/>
      <c r="RIH21" s="3507"/>
      <c r="RII21" s="3507"/>
      <c r="RIJ21" s="3507"/>
      <c r="RIK21" s="3507"/>
      <c r="RIL21" s="3507"/>
      <c r="RIM21" s="3507"/>
      <c r="RIN21" s="3507"/>
      <c r="RIO21" s="3507"/>
      <c r="RIP21" s="3507"/>
      <c r="RIQ21" s="3507"/>
      <c r="RIR21" s="3507"/>
      <c r="RIS21" s="3507"/>
      <c r="RIT21" s="3507"/>
      <c r="RIU21" s="3507"/>
      <c r="RIV21" s="3507"/>
      <c r="RIW21" s="3507"/>
      <c r="RIX21" s="3507"/>
      <c r="RIY21" s="3507"/>
      <c r="RIZ21" s="3507"/>
      <c r="RJA21" s="3507"/>
      <c r="RJB21" s="3507"/>
      <c r="RJC21" s="3507"/>
      <c r="RJD21" s="3507"/>
      <c r="RJE21" s="3507"/>
      <c r="RJF21" s="3507"/>
      <c r="RJG21" s="3507"/>
      <c r="RJH21" s="3507"/>
      <c r="RJI21" s="3507"/>
      <c r="RJJ21" s="3507"/>
      <c r="RJK21" s="3507"/>
      <c r="RJL21" s="3507"/>
      <c r="RJM21" s="3507"/>
      <c r="RJN21" s="3507"/>
      <c r="RJO21" s="3507"/>
      <c r="RJP21" s="3507"/>
      <c r="RJQ21" s="3507"/>
      <c r="RJR21" s="3507"/>
      <c r="RJS21" s="3507"/>
      <c r="RJT21" s="3507"/>
      <c r="RJU21" s="3507"/>
      <c r="RJV21" s="3507"/>
      <c r="RJW21" s="3507"/>
      <c r="RJX21" s="3507"/>
      <c r="RJY21" s="3507"/>
      <c r="RJZ21" s="3507"/>
      <c r="RKA21" s="3507"/>
      <c r="RKB21" s="3507"/>
      <c r="RKC21" s="3507"/>
      <c r="RKD21" s="3507"/>
      <c r="RKE21" s="3507"/>
      <c r="RKF21" s="3507"/>
      <c r="RKG21" s="3507"/>
      <c r="RKH21" s="3507"/>
      <c r="RKI21" s="3507"/>
      <c r="RKJ21" s="3507"/>
      <c r="RKK21" s="3507"/>
      <c r="RKL21" s="3507"/>
      <c r="RKM21" s="3507"/>
      <c r="RKN21" s="3507"/>
      <c r="RKO21" s="3507"/>
      <c r="RKP21" s="3507"/>
      <c r="RKQ21" s="3507"/>
      <c r="RKR21" s="3507"/>
      <c r="RKS21" s="3507"/>
      <c r="RKT21" s="3507"/>
      <c r="RKU21" s="3507"/>
      <c r="RKV21" s="3507"/>
      <c r="RKW21" s="3507"/>
      <c r="RKX21" s="3507"/>
      <c r="RKY21" s="3507"/>
      <c r="RKZ21" s="3507"/>
      <c r="RLA21" s="3507"/>
      <c r="RLB21" s="3507"/>
      <c r="RLC21" s="3507"/>
      <c r="RLD21" s="3507"/>
      <c r="RLE21" s="3507"/>
      <c r="RLF21" s="3507"/>
      <c r="RLG21" s="3507"/>
      <c r="RLH21" s="3507"/>
      <c r="RLI21" s="3507"/>
      <c r="RLJ21" s="3507"/>
      <c r="RLK21" s="3507"/>
      <c r="RLL21" s="3507"/>
      <c r="RLM21" s="3507"/>
      <c r="RLN21" s="3507"/>
      <c r="RLO21" s="3507"/>
      <c r="RLP21" s="3507"/>
      <c r="RLQ21" s="3507"/>
      <c r="RLR21" s="3507"/>
      <c r="RLS21" s="3507"/>
      <c r="RLT21" s="3507"/>
      <c r="RLU21" s="3507"/>
      <c r="RLV21" s="3507"/>
      <c r="RLW21" s="3507"/>
      <c r="RLX21" s="3507"/>
      <c r="RLY21" s="3507"/>
      <c r="RLZ21" s="3507"/>
      <c r="RMA21" s="3507"/>
      <c r="RMB21" s="3507"/>
      <c r="RMC21" s="3507"/>
      <c r="RMD21" s="3507"/>
      <c r="RME21" s="3507"/>
      <c r="RMF21" s="3507"/>
      <c r="RMG21" s="3507"/>
      <c r="RMH21" s="3507"/>
      <c r="RMI21" s="3507"/>
      <c r="RMJ21" s="3507"/>
      <c r="RMK21" s="3507"/>
      <c r="RML21" s="3507"/>
      <c r="RMM21" s="3507"/>
      <c r="RMN21" s="3507"/>
      <c r="RMO21" s="3507"/>
      <c r="RMP21" s="3507"/>
      <c r="RMQ21" s="3507"/>
      <c r="RMR21" s="3507"/>
      <c r="RMS21" s="3507"/>
      <c r="RMT21" s="3507"/>
      <c r="RMU21" s="3507"/>
      <c r="RMV21" s="3507"/>
      <c r="RMW21" s="3507"/>
      <c r="RMX21" s="3507"/>
      <c r="RMY21" s="3507"/>
      <c r="RMZ21" s="3507"/>
      <c r="RNA21" s="3507"/>
      <c r="RNB21" s="3507"/>
      <c r="RNC21" s="3507"/>
      <c r="RND21" s="3507"/>
      <c r="RNE21" s="3507"/>
      <c r="RNF21" s="3507"/>
      <c r="RNG21" s="3507"/>
      <c r="RNH21" s="3507"/>
      <c r="RNI21" s="3507"/>
      <c r="RNJ21" s="3507"/>
      <c r="RNK21" s="3507"/>
      <c r="RNL21" s="3507"/>
      <c r="RNM21" s="3507"/>
      <c r="RNN21" s="3507"/>
      <c r="RNO21" s="3507"/>
      <c r="RNP21" s="3507"/>
      <c r="RNQ21" s="3507"/>
      <c r="RNR21" s="3507"/>
      <c r="RNS21" s="3507"/>
      <c r="RNT21" s="3507"/>
      <c r="RNU21" s="3507"/>
      <c r="RNV21" s="3507"/>
      <c r="RNW21" s="3507"/>
      <c r="RNX21" s="3507"/>
      <c r="RNY21" s="3507"/>
      <c r="RNZ21" s="3507"/>
      <c r="ROA21" s="3507"/>
      <c r="ROB21" s="3507"/>
      <c r="ROC21" s="3507"/>
      <c r="ROD21" s="3507"/>
      <c r="ROE21" s="3507"/>
      <c r="ROF21" s="3507"/>
      <c r="ROG21" s="3507"/>
      <c r="ROH21" s="3507"/>
      <c r="ROI21" s="3507"/>
      <c r="ROJ21" s="3507"/>
      <c r="ROK21" s="3507"/>
      <c r="ROL21" s="3507"/>
      <c r="ROM21" s="3507"/>
      <c r="RON21" s="3507"/>
      <c r="ROO21" s="3507"/>
      <c r="ROP21" s="3507"/>
      <c r="ROQ21" s="3507"/>
      <c r="ROR21" s="3507"/>
      <c r="ROS21" s="3507"/>
      <c r="ROT21" s="3507"/>
      <c r="ROU21" s="3507"/>
      <c r="ROV21" s="3507"/>
      <c r="ROW21" s="3507"/>
      <c r="ROX21" s="3507"/>
      <c r="ROY21" s="3507"/>
      <c r="ROZ21" s="3507"/>
      <c r="RPA21" s="3507"/>
      <c r="RPB21" s="3507"/>
      <c r="RPC21" s="3507"/>
      <c r="RPD21" s="3507"/>
      <c r="RPE21" s="3507"/>
      <c r="RPF21" s="3507"/>
      <c r="RPG21" s="3507"/>
      <c r="RPH21" s="3507"/>
      <c r="RPI21" s="3507"/>
      <c r="RPJ21" s="3507"/>
      <c r="RPK21" s="3507"/>
      <c r="RPL21" s="3507"/>
      <c r="RPM21" s="3507"/>
      <c r="RPN21" s="3507"/>
      <c r="RPO21" s="3507"/>
      <c r="RPP21" s="3507"/>
      <c r="RPQ21" s="3507"/>
      <c r="RPR21" s="3507"/>
      <c r="RPS21" s="3507"/>
      <c r="RPT21" s="3507"/>
      <c r="RPU21" s="3507"/>
      <c r="RPV21" s="3507"/>
      <c r="RPW21" s="3507"/>
      <c r="RPX21" s="3507"/>
      <c r="RPY21" s="3507"/>
      <c r="RPZ21" s="3507"/>
      <c r="RQA21" s="3507"/>
      <c r="RQB21" s="3507"/>
      <c r="RQC21" s="3507"/>
      <c r="RQD21" s="3507"/>
      <c r="RQE21" s="3507"/>
      <c r="RQF21" s="3507"/>
      <c r="RQG21" s="3507"/>
      <c r="RQH21" s="3507"/>
      <c r="RQI21" s="3507"/>
      <c r="RQJ21" s="3507"/>
      <c r="RQK21" s="3507"/>
      <c r="RQL21" s="3507"/>
      <c r="RQM21" s="3507"/>
      <c r="RQN21" s="3507"/>
      <c r="RQO21" s="3507"/>
      <c r="RQP21" s="3507"/>
      <c r="RQQ21" s="3507"/>
      <c r="RQR21" s="3507"/>
      <c r="RQS21" s="3507"/>
      <c r="RQT21" s="3507"/>
      <c r="RQU21" s="3507"/>
      <c r="RQV21" s="3507"/>
      <c r="RQW21" s="3507"/>
      <c r="RQX21" s="3507"/>
      <c r="RQY21" s="3507"/>
      <c r="RQZ21" s="3507"/>
      <c r="RRA21" s="3507"/>
      <c r="RRB21" s="3507"/>
      <c r="RRC21" s="3507"/>
      <c r="RRD21" s="3507"/>
      <c r="RRE21" s="3507"/>
      <c r="RRF21" s="3507"/>
      <c r="RRG21" s="3507"/>
      <c r="RRH21" s="3507"/>
      <c r="RRI21" s="3507"/>
      <c r="RRJ21" s="3507"/>
      <c r="RRK21" s="3507"/>
      <c r="RRL21" s="3507"/>
      <c r="RRM21" s="3507"/>
      <c r="RRN21" s="3507"/>
      <c r="RRO21" s="3507"/>
      <c r="RRP21" s="3507"/>
      <c r="RRQ21" s="3507"/>
      <c r="RRR21" s="3507"/>
      <c r="RRS21" s="3507"/>
      <c r="RRT21" s="3507"/>
      <c r="RRU21" s="3507"/>
      <c r="RRV21" s="3507"/>
      <c r="RRW21" s="3507"/>
      <c r="RRX21" s="3507"/>
      <c r="RRY21" s="3507"/>
      <c r="RRZ21" s="3507"/>
      <c r="RSA21" s="3507"/>
      <c r="RSB21" s="3507"/>
      <c r="RSC21" s="3507"/>
      <c r="RSD21" s="3507"/>
      <c r="RSE21" s="3507"/>
      <c r="RSF21" s="3507"/>
      <c r="RSG21" s="3507"/>
      <c r="RSH21" s="3507"/>
      <c r="RSI21" s="3507"/>
      <c r="RSJ21" s="3507"/>
      <c r="RSK21" s="3507"/>
      <c r="RSL21" s="3507"/>
      <c r="RSM21" s="3507"/>
      <c r="RSN21" s="3507"/>
      <c r="RSO21" s="3507"/>
      <c r="RSP21" s="3507"/>
      <c r="RSQ21" s="3507"/>
      <c r="RSR21" s="3507"/>
      <c r="RSS21" s="3507"/>
      <c r="RST21" s="3507"/>
      <c r="RSU21" s="3507"/>
      <c r="RSV21" s="3507"/>
      <c r="RSW21" s="3507"/>
      <c r="RSX21" s="3507"/>
      <c r="RSY21" s="3507"/>
      <c r="RSZ21" s="3507"/>
      <c r="RTA21" s="3507"/>
      <c r="RTB21" s="3507"/>
      <c r="RTC21" s="3507"/>
      <c r="RTD21" s="3507"/>
      <c r="RTE21" s="3507"/>
      <c r="RTF21" s="3507"/>
      <c r="RTG21" s="3507"/>
      <c r="RTH21" s="3507"/>
      <c r="RTI21" s="3507"/>
      <c r="RTJ21" s="3507"/>
      <c r="RTK21" s="3507"/>
      <c r="RTL21" s="3507"/>
      <c r="RTM21" s="3507"/>
      <c r="RTN21" s="3507"/>
      <c r="RTO21" s="3507"/>
      <c r="RTP21" s="3507"/>
      <c r="RTQ21" s="3507"/>
      <c r="RTR21" s="3507"/>
      <c r="RTS21" s="3507"/>
      <c r="RTT21" s="3507"/>
      <c r="RTU21" s="3507"/>
      <c r="RTV21" s="3507"/>
      <c r="RTW21" s="3507"/>
      <c r="RTX21" s="3507"/>
      <c r="RTY21" s="3507"/>
      <c r="RTZ21" s="3507"/>
      <c r="RUA21" s="3507"/>
      <c r="RUB21" s="3507"/>
      <c r="RUC21" s="3507"/>
      <c r="RUD21" s="3507"/>
      <c r="RUE21" s="3507"/>
      <c r="RUF21" s="3507"/>
      <c r="RUG21" s="3507"/>
      <c r="RUH21" s="3507"/>
      <c r="RUI21" s="3507"/>
      <c r="RUJ21" s="3507"/>
      <c r="RUK21" s="3507"/>
      <c r="RUL21" s="3507"/>
      <c r="RUM21" s="3507"/>
      <c r="RUN21" s="3507"/>
      <c r="RUO21" s="3507"/>
      <c r="RUP21" s="3507"/>
      <c r="RUQ21" s="3507"/>
      <c r="RUR21" s="3507"/>
      <c r="RUS21" s="3507"/>
      <c r="RUT21" s="3507"/>
      <c r="RUU21" s="3507"/>
      <c r="RUV21" s="3507"/>
      <c r="RUW21" s="3507"/>
      <c r="RUX21" s="3507"/>
      <c r="RUY21" s="3507"/>
      <c r="RUZ21" s="3507"/>
      <c r="RVA21" s="3507"/>
      <c r="RVB21" s="3507"/>
      <c r="RVC21" s="3507"/>
      <c r="RVD21" s="3507"/>
      <c r="RVE21" s="3507"/>
      <c r="RVF21" s="3507"/>
      <c r="RVG21" s="3507"/>
      <c r="RVH21" s="3507"/>
      <c r="RVI21" s="3507"/>
      <c r="RVJ21" s="3507"/>
      <c r="RVK21" s="3507"/>
      <c r="RVL21" s="3507"/>
      <c r="RVM21" s="3507"/>
      <c r="RVN21" s="3507"/>
      <c r="RVO21" s="3507"/>
      <c r="RVP21" s="3507"/>
      <c r="RVQ21" s="3507"/>
      <c r="RVR21" s="3507"/>
      <c r="RVS21" s="3507"/>
      <c r="RVT21" s="3507"/>
      <c r="RVU21" s="3507"/>
      <c r="RVV21" s="3507"/>
      <c r="RVW21" s="3507"/>
      <c r="RVX21" s="3507"/>
      <c r="RVY21" s="3507"/>
      <c r="RVZ21" s="3507"/>
      <c r="RWA21" s="3507"/>
      <c r="RWB21" s="3507"/>
      <c r="RWC21" s="3507"/>
      <c r="RWD21" s="3507"/>
      <c r="RWE21" s="3507"/>
      <c r="RWF21" s="3507"/>
      <c r="RWG21" s="3507"/>
      <c r="RWH21" s="3507"/>
      <c r="RWI21" s="3507"/>
      <c r="RWJ21" s="3507"/>
      <c r="RWK21" s="3507"/>
      <c r="RWL21" s="3507"/>
      <c r="RWM21" s="3507"/>
      <c r="RWN21" s="3507"/>
      <c r="RWO21" s="3507"/>
      <c r="RWP21" s="3507"/>
      <c r="RWQ21" s="3507"/>
      <c r="RWR21" s="3507"/>
      <c r="RWS21" s="3507"/>
      <c r="RWT21" s="3507"/>
      <c r="RWU21" s="3507"/>
      <c r="RWV21" s="3507"/>
      <c r="RWW21" s="3507"/>
      <c r="RWX21" s="3507"/>
      <c r="RWY21" s="3507"/>
      <c r="RWZ21" s="3507"/>
      <c r="RXA21" s="3507"/>
      <c r="RXB21" s="3507"/>
      <c r="RXC21" s="3507"/>
      <c r="RXD21" s="3507"/>
      <c r="RXE21" s="3507"/>
      <c r="RXF21" s="3507"/>
      <c r="RXG21" s="3507"/>
      <c r="RXH21" s="3507"/>
      <c r="RXI21" s="3507"/>
      <c r="RXJ21" s="3507"/>
      <c r="RXK21" s="3507"/>
      <c r="RXL21" s="3507"/>
      <c r="RXM21" s="3507"/>
      <c r="RXN21" s="3507"/>
      <c r="RXO21" s="3507"/>
      <c r="RXP21" s="3507"/>
      <c r="RXQ21" s="3507"/>
      <c r="RXR21" s="3507"/>
      <c r="RXS21" s="3507"/>
      <c r="RXT21" s="3507"/>
      <c r="RXU21" s="3507"/>
      <c r="RXV21" s="3507"/>
      <c r="RXW21" s="3507"/>
      <c r="RXX21" s="3507"/>
      <c r="RXY21" s="3507"/>
      <c r="RXZ21" s="3507"/>
      <c r="RYA21" s="3507"/>
      <c r="RYB21" s="3507"/>
      <c r="RYC21" s="3507"/>
      <c r="RYD21" s="3507"/>
      <c r="RYE21" s="3507"/>
      <c r="RYF21" s="3507"/>
      <c r="RYG21" s="3507"/>
      <c r="RYH21" s="3507"/>
      <c r="RYI21" s="3507"/>
      <c r="RYJ21" s="3507"/>
      <c r="RYK21" s="3507"/>
      <c r="RYL21" s="3507"/>
      <c r="RYM21" s="3507"/>
      <c r="RYN21" s="3507"/>
      <c r="RYO21" s="3507"/>
      <c r="RYP21" s="3507"/>
      <c r="RYQ21" s="3507"/>
      <c r="RYR21" s="3507"/>
      <c r="RYS21" s="3507"/>
      <c r="RYT21" s="3507"/>
      <c r="RYU21" s="3507"/>
      <c r="RYV21" s="3507"/>
      <c r="RYW21" s="3507"/>
      <c r="RYX21" s="3507"/>
      <c r="RYY21" s="3507"/>
      <c r="RYZ21" s="3507"/>
      <c r="RZA21" s="3507"/>
      <c r="RZB21" s="3507"/>
      <c r="RZC21" s="3507"/>
      <c r="RZD21" s="3507"/>
      <c r="RZE21" s="3507"/>
      <c r="RZF21" s="3507"/>
      <c r="RZG21" s="3507"/>
      <c r="RZH21" s="3507"/>
      <c r="RZI21" s="3507"/>
      <c r="RZJ21" s="3507"/>
      <c r="RZK21" s="3507"/>
      <c r="RZL21" s="3507"/>
      <c r="RZM21" s="3507"/>
      <c r="RZN21" s="3507"/>
      <c r="RZO21" s="3507"/>
      <c r="RZP21" s="3507"/>
      <c r="RZQ21" s="3507"/>
      <c r="RZR21" s="3507"/>
      <c r="RZS21" s="3507"/>
      <c r="RZT21" s="3507"/>
      <c r="RZU21" s="3507"/>
      <c r="RZV21" s="3507"/>
      <c r="RZW21" s="3507"/>
      <c r="RZX21" s="3507"/>
      <c r="RZY21" s="3507"/>
      <c r="RZZ21" s="3507"/>
      <c r="SAA21" s="3507"/>
      <c r="SAB21" s="3507"/>
      <c r="SAC21" s="3507"/>
      <c r="SAD21" s="3507"/>
      <c r="SAE21" s="3507"/>
      <c r="SAF21" s="3507"/>
      <c r="SAG21" s="3507"/>
      <c r="SAH21" s="3507"/>
      <c r="SAI21" s="3507"/>
      <c r="SAJ21" s="3507"/>
      <c r="SAK21" s="3507"/>
      <c r="SAL21" s="3507"/>
      <c r="SAM21" s="3507"/>
      <c r="SAN21" s="3507"/>
      <c r="SAO21" s="3507"/>
      <c r="SAP21" s="3507"/>
      <c r="SAQ21" s="3507"/>
      <c r="SAR21" s="3507"/>
      <c r="SAS21" s="3507"/>
      <c r="SAT21" s="3507"/>
      <c r="SAU21" s="3507"/>
      <c r="SAV21" s="3507"/>
      <c r="SAW21" s="3507"/>
      <c r="SAX21" s="3507"/>
      <c r="SAY21" s="3507"/>
      <c r="SAZ21" s="3507"/>
      <c r="SBA21" s="3507"/>
      <c r="SBB21" s="3507"/>
      <c r="SBC21" s="3507"/>
      <c r="SBD21" s="3507"/>
      <c r="SBE21" s="3507"/>
      <c r="SBF21" s="3507"/>
      <c r="SBG21" s="3507"/>
      <c r="SBH21" s="3507"/>
      <c r="SBI21" s="3507"/>
      <c r="SBJ21" s="3507"/>
      <c r="SBK21" s="3507"/>
      <c r="SBL21" s="3507"/>
      <c r="SBM21" s="3507"/>
      <c r="SBN21" s="3507"/>
      <c r="SBO21" s="3507"/>
      <c r="SBP21" s="3507"/>
      <c r="SBQ21" s="3507"/>
      <c r="SBR21" s="3507"/>
      <c r="SBS21" s="3507"/>
      <c r="SBT21" s="3507"/>
      <c r="SBU21" s="3507"/>
      <c r="SBV21" s="3507"/>
      <c r="SBW21" s="3507"/>
      <c r="SBX21" s="3507"/>
      <c r="SBY21" s="3507"/>
      <c r="SBZ21" s="3507"/>
      <c r="SCA21" s="3507"/>
      <c r="SCB21" s="3507"/>
      <c r="SCC21" s="3507"/>
      <c r="SCD21" s="3507"/>
      <c r="SCE21" s="3507"/>
      <c r="SCF21" s="3507"/>
      <c r="SCG21" s="3507"/>
      <c r="SCH21" s="3507"/>
      <c r="SCI21" s="3507"/>
      <c r="SCJ21" s="3507"/>
      <c r="SCK21" s="3507"/>
      <c r="SCL21" s="3507"/>
      <c r="SCM21" s="3507"/>
      <c r="SCN21" s="3507"/>
      <c r="SCO21" s="3507"/>
      <c r="SCP21" s="3507"/>
      <c r="SCQ21" s="3507"/>
      <c r="SCR21" s="3507"/>
      <c r="SCS21" s="3507"/>
      <c r="SCT21" s="3507"/>
      <c r="SCU21" s="3507"/>
      <c r="SCV21" s="3507"/>
      <c r="SCW21" s="3507"/>
      <c r="SCX21" s="3507"/>
      <c r="SCY21" s="3507"/>
      <c r="SCZ21" s="3507"/>
      <c r="SDA21" s="3507"/>
      <c r="SDB21" s="3507"/>
      <c r="SDC21" s="3507"/>
      <c r="SDD21" s="3507"/>
      <c r="SDE21" s="3507"/>
      <c r="SDF21" s="3507"/>
      <c r="SDG21" s="3507"/>
      <c r="SDH21" s="3507"/>
      <c r="SDI21" s="3507"/>
      <c r="SDJ21" s="3507"/>
      <c r="SDK21" s="3507"/>
      <c r="SDL21" s="3507"/>
      <c r="SDM21" s="3507"/>
      <c r="SDN21" s="3507"/>
      <c r="SDO21" s="3507"/>
      <c r="SDP21" s="3507"/>
      <c r="SDQ21" s="3507"/>
      <c r="SDR21" s="3507"/>
      <c r="SDS21" s="3507"/>
      <c r="SDT21" s="3507"/>
      <c r="SDU21" s="3507"/>
      <c r="SDV21" s="3507"/>
      <c r="SDW21" s="3507"/>
      <c r="SDX21" s="3507"/>
      <c r="SDY21" s="3507"/>
      <c r="SDZ21" s="3507"/>
      <c r="SEA21" s="3507"/>
      <c r="SEB21" s="3507"/>
      <c r="SEC21" s="3507"/>
      <c r="SED21" s="3507"/>
      <c r="SEE21" s="3507"/>
      <c r="SEF21" s="3507"/>
      <c r="SEG21" s="3507"/>
      <c r="SEH21" s="3507"/>
      <c r="SEI21" s="3507"/>
      <c r="SEJ21" s="3507"/>
      <c r="SEK21" s="3507"/>
      <c r="SEL21" s="3507"/>
      <c r="SEM21" s="3507"/>
      <c r="SEN21" s="3507"/>
      <c r="SEO21" s="3507"/>
      <c r="SEP21" s="3507"/>
      <c r="SEQ21" s="3507"/>
      <c r="SER21" s="3507"/>
      <c r="SES21" s="3507"/>
      <c r="SET21" s="3507"/>
      <c r="SEU21" s="3507"/>
      <c r="SEV21" s="3507"/>
      <c r="SEW21" s="3507"/>
      <c r="SEX21" s="3507"/>
      <c r="SEY21" s="3507"/>
      <c r="SEZ21" s="3507"/>
      <c r="SFA21" s="3507"/>
      <c r="SFB21" s="3507"/>
      <c r="SFC21" s="3507"/>
      <c r="SFD21" s="3507"/>
      <c r="SFE21" s="3507"/>
      <c r="SFF21" s="3507"/>
      <c r="SFG21" s="3507"/>
      <c r="SFH21" s="3507"/>
      <c r="SFI21" s="3507"/>
      <c r="SFJ21" s="3507"/>
      <c r="SFK21" s="3507"/>
      <c r="SFL21" s="3507"/>
      <c r="SFM21" s="3507"/>
      <c r="SFN21" s="3507"/>
      <c r="SFO21" s="3507"/>
      <c r="SFP21" s="3507"/>
      <c r="SFQ21" s="3507"/>
      <c r="SFR21" s="3507"/>
      <c r="SFS21" s="3507"/>
      <c r="SFT21" s="3507"/>
      <c r="SFU21" s="3507"/>
      <c r="SFV21" s="3507"/>
      <c r="SFW21" s="3507"/>
      <c r="SFX21" s="3507"/>
      <c r="SFY21" s="3507"/>
      <c r="SFZ21" s="3507"/>
      <c r="SGA21" s="3507"/>
      <c r="SGB21" s="3507"/>
      <c r="SGC21" s="3507"/>
      <c r="SGD21" s="3507"/>
      <c r="SGE21" s="3507"/>
      <c r="SGF21" s="3507"/>
      <c r="SGG21" s="3507"/>
      <c r="SGH21" s="3507"/>
      <c r="SGI21" s="3507"/>
      <c r="SGJ21" s="3507"/>
      <c r="SGK21" s="3507"/>
      <c r="SGL21" s="3507"/>
      <c r="SGM21" s="3507"/>
      <c r="SGN21" s="3507"/>
      <c r="SGO21" s="3507"/>
      <c r="SGP21" s="3507"/>
      <c r="SGQ21" s="3507"/>
      <c r="SGR21" s="3507"/>
      <c r="SGS21" s="3507"/>
      <c r="SGT21" s="3507"/>
      <c r="SGU21" s="3507"/>
      <c r="SGV21" s="3507"/>
      <c r="SGW21" s="3507"/>
      <c r="SGX21" s="3507"/>
      <c r="SGY21" s="3507"/>
      <c r="SGZ21" s="3507"/>
      <c r="SHA21" s="3507"/>
      <c r="SHB21" s="3507"/>
      <c r="SHC21" s="3507"/>
      <c r="SHD21" s="3507"/>
      <c r="SHE21" s="3507"/>
      <c r="SHF21" s="3507"/>
      <c r="SHG21" s="3507"/>
      <c r="SHH21" s="3507"/>
      <c r="SHI21" s="3507"/>
      <c r="SHJ21" s="3507"/>
      <c r="SHK21" s="3507"/>
      <c r="SHL21" s="3507"/>
      <c r="SHM21" s="3507"/>
      <c r="SHN21" s="3507"/>
      <c r="SHO21" s="3507"/>
      <c r="SHP21" s="3507"/>
      <c r="SHQ21" s="3507"/>
      <c r="SHR21" s="3507"/>
      <c r="SHS21" s="3507"/>
      <c r="SHT21" s="3507"/>
      <c r="SHU21" s="3507"/>
      <c r="SHV21" s="3507"/>
      <c r="SHW21" s="3507"/>
      <c r="SHX21" s="3507"/>
      <c r="SHY21" s="3507"/>
      <c r="SHZ21" s="3507"/>
      <c r="SIA21" s="3507"/>
      <c r="SIB21" s="3507"/>
      <c r="SIC21" s="3507"/>
      <c r="SID21" s="3507"/>
      <c r="SIE21" s="3507"/>
      <c r="SIF21" s="3507"/>
      <c r="SIG21" s="3507"/>
      <c r="SIH21" s="3507"/>
      <c r="SII21" s="3507"/>
      <c r="SIJ21" s="3507"/>
      <c r="SIK21" s="3507"/>
      <c r="SIL21" s="3507"/>
      <c r="SIM21" s="3507"/>
      <c r="SIN21" s="3507"/>
      <c r="SIO21" s="3507"/>
      <c r="SIP21" s="3507"/>
      <c r="SIQ21" s="3507"/>
      <c r="SIR21" s="3507"/>
      <c r="SIS21" s="3507"/>
      <c r="SIT21" s="3507"/>
      <c r="SIU21" s="3507"/>
      <c r="SIV21" s="3507"/>
      <c r="SIW21" s="3507"/>
      <c r="SIX21" s="3507"/>
      <c r="SIY21" s="3507"/>
      <c r="SIZ21" s="3507"/>
      <c r="SJA21" s="3507"/>
      <c r="SJB21" s="3507"/>
      <c r="SJC21" s="3507"/>
      <c r="SJD21" s="3507"/>
      <c r="SJE21" s="3507"/>
      <c r="SJF21" s="3507"/>
      <c r="SJG21" s="3507"/>
      <c r="SJH21" s="3507"/>
      <c r="SJI21" s="3507"/>
      <c r="SJJ21" s="3507"/>
      <c r="SJK21" s="3507"/>
      <c r="SJL21" s="3507"/>
      <c r="SJM21" s="3507"/>
      <c r="SJN21" s="3507"/>
      <c r="SJO21" s="3507"/>
      <c r="SJP21" s="3507"/>
      <c r="SJQ21" s="3507"/>
      <c r="SJR21" s="3507"/>
      <c r="SJS21" s="3507"/>
      <c r="SJT21" s="3507"/>
      <c r="SJU21" s="3507"/>
      <c r="SJV21" s="3507"/>
      <c r="SJW21" s="3507"/>
      <c r="SJX21" s="3507"/>
      <c r="SJY21" s="3507"/>
      <c r="SJZ21" s="3507"/>
      <c r="SKA21" s="3507"/>
      <c r="SKB21" s="3507"/>
      <c r="SKC21" s="3507"/>
      <c r="SKD21" s="3507"/>
      <c r="SKE21" s="3507"/>
      <c r="SKF21" s="3507"/>
      <c r="SKG21" s="3507"/>
      <c r="SKH21" s="3507"/>
      <c r="SKI21" s="3507"/>
      <c r="SKJ21" s="3507"/>
      <c r="SKK21" s="3507"/>
      <c r="SKL21" s="3507"/>
      <c r="SKM21" s="3507"/>
      <c r="SKN21" s="3507"/>
      <c r="SKO21" s="3507"/>
      <c r="SKP21" s="3507"/>
      <c r="SKQ21" s="3507"/>
      <c r="SKR21" s="3507"/>
      <c r="SKS21" s="3507"/>
      <c r="SKT21" s="3507"/>
      <c r="SKU21" s="3507"/>
      <c r="SKV21" s="3507"/>
      <c r="SKW21" s="3507"/>
      <c r="SKX21" s="3507"/>
      <c r="SKY21" s="3507"/>
      <c r="SKZ21" s="3507"/>
      <c r="SLA21" s="3507"/>
      <c r="SLB21" s="3507"/>
      <c r="SLC21" s="3507"/>
      <c r="SLD21" s="3507"/>
      <c r="SLE21" s="3507"/>
      <c r="SLF21" s="3507"/>
      <c r="SLG21" s="3507"/>
      <c r="SLH21" s="3507"/>
      <c r="SLI21" s="3507"/>
      <c r="SLJ21" s="3507"/>
      <c r="SLK21" s="3507"/>
      <c r="SLL21" s="3507"/>
      <c r="SLM21" s="3507"/>
      <c r="SLN21" s="3507"/>
      <c r="SLO21" s="3507"/>
      <c r="SLP21" s="3507"/>
      <c r="SLQ21" s="3507"/>
      <c r="SLR21" s="3507"/>
      <c r="SLS21" s="3507"/>
      <c r="SLT21" s="3507"/>
      <c r="SLU21" s="3507"/>
      <c r="SLV21" s="3507"/>
      <c r="SLW21" s="3507"/>
      <c r="SLX21" s="3507"/>
      <c r="SLY21" s="3507"/>
      <c r="SLZ21" s="3507"/>
      <c r="SMA21" s="3507"/>
      <c r="SMB21" s="3507"/>
      <c r="SMC21" s="3507"/>
      <c r="SMD21" s="3507"/>
      <c r="SME21" s="3507"/>
      <c r="SMF21" s="3507"/>
      <c r="SMG21" s="3507"/>
      <c r="SMH21" s="3507"/>
      <c r="SMI21" s="3507"/>
      <c r="SMJ21" s="3507"/>
      <c r="SMK21" s="3507"/>
      <c r="SML21" s="3507"/>
      <c r="SMM21" s="3507"/>
      <c r="SMN21" s="3507"/>
      <c r="SMO21" s="3507"/>
      <c r="SMP21" s="3507"/>
      <c r="SMQ21" s="3507"/>
      <c r="SMR21" s="3507"/>
      <c r="SMS21" s="3507"/>
      <c r="SMT21" s="3507"/>
      <c r="SMU21" s="3507"/>
      <c r="SMV21" s="3507"/>
      <c r="SMW21" s="3507"/>
      <c r="SMX21" s="3507"/>
      <c r="SMY21" s="3507"/>
      <c r="SMZ21" s="3507"/>
      <c r="SNA21" s="3507"/>
      <c r="SNB21" s="3507"/>
      <c r="SNC21" s="3507"/>
      <c r="SND21" s="3507"/>
      <c r="SNE21" s="3507"/>
      <c r="SNF21" s="3507"/>
      <c r="SNG21" s="3507"/>
      <c r="SNH21" s="3507"/>
      <c r="SNI21" s="3507"/>
      <c r="SNJ21" s="3507"/>
      <c r="SNK21" s="3507"/>
      <c r="SNL21" s="3507"/>
      <c r="SNM21" s="3507"/>
      <c r="SNN21" s="3507"/>
      <c r="SNO21" s="3507"/>
      <c r="SNP21" s="3507"/>
      <c r="SNQ21" s="3507"/>
      <c r="SNR21" s="3507"/>
      <c r="SNS21" s="3507"/>
      <c r="SNT21" s="3507"/>
      <c r="SNU21" s="3507"/>
      <c r="SNV21" s="3507"/>
      <c r="SNW21" s="3507"/>
      <c r="SNX21" s="3507"/>
      <c r="SNY21" s="3507"/>
      <c r="SNZ21" s="3507"/>
      <c r="SOA21" s="3507"/>
      <c r="SOB21" s="3507"/>
      <c r="SOC21" s="3507"/>
      <c r="SOD21" s="3507"/>
      <c r="SOE21" s="3507"/>
      <c r="SOF21" s="3507"/>
      <c r="SOG21" s="3507"/>
      <c r="SOH21" s="3507"/>
      <c r="SOI21" s="3507"/>
      <c r="SOJ21" s="3507"/>
      <c r="SOK21" s="3507"/>
      <c r="SOL21" s="3507"/>
      <c r="SOM21" s="3507"/>
      <c r="SON21" s="3507"/>
      <c r="SOO21" s="3507"/>
      <c r="SOP21" s="3507"/>
      <c r="SOQ21" s="3507"/>
      <c r="SOR21" s="3507"/>
      <c r="SOS21" s="3507"/>
      <c r="SOT21" s="3507"/>
      <c r="SOU21" s="3507"/>
      <c r="SOV21" s="3507"/>
      <c r="SOW21" s="3507"/>
      <c r="SOX21" s="3507"/>
      <c r="SOY21" s="3507"/>
      <c r="SOZ21" s="3507"/>
      <c r="SPA21" s="3507"/>
      <c r="SPB21" s="3507"/>
      <c r="SPC21" s="3507"/>
      <c r="SPD21" s="3507"/>
      <c r="SPE21" s="3507"/>
      <c r="SPF21" s="3507"/>
      <c r="SPG21" s="3507"/>
      <c r="SPH21" s="3507"/>
      <c r="SPI21" s="3507"/>
      <c r="SPJ21" s="3507"/>
      <c r="SPK21" s="3507"/>
      <c r="SPL21" s="3507"/>
      <c r="SPM21" s="3507"/>
      <c r="SPN21" s="3507"/>
      <c r="SPO21" s="3507"/>
      <c r="SPP21" s="3507"/>
      <c r="SPQ21" s="3507"/>
      <c r="SPR21" s="3507"/>
      <c r="SPS21" s="3507"/>
      <c r="SPT21" s="3507"/>
      <c r="SPU21" s="3507"/>
      <c r="SPV21" s="3507"/>
      <c r="SPW21" s="3507"/>
      <c r="SPX21" s="3507"/>
      <c r="SPY21" s="3507"/>
      <c r="SPZ21" s="3507"/>
      <c r="SQA21" s="3507"/>
      <c r="SQB21" s="3507"/>
      <c r="SQC21" s="3507"/>
      <c r="SQD21" s="3507"/>
      <c r="SQE21" s="3507"/>
      <c r="SQF21" s="3507"/>
      <c r="SQG21" s="3507"/>
      <c r="SQH21" s="3507"/>
      <c r="SQI21" s="3507"/>
      <c r="SQJ21" s="3507"/>
      <c r="SQK21" s="3507"/>
      <c r="SQL21" s="3507"/>
      <c r="SQM21" s="3507"/>
      <c r="SQN21" s="3507"/>
      <c r="SQO21" s="3507"/>
      <c r="SQP21" s="3507"/>
      <c r="SQQ21" s="3507"/>
      <c r="SQR21" s="3507"/>
      <c r="SQS21" s="3507"/>
      <c r="SQT21" s="3507"/>
      <c r="SQU21" s="3507"/>
      <c r="SQV21" s="3507"/>
      <c r="SQW21" s="3507"/>
      <c r="SQX21" s="3507"/>
      <c r="SQY21" s="3507"/>
      <c r="SQZ21" s="3507"/>
      <c r="SRA21" s="3507"/>
      <c r="SRB21" s="3507"/>
      <c r="SRC21" s="3507"/>
      <c r="SRD21" s="3507"/>
      <c r="SRE21" s="3507"/>
      <c r="SRF21" s="3507"/>
      <c r="SRG21" s="3507"/>
      <c r="SRH21" s="3507"/>
      <c r="SRI21" s="3507"/>
      <c r="SRJ21" s="3507"/>
      <c r="SRK21" s="3507"/>
      <c r="SRL21" s="3507"/>
      <c r="SRM21" s="3507"/>
      <c r="SRN21" s="3507"/>
      <c r="SRO21" s="3507"/>
      <c r="SRP21" s="3507"/>
      <c r="SRQ21" s="3507"/>
      <c r="SRR21" s="3507"/>
      <c r="SRS21" s="3507"/>
      <c r="SRT21" s="3507"/>
      <c r="SRU21" s="3507"/>
      <c r="SRV21" s="3507"/>
      <c r="SRW21" s="3507"/>
      <c r="SRX21" s="3507"/>
      <c r="SRY21" s="3507"/>
      <c r="SRZ21" s="3507"/>
      <c r="SSA21" s="3507"/>
      <c r="SSB21" s="3507"/>
      <c r="SSC21" s="3507"/>
      <c r="SSD21" s="3507"/>
      <c r="SSE21" s="3507"/>
      <c r="SSF21" s="3507"/>
      <c r="SSG21" s="3507"/>
      <c r="SSH21" s="3507"/>
      <c r="SSI21" s="3507"/>
      <c r="SSJ21" s="3507"/>
      <c r="SSK21" s="3507"/>
      <c r="SSL21" s="3507"/>
      <c r="SSM21" s="3507"/>
      <c r="SSN21" s="3507"/>
      <c r="SSO21" s="3507"/>
      <c r="SSP21" s="3507"/>
      <c r="SSQ21" s="3507"/>
      <c r="SSR21" s="3507"/>
      <c r="SSS21" s="3507"/>
      <c r="SST21" s="3507"/>
      <c r="SSU21" s="3507"/>
      <c r="SSV21" s="3507"/>
      <c r="SSW21" s="3507"/>
      <c r="SSX21" s="3507"/>
      <c r="SSY21" s="3507"/>
      <c r="SSZ21" s="3507"/>
      <c r="STA21" s="3507"/>
      <c r="STB21" s="3507"/>
      <c r="STC21" s="3507"/>
      <c r="STD21" s="3507"/>
      <c r="STE21" s="3507"/>
      <c r="STF21" s="3507"/>
      <c r="STG21" s="3507"/>
      <c r="STH21" s="3507"/>
      <c r="STI21" s="3507"/>
      <c r="STJ21" s="3507"/>
      <c r="STK21" s="3507"/>
      <c r="STL21" s="3507"/>
      <c r="STM21" s="3507"/>
      <c r="STN21" s="3507"/>
      <c r="STO21" s="3507"/>
      <c r="STP21" s="3507"/>
      <c r="STQ21" s="3507"/>
      <c r="STR21" s="3507"/>
      <c r="STS21" s="3507"/>
      <c r="STT21" s="3507"/>
      <c r="STU21" s="3507"/>
      <c r="STV21" s="3507"/>
      <c r="STW21" s="3507"/>
      <c r="STX21" s="3507"/>
      <c r="STY21" s="3507"/>
      <c r="STZ21" s="3507"/>
      <c r="SUA21" s="3507"/>
      <c r="SUB21" s="3507"/>
      <c r="SUC21" s="3507"/>
      <c r="SUD21" s="3507"/>
      <c r="SUE21" s="3507"/>
      <c r="SUF21" s="3507"/>
      <c r="SUG21" s="3507"/>
      <c r="SUH21" s="3507"/>
      <c r="SUI21" s="3507"/>
      <c r="SUJ21" s="3507"/>
      <c r="SUK21" s="3507"/>
      <c r="SUL21" s="3507"/>
      <c r="SUM21" s="3507"/>
      <c r="SUN21" s="3507"/>
      <c r="SUO21" s="3507"/>
      <c r="SUP21" s="3507"/>
      <c r="SUQ21" s="3507"/>
      <c r="SUR21" s="3507"/>
      <c r="SUS21" s="3507"/>
      <c r="SUT21" s="3507"/>
      <c r="SUU21" s="3507"/>
      <c r="SUV21" s="3507"/>
      <c r="SUW21" s="3507"/>
      <c r="SUX21" s="3507"/>
      <c r="SUY21" s="3507"/>
      <c r="SUZ21" s="3507"/>
      <c r="SVA21" s="3507"/>
      <c r="SVB21" s="3507"/>
      <c r="SVC21" s="3507"/>
      <c r="SVD21" s="3507"/>
      <c r="SVE21" s="3507"/>
      <c r="SVF21" s="3507"/>
      <c r="SVG21" s="3507"/>
      <c r="SVH21" s="3507"/>
      <c r="SVI21" s="3507"/>
      <c r="SVJ21" s="3507"/>
      <c r="SVK21" s="3507"/>
      <c r="SVL21" s="3507"/>
      <c r="SVM21" s="3507"/>
      <c r="SVN21" s="3507"/>
      <c r="SVO21" s="3507"/>
      <c r="SVP21" s="3507"/>
      <c r="SVQ21" s="3507"/>
      <c r="SVR21" s="3507"/>
      <c r="SVS21" s="3507"/>
      <c r="SVT21" s="3507"/>
      <c r="SVU21" s="3507"/>
      <c r="SVV21" s="3507"/>
      <c r="SVW21" s="3507"/>
      <c r="SVX21" s="3507"/>
      <c r="SVY21" s="3507"/>
      <c r="SVZ21" s="3507"/>
      <c r="SWA21" s="3507"/>
      <c r="SWB21" s="3507"/>
      <c r="SWC21" s="3507"/>
      <c r="SWD21" s="3507"/>
      <c r="SWE21" s="3507"/>
      <c r="SWF21" s="3507"/>
      <c r="SWG21" s="3507"/>
      <c r="SWH21" s="3507"/>
      <c r="SWI21" s="3507"/>
      <c r="SWJ21" s="3507"/>
      <c r="SWK21" s="3507"/>
      <c r="SWL21" s="3507"/>
      <c r="SWM21" s="3507"/>
      <c r="SWN21" s="3507"/>
      <c r="SWO21" s="3507"/>
      <c r="SWP21" s="3507"/>
      <c r="SWQ21" s="3507"/>
      <c r="SWR21" s="3507"/>
      <c r="SWS21" s="3507"/>
      <c r="SWT21" s="3507"/>
      <c r="SWU21" s="3507"/>
      <c r="SWV21" s="3507"/>
      <c r="SWW21" s="3507"/>
      <c r="SWX21" s="3507"/>
      <c r="SWY21" s="3507"/>
      <c r="SWZ21" s="3507"/>
      <c r="SXA21" s="3507"/>
      <c r="SXB21" s="3507"/>
      <c r="SXC21" s="3507"/>
      <c r="SXD21" s="3507"/>
      <c r="SXE21" s="3507"/>
      <c r="SXF21" s="3507"/>
      <c r="SXG21" s="3507"/>
      <c r="SXH21" s="3507"/>
      <c r="SXI21" s="3507"/>
      <c r="SXJ21" s="3507"/>
      <c r="SXK21" s="3507"/>
      <c r="SXL21" s="3507"/>
      <c r="SXM21" s="3507"/>
      <c r="SXN21" s="3507"/>
      <c r="SXO21" s="3507"/>
      <c r="SXP21" s="3507"/>
      <c r="SXQ21" s="3507"/>
      <c r="SXR21" s="3507"/>
      <c r="SXS21" s="3507"/>
      <c r="SXT21" s="3507"/>
      <c r="SXU21" s="3507"/>
      <c r="SXV21" s="3507"/>
      <c r="SXW21" s="3507"/>
      <c r="SXX21" s="3507"/>
      <c r="SXY21" s="3507"/>
      <c r="SXZ21" s="3507"/>
      <c r="SYA21" s="3507"/>
      <c r="SYB21" s="3507"/>
      <c r="SYC21" s="3507"/>
      <c r="SYD21" s="3507"/>
      <c r="SYE21" s="3507"/>
      <c r="SYF21" s="3507"/>
      <c r="SYG21" s="3507"/>
      <c r="SYH21" s="3507"/>
      <c r="SYI21" s="3507"/>
      <c r="SYJ21" s="3507"/>
      <c r="SYK21" s="3507"/>
      <c r="SYL21" s="3507"/>
      <c r="SYM21" s="3507"/>
      <c r="SYN21" s="3507"/>
      <c r="SYO21" s="3507"/>
      <c r="SYP21" s="3507"/>
      <c r="SYQ21" s="3507"/>
      <c r="SYR21" s="3507"/>
      <c r="SYS21" s="3507"/>
      <c r="SYT21" s="3507"/>
      <c r="SYU21" s="3507"/>
      <c r="SYV21" s="3507"/>
      <c r="SYW21" s="3507"/>
      <c r="SYX21" s="3507"/>
      <c r="SYY21" s="3507"/>
      <c r="SYZ21" s="3507"/>
      <c r="SZA21" s="3507"/>
      <c r="SZB21" s="3507"/>
      <c r="SZC21" s="3507"/>
      <c r="SZD21" s="3507"/>
      <c r="SZE21" s="3507"/>
      <c r="SZF21" s="3507"/>
      <c r="SZG21" s="3507"/>
      <c r="SZH21" s="3507"/>
      <c r="SZI21" s="3507"/>
      <c r="SZJ21" s="3507"/>
      <c r="SZK21" s="3507"/>
      <c r="SZL21" s="3507"/>
      <c r="SZM21" s="3507"/>
      <c r="SZN21" s="3507"/>
      <c r="SZO21" s="3507"/>
      <c r="SZP21" s="3507"/>
      <c r="SZQ21" s="3507"/>
      <c r="SZR21" s="3507"/>
      <c r="SZS21" s="3507"/>
      <c r="SZT21" s="3507"/>
      <c r="SZU21" s="3507"/>
      <c r="SZV21" s="3507"/>
      <c r="SZW21" s="3507"/>
      <c r="SZX21" s="3507"/>
      <c r="SZY21" s="3507"/>
      <c r="SZZ21" s="3507"/>
      <c r="TAA21" s="3507"/>
      <c r="TAB21" s="3507"/>
      <c r="TAC21" s="3507"/>
      <c r="TAD21" s="3507"/>
      <c r="TAE21" s="3507"/>
      <c r="TAF21" s="3507"/>
      <c r="TAG21" s="3507"/>
      <c r="TAH21" s="3507"/>
      <c r="TAI21" s="3507"/>
      <c r="TAJ21" s="3507"/>
      <c r="TAK21" s="3507"/>
      <c r="TAL21" s="3507"/>
      <c r="TAM21" s="3507"/>
      <c r="TAN21" s="3507"/>
      <c r="TAO21" s="3507"/>
      <c r="TAP21" s="3507"/>
      <c r="TAQ21" s="3507"/>
      <c r="TAR21" s="3507"/>
      <c r="TAS21" s="3507"/>
      <c r="TAT21" s="3507"/>
      <c r="TAU21" s="3507"/>
      <c r="TAV21" s="3507"/>
      <c r="TAW21" s="3507"/>
      <c r="TAX21" s="3507"/>
      <c r="TAY21" s="3507"/>
      <c r="TAZ21" s="3507"/>
      <c r="TBA21" s="3507"/>
      <c r="TBB21" s="3507"/>
      <c r="TBC21" s="3507"/>
      <c r="TBD21" s="3507"/>
      <c r="TBE21" s="3507"/>
      <c r="TBF21" s="3507"/>
      <c r="TBG21" s="3507"/>
      <c r="TBH21" s="3507"/>
      <c r="TBI21" s="3507"/>
      <c r="TBJ21" s="3507"/>
      <c r="TBK21" s="3507"/>
      <c r="TBL21" s="3507"/>
      <c r="TBM21" s="3507"/>
      <c r="TBN21" s="3507"/>
      <c r="TBO21" s="3507"/>
      <c r="TBP21" s="3507"/>
      <c r="TBQ21" s="3507"/>
      <c r="TBR21" s="3507"/>
      <c r="TBS21" s="3507"/>
      <c r="TBT21" s="3507"/>
      <c r="TBU21" s="3507"/>
      <c r="TBV21" s="3507"/>
      <c r="TBW21" s="3507"/>
      <c r="TBX21" s="3507"/>
      <c r="TBY21" s="3507"/>
      <c r="TBZ21" s="3507"/>
      <c r="TCA21" s="3507"/>
      <c r="TCB21" s="3507"/>
      <c r="TCC21" s="3507"/>
      <c r="TCD21" s="3507"/>
      <c r="TCE21" s="3507"/>
      <c r="TCF21" s="3507"/>
      <c r="TCG21" s="3507"/>
      <c r="TCH21" s="3507"/>
      <c r="TCI21" s="3507"/>
      <c r="TCJ21" s="3507"/>
      <c r="TCK21" s="3507"/>
      <c r="TCL21" s="3507"/>
      <c r="TCM21" s="3507"/>
      <c r="TCN21" s="3507"/>
      <c r="TCO21" s="3507"/>
      <c r="TCP21" s="3507"/>
      <c r="TCQ21" s="3507"/>
      <c r="TCR21" s="3507"/>
      <c r="TCS21" s="3507"/>
      <c r="TCT21" s="3507"/>
      <c r="TCU21" s="3507"/>
      <c r="TCV21" s="3507"/>
      <c r="TCW21" s="3507"/>
      <c r="TCX21" s="3507"/>
      <c r="TCY21" s="3507"/>
      <c r="TCZ21" s="3507"/>
      <c r="TDA21" s="3507"/>
      <c r="TDB21" s="3507"/>
      <c r="TDC21" s="3507"/>
      <c r="TDD21" s="3507"/>
      <c r="TDE21" s="3507"/>
      <c r="TDF21" s="3507"/>
      <c r="TDG21" s="3507"/>
      <c r="TDH21" s="3507"/>
      <c r="TDI21" s="3507"/>
      <c r="TDJ21" s="3507"/>
      <c r="TDK21" s="3507"/>
      <c r="TDL21" s="3507"/>
      <c r="TDM21" s="3507"/>
      <c r="TDN21" s="3507"/>
      <c r="TDO21" s="3507"/>
      <c r="TDP21" s="3507"/>
      <c r="TDQ21" s="3507"/>
      <c r="TDR21" s="3507"/>
      <c r="TDS21" s="3507"/>
      <c r="TDT21" s="3507"/>
      <c r="TDU21" s="3507"/>
      <c r="TDV21" s="3507"/>
      <c r="TDW21" s="3507"/>
      <c r="TDX21" s="3507"/>
      <c r="TDY21" s="3507"/>
      <c r="TDZ21" s="3507"/>
      <c r="TEA21" s="3507"/>
      <c r="TEB21" s="3507"/>
      <c r="TEC21" s="3507"/>
      <c r="TED21" s="3507"/>
      <c r="TEE21" s="3507"/>
      <c r="TEF21" s="3507"/>
      <c r="TEG21" s="3507"/>
      <c r="TEH21" s="3507"/>
      <c r="TEI21" s="3507"/>
      <c r="TEJ21" s="3507"/>
      <c r="TEK21" s="3507"/>
      <c r="TEL21" s="3507"/>
      <c r="TEM21" s="3507"/>
      <c r="TEN21" s="3507"/>
      <c r="TEO21" s="3507"/>
      <c r="TEP21" s="3507"/>
      <c r="TEQ21" s="3507"/>
      <c r="TER21" s="3507"/>
      <c r="TES21" s="3507"/>
      <c r="TET21" s="3507"/>
      <c r="TEU21" s="3507"/>
      <c r="TEV21" s="3507"/>
      <c r="TEW21" s="3507"/>
      <c r="TEX21" s="3507"/>
      <c r="TEY21" s="3507"/>
      <c r="TEZ21" s="3507"/>
      <c r="TFA21" s="3507"/>
      <c r="TFB21" s="3507"/>
      <c r="TFC21" s="3507"/>
      <c r="TFD21" s="3507"/>
      <c r="TFE21" s="3507"/>
      <c r="TFF21" s="3507"/>
      <c r="TFG21" s="3507"/>
      <c r="TFH21" s="3507"/>
      <c r="TFI21" s="3507"/>
      <c r="TFJ21" s="3507"/>
      <c r="TFK21" s="3507"/>
      <c r="TFL21" s="3507"/>
      <c r="TFM21" s="3507"/>
      <c r="TFN21" s="3507"/>
      <c r="TFO21" s="3507"/>
      <c r="TFP21" s="3507"/>
      <c r="TFQ21" s="3507"/>
      <c r="TFR21" s="3507"/>
      <c r="TFS21" s="3507"/>
      <c r="TFT21" s="3507"/>
      <c r="TFU21" s="3507"/>
      <c r="TFV21" s="3507"/>
      <c r="TFW21" s="3507"/>
      <c r="TFX21" s="3507"/>
      <c r="TFY21" s="3507"/>
      <c r="TFZ21" s="3507"/>
      <c r="TGA21" s="3507"/>
      <c r="TGB21" s="3507"/>
      <c r="TGC21" s="3507"/>
      <c r="TGD21" s="3507"/>
      <c r="TGE21" s="3507"/>
      <c r="TGF21" s="3507"/>
      <c r="TGG21" s="3507"/>
      <c r="TGH21" s="3507"/>
      <c r="TGI21" s="3507"/>
      <c r="TGJ21" s="3507"/>
      <c r="TGK21" s="3507"/>
      <c r="TGL21" s="3507"/>
      <c r="TGM21" s="3507"/>
      <c r="TGN21" s="3507"/>
      <c r="TGO21" s="3507"/>
      <c r="TGP21" s="3507"/>
      <c r="TGQ21" s="3507"/>
      <c r="TGR21" s="3507"/>
      <c r="TGS21" s="3507"/>
      <c r="TGT21" s="3507"/>
      <c r="TGU21" s="3507"/>
      <c r="TGV21" s="3507"/>
      <c r="TGW21" s="3507"/>
      <c r="TGX21" s="3507"/>
      <c r="TGY21" s="3507"/>
      <c r="TGZ21" s="3507"/>
      <c r="THA21" s="3507"/>
      <c r="THB21" s="3507"/>
      <c r="THC21" s="3507"/>
      <c r="THD21" s="3507"/>
      <c r="THE21" s="3507"/>
      <c r="THF21" s="3507"/>
      <c r="THG21" s="3507"/>
      <c r="THH21" s="3507"/>
      <c r="THI21" s="3507"/>
      <c r="THJ21" s="3507"/>
      <c r="THK21" s="3507"/>
      <c r="THL21" s="3507"/>
      <c r="THM21" s="3507"/>
      <c r="THN21" s="3507"/>
      <c r="THO21" s="3507"/>
      <c r="THP21" s="3507"/>
      <c r="THQ21" s="3507"/>
      <c r="THR21" s="3507"/>
      <c r="THS21" s="3507"/>
      <c r="THT21" s="3507"/>
      <c r="THU21" s="3507"/>
      <c r="THV21" s="3507"/>
      <c r="THW21" s="3507"/>
      <c r="THX21" s="3507"/>
      <c r="THY21" s="3507"/>
      <c r="THZ21" s="3507"/>
      <c r="TIA21" s="3507"/>
      <c r="TIB21" s="3507"/>
      <c r="TIC21" s="3507"/>
      <c r="TID21" s="3507"/>
      <c r="TIE21" s="3507"/>
      <c r="TIF21" s="3507"/>
      <c r="TIG21" s="3507"/>
      <c r="TIH21" s="3507"/>
      <c r="TII21" s="3507"/>
      <c r="TIJ21" s="3507"/>
      <c r="TIK21" s="3507"/>
      <c r="TIL21" s="3507"/>
      <c r="TIM21" s="3507"/>
      <c r="TIN21" s="3507"/>
      <c r="TIO21" s="3507"/>
      <c r="TIP21" s="3507"/>
      <c r="TIQ21" s="3507"/>
      <c r="TIR21" s="3507"/>
      <c r="TIS21" s="3507"/>
      <c r="TIT21" s="3507"/>
      <c r="TIU21" s="3507"/>
      <c r="TIV21" s="3507"/>
      <c r="TIW21" s="3507"/>
      <c r="TIX21" s="3507"/>
      <c r="TIY21" s="3507"/>
      <c r="TIZ21" s="3507"/>
      <c r="TJA21" s="3507"/>
      <c r="TJB21" s="3507"/>
      <c r="TJC21" s="3507"/>
      <c r="TJD21" s="3507"/>
      <c r="TJE21" s="3507"/>
      <c r="TJF21" s="3507"/>
      <c r="TJG21" s="3507"/>
      <c r="TJH21" s="3507"/>
      <c r="TJI21" s="3507"/>
      <c r="TJJ21" s="3507"/>
      <c r="TJK21" s="3507"/>
      <c r="TJL21" s="3507"/>
      <c r="TJM21" s="3507"/>
      <c r="TJN21" s="3507"/>
      <c r="TJO21" s="3507"/>
      <c r="TJP21" s="3507"/>
      <c r="TJQ21" s="3507"/>
      <c r="TJR21" s="3507"/>
      <c r="TJS21" s="3507"/>
      <c r="TJT21" s="3507"/>
      <c r="TJU21" s="3507"/>
      <c r="TJV21" s="3507"/>
      <c r="TJW21" s="3507"/>
      <c r="TJX21" s="3507"/>
      <c r="TJY21" s="3507"/>
      <c r="TJZ21" s="3507"/>
      <c r="TKA21" s="3507"/>
      <c r="TKB21" s="3507"/>
      <c r="TKC21" s="3507"/>
      <c r="TKD21" s="3507"/>
      <c r="TKE21" s="3507"/>
      <c r="TKF21" s="3507"/>
      <c r="TKG21" s="3507"/>
      <c r="TKH21" s="3507"/>
      <c r="TKI21" s="3507"/>
      <c r="TKJ21" s="3507"/>
      <c r="TKK21" s="3507"/>
      <c r="TKL21" s="3507"/>
      <c r="TKM21" s="3507"/>
      <c r="TKN21" s="3507"/>
      <c r="TKO21" s="3507"/>
      <c r="TKP21" s="3507"/>
      <c r="TKQ21" s="3507"/>
      <c r="TKR21" s="3507"/>
      <c r="TKS21" s="3507"/>
      <c r="TKT21" s="3507"/>
      <c r="TKU21" s="3507"/>
      <c r="TKV21" s="3507"/>
      <c r="TKW21" s="3507"/>
      <c r="TKX21" s="3507"/>
      <c r="TKY21" s="3507"/>
      <c r="TKZ21" s="3507"/>
      <c r="TLA21" s="3507"/>
      <c r="TLB21" s="3507"/>
      <c r="TLC21" s="3507"/>
      <c r="TLD21" s="3507"/>
      <c r="TLE21" s="3507"/>
      <c r="TLF21" s="3507"/>
      <c r="TLG21" s="3507"/>
      <c r="TLH21" s="3507"/>
      <c r="TLI21" s="3507"/>
      <c r="TLJ21" s="3507"/>
      <c r="TLK21" s="3507"/>
      <c r="TLL21" s="3507"/>
      <c r="TLM21" s="3507"/>
      <c r="TLN21" s="3507"/>
      <c r="TLO21" s="3507"/>
      <c r="TLP21" s="3507"/>
      <c r="TLQ21" s="3507"/>
      <c r="TLR21" s="3507"/>
      <c r="TLS21" s="3507"/>
      <c r="TLT21" s="3507"/>
      <c r="TLU21" s="3507"/>
      <c r="TLV21" s="3507"/>
      <c r="TLW21" s="3507"/>
      <c r="TLX21" s="3507"/>
      <c r="TLY21" s="3507"/>
      <c r="TLZ21" s="3507"/>
      <c r="TMA21" s="3507"/>
      <c r="TMB21" s="3507"/>
      <c r="TMC21" s="3507"/>
      <c r="TMD21" s="3507"/>
      <c r="TME21" s="3507"/>
      <c r="TMF21" s="3507"/>
      <c r="TMG21" s="3507"/>
      <c r="TMH21" s="3507"/>
      <c r="TMI21" s="3507"/>
      <c r="TMJ21" s="3507"/>
      <c r="TMK21" s="3507"/>
      <c r="TML21" s="3507"/>
      <c r="TMM21" s="3507"/>
      <c r="TMN21" s="3507"/>
      <c r="TMO21" s="3507"/>
      <c r="TMP21" s="3507"/>
      <c r="TMQ21" s="3507"/>
      <c r="TMR21" s="3507"/>
      <c r="TMS21" s="3507"/>
      <c r="TMT21" s="3507"/>
      <c r="TMU21" s="3507"/>
      <c r="TMV21" s="3507"/>
      <c r="TMW21" s="3507"/>
      <c r="TMX21" s="3507"/>
      <c r="TMY21" s="3507"/>
      <c r="TMZ21" s="3507"/>
      <c r="TNA21" s="3507"/>
      <c r="TNB21" s="3507"/>
      <c r="TNC21" s="3507"/>
      <c r="TND21" s="3507"/>
      <c r="TNE21" s="3507"/>
      <c r="TNF21" s="3507"/>
      <c r="TNG21" s="3507"/>
      <c r="TNH21" s="3507"/>
      <c r="TNI21" s="3507"/>
      <c r="TNJ21" s="3507"/>
      <c r="TNK21" s="3507"/>
      <c r="TNL21" s="3507"/>
      <c r="TNM21" s="3507"/>
      <c r="TNN21" s="3507"/>
      <c r="TNO21" s="3507"/>
      <c r="TNP21" s="3507"/>
      <c r="TNQ21" s="3507"/>
      <c r="TNR21" s="3507"/>
      <c r="TNS21" s="3507"/>
      <c r="TNT21" s="3507"/>
      <c r="TNU21" s="3507"/>
      <c r="TNV21" s="3507"/>
      <c r="TNW21" s="3507"/>
      <c r="TNX21" s="3507"/>
      <c r="TNY21" s="3507"/>
      <c r="TNZ21" s="3507"/>
      <c r="TOA21" s="3507"/>
      <c r="TOB21" s="3507"/>
      <c r="TOC21" s="3507"/>
      <c r="TOD21" s="3507"/>
      <c r="TOE21" s="3507"/>
      <c r="TOF21" s="3507"/>
      <c r="TOG21" s="3507"/>
      <c r="TOH21" s="3507"/>
      <c r="TOI21" s="3507"/>
      <c r="TOJ21" s="3507"/>
      <c r="TOK21" s="3507"/>
      <c r="TOL21" s="3507"/>
      <c r="TOM21" s="3507"/>
      <c r="TON21" s="3507"/>
      <c r="TOO21" s="3507"/>
      <c r="TOP21" s="3507"/>
      <c r="TOQ21" s="3507"/>
      <c r="TOR21" s="3507"/>
      <c r="TOS21" s="3507"/>
      <c r="TOT21" s="3507"/>
      <c r="TOU21" s="3507"/>
      <c r="TOV21" s="3507"/>
      <c r="TOW21" s="3507"/>
      <c r="TOX21" s="3507"/>
      <c r="TOY21" s="3507"/>
      <c r="TOZ21" s="3507"/>
      <c r="TPA21" s="3507"/>
      <c r="TPB21" s="3507"/>
      <c r="TPC21" s="3507"/>
      <c r="TPD21" s="3507"/>
      <c r="TPE21" s="3507"/>
      <c r="TPF21" s="3507"/>
      <c r="TPG21" s="3507"/>
      <c r="TPH21" s="3507"/>
      <c r="TPI21" s="3507"/>
      <c r="TPJ21" s="3507"/>
      <c r="TPK21" s="3507"/>
      <c r="TPL21" s="3507"/>
      <c r="TPM21" s="3507"/>
      <c r="TPN21" s="3507"/>
      <c r="TPO21" s="3507"/>
      <c r="TPP21" s="3507"/>
      <c r="TPQ21" s="3507"/>
      <c r="TPR21" s="3507"/>
      <c r="TPS21" s="3507"/>
      <c r="TPT21" s="3507"/>
      <c r="TPU21" s="3507"/>
      <c r="TPV21" s="3507"/>
      <c r="TPW21" s="3507"/>
      <c r="TPX21" s="3507"/>
      <c r="TPY21" s="3507"/>
      <c r="TPZ21" s="3507"/>
      <c r="TQA21" s="3507"/>
      <c r="TQB21" s="3507"/>
      <c r="TQC21" s="3507"/>
      <c r="TQD21" s="3507"/>
      <c r="TQE21" s="3507"/>
      <c r="TQF21" s="3507"/>
      <c r="TQG21" s="3507"/>
      <c r="TQH21" s="3507"/>
      <c r="TQI21" s="3507"/>
      <c r="TQJ21" s="3507"/>
      <c r="TQK21" s="3507"/>
      <c r="TQL21" s="3507"/>
      <c r="TQM21" s="3507"/>
      <c r="TQN21" s="3507"/>
      <c r="TQO21" s="3507"/>
      <c r="TQP21" s="3507"/>
      <c r="TQQ21" s="3507"/>
      <c r="TQR21" s="3507"/>
      <c r="TQS21" s="3507"/>
      <c r="TQT21" s="3507"/>
      <c r="TQU21" s="3507"/>
      <c r="TQV21" s="3507"/>
      <c r="TQW21" s="3507"/>
      <c r="TQX21" s="3507"/>
      <c r="TQY21" s="3507"/>
      <c r="TQZ21" s="3507"/>
      <c r="TRA21" s="3507"/>
      <c r="TRB21" s="3507"/>
      <c r="TRC21" s="3507"/>
      <c r="TRD21" s="3507"/>
      <c r="TRE21" s="3507"/>
      <c r="TRF21" s="3507"/>
      <c r="TRG21" s="3507"/>
      <c r="TRH21" s="3507"/>
      <c r="TRI21" s="3507"/>
      <c r="TRJ21" s="3507"/>
      <c r="TRK21" s="3507"/>
      <c r="TRL21" s="3507"/>
      <c r="TRM21" s="3507"/>
      <c r="TRN21" s="3507"/>
      <c r="TRO21" s="3507"/>
      <c r="TRP21" s="3507"/>
      <c r="TRQ21" s="3507"/>
      <c r="TRR21" s="3507"/>
      <c r="TRS21" s="3507"/>
      <c r="TRT21" s="3507"/>
      <c r="TRU21" s="3507"/>
      <c r="TRV21" s="3507"/>
      <c r="TRW21" s="3507"/>
      <c r="TRX21" s="3507"/>
      <c r="TRY21" s="3507"/>
      <c r="TRZ21" s="3507"/>
      <c r="TSA21" s="3507"/>
      <c r="TSB21" s="3507"/>
      <c r="TSC21" s="3507"/>
      <c r="TSD21" s="3507"/>
      <c r="TSE21" s="3507"/>
      <c r="TSF21" s="3507"/>
      <c r="TSG21" s="3507"/>
      <c r="TSH21" s="3507"/>
      <c r="TSI21" s="3507"/>
      <c r="TSJ21" s="3507"/>
      <c r="TSK21" s="3507"/>
      <c r="TSL21" s="3507"/>
      <c r="TSM21" s="3507"/>
      <c r="TSN21" s="3507"/>
      <c r="TSO21" s="3507"/>
      <c r="TSP21" s="3507"/>
      <c r="TSQ21" s="3507"/>
      <c r="TSR21" s="3507"/>
      <c r="TSS21" s="3507"/>
      <c r="TST21" s="3507"/>
      <c r="TSU21" s="3507"/>
      <c r="TSV21" s="3507"/>
      <c r="TSW21" s="3507"/>
      <c r="TSX21" s="3507"/>
      <c r="TSY21" s="3507"/>
      <c r="TSZ21" s="3507"/>
      <c r="TTA21" s="3507"/>
      <c r="TTB21" s="3507"/>
      <c r="TTC21" s="3507"/>
      <c r="TTD21" s="3507"/>
      <c r="TTE21" s="3507"/>
      <c r="TTF21" s="3507"/>
      <c r="TTG21" s="3507"/>
      <c r="TTH21" s="3507"/>
      <c r="TTI21" s="3507"/>
      <c r="TTJ21" s="3507"/>
      <c r="TTK21" s="3507"/>
      <c r="TTL21" s="3507"/>
      <c r="TTM21" s="3507"/>
      <c r="TTN21" s="3507"/>
      <c r="TTO21" s="3507"/>
      <c r="TTP21" s="3507"/>
      <c r="TTQ21" s="3507"/>
      <c r="TTR21" s="3507"/>
      <c r="TTS21" s="3507"/>
      <c r="TTT21" s="3507"/>
      <c r="TTU21" s="3507"/>
      <c r="TTV21" s="3507"/>
      <c r="TTW21" s="3507"/>
      <c r="TTX21" s="3507"/>
      <c r="TTY21" s="3507"/>
      <c r="TTZ21" s="3507"/>
      <c r="TUA21" s="3507"/>
      <c r="TUB21" s="3507"/>
      <c r="TUC21" s="3507"/>
      <c r="TUD21" s="3507"/>
      <c r="TUE21" s="3507"/>
      <c r="TUF21" s="3507"/>
      <c r="TUG21" s="3507"/>
      <c r="TUH21" s="3507"/>
      <c r="TUI21" s="3507"/>
      <c r="TUJ21" s="3507"/>
      <c r="TUK21" s="3507"/>
      <c r="TUL21" s="3507"/>
      <c r="TUM21" s="3507"/>
      <c r="TUN21" s="3507"/>
      <c r="TUO21" s="3507"/>
      <c r="TUP21" s="3507"/>
      <c r="TUQ21" s="3507"/>
      <c r="TUR21" s="3507"/>
      <c r="TUS21" s="3507"/>
      <c r="TUT21" s="3507"/>
      <c r="TUU21" s="3507"/>
      <c r="TUV21" s="3507"/>
      <c r="TUW21" s="3507"/>
      <c r="TUX21" s="3507"/>
      <c r="TUY21" s="3507"/>
      <c r="TUZ21" s="3507"/>
      <c r="TVA21" s="3507"/>
      <c r="TVB21" s="3507"/>
      <c r="TVC21" s="3507"/>
      <c r="TVD21" s="3507"/>
      <c r="TVE21" s="3507"/>
      <c r="TVF21" s="3507"/>
      <c r="TVG21" s="3507"/>
      <c r="TVH21" s="3507"/>
      <c r="TVI21" s="3507"/>
      <c r="TVJ21" s="3507"/>
      <c r="TVK21" s="3507"/>
      <c r="TVL21" s="3507"/>
      <c r="TVM21" s="3507"/>
      <c r="TVN21" s="3507"/>
      <c r="TVO21" s="3507"/>
      <c r="TVP21" s="3507"/>
      <c r="TVQ21" s="3507"/>
      <c r="TVR21" s="3507"/>
      <c r="TVS21" s="3507"/>
      <c r="TVT21" s="3507"/>
      <c r="TVU21" s="3507"/>
      <c r="TVV21" s="3507"/>
      <c r="TVW21" s="3507"/>
      <c r="TVX21" s="3507"/>
      <c r="TVY21" s="3507"/>
      <c r="TVZ21" s="3507"/>
      <c r="TWA21" s="3507"/>
      <c r="TWB21" s="3507"/>
      <c r="TWC21" s="3507"/>
      <c r="TWD21" s="3507"/>
      <c r="TWE21" s="3507"/>
      <c r="TWF21" s="3507"/>
      <c r="TWG21" s="3507"/>
      <c r="TWH21" s="3507"/>
      <c r="TWI21" s="3507"/>
      <c r="TWJ21" s="3507"/>
      <c r="TWK21" s="3507"/>
      <c r="TWL21" s="3507"/>
      <c r="TWM21" s="3507"/>
      <c r="TWN21" s="3507"/>
      <c r="TWO21" s="3507"/>
      <c r="TWP21" s="3507"/>
      <c r="TWQ21" s="3507"/>
      <c r="TWR21" s="3507"/>
      <c r="TWS21" s="3507"/>
      <c r="TWT21" s="3507"/>
      <c r="TWU21" s="3507"/>
      <c r="TWV21" s="3507"/>
      <c r="TWW21" s="3507"/>
      <c r="TWX21" s="3507"/>
      <c r="TWY21" s="3507"/>
      <c r="TWZ21" s="3507"/>
      <c r="TXA21" s="3507"/>
      <c r="TXB21" s="3507"/>
      <c r="TXC21" s="3507"/>
      <c r="TXD21" s="3507"/>
      <c r="TXE21" s="3507"/>
      <c r="TXF21" s="3507"/>
      <c r="TXG21" s="3507"/>
      <c r="TXH21" s="3507"/>
      <c r="TXI21" s="3507"/>
      <c r="TXJ21" s="3507"/>
      <c r="TXK21" s="3507"/>
      <c r="TXL21" s="3507"/>
      <c r="TXM21" s="3507"/>
      <c r="TXN21" s="3507"/>
      <c r="TXO21" s="3507"/>
      <c r="TXP21" s="3507"/>
      <c r="TXQ21" s="3507"/>
      <c r="TXR21" s="3507"/>
      <c r="TXS21" s="3507"/>
      <c r="TXT21" s="3507"/>
      <c r="TXU21" s="3507"/>
      <c r="TXV21" s="3507"/>
      <c r="TXW21" s="3507"/>
      <c r="TXX21" s="3507"/>
      <c r="TXY21" s="3507"/>
      <c r="TXZ21" s="3507"/>
      <c r="TYA21" s="3507"/>
      <c r="TYB21" s="3507"/>
      <c r="TYC21" s="3507"/>
      <c r="TYD21" s="3507"/>
      <c r="TYE21" s="3507"/>
      <c r="TYF21" s="3507"/>
      <c r="TYG21" s="3507"/>
      <c r="TYH21" s="3507"/>
      <c r="TYI21" s="3507"/>
      <c r="TYJ21" s="3507"/>
      <c r="TYK21" s="3507"/>
      <c r="TYL21" s="3507"/>
      <c r="TYM21" s="3507"/>
      <c r="TYN21" s="3507"/>
      <c r="TYO21" s="3507"/>
      <c r="TYP21" s="3507"/>
      <c r="TYQ21" s="3507"/>
      <c r="TYR21" s="3507"/>
      <c r="TYS21" s="3507"/>
      <c r="TYT21" s="3507"/>
      <c r="TYU21" s="3507"/>
      <c r="TYV21" s="3507"/>
      <c r="TYW21" s="3507"/>
      <c r="TYX21" s="3507"/>
      <c r="TYY21" s="3507"/>
      <c r="TYZ21" s="3507"/>
      <c r="TZA21" s="3507"/>
      <c r="TZB21" s="3507"/>
      <c r="TZC21" s="3507"/>
      <c r="TZD21" s="3507"/>
      <c r="TZE21" s="3507"/>
      <c r="TZF21" s="3507"/>
      <c r="TZG21" s="3507"/>
      <c r="TZH21" s="3507"/>
      <c r="TZI21" s="3507"/>
      <c r="TZJ21" s="3507"/>
      <c r="TZK21" s="3507"/>
      <c r="TZL21" s="3507"/>
      <c r="TZM21" s="3507"/>
      <c r="TZN21" s="3507"/>
      <c r="TZO21" s="3507"/>
      <c r="TZP21" s="3507"/>
      <c r="TZQ21" s="3507"/>
      <c r="TZR21" s="3507"/>
      <c r="TZS21" s="3507"/>
      <c r="TZT21" s="3507"/>
      <c r="TZU21" s="3507"/>
      <c r="TZV21" s="3507"/>
      <c r="TZW21" s="3507"/>
      <c r="TZX21" s="3507"/>
      <c r="TZY21" s="3507"/>
      <c r="TZZ21" s="3507"/>
      <c r="UAA21" s="3507"/>
      <c r="UAB21" s="3507"/>
      <c r="UAC21" s="3507"/>
      <c r="UAD21" s="3507"/>
      <c r="UAE21" s="3507"/>
      <c r="UAF21" s="3507"/>
      <c r="UAG21" s="3507"/>
      <c r="UAH21" s="3507"/>
      <c r="UAI21" s="3507"/>
      <c r="UAJ21" s="3507"/>
      <c r="UAK21" s="3507"/>
      <c r="UAL21" s="3507"/>
      <c r="UAM21" s="3507"/>
      <c r="UAN21" s="3507"/>
      <c r="UAO21" s="3507"/>
      <c r="UAP21" s="3507"/>
      <c r="UAQ21" s="3507"/>
      <c r="UAR21" s="3507"/>
      <c r="UAS21" s="3507"/>
      <c r="UAT21" s="3507"/>
      <c r="UAU21" s="3507"/>
      <c r="UAV21" s="3507"/>
      <c r="UAW21" s="3507"/>
      <c r="UAX21" s="3507"/>
      <c r="UAY21" s="3507"/>
      <c r="UAZ21" s="3507"/>
      <c r="UBA21" s="3507"/>
      <c r="UBB21" s="3507"/>
      <c r="UBC21" s="3507"/>
      <c r="UBD21" s="3507"/>
      <c r="UBE21" s="3507"/>
      <c r="UBF21" s="3507"/>
      <c r="UBG21" s="3507"/>
      <c r="UBH21" s="3507"/>
      <c r="UBI21" s="3507"/>
      <c r="UBJ21" s="3507"/>
      <c r="UBK21" s="3507"/>
      <c r="UBL21" s="3507"/>
      <c r="UBM21" s="3507"/>
      <c r="UBN21" s="3507"/>
      <c r="UBO21" s="3507"/>
      <c r="UBP21" s="3507"/>
      <c r="UBQ21" s="3507"/>
      <c r="UBR21" s="3507"/>
      <c r="UBS21" s="3507"/>
      <c r="UBT21" s="3507"/>
      <c r="UBU21" s="3507"/>
      <c r="UBV21" s="3507"/>
      <c r="UBW21" s="3507"/>
      <c r="UBX21" s="3507"/>
      <c r="UBY21" s="3507"/>
      <c r="UBZ21" s="3507"/>
      <c r="UCA21" s="3507"/>
      <c r="UCB21" s="3507"/>
      <c r="UCC21" s="3507"/>
      <c r="UCD21" s="3507"/>
      <c r="UCE21" s="3507"/>
      <c r="UCF21" s="3507"/>
      <c r="UCG21" s="3507"/>
      <c r="UCH21" s="3507"/>
      <c r="UCI21" s="3507"/>
      <c r="UCJ21" s="3507"/>
      <c r="UCK21" s="3507"/>
      <c r="UCL21" s="3507"/>
      <c r="UCM21" s="3507"/>
      <c r="UCN21" s="3507"/>
      <c r="UCO21" s="3507"/>
      <c r="UCP21" s="3507"/>
      <c r="UCQ21" s="3507"/>
      <c r="UCR21" s="3507"/>
      <c r="UCS21" s="3507"/>
      <c r="UCT21" s="3507"/>
      <c r="UCU21" s="3507"/>
      <c r="UCV21" s="3507"/>
      <c r="UCW21" s="3507"/>
      <c r="UCX21" s="3507"/>
      <c r="UCY21" s="3507"/>
      <c r="UCZ21" s="3507"/>
      <c r="UDA21" s="3507"/>
      <c r="UDB21" s="3507"/>
      <c r="UDC21" s="3507"/>
      <c r="UDD21" s="3507"/>
      <c r="UDE21" s="3507"/>
      <c r="UDF21" s="3507"/>
      <c r="UDG21" s="3507"/>
      <c r="UDH21" s="3507"/>
      <c r="UDI21" s="3507"/>
      <c r="UDJ21" s="3507"/>
      <c r="UDK21" s="3507"/>
      <c r="UDL21" s="3507"/>
      <c r="UDM21" s="3507"/>
      <c r="UDN21" s="3507"/>
      <c r="UDO21" s="3507"/>
      <c r="UDP21" s="3507"/>
      <c r="UDQ21" s="3507"/>
      <c r="UDR21" s="3507"/>
      <c r="UDS21" s="3507"/>
      <c r="UDT21" s="3507"/>
      <c r="UDU21" s="3507"/>
      <c r="UDV21" s="3507"/>
      <c r="UDW21" s="3507"/>
      <c r="UDX21" s="3507"/>
      <c r="UDY21" s="3507"/>
      <c r="UDZ21" s="3507"/>
      <c r="UEA21" s="3507"/>
      <c r="UEB21" s="3507"/>
      <c r="UEC21" s="3507"/>
      <c r="UED21" s="3507"/>
      <c r="UEE21" s="3507"/>
      <c r="UEF21" s="3507"/>
      <c r="UEG21" s="3507"/>
      <c r="UEH21" s="3507"/>
      <c r="UEI21" s="3507"/>
      <c r="UEJ21" s="3507"/>
      <c r="UEK21" s="3507"/>
      <c r="UEL21" s="3507"/>
      <c r="UEM21" s="3507"/>
      <c r="UEN21" s="3507"/>
      <c r="UEO21" s="3507"/>
      <c r="UEP21" s="3507"/>
      <c r="UEQ21" s="3507"/>
      <c r="UER21" s="3507"/>
      <c r="UES21" s="3507"/>
      <c r="UET21" s="3507"/>
      <c r="UEU21" s="3507"/>
      <c r="UEV21" s="3507"/>
      <c r="UEW21" s="3507"/>
      <c r="UEX21" s="3507"/>
      <c r="UEY21" s="3507"/>
      <c r="UEZ21" s="3507"/>
      <c r="UFA21" s="3507"/>
      <c r="UFB21" s="3507"/>
      <c r="UFC21" s="3507"/>
      <c r="UFD21" s="3507"/>
      <c r="UFE21" s="3507"/>
      <c r="UFF21" s="3507"/>
      <c r="UFG21" s="3507"/>
      <c r="UFH21" s="3507"/>
      <c r="UFI21" s="3507"/>
      <c r="UFJ21" s="3507"/>
      <c r="UFK21" s="3507"/>
      <c r="UFL21" s="3507"/>
      <c r="UFM21" s="3507"/>
      <c r="UFN21" s="3507"/>
      <c r="UFO21" s="3507"/>
      <c r="UFP21" s="3507"/>
      <c r="UFQ21" s="3507"/>
      <c r="UFR21" s="3507"/>
      <c r="UFS21" s="3507"/>
      <c r="UFT21" s="3507"/>
      <c r="UFU21" s="3507"/>
      <c r="UFV21" s="3507"/>
      <c r="UFW21" s="3507"/>
      <c r="UFX21" s="3507"/>
      <c r="UFY21" s="3507"/>
      <c r="UFZ21" s="3507"/>
      <c r="UGA21" s="3507"/>
      <c r="UGB21" s="3507"/>
      <c r="UGC21" s="3507"/>
      <c r="UGD21" s="3507"/>
      <c r="UGE21" s="3507"/>
      <c r="UGF21" s="3507"/>
      <c r="UGG21" s="3507"/>
      <c r="UGH21" s="3507"/>
      <c r="UGI21" s="3507"/>
      <c r="UGJ21" s="3507"/>
      <c r="UGK21" s="3507"/>
      <c r="UGL21" s="3507"/>
      <c r="UGM21" s="3507"/>
      <c r="UGN21" s="3507"/>
      <c r="UGO21" s="3507"/>
      <c r="UGP21" s="3507"/>
      <c r="UGQ21" s="3507"/>
      <c r="UGR21" s="3507"/>
      <c r="UGS21" s="3507"/>
      <c r="UGT21" s="3507"/>
      <c r="UGU21" s="3507"/>
      <c r="UGV21" s="3507"/>
      <c r="UGW21" s="3507"/>
      <c r="UGX21" s="3507"/>
      <c r="UGY21" s="3507"/>
      <c r="UGZ21" s="3507"/>
      <c r="UHA21" s="3507"/>
      <c r="UHB21" s="3507"/>
      <c r="UHC21" s="3507"/>
      <c r="UHD21" s="3507"/>
      <c r="UHE21" s="3507"/>
      <c r="UHF21" s="3507"/>
      <c r="UHG21" s="3507"/>
      <c r="UHH21" s="3507"/>
      <c r="UHI21" s="3507"/>
      <c r="UHJ21" s="3507"/>
      <c r="UHK21" s="3507"/>
      <c r="UHL21" s="3507"/>
      <c r="UHM21" s="3507"/>
      <c r="UHN21" s="3507"/>
      <c r="UHO21" s="3507"/>
      <c r="UHP21" s="3507"/>
      <c r="UHQ21" s="3507"/>
      <c r="UHR21" s="3507"/>
      <c r="UHS21" s="3507"/>
      <c r="UHT21" s="3507"/>
      <c r="UHU21" s="3507"/>
      <c r="UHV21" s="3507"/>
      <c r="UHW21" s="3507"/>
      <c r="UHX21" s="3507"/>
      <c r="UHY21" s="3507"/>
      <c r="UHZ21" s="3507"/>
      <c r="UIA21" s="3507"/>
      <c r="UIB21" s="3507"/>
      <c r="UIC21" s="3507"/>
      <c r="UID21" s="3507"/>
      <c r="UIE21" s="3507"/>
      <c r="UIF21" s="3507"/>
      <c r="UIG21" s="3507"/>
      <c r="UIH21" s="3507"/>
      <c r="UII21" s="3507"/>
      <c r="UIJ21" s="3507"/>
      <c r="UIK21" s="3507"/>
      <c r="UIL21" s="3507"/>
      <c r="UIM21" s="3507"/>
      <c r="UIN21" s="3507"/>
      <c r="UIO21" s="3507"/>
      <c r="UIP21" s="3507"/>
      <c r="UIQ21" s="3507"/>
      <c r="UIR21" s="3507"/>
      <c r="UIS21" s="3507"/>
      <c r="UIT21" s="3507"/>
      <c r="UIU21" s="3507"/>
      <c r="UIV21" s="3507"/>
      <c r="UIW21" s="3507"/>
      <c r="UIX21" s="3507"/>
      <c r="UIY21" s="3507"/>
      <c r="UIZ21" s="3507"/>
      <c r="UJA21" s="3507"/>
      <c r="UJB21" s="3507"/>
      <c r="UJC21" s="3507"/>
      <c r="UJD21" s="3507"/>
      <c r="UJE21" s="3507"/>
      <c r="UJF21" s="3507"/>
      <c r="UJG21" s="3507"/>
      <c r="UJH21" s="3507"/>
      <c r="UJI21" s="3507"/>
      <c r="UJJ21" s="3507"/>
      <c r="UJK21" s="3507"/>
      <c r="UJL21" s="3507"/>
      <c r="UJM21" s="3507"/>
      <c r="UJN21" s="3507"/>
      <c r="UJO21" s="3507"/>
      <c r="UJP21" s="3507"/>
      <c r="UJQ21" s="3507"/>
      <c r="UJR21" s="3507"/>
      <c r="UJS21" s="3507"/>
      <c r="UJT21" s="3507"/>
      <c r="UJU21" s="3507"/>
      <c r="UJV21" s="3507"/>
      <c r="UJW21" s="3507"/>
      <c r="UJX21" s="3507"/>
      <c r="UJY21" s="3507"/>
      <c r="UJZ21" s="3507"/>
      <c r="UKA21" s="3507"/>
      <c r="UKB21" s="3507"/>
      <c r="UKC21" s="3507"/>
      <c r="UKD21" s="3507"/>
      <c r="UKE21" s="3507"/>
      <c r="UKF21" s="3507"/>
      <c r="UKG21" s="3507"/>
      <c r="UKH21" s="3507"/>
      <c r="UKI21" s="3507"/>
      <c r="UKJ21" s="3507"/>
      <c r="UKK21" s="3507"/>
      <c r="UKL21" s="3507"/>
      <c r="UKM21" s="3507"/>
      <c r="UKN21" s="3507"/>
      <c r="UKO21" s="3507"/>
      <c r="UKP21" s="3507"/>
      <c r="UKQ21" s="3507"/>
      <c r="UKR21" s="3507"/>
      <c r="UKS21" s="3507"/>
      <c r="UKT21" s="3507"/>
      <c r="UKU21" s="3507"/>
      <c r="UKV21" s="3507"/>
      <c r="UKW21" s="3507"/>
      <c r="UKX21" s="3507"/>
      <c r="UKY21" s="3507"/>
      <c r="UKZ21" s="3507"/>
      <c r="ULA21" s="3507"/>
      <c r="ULB21" s="3507"/>
      <c r="ULC21" s="3507"/>
      <c r="ULD21" s="3507"/>
      <c r="ULE21" s="3507"/>
      <c r="ULF21" s="3507"/>
      <c r="ULG21" s="3507"/>
      <c r="ULH21" s="3507"/>
      <c r="ULI21" s="3507"/>
      <c r="ULJ21" s="3507"/>
      <c r="ULK21" s="3507"/>
      <c r="ULL21" s="3507"/>
      <c r="ULM21" s="3507"/>
      <c r="ULN21" s="3507"/>
      <c r="ULO21" s="3507"/>
      <c r="ULP21" s="3507"/>
      <c r="ULQ21" s="3507"/>
      <c r="ULR21" s="3507"/>
      <c r="ULS21" s="3507"/>
      <c r="ULT21" s="3507"/>
      <c r="ULU21" s="3507"/>
      <c r="ULV21" s="3507"/>
      <c r="ULW21" s="3507"/>
      <c r="ULX21" s="3507"/>
      <c r="ULY21" s="3507"/>
      <c r="ULZ21" s="3507"/>
      <c r="UMA21" s="3507"/>
      <c r="UMB21" s="3507"/>
      <c r="UMC21" s="3507"/>
      <c r="UMD21" s="3507"/>
      <c r="UME21" s="3507"/>
      <c r="UMF21" s="3507"/>
      <c r="UMG21" s="3507"/>
      <c r="UMH21" s="3507"/>
      <c r="UMI21" s="3507"/>
      <c r="UMJ21" s="3507"/>
      <c r="UMK21" s="3507"/>
      <c r="UML21" s="3507"/>
      <c r="UMM21" s="3507"/>
      <c r="UMN21" s="3507"/>
      <c r="UMO21" s="3507"/>
      <c r="UMP21" s="3507"/>
      <c r="UMQ21" s="3507"/>
      <c r="UMR21" s="3507"/>
      <c r="UMS21" s="3507"/>
      <c r="UMT21" s="3507"/>
      <c r="UMU21" s="3507"/>
      <c r="UMV21" s="3507"/>
      <c r="UMW21" s="3507"/>
      <c r="UMX21" s="3507"/>
      <c r="UMY21" s="3507"/>
      <c r="UMZ21" s="3507"/>
      <c r="UNA21" s="3507"/>
      <c r="UNB21" s="3507"/>
      <c r="UNC21" s="3507"/>
      <c r="UND21" s="3507"/>
      <c r="UNE21" s="3507"/>
      <c r="UNF21" s="3507"/>
      <c r="UNG21" s="3507"/>
      <c r="UNH21" s="3507"/>
      <c r="UNI21" s="3507"/>
      <c r="UNJ21" s="3507"/>
      <c r="UNK21" s="3507"/>
      <c r="UNL21" s="3507"/>
      <c r="UNM21" s="3507"/>
      <c r="UNN21" s="3507"/>
      <c r="UNO21" s="3507"/>
      <c r="UNP21" s="3507"/>
      <c r="UNQ21" s="3507"/>
      <c r="UNR21" s="3507"/>
      <c r="UNS21" s="3507"/>
      <c r="UNT21" s="3507"/>
      <c r="UNU21" s="3507"/>
      <c r="UNV21" s="3507"/>
      <c r="UNW21" s="3507"/>
      <c r="UNX21" s="3507"/>
      <c r="UNY21" s="3507"/>
      <c r="UNZ21" s="3507"/>
      <c r="UOA21" s="3507"/>
      <c r="UOB21" s="3507"/>
      <c r="UOC21" s="3507"/>
      <c r="UOD21" s="3507"/>
      <c r="UOE21" s="3507"/>
      <c r="UOF21" s="3507"/>
      <c r="UOG21" s="3507"/>
      <c r="UOH21" s="3507"/>
      <c r="UOI21" s="3507"/>
      <c r="UOJ21" s="3507"/>
      <c r="UOK21" s="3507"/>
      <c r="UOL21" s="3507"/>
      <c r="UOM21" s="3507"/>
      <c r="UON21" s="3507"/>
      <c r="UOO21" s="3507"/>
      <c r="UOP21" s="3507"/>
      <c r="UOQ21" s="3507"/>
      <c r="UOR21" s="3507"/>
      <c r="UOS21" s="3507"/>
      <c r="UOT21" s="3507"/>
      <c r="UOU21" s="3507"/>
      <c r="UOV21" s="3507"/>
      <c r="UOW21" s="3507"/>
      <c r="UOX21" s="3507"/>
      <c r="UOY21" s="3507"/>
      <c r="UOZ21" s="3507"/>
      <c r="UPA21" s="3507"/>
      <c r="UPB21" s="3507"/>
      <c r="UPC21" s="3507"/>
      <c r="UPD21" s="3507"/>
      <c r="UPE21" s="3507"/>
      <c r="UPF21" s="3507"/>
      <c r="UPG21" s="3507"/>
      <c r="UPH21" s="3507"/>
      <c r="UPI21" s="3507"/>
      <c r="UPJ21" s="3507"/>
      <c r="UPK21" s="3507"/>
      <c r="UPL21" s="3507"/>
      <c r="UPM21" s="3507"/>
      <c r="UPN21" s="3507"/>
      <c r="UPO21" s="3507"/>
      <c r="UPP21" s="3507"/>
      <c r="UPQ21" s="3507"/>
      <c r="UPR21" s="3507"/>
      <c r="UPS21" s="3507"/>
      <c r="UPT21" s="3507"/>
      <c r="UPU21" s="3507"/>
      <c r="UPV21" s="3507"/>
      <c r="UPW21" s="3507"/>
      <c r="UPX21" s="3507"/>
      <c r="UPY21" s="3507"/>
      <c r="UPZ21" s="3507"/>
      <c r="UQA21" s="3507"/>
      <c r="UQB21" s="3507"/>
      <c r="UQC21" s="3507"/>
      <c r="UQD21" s="3507"/>
      <c r="UQE21" s="3507"/>
      <c r="UQF21" s="3507"/>
      <c r="UQG21" s="3507"/>
      <c r="UQH21" s="3507"/>
      <c r="UQI21" s="3507"/>
      <c r="UQJ21" s="3507"/>
      <c r="UQK21" s="3507"/>
      <c r="UQL21" s="3507"/>
      <c r="UQM21" s="3507"/>
      <c r="UQN21" s="3507"/>
      <c r="UQO21" s="3507"/>
      <c r="UQP21" s="3507"/>
      <c r="UQQ21" s="3507"/>
      <c r="UQR21" s="3507"/>
      <c r="UQS21" s="3507"/>
      <c r="UQT21" s="3507"/>
      <c r="UQU21" s="3507"/>
      <c r="UQV21" s="3507"/>
      <c r="UQW21" s="3507"/>
      <c r="UQX21" s="3507"/>
      <c r="UQY21" s="3507"/>
      <c r="UQZ21" s="3507"/>
      <c r="URA21" s="3507"/>
      <c r="URB21" s="3507"/>
      <c r="URC21" s="3507"/>
      <c r="URD21" s="3507"/>
      <c r="URE21" s="3507"/>
      <c r="URF21" s="3507"/>
      <c r="URG21" s="3507"/>
      <c r="URH21" s="3507"/>
      <c r="URI21" s="3507"/>
      <c r="URJ21" s="3507"/>
      <c r="URK21" s="3507"/>
      <c r="URL21" s="3507"/>
      <c r="URM21" s="3507"/>
      <c r="URN21" s="3507"/>
      <c r="URO21" s="3507"/>
      <c r="URP21" s="3507"/>
      <c r="URQ21" s="3507"/>
      <c r="URR21" s="3507"/>
      <c r="URS21" s="3507"/>
      <c r="URT21" s="3507"/>
      <c r="URU21" s="3507"/>
      <c r="URV21" s="3507"/>
      <c r="URW21" s="3507"/>
      <c r="URX21" s="3507"/>
      <c r="URY21" s="3507"/>
      <c r="URZ21" s="3507"/>
      <c r="USA21" s="3507"/>
      <c r="USB21" s="3507"/>
      <c r="USC21" s="3507"/>
      <c r="USD21" s="3507"/>
      <c r="USE21" s="3507"/>
      <c r="USF21" s="3507"/>
      <c r="USG21" s="3507"/>
      <c r="USH21" s="3507"/>
      <c r="USI21" s="3507"/>
      <c r="USJ21" s="3507"/>
      <c r="USK21" s="3507"/>
      <c r="USL21" s="3507"/>
      <c r="USM21" s="3507"/>
      <c r="USN21" s="3507"/>
      <c r="USO21" s="3507"/>
      <c r="USP21" s="3507"/>
      <c r="USQ21" s="3507"/>
      <c r="USR21" s="3507"/>
      <c r="USS21" s="3507"/>
      <c r="UST21" s="3507"/>
      <c r="USU21" s="3507"/>
      <c r="USV21" s="3507"/>
      <c r="USW21" s="3507"/>
      <c r="USX21" s="3507"/>
      <c r="USY21" s="3507"/>
      <c r="USZ21" s="3507"/>
      <c r="UTA21" s="3507"/>
      <c r="UTB21" s="3507"/>
      <c r="UTC21" s="3507"/>
      <c r="UTD21" s="3507"/>
      <c r="UTE21" s="3507"/>
      <c r="UTF21" s="3507"/>
      <c r="UTG21" s="3507"/>
      <c r="UTH21" s="3507"/>
      <c r="UTI21" s="3507"/>
      <c r="UTJ21" s="3507"/>
      <c r="UTK21" s="3507"/>
      <c r="UTL21" s="3507"/>
      <c r="UTM21" s="3507"/>
      <c r="UTN21" s="3507"/>
      <c r="UTO21" s="3507"/>
      <c r="UTP21" s="3507"/>
      <c r="UTQ21" s="3507"/>
      <c r="UTR21" s="3507"/>
      <c r="UTS21" s="3507"/>
      <c r="UTT21" s="3507"/>
      <c r="UTU21" s="3507"/>
      <c r="UTV21" s="3507"/>
      <c r="UTW21" s="3507"/>
      <c r="UTX21" s="3507"/>
      <c r="UTY21" s="3507"/>
      <c r="UTZ21" s="3507"/>
      <c r="UUA21" s="3507"/>
      <c r="UUB21" s="3507"/>
      <c r="UUC21" s="3507"/>
      <c r="UUD21" s="3507"/>
      <c r="UUE21" s="3507"/>
      <c r="UUF21" s="3507"/>
      <c r="UUG21" s="3507"/>
      <c r="UUH21" s="3507"/>
      <c r="UUI21" s="3507"/>
      <c r="UUJ21" s="3507"/>
      <c r="UUK21" s="3507"/>
      <c r="UUL21" s="3507"/>
      <c r="UUM21" s="3507"/>
      <c r="UUN21" s="3507"/>
      <c r="UUO21" s="3507"/>
      <c r="UUP21" s="3507"/>
      <c r="UUQ21" s="3507"/>
      <c r="UUR21" s="3507"/>
      <c r="UUS21" s="3507"/>
      <c r="UUT21" s="3507"/>
      <c r="UUU21" s="3507"/>
      <c r="UUV21" s="3507"/>
      <c r="UUW21" s="3507"/>
      <c r="UUX21" s="3507"/>
      <c r="UUY21" s="3507"/>
      <c r="UUZ21" s="3507"/>
      <c r="UVA21" s="3507"/>
      <c r="UVB21" s="3507"/>
      <c r="UVC21" s="3507"/>
      <c r="UVD21" s="3507"/>
      <c r="UVE21" s="3507"/>
      <c r="UVF21" s="3507"/>
      <c r="UVG21" s="3507"/>
      <c r="UVH21" s="3507"/>
      <c r="UVI21" s="3507"/>
      <c r="UVJ21" s="3507"/>
      <c r="UVK21" s="3507"/>
      <c r="UVL21" s="3507"/>
      <c r="UVM21" s="3507"/>
      <c r="UVN21" s="3507"/>
      <c r="UVO21" s="3507"/>
      <c r="UVP21" s="3507"/>
      <c r="UVQ21" s="3507"/>
      <c r="UVR21" s="3507"/>
      <c r="UVS21" s="3507"/>
      <c r="UVT21" s="3507"/>
      <c r="UVU21" s="3507"/>
      <c r="UVV21" s="3507"/>
      <c r="UVW21" s="3507"/>
      <c r="UVX21" s="3507"/>
      <c r="UVY21" s="3507"/>
      <c r="UVZ21" s="3507"/>
      <c r="UWA21" s="3507"/>
      <c r="UWB21" s="3507"/>
      <c r="UWC21" s="3507"/>
      <c r="UWD21" s="3507"/>
      <c r="UWE21" s="3507"/>
      <c r="UWF21" s="3507"/>
      <c r="UWG21" s="3507"/>
      <c r="UWH21" s="3507"/>
      <c r="UWI21" s="3507"/>
      <c r="UWJ21" s="3507"/>
      <c r="UWK21" s="3507"/>
      <c r="UWL21" s="3507"/>
      <c r="UWM21" s="3507"/>
      <c r="UWN21" s="3507"/>
      <c r="UWO21" s="3507"/>
      <c r="UWP21" s="3507"/>
      <c r="UWQ21" s="3507"/>
      <c r="UWR21" s="3507"/>
      <c r="UWS21" s="3507"/>
      <c r="UWT21" s="3507"/>
      <c r="UWU21" s="3507"/>
      <c r="UWV21" s="3507"/>
      <c r="UWW21" s="3507"/>
      <c r="UWX21" s="3507"/>
      <c r="UWY21" s="3507"/>
      <c r="UWZ21" s="3507"/>
      <c r="UXA21" s="3507"/>
      <c r="UXB21" s="3507"/>
      <c r="UXC21" s="3507"/>
      <c r="UXD21" s="3507"/>
      <c r="UXE21" s="3507"/>
      <c r="UXF21" s="3507"/>
      <c r="UXG21" s="3507"/>
      <c r="UXH21" s="3507"/>
      <c r="UXI21" s="3507"/>
      <c r="UXJ21" s="3507"/>
      <c r="UXK21" s="3507"/>
      <c r="UXL21" s="3507"/>
      <c r="UXM21" s="3507"/>
      <c r="UXN21" s="3507"/>
      <c r="UXO21" s="3507"/>
      <c r="UXP21" s="3507"/>
      <c r="UXQ21" s="3507"/>
      <c r="UXR21" s="3507"/>
      <c r="UXS21" s="3507"/>
      <c r="UXT21" s="3507"/>
      <c r="UXU21" s="3507"/>
      <c r="UXV21" s="3507"/>
      <c r="UXW21" s="3507"/>
      <c r="UXX21" s="3507"/>
      <c r="UXY21" s="3507"/>
      <c r="UXZ21" s="3507"/>
      <c r="UYA21" s="3507"/>
      <c r="UYB21" s="3507"/>
      <c r="UYC21" s="3507"/>
      <c r="UYD21" s="3507"/>
      <c r="UYE21" s="3507"/>
      <c r="UYF21" s="3507"/>
      <c r="UYG21" s="3507"/>
      <c r="UYH21" s="3507"/>
      <c r="UYI21" s="3507"/>
      <c r="UYJ21" s="3507"/>
      <c r="UYK21" s="3507"/>
      <c r="UYL21" s="3507"/>
      <c r="UYM21" s="3507"/>
      <c r="UYN21" s="3507"/>
      <c r="UYO21" s="3507"/>
      <c r="UYP21" s="3507"/>
      <c r="UYQ21" s="3507"/>
      <c r="UYR21" s="3507"/>
      <c r="UYS21" s="3507"/>
      <c r="UYT21" s="3507"/>
      <c r="UYU21" s="3507"/>
      <c r="UYV21" s="3507"/>
      <c r="UYW21" s="3507"/>
      <c r="UYX21" s="3507"/>
      <c r="UYY21" s="3507"/>
      <c r="UYZ21" s="3507"/>
      <c r="UZA21" s="3507"/>
      <c r="UZB21" s="3507"/>
      <c r="UZC21" s="3507"/>
      <c r="UZD21" s="3507"/>
      <c r="UZE21" s="3507"/>
      <c r="UZF21" s="3507"/>
      <c r="UZG21" s="3507"/>
      <c r="UZH21" s="3507"/>
      <c r="UZI21" s="3507"/>
      <c r="UZJ21" s="3507"/>
      <c r="UZK21" s="3507"/>
      <c r="UZL21" s="3507"/>
      <c r="UZM21" s="3507"/>
      <c r="UZN21" s="3507"/>
      <c r="UZO21" s="3507"/>
      <c r="UZP21" s="3507"/>
      <c r="UZQ21" s="3507"/>
      <c r="UZR21" s="3507"/>
      <c r="UZS21" s="3507"/>
      <c r="UZT21" s="3507"/>
      <c r="UZU21" s="3507"/>
      <c r="UZV21" s="3507"/>
      <c r="UZW21" s="3507"/>
      <c r="UZX21" s="3507"/>
      <c r="UZY21" s="3507"/>
      <c r="UZZ21" s="3507"/>
      <c r="VAA21" s="3507"/>
      <c r="VAB21" s="3507"/>
      <c r="VAC21" s="3507"/>
      <c r="VAD21" s="3507"/>
      <c r="VAE21" s="3507"/>
      <c r="VAF21" s="3507"/>
      <c r="VAG21" s="3507"/>
      <c r="VAH21" s="3507"/>
      <c r="VAI21" s="3507"/>
      <c r="VAJ21" s="3507"/>
      <c r="VAK21" s="3507"/>
      <c r="VAL21" s="3507"/>
      <c r="VAM21" s="3507"/>
      <c r="VAN21" s="3507"/>
      <c r="VAO21" s="3507"/>
      <c r="VAP21" s="3507"/>
      <c r="VAQ21" s="3507"/>
      <c r="VAR21" s="3507"/>
      <c r="VAS21" s="3507"/>
      <c r="VAT21" s="3507"/>
      <c r="VAU21" s="3507"/>
      <c r="VAV21" s="3507"/>
      <c r="VAW21" s="3507"/>
      <c r="VAX21" s="3507"/>
      <c r="VAY21" s="3507"/>
      <c r="VAZ21" s="3507"/>
      <c r="VBA21" s="3507"/>
      <c r="VBB21" s="3507"/>
      <c r="VBC21" s="3507"/>
      <c r="VBD21" s="3507"/>
      <c r="VBE21" s="3507"/>
      <c r="VBF21" s="3507"/>
      <c r="VBG21" s="3507"/>
      <c r="VBH21" s="3507"/>
      <c r="VBI21" s="3507"/>
      <c r="VBJ21" s="3507"/>
      <c r="VBK21" s="3507"/>
      <c r="VBL21" s="3507"/>
      <c r="VBM21" s="3507"/>
      <c r="VBN21" s="3507"/>
      <c r="VBO21" s="3507"/>
      <c r="VBP21" s="3507"/>
      <c r="VBQ21" s="3507"/>
      <c r="VBR21" s="3507"/>
      <c r="VBS21" s="3507"/>
      <c r="VBT21" s="3507"/>
      <c r="VBU21" s="3507"/>
      <c r="VBV21" s="3507"/>
      <c r="VBW21" s="3507"/>
      <c r="VBX21" s="3507"/>
      <c r="VBY21" s="3507"/>
      <c r="VBZ21" s="3507"/>
      <c r="VCA21" s="3507"/>
      <c r="VCB21" s="3507"/>
      <c r="VCC21" s="3507"/>
      <c r="VCD21" s="3507"/>
      <c r="VCE21" s="3507"/>
      <c r="VCF21" s="3507"/>
      <c r="VCG21" s="3507"/>
      <c r="VCH21" s="3507"/>
      <c r="VCI21" s="3507"/>
      <c r="VCJ21" s="3507"/>
      <c r="VCK21" s="3507"/>
      <c r="VCL21" s="3507"/>
      <c r="VCM21" s="3507"/>
      <c r="VCN21" s="3507"/>
      <c r="VCO21" s="3507"/>
      <c r="VCP21" s="3507"/>
      <c r="VCQ21" s="3507"/>
      <c r="VCR21" s="3507"/>
      <c r="VCS21" s="3507"/>
      <c r="VCT21" s="3507"/>
      <c r="VCU21" s="3507"/>
      <c r="VCV21" s="3507"/>
      <c r="VCW21" s="3507"/>
      <c r="VCX21" s="3507"/>
      <c r="VCY21" s="3507"/>
      <c r="VCZ21" s="3507"/>
      <c r="VDA21" s="3507"/>
      <c r="VDB21" s="3507"/>
      <c r="VDC21" s="3507"/>
      <c r="VDD21" s="3507"/>
      <c r="VDE21" s="3507"/>
      <c r="VDF21" s="3507"/>
      <c r="VDG21" s="3507"/>
      <c r="VDH21" s="3507"/>
      <c r="VDI21" s="3507"/>
      <c r="VDJ21" s="3507"/>
      <c r="VDK21" s="3507"/>
      <c r="VDL21" s="3507"/>
      <c r="VDM21" s="3507"/>
      <c r="VDN21" s="3507"/>
      <c r="VDO21" s="3507"/>
      <c r="VDP21" s="3507"/>
      <c r="VDQ21" s="3507"/>
      <c r="VDR21" s="3507"/>
      <c r="VDS21" s="3507"/>
      <c r="VDT21" s="3507"/>
      <c r="VDU21" s="3507"/>
      <c r="VDV21" s="3507"/>
      <c r="VDW21" s="3507"/>
      <c r="VDX21" s="3507"/>
      <c r="VDY21" s="3507"/>
      <c r="VDZ21" s="3507"/>
      <c r="VEA21" s="3507"/>
      <c r="VEB21" s="3507"/>
      <c r="VEC21" s="3507"/>
      <c r="VED21" s="3507"/>
      <c r="VEE21" s="3507"/>
      <c r="VEF21" s="3507"/>
      <c r="VEG21" s="3507"/>
      <c r="VEH21" s="3507"/>
      <c r="VEI21" s="3507"/>
      <c r="VEJ21" s="3507"/>
      <c r="VEK21" s="3507"/>
      <c r="VEL21" s="3507"/>
      <c r="VEM21" s="3507"/>
      <c r="VEN21" s="3507"/>
      <c r="VEO21" s="3507"/>
      <c r="VEP21" s="3507"/>
      <c r="VEQ21" s="3507"/>
      <c r="VER21" s="3507"/>
      <c r="VES21" s="3507"/>
      <c r="VET21" s="3507"/>
      <c r="VEU21" s="3507"/>
      <c r="VEV21" s="3507"/>
      <c r="VEW21" s="3507"/>
      <c r="VEX21" s="3507"/>
      <c r="VEY21" s="3507"/>
      <c r="VEZ21" s="3507"/>
      <c r="VFA21" s="3507"/>
      <c r="VFB21" s="3507"/>
      <c r="VFC21" s="3507"/>
      <c r="VFD21" s="3507"/>
      <c r="VFE21" s="3507"/>
      <c r="VFF21" s="3507"/>
      <c r="VFG21" s="3507"/>
      <c r="VFH21" s="3507"/>
      <c r="VFI21" s="3507"/>
      <c r="VFJ21" s="3507"/>
      <c r="VFK21" s="3507"/>
      <c r="VFL21" s="3507"/>
      <c r="VFM21" s="3507"/>
      <c r="VFN21" s="3507"/>
      <c r="VFO21" s="3507"/>
      <c r="VFP21" s="3507"/>
      <c r="VFQ21" s="3507"/>
      <c r="VFR21" s="3507"/>
      <c r="VFS21" s="3507"/>
      <c r="VFT21" s="3507"/>
      <c r="VFU21" s="3507"/>
      <c r="VFV21" s="3507"/>
      <c r="VFW21" s="3507"/>
      <c r="VFX21" s="3507"/>
      <c r="VFY21" s="3507"/>
      <c r="VFZ21" s="3507"/>
      <c r="VGA21" s="3507"/>
      <c r="VGB21" s="3507"/>
      <c r="VGC21" s="3507"/>
      <c r="VGD21" s="3507"/>
      <c r="VGE21" s="3507"/>
      <c r="VGF21" s="3507"/>
      <c r="VGG21" s="3507"/>
      <c r="VGH21" s="3507"/>
      <c r="VGI21" s="3507"/>
      <c r="VGJ21" s="3507"/>
      <c r="VGK21" s="3507"/>
      <c r="VGL21" s="3507"/>
      <c r="VGM21" s="3507"/>
      <c r="VGN21" s="3507"/>
      <c r="VGO21" s="3507"/>
      <c r="VGP21" s="3507"/>
      <c r="VGQ21" s="3507"/>
      <c r="VGR21" s="3507"/>
      <c r="VGS21" s="3507"/>
      <c r="VGT21" s="3507"/>
      <c r="VGU21" s="3507"/>
      <c r="VGV21" s="3507"/>
      <c r="VGW21" s="3507"/>
      <c r="VGX21" s="3507"/>
      <c r="VGY21" s="3507"/>
      <c r="VGZ21" s="3507"/>
      <c r="VHA21" s="3507"/>
      <c r="VHB21" s="3507"/>
      <c r="VHC21" s="3507"/>
      <c r="VHD21" s="3507"/>
      <c r="VHE21" s="3507"/>
      <c r="VHF21" s="3507"/>
      <c r="VHG21" s="3507"/>
      <c r="VHH21" s="3507"/>
      <c r="VHI21" s="3507"/>
      <c r="VHJ21" s="3507"/>
      <c r="VHK21" s="3507"/>
      <c r="VHL21" s="3507"/>
      <c r="VHM21" s="3507"/>
      <c r="VHN21" s="3507"/>
      <c r="VHO21" s="3507"/>
      <c r="VHP21" s="3507"/>
      <c r="VHQ21" s="3507"/>
      <c r="VHR21" s="3507"/>
      <c r="VHS21" s="3507"/>
      <c r="VHT21" s="3507"/>
      <c r="VHU21" s="3507"/>
      <c r="VHV21" s="3507"/>
      <c r="VHW21" s="3507"/>
      <c r="VHX21" s="3507"/>
      <c r="VHY21" s="3507"/>
      <c r="VHZ21" s="3507"/>
      <c r="VIA21" s="3507"/>
      <c r="VIB21" s="3507"/>
      <c r="VIC21" s="3507"/>
      <c r="VID21" s="3507"/>
      <c r="VIE21" s="3507"/>
      <c r="VIF21" s="3507"/>
      <c r="VIG21" s="3507"/>
      <c r="VIH21" s="3507"/>
      <c r="VII21" s="3507"/>
      <c r="VIJ21" s="3507"/>
      <c r="VIK21" s="3507"/>
      <c r="VIL21" s="3507"/>
      <c r="VIM21" s="3507"/>
      <c r="VIN21" s="3507"/>
      <c r="VIO21" s="3507"/>
      <c r="VIP21" s="3507"/>
      <c r="VIQ21" s="3507"/>
      <c r="VIR21" s="3507"/>
      <c r="VIS21" s="3507"/>
      <c r="VIT21" s="3507"/>
      <c r="VIU21" s="3507"/>
      <c r="VIV21" s="3507"/>
      <c r="VIW21" s="3507"/>
      <c r="VIX21" s="3507"/>
      <c r="VIY21" s="3507"/>
      <c r="VIZ21" s="3507"/>
      <c r="VJA21" s="3507"/>
      <c r="VJB21" s="3507"/>
      <c r="VJC21" s="3507"/>
      <c r="VJD21" s="3507"/>
      <c r="VJE21" s="3507"/>
      <c r="VJF21" s="3507"/>
      <c r="VJG21" s="3507"/>
      <c r="VJH21" s="3507"/>
      <c r="VJI21" s="3507"/>
      <c r="VJJ21" s="3507"/>
      <c r="VJK21" s="3507"/>
      <c r="VJL21" s="3507"/>
      <c r="VJM21" s="3507"/>
      <c r="VJN21" s="3507"/>
      <c r="VJO21" s="3507"/>
      <c r="VJP21" s="3507"/>
      <c r="VJQ21" s="3507"/>
      <c r="VJR21" s="3507"/>
      <c r="VJS21" s="3507"/>
      <c r="VJT21" s="3507"/>
      <c r="VJU21" s="3507"/>
      <c r="VJV21" s="3507"/>
      <c r="VJW21" s="3507"/>
      <c r="VJX21" s="3507"/>
      <c r="VJY21" s="3507"/>
      <c r="VJZ21" s="3507"/>
      <c r="VKA21" s="3507"/>
      <c r="VKB21" s="3507"/>
      <c r="VKC21" s="3507"/>
      <c r="VKD21" s="3507"/>
      <c r="VKE21" s="3507"/>
      <c r="VKF21" s="3507"/>
      <c r="VKG21" s="3507"/>
      <c r="VKH21" s="3507"/>
      <c r="VKI21" s="3507"/>
      <c r="VKJ21" s="3507"/>
      <c r="VKK21" s="3507"/>
      <c r="VKL21" s="3507"/>
      <c r="VKM21" s="3507"/>
      <c r="VKN21" s="3507"/>
      <c r="VKO21" s="3507"/>
      <c r="VKP21" s="3507"/>
      <c r="VKQ21" s="3507"/>
      <c r="VKR21" s="3507"/>
      <c r="VKS21" s="3507"/>
      <c r="VKT21" s="3507"/>
      <c r="VKU21" s="3507"/>
      <c r="VKV21" s="3507"/>
      <c r="VKW21" s="3507"/>
      <c r="VKX21" s="3507"/>
      <c r="VKY21" s="3507"/>
      <c r="VKZ21" s="3507"/>
      <c r="VLA21" s="3507"/>
      <c r="VLB21" s="3507"/>
      <c r="VLC21" s="3507"/>
      <c r="VLD21" s="3507"/>
      <c r="VLE21" s="3507"/>
      <c r="VLF21" s="3507"/>
      <c r="VLG21" s="3507"/>
      <c r="VLH21" s="3507"/>
      <c r="VLI21" s="3507"/>
      <c r="VLJ21" s="3507"/>
      <c r="VLK21" s="3507"/>
      <c r="VLL21" s="3507"/>
      <c r="VLM21" s="3507"/>
      <c r="VLN21" s="3507"/>
      <c r="VLO21" s="3507"/>
      <c r="VLP21" s="3507"/>
      <c r="VLQ21" s="3507"/>
      <c r="VLR21" s="3507"/>
      <c r="VLS21" s="3507"/>
      <c r="VLT21" s="3507"/>
      <c r="VLU21" s="3507"/>
      <c r="VLV21" s="3507"/>
      <c r="VLW21" s="3507"/>
      <c r="VLX21" s="3507"/>
      <c r="VLY21" s="3507"/>
      <c r="VLZ21" s="3507"/>
      <c r="VMA21" s="3507"/>
      <c r="VMB21" s="3507"/>
      <c r="VMC21" s="3507"/>
      <c r="VMD21" s="3507"/>
      <c r="VME21" s="3507"/>
      <c r="VMF21" s="3507"/>
      <c r="VMG21" s="3507"/>
      <c r="VMH21" s="3507"/>
      <c r="VMI21" s="3507"/>
      <c r="VMJ21" s="3507"/>
      <c r="VMK21" s="3507"/>
      <c r="VML21" s="3507"/>
      <c r="VMM21" s="3507"/>
      <c r="VMN21" s="3507"/>
      <c r="VMO21" s="3507"/>
      <c r="VMP21" s="3507"/>
      <c r="VMQ21" s="3507"/>
      <c r="VMR21" s="3507"/>
      <c r="VMS21" s="3507"/>
      <c r="VMT21" s="3507"/>
      <c r="VMU21" s="3507"/>
      <c r="VMV21" s="3507"/>
      <c r="VMW21" s="3507"/>
      <c r="VMX21" s="3507"/>
      <c r="VMY21" s="3507"/>
      <c r="VMZ21" s="3507"/>
      <c r="VNA21" s="3507"/>
      <c r="VNB21" s="3507"/>
      <c r="VNC21" s="3507"/>
      <c r="VND21" s="3507"/>
      <c r="VNE21" s="3507"/>
      <c r="VNF21" s="3507"/>
      <c r="VNG21" s="3507"/>
      <c r="VNH21" s="3507"/>
      <c r="VNI21" s="3507"/>
      <c r="VNJ21" s="3507"/>
      <c r="VNK21" s="3507"/>
      <c r="VNL21" s="3507"/>
      <c r="VNM21" s="3507"/>
      <c r="VNN21" s="3507"/>
      <c r="VNO21" s="3507"/>
      <c r="VNP21" s="3507"/>
      <c r="VNQ21" s="3507"/>
      <c r="VNR21" s="3507"/>
      <c r="VNS21" s="3507"/>
      <c r="VNT21" s="3507"/>
      <c r="VNU21" s="3507"/>
      <c r="VNV21" s="3507"/>
      <c r="VNW21" s="3507"/>
      <c r="VNX21" s="3507"/>
      <c r="VNY21" s="3507"/>
      <c r="VNZ21" s="3507"/>
      <c r="VOA21" s="3507"/>
      <c r="VOB21" s="3507"/>
      <c r="VOC21" s="3507"/>
      <c r="VOD21" s="3507"/>
      <c r="VOE21" s="3507"/>
      <c r="VOF21" s="3507"/>
      <c r="VOG21" s="3507"/>
      <c r="VOH21" s="3507"/>
      <c r="VOI21" s="3507"/>
      <c r="VOJ21" s="3507"/>
      <c r="VOK21" s="3507"/>
      <c r="VOL21" s="3507"/>
      <c r="VOM21" s="3507"/>
      <c r="VON21" s="3507"/>
      <c r="VOO21" s="3507"/>
      <c r="VOP21" s="3507"/>
      <c r="VOQ21" s="3507"/>
      <c r="VOR21" s="3507"/>
      <c r="VOS21" s="3507"/>
      <c r="VOT21" s="3507"/>
      <c r="VOU21" s="3507"/>
      <c r="VOV21" s="3507"/>
      <c r="VOW21" s="3507"/>
      <c r="VOX21" s="3507"/>
      <c r="VOY21" s="3507"/>
      <c r="VOZ21" s="3507"/>
      <c r="VPA21" s="3507"/>
      <c r="VPB21" s="3507"/>
      <c r="VPC21" s="3507"/>
      <c r="VPD21" s="3507"/>
      <c r="VPE21" s="3507"/>
      <c r="VPF21" s="3507"/>
      <c r="VPG21" s="3507"/>
      <c r="VPH21" s="3507"/>
      <c r="VPI21" s="3507"/>
      <c r="VPJ21" s="3507"/>
      <c r="VPK21" s="3507"/>
      <c r="VPL21" s="3507"/>
      <c r="VPM21" s="3507"/>
      <c r="VPN21" s="3507"/>
      <c r="VPO21" s="3507"/>
      <c r="VPP21" s="3507"/>
      <c r="VPQ21" s="3507"/>
      <c r="VPR21" s="3507"/>
      <c r="VPS21" s="3507"/>
      <c r="VPT21" s="3507"/>
      <c r="VPU21" s="3507"/>
      <c r="VPV21" s="3507"/>
      <c r="VPW21" s="3507"/>
      <c r="VPX21" s="3507"/>
      <c r="VPY21" s="3507"/>
      <c r="VPZ21" s="3507"/>
      <c r="VQA21" s="3507"/>
      <c r="VQB21" s="3507"/>
      <c r="VQC21" s="3507"/>
      <c r="VQD21" s="3507"/>
      <c r="VQE21" s="3507"/>
      <c r="VQF21" s="3507"/>
      <c r="VQG21" s="3507"/>
      <c r="VQH21" s="3507"/>
      <c r="VQI21" s="3507"/>
      <c r="VQJ21" s="3507"/>
      <c r="VQK21" s="3507"/>
      <c r="VQL21" s="3507"/>
      <c r="VQM21" s="3507"/>
      <c r="VQN21" s="3507"/>
      <c r="VQO21" s="3507"/>
      <c r="VQP21" s="3507"/>
      <c r="VQQ21" s="3507"/>
      <c r="VQR21" s="3507"/>
      <c r="VQS21" s="3507"/>
      <c r="VQT21" s="3507"/>
      <c r="VQU21" s="3507"/>
      <c r="VQV21" s="3507"/>
      <c r="VQW21" s="3507"/>
      <c r="VQX21" s="3507"/>
      <c r="VQY21" s="3507"/>
      <c r="VQZ21" s="3507"/>
      <c r="VRA21" s="3507"/>
      <c r="VRB21" s="3507"/>
      <c r="VRC21" s="3507"/>
      <c r="VRD21" s="3507"/>
      <c r="VRE21" s="3507"/>
      <c r="VRF21" s="3507"/>
      <c r="VRG21" s="3507"/>
      <c r="VRH21" s="3507"/>
      <c r="VRI21" s="3507"/>
      <c r="VRJ21" s="3507"/>
      <c r="VRK21" s="3507"/>
      <c r="VRL21" s="3507"/>
      <c r="VRM21" s="3507"/>
      <c r="VRN21" s="3507"/>
      <c r="VRO21" s="3507"/>
      <c r="VRP21" s="3507"/>
      <c r="VRQ21" s="3507"/>
      <c r="VRR21" s="3507"/>
      <c r="VRS21" s="3507"/>
      <c r="VRT21" s="3507"/>
      <c r="VRU21" s="3507"/>
      <c r="VRV21" s="3507"/>
      <c r="VRW21" s="3507"/>
      <c r="VRX21" s="3507"/>
      <c r="VRY21" s="3507"/>
      <c r="VRZ21" s="3507"/>
      <c r="VSA21" s="3507"/>
      <c r="VSB21" s="3507"/>
      <c r="VSC21" s="3507"/>
      <c r="VSD21" s="3507"/>
      <c r="VSE21" s="3507"/>
      <c r="VSF21" s="3507"/>
      <c r="VSG21" s="3507"/>
      <c r="VSH21" s="3507"/>
      <c r="VSI21" s="3507"/>
      <c r="VSJ21" s="3507"/>
      <c r="VSK21" s="3507"/>
      <c r="VSL21" s="3507"/>
      <c r="VSM21" s="3507"/>
      <c r="VSN21" s="3507"/>
      <c r="VSO21" s="3507"/>
      <c r="VSP21" s="3507"/>
      <c r="VSQ21" s="3507"/>
      <c r="VSR21" s="3507"/>
      <c r="VSS21" s="3507"/>
      <c r="VST21" s="3507"/>
      <c r="VSU21" s="3507"/>
      <c r="VSV21" s="3507"/>
      <c r="VSW21" s="3507"/>
      <c r="VSX21" s="3507"/>
      <c r="VSY21" s="3507"/>
      <c r="VSZ21" s="3507"/>
      <c r="VTA21" s="3507"/>
      <c r="VTB21" s="3507"/>
      <c r="VTC21" s="3507"/>
      <c r="VTD21" s="3507"/>
      <c r="VTE21" s="3507"/>
      <c r="VTF21" s="3507"/>
      <c r="VTG21" s="3507"/>
      <c r="VTH21" s="3507"/>
      <c r="VTI21" s="3507"/>
      <c r="VTJ21" s="3507"/>
      <c r="VTK21" s="3507"/>
      <c r="VTL21" s="3507"/>
      <c r="VTM21" s="3507"/>
      <c r="VTN21" s="3507"/>
      <c r="VTO21" s="3507"/>
      <c r="VTP21" s="3507"/>
      <c r="VTQ21" s="3507"/>
      <c r="VTR21" s="3507"/>
      <c r="VTS21" s="3507"/>
      <c r="VTT21" s="3507"/>
      <c r="VTU21" s="3507"/>
      <c r="VTV21" s="3507"/>
      <c r="VTW21" s="3507"/>
      <c r="VTX21" s="3507"/>
      <c r="VTY21" s="3507"/>
      <c r="VTZ21" s="3507"/>
      <c r="VUA21" s="3507"/>
      <c r="VUB21" s="3507"/>
      <c r="VUC21" s="3507"/>
      <c r="VUD21" s="3507"/>
      <c r="VUE21" s="3507"/>
      <c r="VUF21" s="3507"/>
      <c r="VUG21" s="3507"/>
      <c r="VUH21" s="3507"/>
      <c r="VUI21" s="3507"/>
      <c r="VUJ21" s="3507"/>
      <c r="VUK21" s="3507"/>
      <c r="VUL21" s="3507"/>
      <c r="VUM21" s="3507"/>
      <c r="VUN21" s="3507"/>
      <c r="VUO21" s="3507"/>
      <c r="VUP21" s="3507"/>
      <c r="VUQ21" s="3507"/>
      <c r="VUR21" s="3507"/>
      <c r="VUS21" s="3507"/>
      <c r="VUT21" s="3507"/>
      <c r="VUU21" s="3507"/>
      <c r="VUV21" s="3507"/>
      <c r="VUW21" s="3507"/>
      <c r="VUX21" s="3507"/>
      <c r="VUY21" s="3507"/>
      <c r="VUZ21" s="3507"/>
      <c r="VVA21" s="3507"/>
      <c r="VVB21" s="3507"/>
      <c r="VVC21" s="3507"/>
      <c r="VVD21" s="3507"/>
      <c r="VVE21" s="3507"/>
      <c r="VVF21" s="3507"/>
      <c r="VVG21" s="3507"/>
      <c r="VVH21" s="3507"/>
      <c r="VVI21" s="3507"/>
      <c r="VVJ21" s="3507"/>
      <c r="VVK21" s="3507"/>
      <c r="VVL21" s="3507"/>
      <c r="VVM21" s="3507"/>
      <c r="VVN21" s="3507"/>
      <c r="VVO21" s="3507"/>
      <c r="VVP21" s="3507"/>
      <c r="VVQ21" s="3507"/>
      <c r="VVR21" s="3507"/>
      <c r="VVS21" s="3507"/>
      <c r="VVT21" s="3507"/>
      <c r="VVU21" s="3507"/>
      <c r="VVV21" s="3507"/>
      <c r="VVW21" s="3507"/>
      <c r="VVX21" s="3507"/>
      <c r="VVY21" s="3507"/>
      <c r="VVZ21" s="3507"/>
      <c r="VWA21" s="3507"/>
      <c r="VWB21" s="3507"/>
      <c r="VWC21" s="3507"/>
      <c r="VWD21" s="3507"/>
      <c r="VWE21" s="3507"/>
      <c r="VWF21" s="3507"/>
      <c r="VWG21" s="3507"/>
      <c r="VWH21" s="3507"/>
      <c r="VWI21" s="3507"/>
      <c r="VWJ21" s="3507"/>
      <c r="VWK21" s="3507"/>
      <c r="VWL21" s="3507"/>
      <c r="VWM21" s="3507"/>
      <c r="VWN21" s="3507"/>
      <c r="VWO21" s="3507"/>
      <c r="VWP21" s="3507"/>
      <c r="VWQ21" s="3507"/>
      <c r="VWR21" s="3507"/>
      <c r="VWS21" s="3507"/>
      <c r="VWT21" s="3507"/>
      <c r="VWU21" s="3507"/>
      <c r="VWV21" s="3507"/>
      <c r="VWW21" s="3507"/>
      <c r="VWX21" s="3507"/>
      <c r="VWY21" s="3507"/>
      <c r="VWZ21" s="3507"/>
      <c r="VXA21" s="3507"/>
      <c r="VXB21" s="3507"/>
      <c r="VXC21" s="3507"/>
      <c r="VXD21" s="3507"/>
      <c r="VXE21" s="3507"/>
      <c r="VXF21" s="3507"/>
      <c r="VXG21" s="3507"/>
      <c r="VXH21" s="3507"/>
      <c r="VXI21" s="3507"/>
      <c r="VXJ21" s="3507"/>
      <c r="VXK21" s="3507"/>
      <c r="VXL21" s="3507"/>
      <c r="VXM21" s="3507"/>
      <c r="VXN21" s="3507"/>
      <c r="VXO21" s="3507"/>
      <c r="VXP21" s="3507"/>
      <c r="VXQ21" s="3507"/>
      <c r="VXR21" s="3507"/>
      <c r="VXS21" s="3507"/>
      <c r="VXT21" s="3507"/>
      <c r="VXU21" s="3507"/>
      <c r="VXV21" s="3507"/>
      <c r="VXW21" s="3507"/>
      <c r="VXX21" s="3507"/>
      <c r="VXY21" s="3507"/>
      <c r="VXZ21" s="3507"/>
      <c r="VYA21" s="3507"/>
      <c r="VYB21" s="3507"/>
      <c r="VYC21" s="3507"/>
      <c r="VYD21" s="3507"/>
      <c r="VYE21" s="3507"/>
      <c r="VYF21" s="3507"/>
      <c r="VYG21" s="3507"/>
      <c r="VYH21" s="3507"/>
      <c r="VYI21" s="3507"/>
      <c r="VYJ21" s="3507"/>
      <c r="VYK21" s="3507"/>
      <c r="VYL21" s="3507"/>
      <c r="VYM21" s="3507"/>
      <c r="VYN21" s="3507"/>
      <c r="VYO21" s="3507"/>
      <c r="VYP21" s="3507"/>
      <c r="VYQ21" s="3507"/>
      <c r="VYR21" s="3507"/>
      <c r="VYS21" s="3507"/>
      <c r="VYT21" s="3507"/>
      <c r="VYU21" s="3507"/>
      <c r="VYV21" s="3507"/>
      <c r="VYW21" s="3507"/>
      <c r="VYX21" s="3507"/>
      <c r="VYY21" s="3507"/>
      <c r="VYZ21" s="3507"/>
      <c r="VZA21" s="3507"/>
      <c r="VZB21" s="3507"/>
      <c r="VZC21" s="3507"/>
      <c r="VZD21" s="3507"/>
      <c r="VZE21" s="3507"/>
      <c r="VZF21" s="3507"/>
      <c r="VZG21" s="3507"/>
      <c r="VZH21" s="3507"/>
      <c r="VZI21" s="3507"/>
      <c r="VZJ21" s="3507"/>
      <c r="VZK21" s="3507"/>
      <c r="VZL21" s="3507"/>
      <c r="VZM21" s="3507"/>
      <c r="VZN21" s="3507"/>
      <c r="VZO21" s="3507"/>
      <c r="VZP21" s="3507"/>
      <c r="VZQ21" s="3507"/>
      <c r="VZR21" s="3507"/>
      <c r="VZS21" s="3507"/>
      <c r="VZT21" s="3507"/>
      <c r="VZU21" s="3507"/>
      <c r="VZV21" s="3507"/>
      <c r="VZW21" s="3507"/>
      <c r="VZX21" s="3507"/>
      <c r="VZY21" s="3507"/>
      <c r="VZZ21" s="3507"/>
      <c r="WAA21" s="3507"/>
      <c r="WAB21" s="3507"/>
      <c r="WAC21" s="3507"/>
      <c r="WAD21" s="3507"/>
      <c r="WAE21" s="3507"/>
      <c r="WAF21" s="3507"/>
      <c r="WAG21" s="3507"/>
      <c r="WAH21" s="3507"/>
      <c r="WAI21" s="3507"/>
      <c r="WAJ21" s="3507"/>
      <c r="WAK21" s="3507"/>
      <c r="WAL21" s="3507"/>
      <c r="WAM21" s="3507"/>
      <c r="WAN21" s="3507"/>
      <c r="WAO21" s="3507"/>
      <c r="WAP21" s="3507"/>
      <c r="WAQ21" s="3507"/>
      <c r="WAR21" s="3507"/>
      <c r="WAS21" s="3507"/>
      <c r="WAT21" s="3507"/>
      <c r="WAU21" s="3507"/>
      <c r="WAV21" s="3507"/>
      <c r="WAW21" s="3507"/>
      <c r="WAX21" s="3507"/>
      <c r="WAY21" s="3507"/>
      <c r="WAZ21" s="3507"/>
      <c r="WBA21" s="3507"/>
      <c r="WBB21" s="3507"/>
      <c r="WBC21" s="3507"/>
      <c r="WBD21" s="3507"/>
      <c r="WBE21" s="3507"/>
      <c r="WBF21" s="3507"/>
      <c r="WBG21" s="3507"/>
      <c r="WBH21" s="3507"/>
      <c r="WBI21" s="3507"/>
      <c r="WBJ21" s="3507"/>
      <c r="WBK21" s="3507"/>
      <c r="WBL21" s="3507"/>
      <c r="WBM21" s="3507"/>
      <c r="WBN21" s="3507"/>
      <c r="WBO21" s="3507"/>
      <c r="WBP21" s="3507"/>
      <c r="WBQ21" s="3507"/>
      <c r="WBR21" s="3507"/>
      <c r="WBS21" s="3507"/>
      <c r="WBT21" s="3507"/>
      <c r="WBU21" s="3507"/>
      <c r="WBV21" s="3507"/>
      <c r="WBW21" s="3507"/>
      <c r="WBX21" s="3507"/>
      <c r="WBY21" s="3507"/>
      <c r="WBZ21" s="3507"/>
      <c r="WCA21" s="3507"/>
      <c r="WCB21" s="3507"/>
      <c r="WCC21" s="3507"/>
      <c r="WCD21" s="3507"/>
      <c r="WCE21" s="3507"/>
      <c r="WCF21" s="3507"/>
      <c r="WCG21" s="3507"/>
      <c r="WCH21" s="3507"/>
      <c r="WCI21" s="3507"/>
      <c r="WCJ21" s="3507"/>
      <c r="WCK21" s="3507"/>
      <c r="WCL21" s="3507"/>
      <c r="WCM21" s="3507"/>
      <c r="WCN21" s="3507"/>
      <c r="WCO21" s="3507"/>
      <c r="WCP21" s="3507"/>
      <c r="WCQ21" s="3507"/>
      <c r="WCR21" s="3507"/>
      <c r="WCS21" s="3507"/>
      <c r="WCT21" s="3507"/>
      <c r="WCU21" s="3507"/>
      <c r="WCV21" s="3507"/>
      <c r="WCW21" s="3507"/>
      <c r="WCX21" s="3507"/>
      <c r="WCY21" s="3507"/>
      <c r="WCZ21" s="3507"/>
      <c r="WDA21" s="3507"/>
      <c r="WDB21" s="3507"/>
      <c r="WDC21" s="3507"/>
      <c r="WDD21" s="3507"/>
      <c r="WDE21" s="3507"/>
      <c r="WDF21" s="3507"/>
      <c r="WDG21" s="3507"/>
      <c r="WDH21" s="3507"/>
      <c r="WDI21" s="3507"/>
      <c r="WDJ21" s="3507"/>
      <c r="WDK21" s="3507"/>
      <c r="WDL21" s="3507"/>
      <c r="WDM21" s="3507"/>
      <c r="WDN21" s="3507"/>
      <c r="WDO21" s="3507"/>
      <c r="WDP21" s="3507"/>
      <c r="WDQ21" s="3507"/>
      <c r="WDR21" s="3507"/>
      <c r="WDS21" s="3507"/>
      <c r="WDT21" s="3507"/>
      <c r="WDU21" s="3507"/>
      <c r="WDV21" s="3507"/>
      <c r="WDW21" s="3507"/>
      <c r="WDX21" s="3507"/>
      <c r="WDY21" s="3507"/>
      <c r="WDZ21" s="3507"/>
      <c r="WEA21" s="3507"/>
      <c r="WEB21" s="3507"/>
      <c r="WEC21" s="3507"/>
      <c r="WED21" s="3507"/>
      <c r="WEE21" s="3507"/>
      <c r="WEF21" s="3507"/>
      <c r="WEG21" s="3507"/>
      <c r="WEH21" s="3507"/>
      <c r="WEI21" s="3507"/>
      <c r="WEJ21" s="3507"/>
      <c r="WEK21" s="3507"/>
      <c r="WEL21" s="3507"/>
      <c r="WEM21" s="3507"/>
      <c r="WEN21" s="3507"/>
      <c r="WEO21" s="3507"/>
      <c r="WEP21" s="3507"/>
      <c r="WEQ21" s="3507"/>
      <c r="WER21" s="3507"/>
      <c r="WES21" s="3507"/>
      <c r="WET21" s="3507"/>
      <c r="WEU21" s="3507"/>
      <c r="WEV21" s="3507"/>
      <c r="WEW21" s="3507"/>
      <c r="WEX21" s="3507"/>
      <c r="WEY21" s="3507"/>
      <c r="WEZ21" s="3507"/>
      <c r="WFA21" s="3507"/>
      <c r="WFB21" s="3507"/>
      <c r="WFC21" s="3507"/>
      <c r="WFD21" s="3507"/>
      <c r="WFE21" s="3507"/>
      <c r="WFF21" s="3507"/>
      <c r="WFG21" s="3507"/>
      <c r="WFH21" s="3507"/>
      <c r="WFI21" s="3507"/>
      <c r="WFJ21" s="3507"/>
      <c r="WFK21" s="3507"/>
      <c r="WFL21" s="3507"/>
      <c r="WFM21" s="3507"/>
      <c r="WFN21" s="3507"/>
      <c r="WFO21" s="3507"/>
      <c r="WFP21" s="3507"/>
      <c r="WFQ21" s="3507"/>
      <c r="WFR21" s="3507"/>
      <c r="WFS21" s="3507"/>
      <c r="WFT21" s="3507"/>
      <c r="WFU21" s="3507"/>
      <c r="WFV21" s="3507"/>
      <c r="WFW21" s="3507"/>
      <c r="WFX21" s="3507"/>
      <c r="WFY21" s="3507"/>
      <c r="WFZ21" s="3507"/>
      <c r="WGA21" s="3507"/>
      <c r="WGB21" s="3507"/>
      <c r="WGC21" s="3507"/>
      <c r="WGD21" s="3507"/>
      <c r="WGE21" s="3507"/>
      <c r="WGF21" s="3507"/>
      <c r="WGG21" s="3507"/>
      <c r="WGH21" s="3507"/>
      <c r="WGI21" s="3507"/>
      <c r="WGJ21" s="3507"/>
      <c r="WGK21" s="3507"/>
      <c r="WGL21" s="3507"/>
      <c r="WGM21" s="3507"/>
      <c r="WGN21" s="3507"/>
      <c r="WGO21" s="3507"/>
      <c r="WGP21" s="3507"/>
      <c r="WGQ21" s="3507"/>
      <c r="WGR21" s="3507"/>
      <c r="WGS21" s="3507"/>
      <c r="WGT21" s="3507"/>
      <c r="WGU21" s="3507"/>
      <c r="WGV21" s="3507"/>
      <c r="WGW21" s="3507"/>
      <c r="WGX21" s="3507"/>
      <c r="WGY21" s="3507"/>
      <c r="WGZ21" s="3507"/>
      <c r="WHA21" s="3507"/>
      <c r="WHB21" s="3507"/>
      <c r="WHC21" s="3507"/>
      <c r="WHD21" s="3507"/>
      <c r="WHE21" s="3507"/>
      <c r="WHF21" s="3507"/>
      <c r="WHG21" s="3507"/>
      <c r="WHH21" s="3507"/>
      <c r="WHI21" s="3507"/>
      <c r="WHJ21" s="3507"/>
      <c r="WHK21" s="3507"/>
      <c r="WHL21" s="3507"/>
      <c r="WHM21" s="3507"/>
      <c r="WHN21" s="3507"/>
      <c r="WHO21" s="3507"/>
      <c r="WHP21" s="3507"/>
      <c r="WHQ21" s="3507"/>
      <c r="WHR21" s="3507"/>
      <c r="WHS21" s="3507"/>
      <c r="WHT21" s="3507"/>
      <c r="WHU21" s="3507"/>
      <c r="WHV21" s="3507"/>
      <c r="WHW21" s="3507"/>
      <c r="WHX21" s="3507"/>
      <c r="WHY21" s="3507"/>
      <c r="WHZ21" s="3507"/>
      <c r="WIA21" s="3507"/>
      <c r="WIB21" s="3507"/>
      <c r="WIC21" s="3507"/>
      <c r="WID21" s="3507"/>
      <c r="WIE21" s="3507"/>
      <c r="WIF21" s="3507"/>
      <c r="WIG21" s="3507"/>
      <c r="WIH21" s="3507"/>
      <c r="WII21" s="3507"/>
      <c r="WIJ21" s="3507"/>
      <c r="WIK21" s="3507"/>
      <c r="WIL21" s="3507"/>
      <c r="WIM21" s="3507"/>
      <c r="WIN21" s="3507"/>
      <c r="WIO21" s="3507"/>
      <c r="WIP21" s="3507"/>
      <c r="WIQ21" s="3507"/>
      <c r="WIR21" s="3507"/>
      <c r="WIS21" s="3507"/>
      <c r="WIT21" s="3507"/>
      <c r="WIU21" s="3507"/>
      <c r="WIV21" s="3507"/>
      <c r="WIW21" s="3507"/>
      <c r="WIX21" s="3507"/>
      <c r="WIY21" s="3507"/>
      <c r="WIZ21" s="3507"/>
      <c r="WJA21" s="3507"/>
      <c r="WJB21" s="3507"/>
      <c r="WJC21" s="3507"/>
      <c r="WJD21" s="3507"/>
      <c r="WJE21" s="3507"/>
      <c r="WJF21" s="3507"/>
      <c r="WJG21" s="3507"/>
      <c r="WJH21" s="3507"/>
      <c r="WJI21" s="3507"/>
      <c r="WJJ21" s="3507"/>
      <c r="WJK21" s="3507"/>
      <c r="WJL21" s="3507"/>
      <c r="WJM21" s="3507"/>
      <c r="WJN21" s="3507"/>
      <c r="WJO21" s="3507"/>
      <c r="WJP21" s="3507"/>
      <c r="WJQ21" s="3507"/>
      <c r="WJR21" s="3507"/>
      <c r="WJS21" s="3507"/>
      <c r="WJT21" s="3507"/>
      <c r="WJU21" s="3507"/>
      <c r="WJV21" s="3507"/>
      <c r="WJW21" s="3507"/>
      <c r="WJX21" s="3507"/>
      <c r="WJY21" s="3507"/>
      <c r="WJZ21" s="3507"/>
      <c r="WKA21" s="3507"/>
      <c r="WKB21" s="3507"/>
      <c r="WKC21" s="3507"/>
      <c r="WKD21" s="3507"/>
      <c r="WKE21" s="3507"/>
      <c r="WKF21" s="3507"/>
      <c r="WKG21" s="3507"/>
      <c r="WKH21" s="3507"/>
      <c r="WKI21" s="3507"/>
      <c r="WKJ21" s="3507"/>
      <c r="WKK21" s="3507"/>
      <c r="WKL21" s="3507"/>
      <c r="WKM21" s="3507"/>
      <c r="WKN21" s="3507"/>
      <c r="WKO21" s="3507"/>
      <c r="WKP21" s="3507"/>
      <c r="WKQ21" s="3507"/>
      <c r="WKR21" s="3507"/>
      <c r="WKS21" s="3507"/>
      <c r="WKT21" s="3507"/>
      <c r="WKU21" s="3507"/>
      <c r="WKV21" s="3507"/>
      <c r="WKW21" s="3507"/>
      <c r="WKX21" s="3507"/>
      <c r="WKY21" s="3507"/>
      <c r="WKZ21" s="3507"/>
      <c r="WLA21" s="3507"/>
      <c r="WLB21" s="3507"/>
      <c r="WLC21" s="3507"/>
      <c r="WLD21" s="3507"/>
      <c r="WLE21" s="3507"/>
      <c r="WLF21" s="3507"/>
      <c r="WLG21" s="3507"/>
      <c r="WLH21" s="3507"/>
      <c r="WLI21" s="3507"/>
      <c r="WLJ21" s="3507"/>
      <c r="WLK21" s="3507"/>
      <c r="WLL21" s="3507"/>
      <c r="WLM21" s="3507"/>
      <c r="WLN21" s="3507"/>
      <c r="WLO21" s="3507"/>
      <c r="WLP21" s="3507"/>
      <c r="WLQ21" s="3507"/>
      <c r="WLR21" s="3507"/>
      <c r="WLS21" s="3507"/>
      <c r="WLT21" s="3507"/>
      <c r="WLU21" s="3507"/>
      <c r="WLV21" s="3507"/>
      <c r="WLW21" s="3507"/>
      <c r="WLX21" s="3507"/>
      <c r="WLY21" s="3507"/>
      <c r="WLZ21" s="3507"/>
      <c r="WMA21" s="3507"/>
      <c r="WMB21" s="3507"/>
      <c r="WMC21" s="3507"/>
      <c r="WMD21" s="3507"/>
      <c r="WME21" s="3507"/>
      <c r="WMF21" s="3507"/>
      <c r="WMG21" s="3507"/>
      <c r="WMH21" s="3507"/>
      <c r="WMI21" s="3507"/>
      <c r="WMJ21" s="3507"/>
      <c r="WMK21" s="3507"/>
      <c r="WML21" s="3507"/>
      <c r="WMM21" s="3507"/>
      <c r="WMN21" s="3507"/>
      <c r="WMO21" s="3507"/>
      <c r="WMP21" s="3507"/>
      <c r="WMQ21" s="3507"/>
      <c r="WMR21" s="3507"/>
      <c r="WMS21" s="3507"/>
      <c r="WMT21" s="3507"/>
      <c r="WMU21" s="3507"/>
      <c r="WMV21" s="3507"/>
      <c r="WMW21" s="3507"/>
      <c r="WMX21" s="3507"/>
      <c r="WMY21" s="3507"/>
      <c r="WMZ21" s="3507"/>
      <c r="WNA21" s="3507"/>
      <c r="WNB21" s="3507"/>
      <c r="WNC21" s="3507"/>
      <c r="WND21" s="3507"/>
      <c r="WNE21" s="3507"/>
      <c r="WNF21" s="3507"/>
      <c r="WNG21" s="3507"/>
      <c r="WNH21" s="3507"/>
      <c r="WNI21" s="3507"/>
      <c r="WNJ21" s="3507"/>
      <c r="WNK21" s="3507"/>
      <c r="WNL21" s="3507"/>
      <c r="WNM21" s="3507"/>
      <c r="WNN21" s="3507"/>
      <c r="WNO21" s="3507"/>
      <c r="WNP21" s="3507"/>
      <c r="WNQ21" s="3507"/>
      <c r="WNR21" s="3507"/>
      <c r="WNS21" s="3507"/>
      <c r="WNT21" s="3507"/>
      <c r="WNU21" s="3507"/>
      <c r="WNV21" s="3507"/>
      <c r="WNW21" s="3507"/>
      <c r="WNX21" s="3507"/>
      <c r="WNY21" s="3507"/>
      <c r="WNZ21" s="3507"/>
      <c r="WOA21" s="3507"/>
      <c r="WOB21" s="3507"/>
      <c r="WOC21" s="3507"/>
      <c r="WOD21" s="3507"/>
      <c r="WOE21" s="3507"/>
      <c r="WOF21" s="3507"/>
      <c r="WOG21" s="3507"/>
      <c r="WOH21" s="3507"/>
      <c r="WOI21" s="3507"/>
      <c r="WOJ21" s="3507"/>
      <c r="WOK21" s="3507"/>
      <c r="WOL21" s="3507"/>
      <c r="WOM21" s="3507"/>
      <c r="WON21" s="3507"/>
      <c r="WOO21" s="3507"/>
      <c r="WOP21" s="3507"/>
      <c r="WOQ21" s="3507"/>
      <c r="WOR21" s="3507"/>
      <c r="WOS21" s="3507"/>
      <c r="WOT21" s="3507"/>
      <c r="WOU21" s="3507"/>
      <c r="WOV21" s="3507"/>
      <c r="WOW21" s="3507"/>
      <c r="WOX21" s="3507"/>
      <c r="WOY21" s="3507"/>
      <c r="WOZ21" s="3507"/>
      <c r="WPA21" s="3507"/>
      <c r="WPB21" s="3507"/>
      <c r="WPC21" s="3507"/>
      <c r="WPD21" s="3507"/>
      <c r="WPE21" s="3507"/>
      <c r="WPF21" s="3507"/>
      <c r="WPG21" s="3507"/>
      <c r="WPH21" s="3507"/>
      <c r="WPI21" s="3507"/>
      <c r="WPJ21" s="3507"/>
      <c r="WPK21" s="3507"/>
      <c r="WPL21" s="3507"/>
      <c r="WPM21" s="3507"/>
      <c r="WPN21" s="3507"/>
      <c r="WPO21" s="3507"/>
      <c r="WPP21" s="3507"/>
      <c r="WPQ21" s="3507"/>
      <c r="WPR21" s="3507"/>
      <c r="WPS21" s="3507"/>
      <c r="WPT21" s="3507"/>
      <c r="WPU21" s="3507"/>
      <c r="WPV21" s="3507"/>
      <c r="WPW21" s="3507"/>
      <c r="WPX21" s="3507"/>
      <c r="WPY21" s="3507"/>
      <c r="WPZ21" s="3507"/>
      <c r="WQA21" s="3507"/>
      <c r="WQB21" s="3507"/>
      <c r="WQC21" s="3507"/>
      <c r="WQD21" s="3507"/>
      <c r="WQE21" s="3507"/>
      <c r="WQF21" s="3507"/>
      <c r="WQG21" s="3507"/>
      <c r="WQH21" s="3507"/>
      <c r="WQI21" s="3507"/>
      <c r="WQJ21" s="3507"/>
      <c r="WQK21" s="3507"/>
      <c r="WQL21" s="3507"/>
      <c r="WQM21" s="3507"/>
      <c r="WQN21" s="3507"/>
      <c r="WQO21" s="3507"/>
      <c r="WQP21" s="3507"/>
      <c r="WQQ21" s="3507"/>
      <c r="WQR21" s="3507"/>
      <c r="WQS21" s="3507"/>
      <c r="WQT21" s="3507"/>
      <c r="WQU21" s="3507"/>
      <c r="WQV21" s="3507"/>
      <c r="WQW21" s="3507"/>
      <c r="WQX21" s="3507"/>
      <c r="WQY21" s="3507"/>
      <c r="WQZ21" s="3507"/>
      <c r="WRA21" s="3507"/>
      <c r="WRB21" s="3507"/>
      <c r="WRC21" s="3507"/>
      <c r="WRD21" s="3507"/>
      <c r="WRE21" s="3507"/>
      <c r="WRF21" s="3507"/>
      <c r="WRG21" s="3507"/>
      <c r="WRH21" s="3507"/>
      <c r="WRI21" s="3507"/>
      <c r="WRJ21" s="3507"/>
      <c r="WRK21" s="3507"/>
      <c r="WRL21" s="3507"/>
      <c r="WRM21" s="3507"/>
      <c r="WRN21" s="3507"/>
      <c r="WRO21" s="3507"/>
      <c r="WRP21" s="3507"/>
      <c r="WRQ21" s="3507"/>
      <c r="WRR21" s="3507"/>
      <c r="WRS21" s="3507"/>
      <c r="WRT21" s="3507"/>
      <c r="WRU21" s="3507"/>
      <c r="WRV21" s="3507"/>
      <c r="WRW21" s="3507"/>
      <c r="WRX21" s="3507"/>
      <c r="WRY21" s="3507"/>
      <c r="WRZ21" s="3507"/>
      <c r="WSA21" s="3507"/>
      <c r="WSB21" s="3507"/>
      <c r="WSC21" s="3507"/>
      <c r="WSD21" s="3507"/>
      <c r="WSE21" s="3507"/>
      <c r="WSF21" s="3507"/>
      <c r="WSG21" s="3507"/>
      <c r="WSH21" s="3507"/>
      <c r="WSI21" s="3507"/>
      <c r="WSJ21" s="3507"/>
      <c r="WSK21" s="3507"/>
      <c r="WSL21" s="3507"/>
      <c r="WSM21" s="3507"/>
      <c r="WSN21" s="3507"/>
      <c r="WSO21" s="3507"/>
      <c r="WSP21" s="3507"/>
      <c r="WSQ21" s="3507"/>
      <c r="WSR21" s="3507"/>
      <c r="WSS21" s="3507"/>
      <c r="WST21" s="3507"/>
      <c r="WSU21" s="3507"/>
      <c r="WSV21" s="3507"/>
      <c r="WSW21" s="3507"/>
      <c r="WSX21" s="3507"/>
      <c r="WSY21" s="3507"/>
      <c r="WSZ21" s="3507"/>
      <c r="WTA21" s="3507"/>
      <c r="WTB21" s="3507"/>
      <c r="WTC21" s="3507"/>
      <c r="WTD21" s="3507"/>
      <c r="WTE21" s="3507"/>
      <c r="WTF21" s="3507"/>
      <c r="WTG21" s="3507"/>
      <c r="WTH21" s="3507"/>
      <c r="WTI21" s="3507"/>
      <c r="WTJ21" s="3507"/>
      <c r="WTK21" s="3507"/>
      <c r="WTL21" s="3507"/>
      <c r="WTM21" s="3507"/>
      <c r="WTN21" s="3507"/>
      <c r="WTO21" s="3507"/>
      <c r="WTP21" s="3507"/>
      <c r="WTQ21" s="3507"/>
      <c r="WTR21" s="3507"/>
      <c r="WTS21" s="3507"/>
      <c r="WTT21" s="3507"/>
      <c r="WTU21" s="3507"/>
      <c r="WTV21" s="3507"/>
      <c r="WTW21" s="3507"/>
      <c r="WTX21" s="3507"/>
      <c r="WTY21" s="3507"/>
      <c r="WTZ21" s="3507"/>
      <c r="WUA21" s="3507"/>
      <c r="WUB21" s="3507"/>
      <c r="WUC21" s="3507"/>
      <c r="WUD21" s="3507"/>
      <c r="WUE21" s="3507"/>
      <c r="WUF21" s="3507"/>
      <c r="WUG21" s="3507"/>
      <c r="WUH21" s="3507"/>
      <c r="WUI21" s="3507"/>
      <c r="WUJ21" s="3507"/>
      <c r="WUK21" s="3507"/>
      <c r="WUL21" s="3507"/>
      <c r="WUM21" s="3507"/>
      <c r="WUN21" s="3507"/>
      <c r="WUO21" s="3507"/>
      <c r="WUP21" s="3507"/>
      <c r="WUQ21" s="3507"/>
      <c r="WUR21" s="3507"/>
      <c r="WUS21" s="3507"/>
      <c r="WUT21" s="3507"/>
      <c r="WUU21" s="3507"/>
      <c r="WUV21" s="3507"/>
      <c r="WUW21" s="3507"/>
      <c r="WUX21" s="3507"/>
      <c r="WUY21" s="3507"/>
      <c r="WUZ21" s="3507"/>
      <c r="WVA21" s="3507"/>
      <c r="WVB21" s="3507"/>
      <c r="WVC21" s="3507"/>
      <c r="WVD21" s="3507"/>
      <c r="WVE21" s="3507"/>
      <c r="WVF21" s="3507"/>
      <c r="WVG21" s="3507"/>
      <c r="WVH21" s="3507"/>
      <c r="WVI21" s="3507"/>
      <c r="WVJ21" s="3507"/>
      <c r="WVK21" s="3507"/>
      <c r="WVL21" s="3507"/>
      <c r="WVM21" s="3507"/>
      <c r="WVN21" s="3507"/>
      <c r="WVO21" s="3507"/>
      <c r="WVP21" s="3507"/>
      <c r="WVQ21" s="3507"/>
      <c r="WVR21" s="3507"/>
      <c r="WVS21" s="3507"/>
      <c r="WVT21" s="3507"/>
      <c r="WVU21" s="3507"/>
      <c r="WVV21" s="3507"/>
      <c r="WVW21" s="3507"/>
      <c r="WVX21" s="3507"/>
      <c r="WVY21" s="3507"/>
      <c r="WVZ21" s="3507"/>
      <c r="WWA21" s="3507"/>
      <c r="WWB21" s="3507"/>
      <c r="WWC21" s="3507"/>
      <c r="WWD21" s="3507"/>
      <c r="WWE21" s="3507"/>
      <c r="WWF21" s="3507"/>
      <c r="WWG21" s="3507"/>
      <c r="WWH21" s="3507"/>
      <c r="WWI21" s="3507"/>
      <c r="WWJ21" s="3507"/>
      <c r="WWK21" s="3507"/>
      <c r="WWL21" s="3507"/>
      <c r="WWM21" s="3507"/>
      <c r="WWN21" s="3507"/>
      <c r="WWO21" s="3507"/>
      <c r="WWP21" s="3507"/>
      <c r="WWQ21" s="3507"/>
      <c r="WWR21" s="3507"/>
      <c r="WWS21" s="3507"/>
      <c r="WWT21" s="3507"/>
      <c r="WWU21" s="3507"/>
      <c r="WWV21" s="3507"/>
      <c r="WWW21" s="3507"/>
      <c r="WWX21" s="3507"/>
      <c r="WWY21" s="3507"/>
      <c r="WWZ21" s="3507"/>
      <c r="WXA21" s="3507"/>
      <c r="WXB21" s="3507"/>
      <c r="WXC21" s="3507"/>
      <c r="WXD21" s="3507"/>
      <c r="WXE21" s="3507"/>
      <c r="WXF21" s="3507"/>
      <c r="WXG21" s="3507"/>
      <c r="WXH21" s="3507"/>
      <c r="WXI21" s="3507"/>
      <c r="WXJ21" s="3507"/>
      <c r="WXK21" s="3507"/>
      <c r="WXL21" s="3507"/>
      <c r="WXM21" s="3507"/>
      <c r="WXN21" s="3507"/>
      <c r="WXO21" s="3507"/>
      <c r="WXP21" s="3507"/>
      <c r="WXQ21" s="3507"/>
      <c r="WXR21" s="3507"/>
      <c r="WXS21" s="3507"/>
      <c r="WXT21" s="3507"/>
      <c r="WXU21" s="3507"/>
      <c r="WXV21" s="3507"/>
      <c r="WXW21" s="3507"/>
      <c r="WXX21" s="3507"/>
      <c r="WXY21" s="3507"/>
      <c r="WXZ21" s="3507"/>
      <c r="WYA21" s="3507"/>
      <c r="WYB21" s="3507"/>
      <c r="WYC21" s="3507"/>
      <c r="WYD21" s="3507"/>
      <c r="WYE21" s="3507"/>
      <c r="WYF21" s="3507"/>
      <c r="WYG21" s="3507"/>
      <c r="WYH21" s="3507"/>
      <c r="WYI21" s="3507"/>
      <c r="WYJ21" s="3507"/>
      <c r="WYK21" s="3507"/>
      <c r="WYL21" s="3507"/>
      <c r="WYM21" s="3507"/>
      <c r="WYN21" s="3507"/>
      <c r="WYO21" s="3507"/>
      <c r="WYP21" s="3507"/>
      <c r="WYQ21" s="3507"/>
      <c r="WYR21" s="3507"/>
      <c r="WYS21" s="3507"/>
      <c r="WYT21" s="3507"/>
      <c r="WYU21" s="3507"/>
      <c r="WYV21" s="3507"/>
      <c r="WYW21" s="3507"/>
      <c r="WYX21" s="3507"/>
      <c r="WYY21" s="3507"/>
      <c r="WYZ21" s="3507"/>
      <c r="WZA21" s="3507"/>
      <c r="WZB21" s="3507"/>
      <c r="WZC21" s="3507"/>
      <c r="WZD21" s="3507"/>
      <c r="WZE21" s="3507"/>
      <c r="WZF21" s="3507"/>
      <c r="WZG21" s="3507"/>
      <c r="WZH21" s="3507"/>
      <c r="WZI21" s="3507"/>
      <c r="WZJ21" s="3507"/>
      <c r="WZK21" s="3507"/>
      <c r="WZL21" s="3507"/>
      <c r="WZM21" s="3507"/>
      <c r="WZN21" s="3507"/>
      <c r="WZO21" s="3507"/>
      <c r="WZP21" s="3507"/>
      <c r="WZQ21" s="3507"/>
      <c r="WZR21" s="3507"/>
      <c r="WZS21" s="3507"/>
      <c r="WZT21" s="3507"/>
      <c r="WZU21" s="3507"/>
      <c r="WZV21" s="3507"/>
      <c r="WZW21" s="3507"/>
      <c r="WZX21" s="3507"/>
      <c r="WZY21" s="3507"/>
      <c r="WZZ21" s="3507"/>
      <c r="XAA21" s="3507"/>
      <c r="XAB21" s="3507"/>
      <c r="XAC21" s="3507"/>
      <c r="XAD21" s="3507"/>
      <c r="XAE21" s="3507"/>
      <c r="XAF21" s="3507"/>
      <c r="XAG21" s="3507"/>
      <c r="XAH21" s="3507"/>
      <c r="XAI21" s="3507"/>
      <c r="XAJ21" s="3507"/>
      <c r="XAK21" s="3507"/>
      <c r="XAL21" s="3507"/>
      <c r="XAM21" s="3507"/>
      <c r="XAN21" s="3507"/>
      <c r="XAO21" s="3507"/>
      <c r="XAP21" s="3507"/>
      <c r="XAQ21" s="3507"/>
      <c r="XAR21" s="3507"/>
      <c r="XAS21" s="3507"/>
      <c r="XAT21" s="3507"/>
      <c r="XAU21" s="3507"/>
      <c r="XAV21" s="3507"/>
      <c r="XAW21" s="3507"/>
      <c r="XAX21" s="3507"/>
      <c r="XAY21" s="3507"/>
      <c r="XAZ21" s="3507"/>
      <c r="XBA21" s="3507"/>
      <c r="XBB21" s="3507"/>
      <c r="XBC21" s="3507"/>
      <c r="XBD21" s="3507"/>
      <c r="XBE21" s="3507"/>
      <c r="XBF21" s="3507"/>
      <c r="XBG21" s="3507"/>
      <c r="XBH21" s="3507"/>
      <c r="XBI21" s="3507"/>
      <c r="XBJ21" s="3507"/>
      <c r="XBK21" s="3507"/>
      <c r="XBL21" s="3507"/>
      <c r="XBM21" s="3507"/>
      <c r="XBN21" s="3507"/>
      <c r="XBO21" s="3507"/>
      <c r="XBP21" s="3507"/>
      <c r="XBQ21" s="3507"/>
      <c r="XBR21" s="3507"/>
      <c r="XBS21" s="3507"/>
      <c r="XBT21" s="3507"/>
      <c r="XBU21" s="3507"/>
      <c r="XBV21" s="3507"/>
      <c r="XBW21" s="3507"/>
      <c r="XBX21" s="3507"/>
      <c r="XBY21" s="3507"/>
      <c r="XBZ21" s="3507"/>
      <c r="XCA21" s="3507"/>
      <c r="XCB21" s="3507"/>
      <c r="XCC21" s="3507"/>
      <c r="XCD21" s="3507"/>
      <c r="XCE21" s="3507"/>
      <c r="XCF21" s="3507"/>
      <c r="XCG21" s="3507"/>
      <c r="XCH21" s="3507"/>
      <c r="XCI21" s="3507"/>
      <c r="XCJ21" s="3507"/>
      <c r="XCK21" s="3507"/>
      <c r="XCL21" s="3507"/>
      <c r="XCM21" s="3507"/>
      <c r="XCN21" s="3507"/>
      <c r="XCO21" s="3507"/>
      <c r="XCP21" s="3507"/>
      <c r="XCQ21" s="3507"/>
      <c r="XCR21" s="3507"/>
      <c r="XCS21" s="3507"/>
      <c r="XCT21" s="3507"/>
      <c r="XCU21" s="3507"/>
      <c r="XCV21" s="3507"/>
      <c r="XCW21" s="3507"/>
      <c r="XCX21" s="3507"/>
      <c r="XCY21" s="3507"/>
      <c r="XCZ21" s="3507"/>
      <c r="XDA21" s="3507"/>
      <c r="XDB21" s="3507"/>
      <c r="XDC21" s="3507"/>
      <c r="XDD21" s="3507"/>
      <c r="XDE21" s="3507"/>
      <c r="XDF21" s="3507"/>
      <c r="XDG21" s="3507"/>
      <c r="XDH21" s="3507"/>
      <c r="XDI21" s="3507"/>
      <c r="XDJ21" s="3507"/>
      <c r="XDK21" s="3507"/>
      <c r="XDL21" s="3507"/>
      <c r="XDM21" s="3507"/>
      <c r="XDN21" s="3507"/>
      <c r="XDO21" s="3507"/>
      <c r="XDP21" s="3507"/>
      <c r="XDQ21" s="3507"/>
      <c r="XDR21" s="3507"/>
      <c r="XDS21" s="3507"/>
      <c r="XDT21" s="3507"/>
      <c r="XDU21" s="3507"/>
      <c r="XDV21" s="3507"/>
      <c r="XDW21" s="3507"/>
      <c r="XDX21" s="3507"/>
      <c r="XDY21" s="3507"/>
      <c r="XDZ21" s="3507"/>
      <c r="XEA21" s="3507"/>
      <c r="XEB21" s="3507"/>
      <c r="XEC21" s="3507"/>
      <c r="XED21" s="3507"/>
      <c r="XEE21" s="3507"/>
      <c r="XEF21" s="3507"/>
      <c r="XEG21" s="3507"/>
      <c r="XEH21" s="3507"/>
      <c r="XEI21" s="3507"/>
      <c r="XEJ21" s="3507"/>
      <c r="XEK21" s="3507"/>
      <c r="XEL21" s="3507"/>
      <c r="XEM21" s="3507"/>
      <c r="XEN21" s="3507"/>
    </row>
    <row r="22" spans="1:16368" s="3516" customFormat="1" ht="34.5" customHeight="1">
      <c r="A22" s="3580"/>
      <c r="B22" s="3507"/>
      <c r="C22" s="3831" t="s">
        <v>5085</v>
      </c>
      <c r="D22" s="3748" t="s">
        <v>5081</v>
      </c>
      <c r="G22" s="3829" t="s">
        <v>5082</v>
      </c>
      <c r="H22" s="3830" t="s">
        <v>5083</v>
      </c>
      <c r="I22" s="3762" t="s">
        <v>5084</v>
      </c>
      <c r="J22" s="3508"/>
      <c r="K22" s="3508"/>
      <c r="L22" s="3507"/>
      <c r="M22" s="3514"/>
      <c r="N22" s="3514"/>
      <c r="O22" s="3514"/>
      <c r="P22" s="3514"/>
      <c r="Q22" s="3514"/>
      <c r="R22" s="3514"/>
      <c r="S22" s="3514"/>
      <c r="T22" s="3514" t="s">
        <v>5087</v>
      </c>
      <c r="U22" s="3514"/>
      <c r="V22" s="3514"/>
      <c r="W22" s="3514"/>
      <c r="X22" s="3514"/>
      <c r="Y22" s="3514"/>
      <c r="Z22" s="3514"/>
      <c r="AA22" s="3514"/>
      <c r="AB22" s="3514"/>
      <c r="AC22" s="3514"/>
      <c r="AD22" s="3514"/>
      <c r="AE22" s="3509"/>
      <c r="AF22" s="3510"/>
      <c r="AG22" s="3511"/>
      <c r="AH22" s="3509"/>
      <c r="AI22" s="3510"/>
      <c r="AJ22" s="3508"/>
      <c r="AK22" s="3508"/>
      <c r="AL22" s="3508"/>
      <c r="AM22" s="3508"/>
      <c r="AN22" s="3509"/>
      <c r="AO22" s="3510"/>
      <c r="AP22" s="3511"/>
      <c r="AQ22" s="3509"/>
      <c r="AR22" s="3510"/>
      <c r="AS22" s="3508"/>
      <c r="AT22" s="3508"/>
      <c r="AU22" s="3508"/>
      <c r="AV22" s="3509"/>
      <c r="AW22" s="3510"/>
      <c r="AX22" s="3508"/>
      <c r="AY22" s="3509"/>
      <c r="AZ22" s="3510"/>
      <c r="BA22" s="3508"/>
      <c r="BB22" s="3508"/>
      <c r="BC22" s="3508"/>
      <c r="BD22" s="3509"/>
      <c r="BE22" s="3512"/>
      <c r="BF22" s="3511"/>
      <c r="BG22" s="3511"/>
      <c r="BH22" s="3511"/>
      <c r="BI22" s="3511"/>
      <c r="BJ22" s="3508"/>
      <c r="BK22" s="3508"/>
      <c r="BL22" s="3509"/>
      <c r="BM22" s="3510"/>
      <c r="BN22" s="3511"/>
      <c r="BO22" s="3509"/>
      <c r="BP22" s="3510"/>
      <c r="BQ22" s="3511"/>
      <c r="BR22" s="3508"/>
      <c r="BS22" s="3508"/>
      <c r="BT22" s="3509"/>
      <c r="BU22" s="3510"/>
      <c r="BV22" s="3511"/>
      <c r="BW22" s="3509"/>
      <c r="BX22" s="3510"/>
      <c r="BY22" s="3511"/>
      <c r="BZ22" s="3508"/>
      <c r="CA22" s="3508"/>
      <c r="CB22" s="3509"/>
      <c r="CC22" s="3510"/>
      <c r="CD22" s="3508"/>
      <c r="CE22" s="3509"/>
      <c r="CF22" s="3510"/>
      <c r="CG22" s="3508"/>
      <c r="CH22" s="3508"/>
      <c r="CI22" s="3508"/>
      <c r="CJ22" s="3509"/>
      <c r="CK22" s="3510"/>
      <c r="CL22" s="3508"/>
      <c r="CM22" s="3508"/>
      <c r="CN22" s="3510"/>
      <c r="CO22" s="3508"/>
      <c r="CP22" s="3508"/>
      <c r="CQ22" s="3508"/>
      <c r="CR22" s="3509"/>
      <c r="CS22" s="3510"/>
      <c r="CT22" s="3508"/>
      <c r="CU22" s="3508"/>
      <c r="CV22" s="3510"/>
      <c r="CW22" s="3508"/>
      <c r="CX22" s="3508"/>
      <c r="CY22" s="3508"/>
      <c r="CZ22" s="3509"/>
      <c r="DA22" s="3510"/>
      <c r="DB22" s="3508"/>
      <c r="DC22" s="3509"/>
      <c r="DD22" s="3510"/>
      <c r="DE22" s="3508"/>
      <c r="DF22" s="3508"/>
      <c r="DG22" s="3508"/>
      <c r="DH22" s="3509"/>
      <c r="DI22" s="3510"/>
      <c r="DJ22" s="3508"/>
      <c r="DK22" s="3509"/>
      <c r="DL22" s="3510"/>
      <c r="DM22" s="3508"/>
      <c r="DN22" s="3513"/>
      <c r="DO22" s="3508"/>
      <c r="DP22" s="3509"/>
      <c r="DQ22" s="3510"/>
      <c r="DR22" s="3508"/>
      <c r="DS22" s="3509"/>
      <c r="DT22" s="3510"/>
      <c r="DU22" s="3508"/>
      <c r="DV22" s="3513"/>
      <c r="DW22" s="3508"/>
      <c r="DX22" s="3509"/>
      <c r="DY22" s="3510"/>
      <c r="DZ22" s="3508"/>
      <c r="EA22" s="3508"/>
      <c r="EB22" s="3510"/>
      <c r="EC22" s="3508"/>
      <c r="ED22" s="3508"/>
      <c r="EE22" s="3508"/>
      <c r="EF22" s="3508"/>
      <c r="EG22" s="3508"/>
      <c r="EH22" s="3508"/>
      <c r="EI22" s="3508"/>
      <c r="EJ22" s="3508"/>
      <c r="EK22" s="3509"/>
      <c r="EL22" s="3510"/>
      <c r="EM22" s="3510"/>
      <c r="EN22" s="3511"/>
      <c r="EO22" s="3509"/>
      <c r="EP22" s="3510"/>
      <c r="EQ22" s="3510"/>
      <c r="ER22" s="3508"/>
      <c r="ES22" s="3507"/>
      <c r="ET22" s="3507"/>
      <c r="EU22" s="3507"/>
      <c r="EV22" s="3820" t="s">
        <v>5073</v>
      </c>
      <c r="EW22" s="3816"/>
      <c r="EX22" s="3816"/>
      <c r="EY22" s="3816"/>
      <c r="EZ22" s="3820" t="s">
        <v>5074</v>
      </c>
      <c r="FA22" s="3821"/>
      <c r="FB22" s="3816"/>
      <c r="FC22" s="3816"/>
      <c r="FD22" s="3820" t="s">
        <v>5073</v>
      </c>
      <c r="FE22" s="3816"/>
      <c r="FF22" s="3816"/>
      <c r="FG22" s="3816"/>
      <c r="FH22" s="3820" t="s">
        <v>5074</v>
      </c>
      <c r="FI22" s="3511"/>
      <c r="FJ22" s="3509"/>
      <c r="FK22" s="3510"/>
      <c r="FL22" s="3820" t="s">
        <v>5073</v>
      </c>
      <c r="FM22" s="3816"/>
      <c r="FN22" s="3816"/>
      <c r="FO22" s="3816"/>
      <c r="FP22" s="3820" t="s">
        <v>5074</v>
      </c>
      <c r="FQ22" s="3511"/>
      <c r="FR22" s="3509"/>
      <c r="FS22" s="3510"/>
      <c r="FT22" s="3820" t="s">
        <v>5073</v>
      </c>
      <c r="FU22" s="3816"/>
      <c r="FV22" s="3816"/>
      <c r="FW22" s="3816"/>
      <c r="FX22" s="3820" t="s">
        <v>5074</v>
      </c>
      <c r="FY22" s="3511"/>
      <c r="FZ22" s="3509"/>
      <c r="GA22" s="3510"/>
      <c r="GB22" s="3820" t="s">
        <v>5073</v>
      </c>
      <c r="GC22" s="3816"/>
      <c r="GD22" s="3816"/>
      <c r="GE22" s="3816"/>
      <c r="GF22" s="3820" t="s">
        <v>5074</v>
      </c>
      <c r="GG22" s="3511"/>
      <c r="GH22" s="3509"/>
      <c r="GI22" s="3510"/>
      <c r="GJ22" s="3820" t="s">
        <v>5073</v>
      </c>
      <c r="GK22" s="3816"/>
      <c r="GL22" s="3816"/>
      <c r="GM22" s="3816"/>
      <c r="GN22" s="3820" t="s">
        <v>5074</v>
      </c>
      <c r="GO22" s="3511"/>
      <c r="GP22" s="3509"/>
      <c r="GQ22" s="3510"/>
      <c r="GR22" s="3820" t="s">
        <v>5073</v>
      </c>
      <c r="GS22" s="3816"/>
      <c r="GT22" s="3816"/>
      <c r="GU22" s="3816"/>
      <c r="GV22" s="3820" t="s">
        <v>5074</v>
      </c>
      <c r="GW22" s="3511"/>
      <c r="GX22" s="3509"/>
      <c r="GY22" s="3510"/>
      <c r="GZ22" s="3820" t="s">
        <v>5073</v>
      </c>
      <c r="HA22" s="3816"/>
      <c r="HB22" s="3816"/>
      <c r="HC22" s="3816"/>
      <c r="HD22" s="3820" t="s">
        <v>5074</v>
      </c>
      <c r="HE22" s="3511"/>
      <c r="HF22" s="3509"/>
      <c r="HG22" s="3510"/>
      <c r="HH22" s="3820" t="s">
        <v>5073</v>
      </c>
      <c r="HI22" s="3816"/>
      <c r="HJ22" s="3816"/>
      <c r="HK22" s="3816"/>
      <c r="HL22" s="3820" t="s">
        <v>5074</v>
      </c>
      <c r="HM22" s="3511"/>
      <c r="HN22" s="3509"/>
      <c r="HO22" s="3510"/>
      <c r="HP22" s="3820" t="s">
        <v>5073</v>
      </c>
      <c r="HQ22" s="3816"/>
      <c r="HR22" s="3816"/>
      <c r="HS22" s="3816"/>
      <c r="HT22" s="3820" t="s">
        <v>5074</v>
      </c>
      <c r="HU22" s="3511"/>
      <c r="HV22" s="3509"/>
      <c r="HW22" s="3510"/>
      <c r="HX22" s="3820" t="s">
        <v>5073</v>
      </c>
      <c r="HY22" s="3816"/>
      <c r="HZ22" s="3816"/>
      <c r="IA22" s="3816"/>
      <c r="IB22" s="3820" t="s">
        <v>5074</v>
      </c>
      <c r="IC22" s="3511"/>
      <c r="ID22" s="3509"/>
      <c r="IE22" s="3510"/>
      <c r="IF22" s="3820" t="s">
        <v>5073</v>
      </c>
      <c r="IG22" s="3816"/>
      <c r="IH22" s="3816"/>
      <c r="II22" s="3816"/>
      <c r="IJ22" s="3820" t="s">
        <v>5074</v>
      </c>
      <c r="IK22" s="3511"/>
      <c r="IL22" s="3507"/>
      <c r="IO22" s="3507"/>
      <c r="IP22" s="3515"/>
      <c r="IQ22" s="3515"/>
      <c r="IR22" s="3515"/>
      <c r="IS22" s="3515"/>
      <c r="IT22" s="3515"/>
      <c r="IU22" s="3515"/>
      <c r="IV22" s="3515"/>
      <c r="IW22" s="3515"/>
      <c r="IX22" s="3515"/>
      <c r="IY22" s="3515"/>
      <c r="IZ22" s="3515"/>
      <c r="JA22" s="3515"/>
      <c r="JB22" s="3515"/>
      <c r="JC22" s="3515"/>
      <c r="JD22" s="3515"/>
      <c r="JE22" s="3515"/>
      <c r="JF22" s="3515"/>
      <c r="JG22" s="3515"/>
      <c r="JH22" s="3515"/>
      <c r="JI22" s="3515"/>
      <c r="JJ22" s="3515"/>
      <c r="JK22" s="3515"/>
      <c r="JL22" s="3515"/>
      <c r="JM22" s="3515"/>
      <c r="JN22" s="3515"/>
      <c r="JO22" s="3515"/>
      <c r="JP22" s="3507"/>
      <c r="JS22" s="3507"/>
      <c r="JT22" s="3507"/>
      <c r="JU22" s="3507"/>
      <c r="JV22" s="3507"/>
      <c r="JW22" s="3507"/>
      <c r="KA22" s="3577"/>
      <c r="KB22" s="3577"/>
      <c r="KC22" s="3577"/>
      <c r="KD22" s="3577"/>
      <c r="KE22" s="3577"/>
      <c r="KF22" s="3577"/>
      <c r="KG22" s="3577"/>
      <c r="KH22" s="3577"/>
      <c r="KI22" s="3577"/>
      <c r="KJ22" s="3577"/>
      <c r="KK22" s="3577"/>
      <c r="KL22" s="3577"/>
      <c r="KM22" s="3577"/>
      <c r="KN22" s="3577"/>
      <c r="KO22" s="3577"/>
      <c r="KP22" s="3577"/>
      <c r="KS22" s="3507"/>
      <c r="KT22" s="3507"/>
      <c r="KU22" s="3507"/>
      <c r="KV22" s="3507"/>
      <c r="KW22" s="3507"/>
      <c r="KX22" s="3507"/>
      <c r="KY22" s="3507"/>
      <c r="KZ22" s="3507"/>
      <c r="LA22" s="3507"/>
      <c r="LB22" s="3507"/>
      <c r="LC22" s="3507"/>
      <c r="LD22" s="3507"/>
      <c r="LE22" s="3507"/>
      <c r="LF22" s="3507"/>
      <c r="LG22" s="3507"/>
      <c r="LH22" s="3507"/>
      <c r="LI22" s="3507"/>
      <c r="LJ22" s="3507"/>
      <c r="LK22" s="3507"/>
      <c r="LL22" s="3507"/>
      <c r="LM22" s="3507"/>
      <c r="LN22" s="3507"/>
      <c r="LO22" s="3507"/>
      <c r="LP22" s="3507"/>
      <c r="LQ22" s="3507"/>
      <c r="LR22" s="3507"/>
      <c r="LS22" s="3507"/>
      <c r="LT22" s="3507"/>
      <c r="LU22" s="3507"/>
      <c r="LV22" s="3507"/>
      <c r="LW22" s="3507"/>
      <c r="LX22" s="3507"/>
      <c r="LY22" s="3507"/>
      <c r="LZ22" s="3507"/>
      <c r="MA22" s="3507"/>
      <c r="MB22" s="3507"/>
      <c r="MC22" s="3507"/>
      <c r="MD22" s="3507"/>
      <c r="ME22" s="3507"/>
      <c r="MF22" s="3507"/>
      <c r="MG22" s="3507"/>
      <c r="MH22" s="3507"/>
      <c r="MI22" s="3507"/>
      <c r="MJ22" s="3507"/>
      <c r="MK22" s="3507"/>
      <c r="ML22" s="3507"/>
      <c r="MM22" s="3507"/>
      <c r="MN22" s="3507"/>
      <c r="MO22" s="3507"/>
      <c r="MP22" s="3507"/>
      <c r="MQ22" s="3507"/>
      <c r="MR22" s="3507"/>
      <c r="MS22" s="3507"/>
      <c r="MT22" s="3507"/>
      <c r="MU22" s="3507"/>
      <c r="MV22" s="3507"/>
      <c r="MW22" s="3507"/>
      <c r="MX22" s="3507"/>
      <c r="MY22" s="3507"/>
      <c r="MZ22" s="3507"/>
      <c r="NA22" s="3507"/>
      <c r="NB22" s="3507"/>
      <c r="NC22" s="3507"/>
      <c r="ND22" s="3507"/>
      <c r="NE22" s="3507"/>
      <c r="NF22" s="3507"/>
      <c r="NG22" s="3507"/>
      <c r="NH22" s="3507"/>
      <c r="NI22" s="3507"/>
      <c r="NJ22" s="3507"/>
      <c r="NK22" s="3507"/>
      <c r="NL22" s="3507"/>
      <c r="NM22" s="3507"/>
      <c r="NN22" s="3507"/>
      <c r="NO22" s="3507"/>
      <c r="NP22" s="3507"/>
      <c r="NQ22" s="3507"/>
      <c r="NR22" s="3507"/>
      <c r="NS22" s="3507"/>
      <c r="NT22" s="3507"/>
      <c r="NU22" s="3507"/>
      <c r="NV22" s="3507"/>
      <c r="NW22" s="3507"/>
      <c r="NX22" s="3507"/>
      <c r="NY22" s="3507"/>
      <c r="NZ22" s="3507"/>
      <c r="OA22" s="3507"/>
      <c r="OB22" s="3507"/>
      <c r="OC22" s="3507"/>
      <c r="OD22" s="3507"/>
      <c r="OE22" s="3507"/>
      <c r="OF22" s="3507"/>
      <c r="OG22" s="3507"/>
      <c r="OH22" s="3507"/>
      <c r="OI22" s="3507"/>
      <c r="OJ22" s="3507"/>
      <c r="OK22" s="3507"/>
      <c r="OL22" s="3507"/>
      <c r="OM22" s="3507"/>
      <c r="ON22" s="3507"/>
      <c r="OO22" s="3507"/>
      <c r="OP22" s="3507"/>
      <c r="OQ22" s="3507"/>
      <c r="OR22" s="3507"/>
      <c r="OS22" s="3507"/>
      <c r="OT22" s="3507"/>
      <c r="OU22" s="3507"/>
      <c r="OV22" s="3507"/>
      <c r="OW22" s="3507"/>
      <c r="OX22" s="3507"/>
      <c r="OY22" s="3507"/>
      <c r="OZ22" s="3507"/>
      <c r="PA22" s="3507"/>
      <c r="PB22" s="3507"/>
      <c r="PC22" s="3507"/>
      <c r="PD22" s="3507"/>
      <c r="PE22" s="3507"/>
      <c r="PF22" s="3507"/>
      <c r="PG22" s="3507"/>
      <c r="PH22" s="3507"/>
      <c r="PI22" s="3507"/>
      <c r="PJ22" s="3507"/>
      <c r="PK22" s="3507"/>
      <c r="PL22" s="3507"/>
      <c r="PM22" s="3507"/>
      <c r="PN22" s="3507"/>
      <c r="PO22" s="3507"/>
      <c r="PP22" s="3507"/>
      <c r="PQ22" s="3507"/>
      <c r="PR22" s="3507"/>
      <c r="PS22" s="3507"/>
      <c r="PT22" s="3507"/>
      <c r="PU22" s="3507"/>
      <c r="PV22" s="3507"/>
      <c r="PW22" s="3507"/>
      <c r="PX22" s="3507"/>
      <c r="PY22" s="3507"/>
      <c r="PZ22" s="3507"/>
      <c r="QA22" s="3507"/>
      <c r="QB22" s="3507"/>
      <c r="QC22" s="3507"/>
      <c r="QD22" s="3507"/>
      <c r="QE22" s="3507"/>
      <c r="QF22" s="3507"/>
      <c r="QG22" s="3507"/>
      <c r="QH22" s="3507"/>
      <c r="QI22" s="3507"/>
      <c r="QJ22" s="3507"/>
      <c r="QK22" s="3507"/>
      <c r="QL22" s="3507"/>
      <c r="QM22" s="3507"/>
      <c r="QN22" s="3507"/>
      <c r="QO22" s="3507"/>
      <c r="QP22" s="3507"/>
      <c r="QQ22" s="3507"/>
      <c r="QR22" s="3507"/>
      <c r="QS22" s="3507"/>
      <c r="QT22" s="3507"/>
      <c r="QU22" s="3507"/>
      <c r="QV22" s="3507"/>
      <c r="QW22" s="3507"/>
      <c r="QX22" s="3507"/>
      <c r="QY22" s="3507"/>
      <c r="QZ22" s="3507"/>
      <c r="RA22" s="3507"/>
      <c r="RB22" s="3507"/>
      <c r="RC22" s="3507"/>
      <c r="RD22" s="3507"/>
      <c r="RE22" s="3507"/>
      <c r="RF22" s="3507"/>
      <c r="RG22" s="3507"/>
      <c r="RH22" s="3507"/>
      <c r="RI22" s="3507"/>
      <c r="RJ22" s="3507"/>
      <c r="RK22" s="3507"/>
      <c r="RL22" s="3507"/>
      <c r="RM22" s="3507"/>
      <c r="RN22" s="3507"/>
      <c r="RO22" s="3507"/>
      <c r="RP22" s="3507"/>
      <c r="RQ22" s="3507"/>
      <c r="RR22" s="3507"/>
      <c r="RS22" s="3507"/>
      <c r="RT22" s="3507"/>
      <c r="RU22" s="3507"/>
      <c r="RV22" s="3507"/>
      <c r="RW22" s="3507"/>
      <c r="RX22" s="3507"/>
      <c r="RY22" s="3507"/>
      <c r="RZ22" s="3507"/>
      <c r="SA22" s="3507"/>
      <c r="SB22" s="3507"/>
      <c r="SC22" s="3507"/>
      <c r="SD22" s="3507"/>
      <c r="SE22" s="3507"/>
      <c r="SF22" s="3507"/>
      <c r="SG22" s="3507"/>
      <c r="SH22" s="3507"/>
      <c r="SI22" s="3507"/>
      <c r="SJ22" s="3507"/>
      <c r="SK22" s="3507"/>
      <c r="SL22" s="3507"/>
      <c r="SM22" s="3507"/>
      <c r="SN22" s="3507"/>
      <c r="SO22" s="3507"/>
      <c r="SP22" s="3507"/>
      <c r="SQ22" s="3507"/>
      <c r="SR22" s="3507"/>
      <c r="SS22" s="3507"/>
      <c r="ST22" s="3507"/>
      <c r="SU22" s="3507"/>
      <c r="SV22" s="3507"/>
      <c r="SW22" s="3507"/>
      <c r="SX22" s="3507"/>
      <c r="SY22" s="3507"/>
      <c r="SZ22" s="3507"/>
      <c r="TA22" s="3507"/>
      <c r="TB22" s="3507"/>
      <c r="TC22" s="3507"/>
      <c r="TD22" s="3507"/>
      <c r="TE22" s="3507"/>
      <c r="TF22" s="3507"/>
      <c r="TG22" s="3507"/>
      <c r="TH22" s="3507"/>
      <c r="TI22" s="3507"/>
      <c r="TJ22" s="3507"/>
      <c r="TK22" s="3507"/>
      <c r="TL22" s="3507"/>
      <c r="TM22" s="3507"/>
      <c r="TN22" s="3507"/>
      <c r="TO22" s="3507"/>
      <c r="TP22" s="3507"/>
      <c r="TQ22" s="3507"/>
      <c r="TR22" s="3507"/>
      <c r="TS22" s="3507"/>
      <c r="TT22" s="3507"/>
      <c r="TU22" s="3507"/>
      <c r="TV22" s="3507"/>
      <c r="TW22" s="3507"/>
      <c r="TX22" s="3507"/>
      <c r="TY22" s="3507"/>
      <c r="TZ22" s="3507"/>
      <c r="UA22" s="3507"/>
      <c r="UB22" s="3507"/>
      <c r="UC22" s="3507"/>
      <c r="UD22" s="3507"/>
      <c r="UE22" s="3507"/>
      <c r="UF22" s="3507"/>
      <c r="UG22" s="3507"/>
      <c r="UH22" s="3507"/>
      <c r="UI22" s="3507"/>
      <c r="UJ22" s="3507"/>
      <c r="UK22" s="3507"/>
      <c r="UL22" s="3507"/>
      <c r="UM22" s="3507"/>
      <c r="UN22" s="3507"/>
      <c r="UO22" s="3507"/>
      <c r="UP22" s="3507"/>
      <c r="UQ22" s="3507"/>
      <c r="UR22" s="3507"/>
      <c r="US22" s="3507"/>
      <c r="UT22" s="3507"/>
      <c r="UU22" s="3507"/>
      <c r="UV22" s="3507"/>
      <c r="UW22" s="3507"/>
      <c r="UX22" s="3507"/>
      <c r="UY22" s="3507"/>
      <c r="UZ22" s="3507"/>
      <c r="VA22" s="3507"/>
      <c r="VB22" s="3507"/>
      <c r="VC22" s="3507"/>
      <c r="VD22" s="3507"/>
      <c r="VE22" s="3507"/>
      <c r="VF22" s="3507"/>
      <c r="VG22" s="3507"/>
      <c r="VH22" s="3507"/>
      <c r="VI22" s="3507"/>
      <c r="VJ22" s="3507"/>
      <c r="VK22" s="3507"/>
      <c r="VL22" s="3507"/>
      <c r="VM22" s="3507"/>
      <c r="VN22" s="3507"/>
      <c r="VO22" s="3507"/>
      <c r="VP22" s="3507"/>
      <c r="VQ22" s="3507"/>
      <c r="VR22" s="3507"/>
      <c r="VS22" s="3507"/>
      <c r="VT22" s="3507"/>
      <c r="VU22" s="3507"/>
      <c r="VV22" s="3507"/>
      <c r="VW22" s="3507"/>
      <c r="VX22" s="3507"/>
      <c r="VY22" s="3507"/>
      <c r="VZ22" s="3507"/>
      <c r="WA22" s="3507"/>
      <c r="WB22" s="3507"/>
      <c r="WC22" s="3507"/>
      <c r="WD22" s="3507"/>
      <c r="WE22" s="3507"/>
      <c r="WF22" s="3507"/>
      <c r="WG22" s="3507"/>
      <c r="WH22" s="3507"/>
      <c r="WI22" s="3507"/>
      <c r="WJ22" s="3507"/>
      <c r="WK22" s="3507"/>
      <c r="WL22" s="3507"/>
      <c r="WM22" s="3507"/>
      <c r="WN22" s="3507"/>
      <c r="WO22" s="3507"/>
      <c r="WP22" s="3507"/>
      <c r="WQ22" s="3507"/>
      <c r="WR22" s="3507"/>
      <c r="WS22" s="3507"/>
      <c r="WT22" s="3507"/>
      <c r="WU22" s="3507"/>
      <c r="WV22" s="3507"/>
      <c r="WW22" s="3507"/>
      <c r="WX22" s="3507"/>
      <c r="WY22" s="3507"/>
      <c r="WZ22" s="3507"/>
      <c r="XA22" s="3507"/>
      <c r="XB22" s="3507"/>
      <c r="XC22" s="3507"/>
      <c r="XD22" s="3507"/>
      <c r="XE22" s="3507"/>
      <c r="XF22" s="3507"/>
      <c r="XG22" s="3507"/>
      <c r="XH22" s="3507"/>
      <c r="XI22" s="3507"/>
      <c r="XJ22" s="3507"/>
      <c r="XK22" s="3507"/>
      <c r="XL22" s="3507"/>
      <c r="XM22" s="3507"/>
      <c r="XN22" s="3507"/>
      <c r="XO22" s="3507"/>
      <c r="XP22" s="3507"/>
      <c r="XQ22" s="3507"/>
      <c r="XR22" s="3507"/>
      <c r="XS22" s="3507"/>
      <c r="XT22" s="3507"/>
      <c r="XU22" s="3507"/>
      <c r="XV22" s="3507"/>
      <c r="XW22" s="3507"/>
      <c r="XX22" s="3507"/>
      <c r="XY22" s="3507"/>
      <c r="XZ22" s="3507"/>
      <c r="YA22" s="3507"/>
      <c r="YB22" s="3507"/>
      <c r="YC22" s="3507"/>
      <c r="YD22" s="3507"/>
      <c r="YE22" s="3507"/>
      <c r="YF22" s="3507"/>
      <c r="YG22" s="3507"/>
      <c r="YH22" s="3507"/>
      <c r="YI22" s="3507"/>
      <c r="YJ22" s="3507"/>
      <c r="YK22" s="3507"/>
      <c r="YL22" s="3507"/>
      <c r="YM22" s="3507"/>
      <c r="YN22" s="3507"/>
      <c r="YO22" s="3507"/>
      <c r="YP22" s="3507"/>
      <c r="YQ22" s="3507"/>
      <c r="YR22" s="3507"/>
      <c r="YS22" s="3507"/>
      <c r="YT22" s="3507"/>
      <c r="YU22" s="3507"/>
      <c r="YV22" s="3507"/>
      <c r="YW22" s="3507"/>
      <c r="YX22" s="3507"/>
      <c r="YY22" s="3507"/>
      <c r="YZ22" s="3507"/>
      <c r="ZA22" s="3507"/>
      <c r="ZB22" s="3507"/>
      <c r="ZC22" s="3507"/>
      <c r="ZD22" s="3507"/>
      <c r="ZE22" s="3507"/>
      <c r="ZF22" s="3507"/>
      <c r="ZG22" s="3507"/>
      <c r="ZH22" s="3507"/>
      <c r="ZI22" s="3507"/>
      <c r="ZJ22" s="3507"/>
      <c r="ZK22" s="3507"/>
      <c r="ZL22" s="3507"/>
      <c r="ZM22" s="3507"/>
      <c r="ZN22" s="3507"/>
      <c r="ZO22" s="3507"/>
      <c r="ZP22" s="3507"/>
      <c r="ZQ22" s="3507"/>
      <c r="ZR22" s="3507"/>
      <c r="ZS22" s="3507"/>
      <c r="ZT22" s="3507"/>
      <c r="ZU22" s="3507"/>
      <c r="ZV22" s="3507"/>
      <c r="ZW22" s="3507"/>
      <c r="ZX22" s="3507"/>
      <c r="ZY22" s="3507"/>
      <c r="ZZ22" s="3507"/>
      <c r="AAA22" s="3507"/>
      <c r="AAB22" s="3507"/>
      <c r="AAC22" s="3507"/>
      <c r="AAD22" s="3507"/>
      <c r="AAE22" s="3507"/>
      <c r="AAF22" s="3507"/>
      <c r="AAG22" s="3507"/>
      <c r="AAH22" s="3507"/>
      <c r="AAI22" s="3507"/>
      <c r="AAJ22" s="3507"/>
      <c r="AAK22" s="3507"/>
      <c r="AAL22" s="3507"/>
      <c r="AAM22" s="3507"/>
      <c r="AAN22" s="3507"/>
      <c r="AAO22" s="3507"/>
      <c r="AAP22" s="3507"/>
      <c r="AAQ22" s="3507"/>
      <c r="AAR22" s="3507"/>
      <c r="AAS22" s="3507"/>
      <c r="AAT22" s="3507"/>
      <c r="AAU22" s="3507"/>
      <c r="AAV22" s="3507"/>
      <c r="AAW22" s="3507"/>
      <c r="AAX22" s="3507"/>
      <c r="AAY22" s="3507"/>
      <c r="AAZ22" s="3507"/>
      <c r="ABA22" s="3507"/>
      <c r="ABB22" s="3507"/>
      <c r="ABC22" s="3507"/>
      <c r="ABD22" s="3507"/>
      <c r="ABE22" s="3507"/>
      <c r="ABF22" s="3507"/>
      <c r="ABG22" s="3507"/>
      <c r="ABH22" s="3507"/>
      <c r="ABI22" s="3507"/>
      <c r="ABJ22" s="3507"/>
      <c r="ABK22" s="3507"/>
      <c r="ABL22" s="3507"/>
      <c r="ABM22" s="3507"/>
      <c r="ABN22" s="3507"/>
      <c r="ABO22" s="3507"/>
      <c r="ABP22" s="3507"/>
      <c r="ABQ22" s="3507"/>
      <c r="ABR22" s="3507"/>
      <c r="ABS22" s="3507"/>
      <c r="ABT22" s="3507"/>
      <c r="ABU22" s="3507"/>
      <c r="ABV22" s="3507"/>
      <c r="ABW22" s="3507"/>
      <c r="ABX22" s="3507"/>
      <c r="ABY22" s="3507"/>
      <c r="ABZ22" s="3507"/>
      <c r="ACA22" s="3507"/>
      <c r="ACB22" s="3507"/>
      <c r="ACC22" s="3507"/>
      <c r="ACD22" s="3507"/>
      <c r="ACE22" s="3507"/>
      <c r="ACF22" s="3507"/>
      <c r="ACG22" s="3507"/>
      <c r="ACH22" s="3507"/>
      <c r="ACI22" s="3507"/>
      <c r="ACJ22" s="3507"/>
      <c r="ACK22" s="3507"/>
      <c r="ACL22" s="3507"/>
      <c r="ACM22" s="3507"/>
      <c r="ACN22" s="3507"/>
      <c r="ACO22" s="3507"/>
      <c r="ACP22" s="3507"/>
      <c r="ACQ22" s="3507"/>
      <c r="ACR22" s="3507"/>
      <c r="ACS22" s="3507"/>
      <c r="ACT22" s="3507"/>
      <c r="ACU22" s="3507"/>
      <c r="ACV22" s="3507"/>
      <c r="ACW22" s="3507"/>
      <c r="ACX22" s="3507"/>
      <c r="ACY22" s="3507"/>
      <c r="ACZ22" s="3507"/>
      <c r="ADA22" s="3507"/>
      <c r="ADB22" s="3507"/>
      <c r="ADC22" s="3507"/>
      <c r="ADD22" s="3507"/>
      <c r="ADE22" s="3507"/>
      <c r="ADF22" s="3507"/>
      <c r="ADG22" s="3507"/>
      <c r="ADH22" s="3507"/>
      <c r="ADI22" s="3507"/>
      <c r="ADJ22" s="3507"/>
      <c r="ADK22" s="3507"/>
      <c r="ADL22" s="3507"/>
      <c r="ADM22" s="3507"/>
      <c r="ADN22" s="3507"/>
      <c r="ADO22" s="3507"/>
      <c r="ADP22" s="3507"/>
      <c r="ADQ22" s="3507"/>
      <c r="ADR22" s="3507"/>
      <c r="ADS22" s="3507"/>
      <c r="ADT22" s="3507"/>
      <c r="ADU22" s="3507"/>
      <c r="ADV22" s="3507"/>
      <c r="ADW22" s="3507"/>
      <c r="ADX22" s="3507"/>
      <c r="ADY22" s="3507"/>
      <c r="ADZ22" s="3507"/>
      <c r="AEA22" s="3507"/>
      <c r="AEB22" s="3507"/>
      <c r="AEC22" s="3507"/>
      <c r="AED22" s="3507"/>
      <c r="AEE22" s="3507"/>
      <c r="AEF22" s="3507"/>
      <c r="AEG22" s="3507"/>
      <c r="AEH22" s="3507"/>
      <c r="AEI22" s="3507"/>
      <c r="AEJ22" s="3507"/>
      <c r="AEK22" s="3507"/>
      <c r="AEL22" s="3507"/>
      <c r="AEM22" s="3507"/>
      <c r="AEN22" s="3507"/>
      <c r="AEO22" s="3507"/>
      <c r="AEP22" s="3507"/>
      <c r="AEQ22" s="3507"/>
      <c r="AER22" s="3507"/>
      <c r="AES22" s="3507"/>
      <c r="AET22" s="3507"/>
      <c r="AEU22" s="3507"/>
      <c r="AEV22" s="3507"/>
      <c r="AEW22" s="3507"/>
      <c r="AEX22" s="3507"/>
      <c r="AEY22" s="3507"/>
      <c r="AEZ22" s="3507"/>
      <c r="AFA22" s="3507"/>
      <c r="AFB22" s="3507"/>
      <c r="AFC22" s="3507"/>
      <c r="AFD22" s="3507"/>
      <c r="AFE22" s="3507"/>
      <c r="AFF22" s="3507"/>
      <c r="AFG22" s="3507"/>
      <c r="AFH22" s="3507"/>
      <c r="AFI22" s="3507"/>
      <c r="AFJ22" s="3507"/>
      <c r="AFK22" s="3507"/>
      <c r="AFL22" s="3507"/>
      <c r="AFM22" s="3507"/>
      <c r="AFN22" s="3507"/>
      <c r="AFO22" s="3507"/>
      <c r="AFP22" s="3507"/>
      <c r="AFQ22" s="3507"/>
      <c r="AFR22" s="3507"/>
      <c r="AFS22" s="3507"/>
      <c r="AFT22" s="3507"/>
      <c r="AFU22" s="3507"/>
      <c r="AFV22" s="3507"/>
      <c r="AFW22" s="3507"/>
      <c r="AFX22" s="3507"/>
      <c r="AFY22" s="3507"/>
      <c r="AFZ22" s="3507"/>
      <c r="AGA22" s="3507"/>
      <c r="AGB22" s="3507"/>
      <c r="AGC22" s="3507"/>
      <c r="AGD22" s="3507"/>
      <c r="AGE22" s="3507"/>
      <c r="AGF22" s="3507"/>
      <c r="AGG22" s="3507"/>
      <c r="AGH22" s="3507"/>
      <c r="AGI22" s="3507"/>
      <c r="AGJ22" s="3507"/>
      <c r="AGK22" s="3507"/>
      <c r="AGL22" s="3507"/>
      <c r="AGM22" s="3507"/>
      <c r="AGN22" s="3507"/>
      <c r="AGO22" s="3507"/>
      <c r="AGP22" s="3507"/>
      <c r="AGQ22" s="3507"/>
      <c r="AGR22" s="3507"/>
      <c r="AGS22" s="3507"/>
      <c r="AGT22" s="3507"/>
      <c r="AGU22" s="3507"/>
      <c r="AGV22" s="3507"/>
      <c r="AGW22" s="3507"/>
      <c r="AGX22" s="3507"/>
      <c r="AGY22" s="3507"/>
      <c r="AGZ22" s="3507"/>
      <c r="AHA22" s="3507"/>
      <c r="AHB22" s="3507"/>
      <c r="AHC22" s="3507"/>
      <c r="AHD22" s="3507"/>
      <c r="AHE22" s="3507"/>
      <c r="AHF22" s="3507"/>
      <c r="AHG22" s="3507"/>
      <c r="AHH22" s="3507"/>
      <c r="AHI22" s="3507"/>
      <c r="AHJ22" s="3507"/>
      <c r="AHK22" s="3507"/>
      <c r="AHL22" s="3507"/>
      <c r="AHM22" s="3507"/>
      <c r="AHN22" s="3507"/>
      <c r="AHO22" s="3507"/>
      <c r="AHP22" s="3507"/>
      <c r="AHQ22" s="3507"/>
      <c r="AHR22" s="3507"/>
      <c r="AHS22" s="3507"/>
      <c r="AHT22" s="3507"/>
      <c r="AHU22" s="3507"/>
      <c r="AHV22" s="3507"/>
      <c r="AHW22" s="3507"/>
      <c r="AHX22" s="3507"/>
      <c r="AHY22" s="3507"/>
      <c r="AHZ22" s="3507"/>
      <c r="AIA22" s="3507"/>
      <c r="AIB22" s="3507"/>
      <c r="AIC22" s="3507"/>
      <c r="AID22" s="3507"/>
      <c r="AIE22" s="3507"/>
      <c r="AIF22" s="3507"/>
      <c r="AIG22" s="3507"/>
      <c r="AIH22" s="3507"/>
      <c r="AII22" s="3507"/>
      <c r="AIJ22" s="3507"/>
      <c r="AIK22" s="3507"/>
      <c r="AIL22" s="3507"/>
      <c r="AIM22" s="3507"/>
      <c r="AIN22" s="3507"/>
      <c r="AIO22" s="3507"/>
      <c r="AIP22" s="3507"/>
      <c r="AIQ22" s="3507"/>
      <c r="AIR22" s="3507"/>
      <c r="AIS22" s="3507"/>
      <c r="AIT22" s="3507"/>
      <c r="AIU22" s="3507"/>
      <c r="AIV22" s="3507"/>
      <c r="AIW22" s="3507"/>
      <c r="AIX22" s="3507"/>
      <c r="AIY22" s="3507"/>
      <c r="AIZ22" s="3507"/>
      <c r="AJA22" s="3507"/>
      <c r="AJB22" s="3507"/>
      <c r="AJC22" s="3507"/>
      <c r="AJD22" s="3507"/>
      <c r="AJE22" s="3507"/>
      <c r="AJF22" s="3507"/>
      <c r="AJG22" s="3507"/>
      <c r="AJH22" s="3507"/>
      <c r="AJI22" s="3507"/>
      <c r="AJJ22" s="3507"/>
      <c r="AJK22" s="3507"/>
      <c r="AJL22" s="3507"/>
      <c r="AJM22" s="3507"/>
      <c r="AJN22" s="3507"/>
      <c r="AJO22" s="3507"/>
      <c r="AJP22" s="3507"/>
      <c r="AJQ22" s="3507"/>
      <c r="AJR22" s="3507"/>
      <c r="AJS22" s="3507"/>
      <c r="AJT22" s="3507"/>
      <c r="AJU22" s="3507"/>
      <c r="AJV22" s="3507"/>
      <c r="AJW22" s="3507"/>
      <c r="AJX22" s="3507"/>
      <c r="AJY22" s="3507"/>
      <c r="AJZ22" s="3507"/>
      <c r="AKA22" s="3507"/>
      <c r="AKB22" s="3507"/>
      <c r="AKC22" s="3507"/>
      <c r="AKD22" s="3507"/>
      <c r="AKE22" s="3507"/>
      <c r="AKF22" s="3507"/>
      <c r="AKG22" s="3507"/>
      <c r="AKH22" s="3507"/>
      <c r="AKI22" s="3507"/>
      <c r="AKJ22" s="3507"/>
      <c r="AKK22" s="3507"/>
      <c r="AKL22" s="3507"/>
      <c r="AKM22" s="3507"/>
      <c r="AKN22" s="3507"/>
      <c r="AKO22" s="3507"/>
      <c r="AKP22" s="3507"/>
      <c r="AKQ22" s="3507"/>
      <c r="AKR22" s="3507"/>
      <c r="AKS22" s="3507"/>
      <c r="AKT22" s="3507"/>
      <c r="AKU22" s="3507"/>
      <c r="AKV22" s="3507"/>
      <c r="AKW22" s="3507"/>
      <c r="AKX22" s="3507"/>
      <c r="AKY22" s="3507"/>
      <c r="AKZ22" s="3507"/>
      <c r="ALA22" s="3507"/>
      <c r="ALB22" s="3507"/>
      <c r="ALC22" s="3507"/>
      <c r="ALD22" s="3507"/>
      <c r="ALE22" s="3507"/>
      <c r="ALF22" s="3507"/>
      <c r="ALG22" s="3507"/>
      <c r="ALH22" s="3507"/>
      <c r="ALI22" s="3507"/>
      <c r="ALJ22" s="3507"/>
      <c r="ALK22" s="3507"/>
      <c r="ALL22" s="3507"/>
      <c r="ALM22" s="3507"/>
      <c r="ALN22" s="3507"/>
      <c r="ALO22" s="3507"/>
      <c r="ALP22" s="3507"/>
      <c r="ALQ22" s="3507"/>
      <c r="ALR22" s="3507"/>
      <c r="ALS22" s="3507"/>
      <c r="ALT22" s="3507"/>
      <c r="ALU22" s="3507"/>
      <c r="ALV22" s="3507"/>
      <c r="ALW22" s="3507"/>
      <c r="ALX22" s="3507"/>
      <c r="ALY22" s="3507"/>
      <c r="ALZ22" s="3507"/>
      <c r="AMA22" s="3507"/>
      <c r="AMB22" s="3507"/>
      <c r="AMC22" s="3507"/>
      <c r="AMD22" s="3507"/>
      <c r="AME22" s="3507"/>
      <c r="AMF22" s="3507"/>
      <c r="AMG22" s="3507"/>
      <c r="AMH22" s="3507"/>
      <c r="AMI22" s="3507"/>
      <c r="AMJ22" s="3507"/>
      <c r="AMK22" s="3507"/>
      <c r="AML22" s="3507"/>
      <c r="AMM22" s="3507"/>
      <c r="AMN22" s="3507"/>
      <c r="AMO22" s="3507"/>
      <c r="AMP22" s="3507"/>
      <c r="AMQ22" s="3507"/>
      <c r="AMR22" s="3507"/>
      <c r="AMS22" s="3507"/>
      <c r="AMT22" s="3507"/>
      <c r="AMU22" s="3507"/>
      <c r="AMV22" s="3507"/>
      <c r="AMW22" s="3507"/>
      <c r="AMX22" s="3507"/>
      <c r="AMY22" s="3507"/>
      <c r="AMZ22" s="3507"/>
      <c r="ANA22" s="3507"/>
      <c r="ANB22" s="3507"/>
      <c r="ANC22" s="3507"/>
      <c r="AND22" s="3507"/>
      <c r="ANE22" s="3507"/>
      <c r="ANF22" s="3507"/>
      <c r="ANG22" s="3507"/>
      <c r="ANH22" s="3507"/>
      <c r="ANI22" s="3507"/>
      <c r="ANJ22" s="3507"/>
      <c r="ANK22" s="3507"/>
      <c r="ANL22" s="3507"/>
      <c r="ANM22" s="3507"/>
      <c r="ANN22" s="3507"/>
      <c r="ANO22" s="3507"/>
      <c r="ANP22" s="3507"/>
      <c r="ANQ22" s="3507"/>
      <c r="ANR22" s="3507"/>
      <c r="ANS22" s="3507"/>
      <c r="ANT22" s="3507"/>
      <c r="ANU22" s="3507"/>
      <c r="ANV22" s="3507"/>
      <c r="ANW22" s="3507"/>
      <c r="ANX22" s="3507"/>
      <c r="ANY22" s="3507"/>
      <c r="ANZ22" s="3507"/>
      <c r="AOA22" s="3507"/>
      <c r="AOB22" s="3507"/>
      <c r="AOC22" s="3507"/>
      <c r="AOD22" s="3507"/>
      <c r="AOE22" s="3507"/>
      <c r="AOF22" s="3507"/>
      <c r="AOG22" s="3507"/>
      <c r="AOH22" s="3507"/>
      <c r="AOI22" s="3507"/>
      <c r="AOJ22" s="3507"/>
      <c r="AOK22" s="3507"/>
      <c r="AOL22" s="3507"/>
      <c r="AOM22" s="3507"/>
      <c r="AON22" s="3507"/>
      <c r="AOO22" s="3507"/>
      <c r="AOP22" s="3507"/>
      <c r="AOQ22" s="3507"/>
      <c r="AOR22" s="3507"/>
      <c r="AOS22" s="3507"/>
      <c r="AOT22" s="3507"/>
      <c r="AOU22" s="3507"/>
      <c r="AOV22" s="3507"/>
      <c r="AOW22" s="3507"/>
      <c r="AOX22" s="3507"/>
      <c r="AOY22" s="3507"/>
      <c r="AOZ22" s="3507"/>
      <c r="APA22" s="3507"/>
      <c r="APB22" s="3507"/>
      <c r="APC22" s="3507"/>
      <c r="APD22" s="3507"/>
      <c r="APE22" s="3507"/>
      <c r="APF22" s="3507"/>
      <c r="APG22" s="3507"/>
      <c r="APH22" s="3507"/>
      <c r="API22" s="3507"/>
      <c r="APJ22" s="3507"/>
      <c r="APK22" s="3507"/>
      <c r="APL22" s="3507"/>
      <c r="APM22" s="3507"/>
      <c r="APN22" s="3507"/>
      <c r="APO22" s="3507"/>
      <c r="APP22" s="3507"/>
      <c r="APQ22" s="3507"/>
      <c r="APR22" s="3507"/>
      <c r="APS22" s="3507"/>
      <c r="APT22" s="3507"/>
      <c r="APU22" s="3507"/>
      <c r="APV22" s="3507"/>
      <c r="APW22" s="3507"/>
      <c r="APX22" s="3507"/>
      <c r="APY22" s="3507"/>
      <c r="APZ22" s="3507"/>
      <c r="AQA22" s="3507"/>
      <c r="AQB22" s="3507"/>
      <c r="AQC22" s="3507"/>
      <c r="AQD22" s="3507"/>
      <c r="AQE22" s="3507"/>
      <c r="AQF22" s="3507"/>
      <c r="AQG22" s="3507"/>
      <c r="AQH22" s="3507"/>
      <c r="AQI22" s="3507"/>
      <c r="AQJ22" s="3507"/>
      <c r="AQK22" s="3507"/>
      <c r="AQL22" s="3507"/>
      <c r="AQM22" s="3507"/>
      <c r="AQN22" s="3507"/>
      <c r="AQO22" s="3507"/>
      <c r="AQP22" s="3507"/>
      <c r="AQQ22" s="3507"/>
      <c r="AQR22" s="3507"/>
      <c r="AQS22" s="3507"/>
      <c r="AQT22" s="3507"/>
      <c r="AQU22" s="3507"/>
      <c r="AQV22" s="3507"/>
      <c r="AQW22" s="3507"/>
      <c r="AQX22" s="3507"/>
      <c r="AQY22" s="3507"/>
      <c r="AQZ22" s="3507"/>
      <c r="ARA22" s="3507"/>
      <c r="ARB22" s="3507"/>
      <c r="ARC22" s="3507"/>
      <c r="ARD22" s="3507"/>
      <c r="ARE22" s="3507"/>
      <c r="ARF22" s="3507"/>
      <c r="ARG22" s="3507"/>
      <c r="ARH22" s="3507"/>
      <c r="ARI22" s="3507"/>
      <c r="ARJ22" s="3507"/>
      <c r="ARK22" s="3507"/>
      <c r="ARL22" s="3507"/>
      <c r="ARM22" s="3507"/>
      <c r="ARN22" s="3507"/>
      <c r="ARO22" s="3507"/>
      <c r="ARP22" s="3507"/>
      <c r="ARQ22" s="3507"/>
      <c r="ARR22" s="3507"/>
      <c r="ARS22" s="3507"/>
      <c r="ART22" s="3507"/>
      <c r="ARU22" s="3507"/>
      <c r="ARV22" s="3507"/>
      <c r="ARW22" s="3507"/>
      <c r="ARX22" s="3507"/>
      <c r="ARY22" s="3507"/>
      <c r="ARZ22" s="3507"/>
      <c r="ASA22" s="3507"/>
      <c r="ASB22" s="3507"/>
      <c r="ASC22" s="3507"/>
      <c r="ASD22" s="3507"/>
      <c r="ASE22" s="3507"/>
      <c r="ASF22" s="3507"/>
      <c r="ASG22" s="3507"/>
      <c r="ASH22" s="3507"/>
      <c r="ASI22" s="3507"/>
      <c r="ASJ22" s="3507"/>
      <c r="ASK22" s="3507"/>
      <c r="ASL22" s="3507"/>
      <c r="ASM22" s="3507"/>
      <c r="ASN22" s="3507"/>
      <c r="ASO22" s="3507"/>
      <c r="ASP22" s="3507"/>
      <c r="ASQ22" s="3507"/>
      <c r="ASR22" s="3507"/>
      <c r="ASS22" s="3507"/>
      <c r="AST22" s="3507"/>
      <c r="ASU22" s="3507"/>
      <c r="ASV22" s="3507"/>
      <c r="ASW22" s="3507"/>
      <c r="ASX22" s="3507"/>
      <c r="ASY22" s="3507"/>
      <c r="ASZ22" s="3507"/>
      <c r="ATA22" s="3507"/>
      <c r="ATB22" s="3507"/>
      <c r="ATC22" s="3507"/>
      <c r="ATD22" s="3507"/>
      <c r="ATE22" s="3507"/>
      <c r="ATF22" s="3507"/>
      <c r="ATG22" s="3507"/>
      <c r="ATH22" s="3507"/>
      <c r="ATI22" s="3507"/>
      <c r="ATJ22" s="3507"/>
      <c r="ATK22" s="3507"/>
      <c r="ATL22" s="3507"/>
      <c r="ATM22" s="3507"/>
      <c r="ATN22" s="3507"/>
      <c r="ATO22" s="3507"/>
      <c r="ATP22" s="3507"/>
      <c r="ATQ22" s="3507"/>
      <c r="ATR22" s="3507"/>
      <c r="ATS22" s="3507"/>
      <c r="ATT22" s="3507"/>
      <c r="ATU22" s="3507"/>
      <c r="ATV22" s="3507"/>
      <c r="ATW22" s="3507"/>
      <c r="ATX22" s="3507"/>
      <c r="ATY22" s="3507"/>
      <c r="ATZ22" s="3507"/>
      <c r="AUA22" s="3507"/>
      <c r="AUB22" s="3507"/>
      <c r="AUC22" s="3507"/>
      <c r="AUD22" s="3507"/>
      <c r="AUE22" s="3507"/>
      <c r="AUF22" s="3507"/>
      <c r="AUG22" s="3507"/>
      <c r="AUH22" s="3507"/>
      <c r="AUI22" s="3507"/>
      <c r="AUJ22" s="3507"/>
      <c r="AUK22" s="3507"/>
      <c r="AUL22" s="3507"/>
      <c r="AUM22" s="3507"/>
      <c r="AUN22" s="3507"/>
      <c r="AUO22" s="3507"/>
      <c r="AUP22" s="3507"/>
      <c r="AUQ22" s="3507"/>
      <c r="AUR22" s="3507"/>
      <c r="AUS22" s="3507"/>
      <c r="AUT22" s="3507"/>
      <c r="AUU22" s="3507"/>
      <c r="AUV22" s="3507"/>
      <c r="AUW22" s="3507"/>
      <c r="AUX22" s="3507"/>
      <c r="AUY22" s="3507"/>
      <c r="AUZ22" s="3507"/>
      <c r="AVA22" s="3507"/>
      <c r="AVB22" s="3507"/>
      <c r="AVC22" s="3507"/>
      <c r="AVD22" s="3507"/>
      <c r="AVE22" s="3507"/>
      <c r="AVF22" s="3507"/>
      <c r="AVG22" s="3507"/>
      <c r="AVH22" s="3507"/>
      <c r="AVI22" s="3507"/>
      <c r="AVJ22" s="3507"/>
      <c r="AVK22" s="3507"/>
      <c r="AVL22" s="3507"/>
      <c r="AVM22" s="3507"/>
      <c r="AVN22" s="3507"/>
      <c r="AVO22" s="3507"/>
      <c r="AVP22" s="3507"/>
      <c r="AVQ22" s="3507"/>
      <c r="AVR22" s="3507"/>
      <c r="AVS22" s="3507"/>
      <c r="AVT22" s="3507"/>
      <c r="AVU22" s="3507"/>
      <c r="AVV22" s="3507"/>
      <c r="AVW22" s="3507"/>
      <c r="AVX22" s="3507"/>
      <c r="AVY22" s="3507"/>
      <c r="AVZ22" s="3507"/>
      <c r="AWA22" s="3507"/>
      <c r="AWB22" s="3507"/>
      <c r="AWC22" s="3507"/>
      <c r="AWD22" s="3507"/>
      <c r="AWE22" s="3507"/>
      <c r="AWF22" s="3507"/>
      <c r="AWG22" s="3507"/>
      <c r="AWH22" s="3507"/>
      <c r="AWI22" s="3507"/>
      <c r="AWJ22" s="3507"/>
      <c r="AWK22" s="3507"/>
      <c r="AWL22" s="3507"/>
      <c r="AWM22" s="3507"/>
      <c r="AWN22" s="3507"/>
      <c r="AWO22" s="3507"/>
      <c r="AWP22" s="3507"/>
      <c r="AWQ22" s="3507"/>
      <c r="AWR22" s="3507"/>
      <c r="AWS22" s="3507"/>
      <c r="AWT22" s="3507"/>
      <c r="AWU22" s="3507"/>
      <c r="AWV22" s="3507"/>
      <c r="AWW22" s="3507"/>
      <c r="AWX22" s="3507"/>
      <c r="AWY22" s="3507"/>
      <c r="AWZ22" s="3507"/>
      <c r="AXA22" s="3507"/>
      <c r="AXB22" s="3507"/>
      <c r="AXC22" s="3507"/>
      <c r="AXD22" s="3507"/>
      <c r="AXE22" s="3507"/>
      <c r="AXF22" s="3507"/>
      <c r="AXG22" s="3507"/>
      <c r="AXH22" s="3507"/>
      <c r="AXI22" s="3507"/>
      <c r="AXJ22" s="3507"/>
      <c r="AXK22" s="3507"/>
      <c r="AXL22" s="3507"/>
      <c r="AXM22" s="3507"/>
      <c r="AXN22" s="3507"/>
      <c r="AXO22" s="3507"/>
      <c r="AXP22" s="3507"/>
      <c r="AXQ22" s="3507"/>
      <c r="AXR22" s="3507"/>
      <c r="AXS22" s="3507"/>
      <c r="AXT22" s="3507"/>
      <c r="AXU22" s="3507"/>
      <c r="AXV22" s="3507"/>
      <c r="AXW22" s="3507"/>
      <c r="AXX22" s="3507"/>
      <c r="AXY22" s="3507"/>
      <c r="AXZ22" s="3507"/>
      <c r="AYA22" s="3507"/>
      <c r="AYB22" s="3507"/>
      <c r="AYC22" s="3507"/>
      <c r="AYD22" s="3507"/>
      <c r="AYE22" s="3507"/>
      <c r="AYF22" s="3507"/>
      <c r="AYG22" s="3507"/>
      <c r="AYH22" s="3507"/>
      <c r="AYI22" s="3507"/>
      <c r="AYJ22" s="3507"/>
      <c r="AYK22" s="3507"/>
      <c r="AYL22" s="3507"/>
      <c r="AYM22" s="3507"/>
      <c r="AYN22" s="3507"/>
      <c r="AYO22" s="3507"/>
      <c r="AYP22" s="3507"/>
      <c r="AYQ22" s="3507"/>
      <c r="AYR22" s="3507"/>
      <c r="AYS22" s="3507"/>
      <c r="AYT22" s="3507"/>
      <c r="AYU22" s="3507"/>
      <c r="AYV22" s="3507"/>
      <c r="AYW22" s="3507"/>
      <c r="AYX22" s="3507"/>
      <c r="AYY22" s="3507"/>
      <c r="AYZ22" s="3507"/>
      <c r="AZA22" s="3507"/>
      <c r="AZB22" s="3507"/>
      <c r="AZC22" s="3507"/>
      <c r="AZD22" s="3507"/>
      <c r="AZE22" s="3507"/>
      <c r="AZF22" s="3507"/>
      <c r="AZG22" s="3507"/>
      <c r="AZH22" s="3507"/>
      <c r="AZI22" s="3507"/>
      <c r="AZJ22" s="3507"/>
      <c r="AZK22" s="3507"/>
      <c r="AZL22" s="3507"/>
      <c r="AZM22" s="3507"/>
      <c r="AZN22" s="3507"/>
      <c r="AZO22" s="3507"/>
      <c r="AZP22" s="3507"/>
      <c r="AZQ22" s="3507"/>
      <c r="AZR22" s="3507"/>
      <c r="AZS22" s="3507"/>
      <c r="AZT22" s="3507"/>
      <c r="AZU22" s="3507"/>
      <c r="AZV22" s="3507"/>
      <c r="AZW22" s="3507"/>
      <c r="AZX22" s="3507"/>
      <c r="AZY22" s="3507"/>
      <c r="AZZ22" s="3507"/>
      <c r="BAA22" s="3507"/>
      <c r="BAB22" s="3507"/>
      <c r="BAC22" s="3507"/>
      <c r="BAD22" s="3507"/>
      <c r="BAE22" s="3507"/>
      <c r="BAF22" s="3507"/>
      <c r="BAG22" s="3507"/>
      <c r="BAH22" s="3507"/>
      <c r="BAI22" s="3507"/>
      <c r="BAJ22" s="3507"/>
      <c r="BAK22" s="3507"/>
      <c r="BAL22" s="3507"/>
      <c r="BAM22" s="3507"/>
      <c r="BAN22" s="3507"/>
      <c r="BAO22" s="3507"/>
      <c r="BAP22" s="3507"/>
      <c r="BAQ22" s="3507"/>
      <c r="BAR22" s="3507"/>
      <c r="BAS22" s="3507"/>
      <c r="BAT22" s="3507"/>
      <c r="BAU22" s="3507"/>
      <c r="BAV22" s="3507"/>
      <c r="BAW22" s="3507"/>
      <c r="BAX22" s="3507"/>
      <c r="BAY22" s="3507"/>
      <c r="BAZ22" s="3507"/>
      <c r="BBA22" s="3507"/>
      <c r="BBB22" s="3507"/>
      <c r="BBC22" s="3507"/>
      <c r="BBD22" s="3507"/>
      <c r="BBE22" s="3507"/>
      <c r="BBF22" s="3507"/>
      <c r="BBG22" s="3507"/>
      <c r="BBH22" s="3507"/>
      <c r="BBI22" s="3507"/>
      <c r="BBJ22" s="3507"/>
      <c r="BBK22" s="3507"/>
      <c r="BBL22" s="3507"/>
      <c r="BBM22" s="3507"/>
      <c r="BBN22" s="3507"/>
      <c r="BBO22" s="3507"/>
      <c r="BBP22" s="3507"/>
      <c r="BBQ22" s="3507"/>
      <c r="BBR22" s="3507"/>
      <c r="BBS22" s="3507"/>
      <c r="BBT22" s="3507"/>
      <c r="BBU22" s="3507"/>
      <c r="BBV22" s="3507"/>
      <c r="BBW22" s="3507"/>
      <c r="BBX22" s="3507"/>
      <c r="BBY22" s="3507"/>
      <c r="BBZ22" s="3507"/>
      <c r="BCA22" s="3507"/>
      <c r="BCB22" s="3507"/>
      <c r="BCC22" s="3507"/>
      <c r="BCD22" s="3507"/>
      <c r="BCE22" s="3507"/>
      <c r="BCF22" s="3507"/>
      <c r="BCG22" s="3507"/>
      <c r="BCH22" s="3507"/>
      <c r="BCI22" s="3507"/>
      <c r="BCJ22" s="3507"/>
      <c r="BCK22" s="3507"/>
      <c r="BCL22" s="3507"/>
      <c r="BCM22" s="3507"/>
      <c r="BCN22" s="3507"/>
      <c r="BCO22" s="3507"/>
      <c r="BCP22" s="3507"/>
      <c r="BCQ22" s="3507"/>
      <c r="BCR22" s="3507"/>
      <c r="BCS22" s="3507"/>
      <c r="BCT22" s="3507"/>
      <c r="BCU22" s="3507"/>
      <c r="BCV22" s="3507"/>
      <c r="BCW22" s="3507"/>
      <c r="BCX22" s="3507"/>
      <c r="BCY22" s="3507"/>
      <c r="BCZ22" s="3507"/>
      <c r="BDA22" s="3507"/>
      <c r="BDB22" s="3507"/>
      <c r="BDC22" s="3507"/>
      <c r="BDD22" s="3507"/>
      <c r="BDE22" s="3507"/>
      <c r="BDF22" s="3507"/>
      <c r="BDG22" s="3507"/>
      <c r="BDH22" s="3507"/>
      <c r="BDI22" s="3507"/>
      <c r="BDJ22" s="3507"/>
      <c r="BDK22" s="3507"/>
      <c r="BDL22" s="3507"/>
      <c r="BDM22" s="3507"/>
      <c r="BDN22" s="3507"/>
      <c r="BDO22" s="3507"/>
      <c r="BDP22" s="3507"/>
      <c r="BDQ22" s="3507"/>
      <c r="BDR22" s="3507"/>
      <c r="BDS22" s="3507"/>
      <c r="BDT22" s="3507"/>
      <c r="BDU22" s="3507"/>
      <c r="BDV22" s="3507"/>
      <c r="BDW22" s="3507"/>
      <c r="BDX22" s="3507"/>
      <c r="BDY22" s="3507"/>
      <c r="BDZ22" s="3507"/>
      <c r="BEA22" s="3507"/>
      <c r="BEB22" s="3507"/>
      <c r="BEC22" s="3507"/>
      <c r="BED22" s="3507"/>
      <c r="BEE22" s="3507"/>
      <c r="BEF22" s="3507"/>
      <c r="BEG22" s="3507"/>
      <c r="BEH22" s="3507"/>
      <c r="BEI22" s="3507"/>
      <c r="BEJ22" s="3507"/>
      <c r="BEK22" s="3507"/>
      <c r="BEL22" s="3507"/>
      <c r="BEM22" s="3507"/>
      <c r="BEN22" s="3507"/>
      <c r="BEO22" s="3507"/>
      <c r="BEP22" s="3507"/>
      <c r="BEQ22" s="3507"/>
      <c r="BER22" s="3507"/>
      <c r="BES22" s="3507"/>
      <c r="BET22" s="3507"/>
      <c r="BEU22" s="3507"/>
      <c r="BEV22" s="3507"/>
      <c r="BEW22" s="3507"/>
      <c r="BEX22" s="3507"/>
      <c r="BEY22" s="3507"/>
      <c r="BEZ22" s="3507"/>
      <c r="BFA22" s="3507"/>
      <c r="BFB22" s="3507"/>
      <c r="BFC22" s="3507"/>
      <c r="BFD22" s="3507"/>
      <c r="BFE22" s="3507"/>
      <c r="BFF22" s="3507"/>
      <c r="BFG22" s="3507"/>
      <c r="BFH22" s="3507"/>
      <c r="BFI22" s="3507"/>
      <c r="BFJ22" s="3507"/>
      <c r="BFK22" s="3507"/>
      <c r="BFL22" s="3507"/>
      <c r="BFM22" s="3507"/>
      <c r="BFN22" s="3507"/>
      <c r="BFO22" s="3507"/>
      <c r="BFP22" s="3507"/>
      <c r="BFQ22" s="3507"/>
      <c r="BFR22" s="3507"/>
      <c r="BFS22" s="3507"/>
      <c r="BFT22" s="3507"/>
      <c r="BFU22" s="3507"/>
      <c r="BFV22" s="3507"/>
      <c r="BFW22" s="3507"/>
      <c r="BFX22" s="3507"/>
      <c r="BFY22" s="3507"/>
      <c r="BFZ22" s="3507"/>
      <c r="BGA22" s="3507"/>
      <c r="BGB22" s="3507"/>
      <c r="BGC22" s="3507"/>
      <c r="BGD22" s="3507"/>
      <c r="BGE22" s="3507"/>
      <c r="BGF22" s="3507"/>
      <c r="BGG22" s="3507"/>
      <c r="BGH22" s="3507"/>
      <c r="BGI22" s="3507"/>
      <c r="BGJ22" s="3507"/>
      <c r="BGK22" s="3507"/>
      <c r="BGL22" s="3507"/>
      <c r="BGM22" s="3507"/>
      <c r="BGN22" s="3507"/>
      <c r="BGO22" s="3507"/>
      <c r="BGP22" s="3507"/>
      <c r="BGQ22" s="3507"/>
      <c r="BGR22" s="3507"/>
      <c r="BGS22" s="3507"/>
      <c r="BGT22" s="3507"/>
      <c r="BGU22" s="3507"/>
      <c r="BGV22" s="3507"/>
      <c r="BGW22" s="3507"/>
      <c r="BGX22" s="3507"/>
      <c r="BGY22" s="3507"/>
      <c r="BGZ22" s="3507"/>
      <c r="BHA22" s="3507"/>
      <c r="BHB22" s="3507"/>
      <c r="BHC22" s="3507"/>
      <c r="BHD22" s="3507"/>
      <c r="BHE22" s="3507"/>
      <c r="BHF22" s="3507"/>
      <c r="BHG22" s="3507"/>
      <c r="BHH22" s="3507"/>
      <c r="BHI22" s="3507"/>
      <c r="BHJ22" s="3507"/>
      <c r="BHK22" s="3507"/>
      <c r="BHL22" s="3507"/>
      <c r="BHM22" s="3507"/>
      <c r="BHN22" s="3507"/>
      <c r="BHO22" s="3507"/>
      <c r="BHP22" s="3507"/>
      <c r="BHQ22" s="3507"/>
      <c r="BHR22" s="3507"/>
      <c r="BHS22" s="3507"/>
      <c r="BHT22" s="3507"/>
      <c r="BHU22" s="3507"/>
      <c r="BHV22" s="3507"/>
      <c r="BHW22" s="3507"/>
      <c r="BHX22" s="3507"/>
      <c r="BHY22" s="3507"/>
      <c r="BHZ22" s="3507"/>
      <c r="BIA22" s="3507"/>
      <c r="BIB22" s="3507"/>
      <c r="BIC22" s="3507"/>
      <c r="BID22" s="3507"/>
      <c r="BIE22" s="3507"/>
      <c r="BIF22" s="3507"/>
      <c r="BIG22" s="3507"/>
      <c r="BIH22" s="3507"/>
      <c r="BII22" s="3507"/>
      <c r="BIJ22" s="3507"/>
      <c r="BIK22" s="3507"/>
      <c r="BIL22" s="3507"/>
      <c r="BIM22" s="3507"/>
      <c r="BIN22" s="3507"/>
      <c r="BIO22" s="3507"/>
      <c r="BIP22" s="3507"/>
      <c r="BIQ22" s="3507"/>
      <c r="BIR22" s="3507"/>
      <c r="BIS22" s="3507"/>
      <c r="BIT22" s="3507"/>
      <c r="BIU22" s="3507"/>
      <c r="BIV22" s="3507"/>
      <c r="BIW22" s="3507"/>
      <c r="BIX22" s="3507"/>
      <c r="BIY22" s="3507"/>
      <c r="BIZ22" s="3507"/>
      <c r="BJA22" s="3507"/>
      <c r="BJB22" s="3507"/>
      <c r="BJC22" s="3507"/>
      <c r="BJD22" s="3507"/>
      <c r="BJE22" s="3507"/>
      <c r="BJF22" s="3507"/>
      <c r="BJG22" s="3507"/>
      <c r="BJH22" s="3507"/>
      <c r="BJI22" s="3507"/>
      <c r="BJJ22" s="3507"/>
      <c r="BJK22" s="3507"/>
      <c r="BJL22" s="3507"/>
      <c r="BJM22" s="3507"/>
      <c r="BJN22" s="3507"/>
      <c r="BJO22" s="3507"/>
      <c r="BJP22" s="3507"/>
      <c r="BJQ22" s="3507"/>
      <c r="BJR22" s="3507"/>
      <c r="BJS22" s="3507"/>
      <c r="BJT22" s="3507"/>
      <c r="BJU22" s="3507"/>
      <c r="BJV22" s="3507"/>
      <c r="BJW22" s="3507"/>
      <c r="BJX22" s="3507"/>
      <c r="BJY22" s="3507"/>
      <c r="BJZ22" s="3507"/>
      <c r="BKA22" s="3507"/>
      <c r="BKB22" s="3507"/>
      <c r="BKC22" s="3507"/>
      <c r="BKD22" s="3507"/>
      <c r="BKE22" s="3507"/>
      <c r="BKF22" s="3507"/>
      <c r="BKG22" s="3507"/>
      <c r="BKH22" s="3507"/>
      <c r="BKI22" s="3507"/>
      <c r="BKJ22" s="3507"/>
      <c r="BKK22" s="3507"/>
      <c r="BKL22" s="3507"/>
      <c r="BKM22" s="3507"/>
      <c r="BKN22" s="3507"/>
      <c r="BKO22" s="3507"/>
      <c r="BKP22" s="3507"/>
      <c r="BKQ22" s="3507"/>
      <c r="BKR22" s="3507"/>
      <c r="BKS22" s="3507"/>
      <c r="BKT22" s="3507"/>
      <c r="BKU22" s="3507"/>
      <c r="BKV22" s="3507"/>
      <c r="BKW22" s="3507"/>
      <c r="BKX22" s="3507"/>
      <c r="BKY22" s="3507"/>
      <c r="BKZ22" s="3507"/>
      <c r="BLA22" s="3507"/>
      <c r="BLB22" s="3507"/>
      <c r="BLC22" s="3507"/>
      <c r="BLD22" s="3507"/>
      <c r="BLE22" s="3507"/>
      <c r="BLF22" s="3507"/>
      <c r="BLG22" s="3507"/>
      <c r="BLH22" s="3507"/>
      <c r="BLI22" s="3507"/>
      <c r="BLJ22" s="3507"/>
      <c r="BLK22" s="3507"/>
      <c r="BLL22" s="3507"/>
      <c r="BLM22" s="3507"/>
      <c r="BLN22" s="3507"/>
      <c r="BLO22" s="3507"/>
      <c r="BLP22" s="3507"/>
      <c r="BLQ22" s="3507"/>
      <c r="BLR22" s="3507"/>
      <c r="BLS22" s="3507"/>
      <c r="BLT22" s="3507"/>
      <c r="BLU22" s="3507"/>
      <c r="BLV22" s="3507"/>
      <c r="BLW22" s="3507"/>
      <c r="BLX22" s="3507"/>
      <c r="BLY22" s="3507"/>
      <c r="BLZ22" s="3507"/>
      <c r="BMA22" s="3507"/>
      <c r="BMB22" s="3507"/>
      <c r="BMC22" s="3507"/>
      <c r="BMD22" s="3507"/>
      <c r="BME22" s="3507"/>
      <c r="BMF22" s="3507"/>
      <c r="BMG22" s="3507"/>
      <c r="BMH22" s="3507"/>
      <c r="BMI22" s="3507"/>
      <c r="BMJ22" s="3507"/>
      <c r="BMK22" s="3507"/>
      <c r="BML22" s="3507"/>
      <c r="BMM22" s="3507"/>
      <c r="BMN22" s="3507"/>
      <c r="BMO22" s="3507"/>
      <c r="BMP22" s="3507"/>
      <c r="BMQ22" s="3507"/>
      <c r="BMR22" s="3507"/>
      <c r="BMS22" s="3507"/>
      <c r="BMT22" s="3507"/>
      <c r="BMU22" s="3507"/>
      <c r="BMV22" s="3507"/>
      <c r="BMW22" s="3507"/>
      <c r="BMX22" s="3507"/>
      <c r="BMY22" s="3507"/>
      <c r="BMZ22" s="3507"/>
      <c r="BNA22" s="3507"/>
      <c r="BNB22" s="3507"/>
      <c r="BNC22" s="3507"/>
      <c r="BND22" s="3507"/>
      <c r="BNE22" s="3507"/>
      <c r="BNF22" s="3507"/>
      <c r="BNG22" s="3507"/>
      <c r="BNH22" s="3507"/>
      <c r="BNI22" s="3507"/>
      <c r="BNJ22" s="3507"/>
      <c r="BNK22" s="3507"/>
      <c r="BNL22" s="3507"/>
      <c r="BNM22" s="3507"/>
      <c r="BNN22" s="3507"/>
      <c r="BNO22" s="3507"/>
      <c r="BNP22" s="3507"/>
      <c r="BNQ22" s="3507"/>
      <c r="BNR22" s="3507"/>
      <c r="BNS22" s="3507"/>
      <c r="BNT22" s="3507"/>
      <c r="BNU22" s="3507"/>
      <c r="BNV22" s="3507"/>
      <c r="BNW22" s="3507"/>
      <c r="BNX22" s="3507"/>
      <c r="BNY22" s="3507"/>
      <c r="BNZ22" s="3507"/>
      <c r="BOA22" s="3507"/>
      <c r="BOB22" s="3507"/>
      <c r="BOC22" s="3507"/>
      <c r="BOD22" s="3507"/>
      <c r="BOE22" s="3507"/>
      <c r="BOF22" s="3507"/>
      <c r="BOG22" s="3507"/>
      <c r="BOH22" s="3507"/>
      <c r="BOI22" s="3507"/>
      <c r="BOJ22" s="3507"/>
      <c r="BOK22" s="3507"/>
      <c r="BOL22" s="3507"/>
      <c r="BOM22" s="3507"/>
      <c r="BON22" s="3507"/>
      <c r="BOO22" s="3507"/>
      <c r="BOP22" s="3507"/>
      <c r="BOQ22" s="3507"/>
      <c r="BOR22" s="3507"/>
      <c r="BOS22" s="3507"/>
      <c r="BOT22" s="3507"/>
      <c r="BOU22" s="3507"/>
      <c r="BOV22" s="3507"/>
      <c r="BOW22" s="3507"/>
      <c r="BOX22" s="3507"/>
      <c r="BOY22" s="3507"/>
      <c r="BOZ22" s="3507"/>
      <c r="BPA22" s="3507"/>
      <c r="BPB22" s="3507"/>
      <c r="BPC22" s="3507"/>
      <c r="BPD22" s="3507"/>
      <c r="BPE22" s="3507"/>
      <c r="BPF22" s="3507"/>
      <c r="BPG22" s="3507"/>
      <c r="BPH22" s="3507"/>
      <c r="BPI22" s="3507"/>
      <c r="BPJ22" s="3507"/>
      <c r="BPK22" s="3507"/>
      <c r="BPL22" s="3507"/>
      <c r="BPM22" s="3507"/>
      <c r="BPN22" s="3507"/>
      <c r="BPO22" s="3507"/>
      <c r="BPP22" s="3507"/>
      <c r="BPQ22" s="3507"/>
      <c r="BPR22" s="3507"/>
      <c r="BPS22" s="3507"/>
      <c r="BPT22" s="3507"/>
      <c r="BPU22" s="3507"/>
      <c r="BPV22" s="3507"/>
      <c r="BPW22" s="3507"/>
      <c r="BPX22" s="3507"/>
      <c r="BPY22" s="3507"/>
      <c r="BPZ22" s="3507"/>
      <c r="BQA22" s="3507"/>
      <c r="BQB22" s="3507"/>
      <c r="BQC22" s="3507"/>
      <c r="BQD22" s="3507"/>
      <c r="BQE22" s="3507"/>
      <c r="BQF22" s="3507"/>
      <c r="BQG22" s="3507"/>
      <c r="BQH22" s="3507"/>
      <c r="BQI22" s="3507"/>
      <c r="BQJ22" s="3507"/>
      <c r="BQK22" s="3507"/>
      <c r="BQL22" s="3507"/>
      <c r="BQM22" s="3507"/>
      <c r="BQN22" s="3507"/>
      <c r="BQO22" s="3507"/>
      <c r="BQP22" s="3507"/>
      <c r="BQQ22" s="3507"/>
      <c r="BQR22" s="3507"/>
      <c r="BQS22" s="3507"/>
      <c r="BQT22" s="3507"/>
      <c r="BQU22" s="3507"/>
      <c r="BQV22" s="3507"/>
      <c r="BQW22" s="3507"/>
      <c r="BQX22" s="3507"/>
      <c r="BQY22" s="3507"/>
      <c r="BQZ22" s="3507"/>
      <c r="BRA22" s="3507"/>
      <c r="BRB22" s="3507"/>
      <c r="BRC22" s="3507"/>
      <c r="BRD22" s="3507"/>
      <c r="BRE22" s="3507"/>
      <c r="BRF22" s="3507"/>
      <c r="BRG22" s="3507"/>
      <c r="BRH22" s="3507"/>
      <c r="BRI22" s="3507"/>
      <c r="BRJ22" s="3507"/>
      <c r="BRK22" s="3507"/>
      <c r="BRL22" s="3507"/>
      <c r="BRM22" s="3507"/>
      <c r="BRN22" s="3507"/>
      <c r="BRO22" s="3507"/>
      <c r="BRP22" s="3507"/>
      <c r="BRQ22" s="3507"/>
      <c r="BRR22" s="3507"/>
      <c r="BRS22" s="3507"/>
      <c r="BRT22" s="3507"/>
      <c r="BRU22" s="3507"/>
      <c r="BRV22" s="3507"/>
      <c r="BRW22" s="3507"/>
      <c r="BRX22" s="3507"/>
      <c r="BRY22" s="3507"/>
      <c r="BRZ22" s="3507"/>
      <c r="BSA22" s="3507"/>
      <c r="BSB22" s="3507"/>
      <c r="BSC22" s="3507"/>
      <c r="BSD22" s="3507"/>
      <c r="BSE22" s="3507"/>
      <c r="BSF22" s="3507"/>
      <c r="BSG22" s="3507"/>
      <c r="BSH22" s="3507"/>
      <c r="BSI22" s="3507"/>
      <c r="BSJ22" s="3507"/>
      <c r="BSK22" s="3507"/>
      <c r="BSL22" s="3507"/>
      <c r="BSM22" s="3507"/>
      <c r="BSN22" s="3507"/>
      <c r="BSO22" s="3507"/>
      <c r="BSP22" s="3507"/>
      <c r="BSQ22" s="3507"/>
      <c r="BSR22" s="3507"/>
      <c r="BSS22" s="3507"/>
      <c r="BST22" s="3507"/>
      <c r="BSU22" s="3507"/>
      <c r="BSV22" s="3507"/>
      <c r="BSW22" s="3507"/>
      <c r="BSX22" s="3507"/>
      <c r="BSY22" s="3507"/>
      <c r="BSZ22" s="3507"/>
      <c r="BTA22" s="3507"/>
      <c r="BTB22" s="3507"/>
      <c r="BTC22" s="3507"/>
      <c r="BTD22" s="3507"/>
      <c r="BTE22" s="3507"/>
      <c r="BTF22" s="3507"/>
      <c r="BTG22" s="3507"/>
      <c r="BTH22" s="3507"/>
      <c r="BTI22" s="3507"/>
      <c r="BTJ22" s="3507"/>
      <c r="BTK22" s="3507"/>
      <c r="BTL22" s="3507"/>
      <c r="BTM22" s="3507"/>
      <c r="BTN22" s="3507"/>
      <c r="BTO22" s="3507"/>
      <c r="BTP22" s="3507"/>
      <c r="BTQ22" s="3507"/>
      <c r="BTR22" s="3507"/>
      <c r="BTS22" s="3507"/>
      <c r="BTT22" s="3507"/>
      <c r="BTU22" s="3507"/>
      <c r="BTV22" s="3507"/>
      <c r="BTW22" s="3507"/>
      <c r="BTX22" s="3507"/>
      <c r="BTY22" s="3507"/>
      <c r="BTZ22" s="3507"/>
      <c r="BUA22" s="3507"/>
      <c r="BUB22" s="3507"/>
      <c r="BUC22" s="3507"/>
      <c r="BUD22" s="3507"/>
      <c r="BUE22" s="3507"/>
      <c r="BUF22" s="3507"/>
      <c r="BUG22" s="3507"/>
      <c r="BUH22" s="3507"/>
      <c r="BUI22" s="3507"/>
      <c r="BUJ22" s="3507"/>
      <c r="BUK22" s="3507"/>
      <c r="BUL22" s="3507"/>
      <c r="BUM22" s="3507"/>
      <c r="BUN22" s="3507"/>
      <c r="BUO22" s="3507"/>
      <c r="BUP22" s="3507"/>
      <c r="BUQ22" s="3507"/>
      <c r="BUR22" s="3507"/>
      <c r="BUS22" s="3507"/>
      <c r="BUT22" s="3507"/>
      <c r="BUU22" s="3507"/>
      <c r="BUV22" s="3507"/>
      <c r="BUW22" s="3507"/>
      <c r="BUX22" s="3507"/>
      <c r="BUY22" s="3507"/>
      <c r="BUZ22" s="3507"/>
      <c r="BVA22" s="3507"/>
      <c r="BVB22" s="3507"/>
      <c r="BVC22" s="3507"/>
      <c r="BVD22" s="3507"/>
      <c r="BVE22" s="3507"/>
      <c r="BVF22" s="3507"/>
      <c r="BVG22" s="3507"/>
      <c r="BVH22" s="3507"/>
      <c r="BVI22" s="3507"/>
      <c r="BVJ22" s="3507"/>
      <c r="BVK22" s="3507"/>
      <c r="BVL22" s="3507"/>
      <c r="BVM22" s="3507"/>
      <c r="BVN22" s="3507"/>
      <c r="BVO22" s="3507"/>
      <c r="BVP22" s="3507"/>
      <c r="BVQ22" s="3507"/>
      <c r="BVR22" s="3507"/>
      <c r="BVS22" s="3507"/>
      <c r="BVT22" s="3507"/>
      <c r="BVU22" s="3507"/>
      <c r="BVV22" s="3507"/>
      <c r="BVW22" s="3507"/>
      <c r="BVX22" s="3507"/>
      <c r="BVY22" s="3507"/>
      <c r="BVZ22" s="3507"/>
      <c r="BWA22" s="3507"/>
      <c r="BWB22" s="3507"/>
      <c r="BWC22" s="3507"/>
      <c r="BWD22" s="3507"/>
      <c r="BWE22" s="3507"/>
      <c r="BWF22" s="3507"/>
      <c r="BWG22" s="3507"/>
      <c r="BWH22" s="3507"/>
      <c r="BWI22" s="3507"/>
      <c r="BWJ22" s="3507"/>
      <c r="BWK22" s="3507"/>
      <c r="BWL22" s="3507"/>
      <c r="BWM22" s="3507"/>
      <c r="BWN22" s="3507"/>
      <c r="BWO22" s="3507"/>
      <c r="BWP22" s="3507"/>
      <c r="BWQ22" s="3507"/>
      <c r="BWR22" s="3507"/>
      <c r="BWS22" s="3507"/>
      <c r="BWT22" s="3507"/>
      <c r="BWU22" s="3507"/>
      <c r="BWV22" s="3507"/>
      <c r="BWW22" s="3507"/>
      <c r="BWX22" s="3507"/>
      <c r="BWY22" s="3507"/>
      <c r="BWZ22" s="3507"/>
      <c r="BXA22" s="3507"/>
      <c r="BXB22" s="3507"/>
      <c r="BXC22" s="3507"/>
      <c r="BXD22" s="3507"/>
      <c r="BXE22" s="3507"/>
      <c r="BXF22" s="3507"/>
      <c r="BXG22" s="3507"/>
      <c r="BXH22" s="3507"/>
      <c r="BXI22" s="3507"/>
      <c r="BXJ22" s="3507"/>
      <c r="BXK22" s="3507"/>
      <c r="BXL22" s="3507"/>
      <c r="BXM22" s="3507"/>
      <c r="BXN22" s="3507"/>
      <c r="BXO22" s="3507"/>
      <c r="BXP22" s="3507"/>
      <c r="BXQ22" s="3507"/>
      <c r="BXR22" s="3507"/>
      <c r="BXS22" s="3507"/>
      <c r="BXT22" s="3507"/>
      <c r="BXU22" s="3507"/>
      <c r="BXV22" s="3507"/>
      <c r="BXW22" s="3507"/>
      <c r="BXX22" s="3507"/>
      <c r="BXY22" s="3507"/>
      <c r="BXZ22" s="3507"/>
      <c r="BYA22" s="3507"/>
      <c r="BYB22" s="3507"/>
      <c r="BYC22" s="3507"/>
      <c r="BYD22" s="3507"/>
      <c r="BYE22" s="3507"/>
      <c r="BYF22" s="3507"/>
      <c r="BYG22" s="3507"/>
      <c r="BYH22" s="3507"/>
      <c r="BYI22" s="3507"/>
      <c r="BYJ22" s="3507"/>
      <c r="BYK22" s="3507"/>
      <c r="BYL22" s="3507"/>
      <c r="BYM22" s="3507"/>
      <c r="BYN22" s="3507"/>
      <c r="BYO22" s="3507"/>
      <c r="BYP22" s="3507"/>
      <c r="BYQ22" s="3507"/>
      <c r="BYR22" s="3507"/>
      <c r="BYS22" s="3507"/>
      <c r="BYT22" s="3507"/>
      <c r="BYU22" s="3507"/>
      <c r="BYV22" s="3507"/>
      <c r="BYW22" s="3507"/>
      <c r="BYX22" s="3507"/>
      <c r="BYY22" s="3507"/>
      <c r="BYZ22" s="3507"/>
      <c r="BZA22" s="3507"/>
      <c r="BZB22" s="3507"/>
      <c r="BZC22" s="3507"/>
      <c r="BZD22" s="3507"/>
      <c r="BZE22" s="3507"/>
      <c r="BZF22" s="3507"/>
      <c r="BZG22" s="3507"/>
      <c r="BZH22" s="3507"/>
      <c r="BZI22" s="3507"/>
      <c r="BZJ22" s="3507"/>
      <c r="BZK22" s="3507"/>
      <c r="BZL22" s="3507"/>
      <c r="BZM22" s="3507"/>
      <c r="BZN22" s="3507"/>
      <c r="BZO22" s="3507"/>
      <c r="BZP22" s="3507"/>
      <c r="BZQ22" s="3507"/>
      <c r="BZR22" s="3507"/>
      <c r="BZS22" s="3507"/>
      <c r="BZT22" s="3507"/>
      <c r="BZU22" s="3507"/>
      <c r="BZV22" s="3507"/>
      <c r="BZW22" s="3507"/>
      <c r="BZX22" s="3507"/>
      <c r="BZY22" s="3507"/>
      <c r="BZZ22" s="3507"/>
      <c r="CAA22" s="3507"/>
      <c r="CAB22" s="3507"/>
      <c r="CAC22" s="3507"/>
      <c r="CAD22" s="3507"/>
      <c r="CAE22" s="3507"/>
      <c r="CAF22" s="3507"/>
      <c r="CAG22" s="3507"/>
      <c r="CAH22" s="3507"/>
      <c r="CAI22" s="3507"/>
      <c r="CAJ22" s="3507"/>
      <c r="CAK22" s="3507"/>
      <c r="CAL22" s="3507"/>
      <c r="CAM22" s="3507"/>
      <c r="CAN22" s="3507"/>
      <c r="CAO22" s="3507"/>
      <c r="CAP22" s="3507"/>
      <c r="CAQ22" s="3507"/>
      <c r="CAR22" s="3507"/>
      <c r="CAS22" s="3507"/>
      <c r="CAT22" s="3507"/>
      <c r="CAU22" s="3507"/>
      <c r="CAV22" s="3507"/>
      <c r="CAW22" s="3507"/>
      <c r="CAX22" s="3507"/>
      <c r="CAY22" s="3507"/>
      <c r="CAZ22" s="3507"/>
      <c r="CBA22" s="3507"/>
      <c r="CBB22" s="3507"/>
      <c r="CBC22" s="3507"/>
      <c r="CBD22" s="3507"/>
      <c r="CBE22" s="3507"/>
      <c r="CBF22" s="3507"/>
      <c r="CBG22" s="3507"/>
      <c r="CBH22" s="3507"/>
      <c r="CBI22" s="3507"/>
      <c r="CBJ22" s="3507"/>
      <c r="CBK22" s="3507"/>
      <c r="CBL22" s="3507"/>
      <c r="CBM22" s="3507"/>
      <c r="CBN22" s="3507"/>
      <c r="CBO22" s="3507"/>
      <c r="CBP22" s="3507"/>
      <c r="CBQ22" s="3507"/>
      <c r="CBR22" s="3507"/>
      <c r="CBS22" s="3507"/>
      <c r="CBT22" s="3507"/>
      <c r="CBU22" s="3507"/>
      <c r="CBV22" s="3507"/>
      <c r="CBW22" s="3507"/>
      <c r="CBX22" s="3507"/>
      <c r="CBY22" s="3507"/>
      <c r="CBZ22" s="3507"/>
      <c r="CCA22" s="3507"/>
      <c r="CCB22" s="3507"/>
      <c r="CCC22" s="3507"/>
      <c r="CCD22" s="3507"/>
      <c r="CCE22" s="3507"/>
      <c r="CCF22" s="3507"/>
      <c r="CCG22" s="3507"/>
      <c r="CCH22" s="3507"/>
      <c r="CCI22" s="3507"/>
      <c r="CCJ22" s="3507"/>
      <c r="CCK22" s="3507"/>
      <c r="CCL22" s="3507"/>
      <c r="CCM22" s="3507"/>
      <c r="CCN22" s="3507"/>
      <c r="CCO22" s="3507"/>
      <c r="CCP22" s="3507"/>
      <c r="CCQ22" s="3507"/>
      <c r="CCR22" s="3507"/>
      <c r="CCS22" s="3507"/>
      <c r="CCT22" s="3507"/>
      <c r="CCU22" s="3507"/>
      <c r="CCV22" s="3507"/>
      <c r="CCW22" s="3507"/>
      <c r="CCX22" s="3507"/>
      <c r="CCY22" s="3507"/>
      <c r="CCZ22" s="3507"/>
      <c r="CDA22" s="3507"/>
      <c r="CDB22" s="3507"/>
      <c r="CDC22" s="3507"/>
      <c r="CDD22" s="3507"/>
      <c r="CDE22" s="3507"/>
      <c r="CDF22" s="3507"/>
      <c r="CDG22" s="3507"/>
      <c r="CDH22" s="3507"/>
      <c r="CDI22" s="3507"/>
      <c r="CDJ22" s="3507"/>
      <c r="CDK22" s="3507"/>
      <c r="CDL22" s="3507"/>
      <c r="CDM22" s="3507"/>
      <c r="CDN22" s="3507"/>
      <c r="CDO22" s="3507"/>
      <c r="CDP22" s="3507"/>
      <c r="CDQ22" s="3507"/>
      <c r="CDR22" s="3507"/>
      <c r="CDS22" s="3507"/>
      <c r="CDT22" s="3507"/>
      <c r="CDU22" s="3507"/>
      <c r="CDV22" s="3507"/>
      <c r="CDW22" s="3507"/>
      <c r="CDX22" s="3507"/>
      <c r="CDY22" s="3507"/>
      <c r="CDZ22" s="3507"/>
      <c r="CEA22" s="3507"/>
      <c r="CEB22" s="3507"/>
      <c r="CEC22" s="3507"/>
      <c r="CED22" s="3507"/>
      <c r="CEE22" s="3507"/>
      <c r="CEF22" s="3507"/>
      <c r="CEG22" s="3507"/>
      <c r="CEH22" s="3507"/>
      <c r="CEI22" s="3507"/>
      <c r="CEJ22" s="3507"/>
      <c r="CEK22" s="3507"/>
      <c r="CEL22" s="3507"/>
      <c r="CEM22" s="3507"/>
      <c r="CEN22" s="3507"/>
      <c r="CEO22" s="3507"/>
      <c r="CEP22" s="3507"/>
      <c r="CEQ22" s="3507"/>
      <c r="CER22" s="3507"/>
      <c r="CES22" s="3507"/>
      <c r="CET22" s="3507"/>
      <c r="CEU22" s="3507"/>
      <c r="CEV22" s="3507"/>
      <c r="CEW22" s="3507"/>
      <c r="CEX22" s="3507"/>
      <c r="CEY22" s="3507"/>
      <c r="CEZ22" s="3507"/>
      <c r="CFA22" s="3507"/>
      <c r="CFB22" s="3507"/>
      <c r="CFC22" s="3507"/>
      <c r="CFD22" s="3507"/>
      <c r="CFE22" s="3507"/>
      <c r="CFF22" s="3507"/>
      <c r="CFG22" s="3507"/>
      <c r="CFH22" s="3507"/>
      <c r="CFI22" s="3507"/>
      <c r="CFJ22" s="3507"/>
      <c r="CFK22" s="3507"/>
      <c r="CFL22" s="3507"/>
      <c r="CFM22" s="3507"/>
      <c r="CFN22" s="3507"/>
      <c r="CFO22" s="3507"/>
      <c r="CFP22" s="3507"/>
      <c r="CFQ22" s="3507"/>
      <c r="CFR22" s="3507"/>
      <c r="CFS22" s="3507"/>
      <c r="CFT22" s="3507"/>
      <c r="CFU22" s="3507"/>
      <c r="CFV22" s="3507"/>
      <c r="CFW22" s="3507"/>
      <c r="CFX22" s="3507"/>
      <c r="CFY22" s="3507"/>
      <c r="CFZ22" s="3507"/>
      <c r="CGA22" s="3507"/>
      <c r="CGB22" s="3507"/>
      <c r="CGC22" s="3507"/>
      <c r="CGD22" s="3507"/>
      <c r="CGE22" s="3507"/>
      <c r="CGF22" s="3507"/>
      <c r="CGG22" s="3507"/>
      <c r="CGH22" s="3507"/>
      <c r="CGI22" s="3507"/>
      <c r="CGJ22" s="3507"/>
      <c r="CGK22" s="3507"/>
      <c r="CGL22" s="3507"/>
      <c r="CGM22" s="3507"/>
      <c r="CGN22" s="3507"/>
      <c r="CGO22" s="3507"/>
      <c r="CGP22" s="3507"/>
      <c r="CGQ22" s="3507"/>
      <c r="CGR22" s="3507"/>
      <c r="CGS22" s="3507"/>
      <c r="CGT22" s="3507"/>
      <c r="CGU22" s="3507"/>
      <c r="CGV22" s="3507"/>
      <c r="CGW22" s="3507"/>
      <c r="CGX22" s="3507"/>
      <c r="CGY22" s="3507"/>
      <c r="CGZ22" s="3507"/>
      <c r="CHA22" s="3507"/>
      <c r="CHB22" s="3507"/>
      <c r="CHC22" s="3507"/>
      <c r="CHD22" s="3507"/>
      <c r="CHE22" s="3507"/>
      <c r="CHF22" s="3507"/>
      <c r="CHG22" s="3507"/>
      <c r="CHH22" s="3507"/>
      <c r="CHI22" s="3507"/>
      <c r="CHJ22" s="3507"/>
      <c r="CHK22" s="3507"/>
      <c r="CHL22" s="3507"/>
      <c r="CHM22" s="3507"/>
      <c r="CHN22" s="3507"/>
      <c r="CHO22" s="3507"/>
      <c r="CHP22" s="3507"/>
      <c r="CHQ22" s="3507"/>
      <c r="CHR22" s="3507"/>
      <c r="CHS22" s="3507"/>
      <c r="CHT22" s="3507"/>
      <c r="CHU22" s="3507"/>
      <c r="CHV22" s="3507"/>
      <c r="CHW22" s="3507"/>
      <c r="CHX22" s="3507"/>
      <c r="CHY22" s="3507"/>
      <c r="CHZ22" s="3507"/>
      <c r="CIA22" s="3507"/>
      <c r="CIB22" s="3507"/>
      <c r="CIC22" s="3507"/>
      <c r="CID22" s="3507"/>
      <c r="CIE22" s="3507"/>
      <c r="CIF22" s="3507"/>
      <c r="CIG22" s="3507"/>
      <c r="CIH22" s="3507"/>
      <c r="CII22" s="3507"/>
      <c r="CIJ22" s="3507"/>
      <c r="CIK22" s="3507"/>
      <c r="CIL22" s="3507"/>
      <c r="CIM22" s="3507"/>
      <c r="CIN22" s="3507"/>
      <c r="CIO22" s="3507"/>
      <c r="CIP22" s="3507"/>
      <c r="CIQ22" s="3507"/>
      <c r="CIR22" s="3507"/>
      <c r="CIS22" s="3507"/>
      <c r="CIT22" s="3507"/>
      <c r="CIU22" s="3507"/>
      <c r="CIV22" s="3507"/>
      <c r="CIW22" s="3507"/>
      <c r="CIX22" s="3507"/>
      <c r="CIY22" s="3507"/>
      <c r="CIZ22" s="3507"/>
      <c r="CJA22" s="3507"/>
      <c r="CJB22" s="3507"/>
      <c r="CJC22" s="3507"/>
      <c r="CJD22" s="3507"/>
      <c r="CJE22" s="3507"/>
      <c r="CJF22" s="3507"/>
      <c r="CJG22" s="3507"/>
      <c r="CJH22" s="3507"/>
      <c r="CJI22" s="3507"/>
      <c r="CJJ22" s="3507"/>
      <c r="CJK22" s="3507"/>
      <c r="CJL22" s="3507"/>
      <c r="CJM22" s="3507"/>
      <c r="CJN22" s="3507"/>
      <c r="CJO22" s="3507"/>
      <c r="CJP22" s="3507"/>
      <c r="CJQ22" s="3507"/>
      <c r="CJR22" s="3507"/>
      <c r="CJS22" s="3507"/>
      <c r="CJT22" s="3507"/>
      <c r="CJU22" s="3507"/>
      <c r="CJV22" s="3507"/>
      <c r="CJW22" s="3507"/>
      <c r="CJX22" s="3507"/>
      <c r="CJY22" s="3507"/>
      <c r="CJZ22" s="3507"/>
      <c r="CKA22" s="3507"/>
      <c r="CKB22" s="3507"/>
      <c r="CKC22" s="3507"/>
      <c r="CKD22" s="3507"/>
      <c r="CKE22" s="3507"/>
      <c r="CKF22" s="3507"/>
      <c r="CKG22" s="3507"/>
      <c r="CKH22" s="3507"/>
      <c r="CKI22" s="3507"/>
      <c r="CKJ22" s="3507"/>
      <c r="CKK22" s="3507"/>
      <c r="CKL22" s="3507"/>
      <c r="CKM22" s="3507"/>
      <c r="CKN22" s="3507"/>
      <c r="CKO22" s="3507"/>
      <c r="CKP22" s="3507"/>
      <c r="CKQ22" s="3507"/>
      <c r="CKR22" s="3507"/>
      <c r="CKS22" s="3507"/>
      <c r="CKT22" s="3507"/>
      <c r="CKU22" s="3507"/>
      <c r="CKV22" s="3507"/>
      <c r="CKW22" s="3507"/>
      <c r="CKX22" s="3507"/>
      <c r="CKY22" s="3507"/>
      <c r="CKZ22" s="3507"/>
      <c r="CLA22" s="3507"/>
      <c r="CLB22" s="3507"/>
      <c r="CLC22" s="3507"/>
      <c r="CLD22" s="3507"/>
      <c r="CLE22" s="3507"/>
      <c r="CLF22" s="3507"/>
      <c r="CLG22" s="3507"/>
      <c r="CLH22" s="3507"/>
      <c r="CLI22" s="3507"/>
      <c r="CLJ22" s="3507"/>
      <c r="CLK22" s="3507"/>
      <c r="CLL22" s="3507"/>
      <c r="CLM22" s="3507"/>
      <c r="CLN22" s="3507"/>
      <c r="CLO22" s="3507"/>
      <c r="CLP22" s="3507"/>
      <c r="CLQ22" s="3507"/>
      <c r="CLR22" s="3507"/>
      <c r="CLS22" s="3507"/>
      <c r="CLT22" s="3507"/>
      <c r="CLU22" s="3507"/>
      <c r="CLV22" s="3507"/>
      <c r="CLW22" s="3507"/>
      <c r="CLX22" s="3507"/>
      <c r="CLY22" s="3507"/>
      <c r="CLZ22" s="3507"/>
      <c r="CMA22" s="3507"/>
      <c r="CMB22" s="3507"/>
      <c r="CMC22" s="3507"/>
      <c r="CMD22" s="3507"/>
      <c r="CME22" s="3507"/>
      <c r="CMF22" s="3507"/>
      <c r="CMG22" s="3507"/>
      <c r="CMH22" s="3507"/>
      <c r="CMI22" s="3507"/>
      <c r="CMJ22" s="3507"/>
      <c r="CMK22" s="3507"/>
      <c r="CML22" s="3507"/>
      <c r="CMM22" s="3507"/>
      <c r="CMN22" s="3507"/>
      <c r="CMO22" s="3507"/>
      <c r="CMP22" s="3507"/>
      <c r="CMQ22" s="3507"/>
      <c r="CMR22" s="3507"/>
      <c r="CMS22" s="3507"/>
      <c r="CMT22" s="3507"/>
      <c r="CMU22" s="3507"/>
      <c r="CMV22" s="3507"/>
      <c r="CMW22" s="3507"/>
      <c r="CMX22" s="3507"/>
      <c r="CMY22" s="3507"/>
      <c r="CMZ22" s="3507"/>
      <c r="CNA22" s="3507"/>
      <c r="CNB22" s="3507"/>
      <c r="CNC22" s="3507"/>
      <c r="CND22" s="3507"/>
      <c r="CNE22" s="3507"/>
      <c r="CNF22" s="3507"/>
      <c r="CNG22" s="3507"/>
      <c r="CNH22" s="3507"/>
      <c r="CNI22" s="3507"/>
      <c r="CNJ22" s="3507"/>
      <c r="CNK22" s="3507"/>
      <c r="CNL22" s="3507"/>
      <c r="CNM22" s="3507"/>
      <c r="CNN22" s="3507"/>
      <c r="CNO22" s="3507"/>
      <c r="CNP22" s="3507"/>
      <c r="CNQ22" s="3507"/>
      <c r="CNR22" s="3507"/>
      <c r="CNS22" s="3507"/>
      <c r="CNT22" s="3507"/>
      <c r="CNU22" s="3507"/>
      <c r="CNV22" s="3507"/>
      <c r="CNW22" s="3507"/>
      <c r="CNX22" s="3507"/>
      <c r="CNY22" s="3507"/>
      <c r="CNZ22" s="3507"/>
      <c r="COA22" s="3507"/>
      <c r="COB22" s="3507"/>
      <c r="COC22" s="3507"/>
      <c r="COD22" s="3507"/>
      <c r="COE22" s="3507"/>
      <c r="COF22" s="3507"/>
      <c r="COG22" s="3507"/>
      <c r="COH22" s="3507"/>
      <c r="COI22" s="3507"/>
      <c r="COJ22" s="3507"/>
      <c r="COK22" s="3507"/>
      <c r="COL22" s="3507"/>
      <c r="COM22" s="3507"/>
      <c r="CON22" s="3507"/>
      <c r="COO22" s="3507"/>
      <c r="COP22" s="3507"/>
      <c r="COQ22" s="3507"/>
      <c r="COR22" s="3507"/>
      <c r="COS22" s="3507"/>
      <c r="COT22" s="3507"/>
      <c r="COU22" s="3507"/>
      <c r="COV22" s="3507"/>
      <c r="COW22" s="3507"/>
      <c r="COX22" s="3507"/>
      <c r="COY22" s="3507"/>
      <c r="COZ22" s="3507"/>
      <c r="CPA22" s="3507"/>
      <c r="CPB22" s="3507"/>
      <c r="CPC22" s="3507"/>
      <c r="CPD22" s="3507"/>
      <c r="CPE22" s="3507"/>
      <c r="CPF22" s="3507"/>
      <c r="CPG22" s="3507"/>
      <c r="CPH22" s="3507"/>
      <c r="CPI22" s="3507"/>
      <c r="CPJ22" s="3507"/>
      <c r="CPK22" s="3507"/>
      <c r="CPL22" s="3507"/>
      <c r="CPM22" s="3507"/>
      <c r="CPN22" s="3507"/>
      <c r="CPO22" s="3507"/>
      <c r="CPP22" s="3507"/>
      <c r="CPQ22" s="3507"/>
      <c r="CPR22" s="3507"/>
      <c r="CPS22" s="3507"/>
      <c r="CPT22" s="3507"/>
      <c r="CPU22" s="3507"/>
      <c r="CPV22" s="3507"/>
      <c r="CPW22" s="3507"/>
      <c r="CPX22" s="3507"/>
      <c r="CPY22" s="3507"/>
      <c r="CPZ22" s="3507"/>
      <c r="CQA22" s="3507"/>
      <c r="CQB22" s="3507"/>
      <c r="CQC22" s="3507"/>
      <c r="CQD22" s="3507"/>
      <c r="CQE22" s="3507"/>
      <c r="CQF22" s="3507"/>
      <c r="CQG22" s="3507"/>
      <c r="CQH22" s="3507"/>
      <c r="CQI22" s="3507"/>
      <c r="CQJ22" s="3507"/>
      <c r="CQK22" s="3507"/>
      <c r="CQL22" s="3507"/>
      <c r="CQM22" s="3507"/>
      <c r="CQN22" s="3507"/>
      <c r="CQO22" s="3507"/>
      <c r="CQP22" s="3507"/>
      <c r="CQQ22" s="3507"/>
      <c r="CQR22" s="3507"/>
      <c r="CQS22" s="3507"/>
      <c r="CQT22" s="3507"/>
      <c r="CQU22" s="3507"/>
      <c r="CQV22" s="3507"/>
      <c r="CQW22" s="3507"/>
      <c r="CQX22" s="3507"/>
      <c r="CQY22" s="3507"/>
      <c r="CQZ22" s="3507"/>
      <c r="CRA22" s="3507"/>
      <c r="CRB22" s="3507"/>
      <c r="CRC22" s="3507"/>
      <c r="CRD22" s="3507"/>
      <c r="CRE22" s="3507"/>
      <c r="CRF22" s="3507"/>
      <c r="CRG22" s="3507"/>
      <c r="CRH22" s="3507"/>
      <c r="CRI22" s="3507"/>
      <c r="CRJ22" s="3507"/>
      <c r="CRK22" s="3507"/>
      <c r="CRL22" s="3507"/>
      <c r="CRM22" s="3507"/>
      <c r="CRN22" s="3507"/>
      <c r="CRO22" s="3507"/>
      <c r="CRP22" s="3507"/>
      <c r="CRQ22" s="3507"/>
      <c r="CRR22" s="3507"/>
      <c r="CRS22" s="3507"/>
      <c r="CRT22" s="3507"/>
      <c r="CRU22" s="3507"/>
      <c r="CRV22" s="3507"/>
      <c r="CRW22" s="3507"/>
      <c r="CRX22" s="3507"/>
      <c r="CRY22" s="3507"/>
      <c r="CRZ22" s="3507"/>
      <c r="CSA22" s="3507"/>
      <c r="CSB22" s="3507"/>
      <c r="CSC22" s="3507"/>
      <c r="CSD22" s="3507"/>
      <c r="CSE22" s="3507"/>
      <c r="CSF22" s="3507"/>
      <c r="CSG22" s="3507"/>
      <c r="CSH22" s="3507"/>
      <c r="CSI22" s="3507"/>
      <c r="CSJ22" s="3507"/>
      <c r="CSK22" s="3507"/>
      <c r="CSL22" s="3507"/>
      <c r="CSM22" s="3507"/>
      <c r="CSN22" s="3507"/>
      <c r="CSO22" s="3507"/>
      <c r="CSP22" s="3507"/>
      <c r="CSQ22" s="3507"/>
      <c r="CSR22" s="3507"/>
      <c r="CSS22" s="3507"/>
      <c r="CST22" s="3507"/>
      <c r="CSU22" s="3507"/>
      <c r="CSV22" s="3507"/>
      <c r="CSW22" s="3507"/>
      <c r="CSX22" s="3507"/>
      <c r="CSY22" s="3507"/>
      <c r="CSZ22" s="3507"/>
      <c r="CTA22" s="3507"/>
      <c r="CTB22" s="3507"/>
      <c r="CTC22" s="3507"/>
      <c r="CTD22" s="3507"/>
      <c r="CTE22" s="3507"/>
      <c r="CTF22" s="3507"/>
      <c r="CTG22" s="3507"/>
      <c r="CTH22" s="3507"/>
      <c r="CTI22" s="3507"/>
      <c r="CTJ22" s="3507"/>
      <c r="CTK22" s="3507"/>
      <c r="CTL22" s="3507"/>
      <c r="CTM22" s="3507"/>
      <c r="CTN22" s="3507"/>
      <c r="CTO22" s="3507"/>
      <c r="CTP22" s="3507"/>
      <c r="CTQ22" s="3507"/>
      <c r="CTR22" s="3507"/>
      <c r="CTS22" s="3507"/>
      <c r="CTT22" s="3507"/>
      <c r="CTU22" s="3507"/>
      <c r="CTV22" s="3507"/>
      <c r="CTW22" s="3507"/>
      <c r="CTX22" s="3507"/>
      <c r="CTY22" s="3507"/>
      <c r="CTZ22" s="3507"/>
      <c r="CUA22" s="3507"/>
      <c r="CUB22" s="3507"/>
      <c r="CUC22" s="3507"/>
      <c r="CUD22" s="3507"/>
      <c r="CUE22" s="3507"/>
      <c r="CUF22" s="3507"/>
      <c r="CUG22" s="3507"/>
      <c r="CUH22" s="3507"/>
      <c r="CUI22" s="3507"/>
      <c r="CUJ22" s="3507"/>
      <c r="CUK22" s="3507"/>
      <c r="CUL22" s="3507"/>
      <c r="CUM22" s="3507"/>
      <c r="CUN22" s="3507"/>
      <c r="CUO22" s="3507"/>
      <c r="CUP22" s="3507"/>
      <c r="CUQ22" s="3507"/>
      <c r="CUR22" s="3507"/>
      <c r="CUS22" s="3507"/>
      <c r="CUT22" s="3507"/>
      <c r="CUU22" s="3507"/>
      <c r="CUV22" s="3507"/>
      <c r="CUW22" s="3507"/>
      <c r="CUX22" s="3507"/>
      <c r="CUY22" s="3507"/>
      <c r="CUZ22" s="3507"/>
      <c r="CVA22" s="3507"/>
      <c r="CVB22" s="3507"/>
      <c r="CVC22" s="3507"/>
      <c r="CVD22" s="3507"/>
      <c r="CVE22" s="3507"/>
      <c r="CVF22" s="3507"/>
      <c r="CVG22" s="3507"/>
      <c r="CVH22" s="3507"/>
      <c r="CVI22" s="3507"/>
      <c r="CVJ22" s="3507"/>
      <c r="CVK22" s="3507"/>
      <c r="CVL22" s="3507"/>
      <c r="CVM22" s="3507"/>
      <c r="CVN22" s="3507"/>
      <c r="CVO22" s="3507"/>
      <c r="CVP22" s="3507"/>
      <c r="CVQ22" s="3507"/>
      <c r="CVR22" s="3507"/>
      <c r="CVS22" s="3507"/>
      <c r="CVT22" s="3507"/>
      <c r="CVU22" s="3507"/>
      <c r="CVV22" s="3507"/>
      <c r="CVW22" s="3507"/>
      <c r="CVX22" s="3507"/>
      <c r="CVY22" s="3507"/>
      <c r="CVZ22" s="3507"/>
      <c r="CWA22" s="3507"/>
      <c r="CWB22" s="3507"/>
      <c r="CWC22" s="3507"/>
      <c r="CWD22" s="3507"/>
      <c r="CWE22" s="3507"/>
      <c r="CWF22" s="3507"/>
      <c r="CWG22" s="3507"/>
      <c r="CWH22" s="3507"/>
      <c r="CWI22" s="3507"/>
      <c r="CWJ22" s="3507"/>
      <c r="CWK22" s="3507"/>
      <c r="CWL22" s="3507"/>
      <c r="CWM22" s="3507"/>
      <c r="CWN22" s="3507"/>
      <c r="CWO22" s="3507"/>
      <c r="CWP22" s="3507"/>
      <c r="CWQ22" s="3507"/>
      <c r="CWR22" s="3507"/>
      <c r="CWS22" s="3507"/>
      <c r="CWT22" s="3507"/>
      <c r="CWU22" s="3507"/>
      <c r="CWV22" s="3507"/>
      <c r="CWW22" s="3507"/>
      <c r="CWX22" s="3507"/>
      <c r="CWY22" s="3507"/>
      <c r="CWZ22" s="3507"/>
      <c r="CXA22" s="3507"/>
      <c r="CXB22" s="3507"/>
      <c r="CXC22" s="3507"/>
      <c r="CXD22" s="3507"/>
      <c r="CXE22" s="3507"/>
      <c r="CXF22" s="3507"/>
      <c r="CXG22" s="3507"/>
      <c r="CXH22" s="3507"/>
      <c r="CXI22" s="3507"/>
      <c r="CXJ22" s="3507"/>
      <c r="CXK22" s="3507"/>
      <c r="CXL22" s="3507"/>
      <c r="CXM22" s="3507"/>
      <c r="CXN22" s="3507"/>
      <c r="CXO22" s="3507"/>
      <c r="CXP22" s="3507"/>
      <c r="CXQ22" s="3507"/>
      <c r="CXR22" s="3507"/>
      <c r="CXS22" s="3507"/>
      <c r="CXT22" s="3507"/>
      <c r="CXU22" s="3507"/>
      <c r="CXV22" s="3507"/>
      <c r="CXW22" s="3507"/>
      <c r="CXX22" s="3507"/>
      <c r="CXY22" s="3507"/>
      <c r="CXZ22" s="3507"/>
      <c r="CYA22" s="3507"/>
      <c r="CYB22" s="3507"/>
      <c r="CYC22" s="3507"/>
      <c r="CYD22" s="3507"/>
      <c r="CYE22" s="3507"/>
      <c r="CYF22" s="3507"/>
      <c r="CYG22" s="3507"/>
      <c r="CYH22" s="3507"/>
      <c r="CYI22" s="3507"/>
      <c r="CYJ22" s="3507"/>
      <c r="CYK22" s="3507"/>
      <c r="CYL22" s="3507"/>
      <c r="CYM22" s="3507"/>
      <c r="CYN22" s="3507"/>
      <c r="CYO22" s="3507"/>
      <c r="CYP22" s="3507"/>
      <c r="CYQ22" s="3507"/>
      <c r="CYR22" s="3507"/>
      <c r="CYS22" s="3507"/>
      <c r="CYT22" s="3507"/>
      <c r="CYU22" s="3507"/>
      <c r="CYV22" s="3507"/>
      <c r="CYW22" s="3507"/>
      <c r="CYX22" s="3507"/>
      <c r="CYY22" s="3507"/>
      <c r="CYZ22" s="3507"/>
      <c r="CZA22" s="3507"/>
      <c r="CZB22" s="3507"/>
      <c r="CZC22" s="3507"/>
      <c r="CZD22" s="3507"/>
      <c r="CZE22" s="3507"/>
      <c r="CZF22" s="3507"/>
      <c r="CZG22" s="3507"/>
      <c r="CZH22" s="3507"/>
      <c r="CZI22" s="3507"/>
      <c r="CZJ22" s="3507"/>
      <c r="CZK22" s="3507"/>
      <c r="CZL22" s="3507"/>
      <c r="CZM22" s="3507"/>
      <c r="CZN22" s="3507"/>
      <c r="CZO22" s="3507"/>
      <c r="CZP22" s="3507"/>
      <c r="CZQ22" s="3507"/>
      <c r="CZR22" s="3507"/>
      <c r="CZS22" s="3507"/>
      <c r="CZT22" s="3507"/>
      <c r="CZU22" s="3507"/>
      <c r="CZV22" s="3507"/>
      <c r="CZW22" s="3507"/>
      <c r="CZX22" s="3507"/>
      <c r="CZY22" s="3507"/>
      <c r="CZZ22" s="3507"/>
      <c r="DAA22" s="3507"/>
      <c r="DAB22" s="3507"/>
      <c r="DAC22" s="3507"/>
      <c r="DAD22" s="3507"/>
      <c r="DAE22" s="3507"/>
      <c r="DAF22" s="3507"/>
      <c r="DAG22" s="3507"/>
      <c r="DAH22" s="3507"/>
      <c r="DAI22" s="3507"/>
      <c r="DAJ22" s="3507"/>
      <c r="DAK22" s="3507"/>
      <c r="DAL22" s="3507"/>
      <c r="DAM22" s="3507"/>
      <c r="DAN22" s="3507"/>
      <c r="DAO22" s="3507"/>
      <c r="DAP22" s="3507"/>
      <c r="DAQ22" s="3507"/>
      <c r="DAR22" s="3507"/>
      <c r="DAS22" s="3507"/>
      <c r="DAT22" s="3507"/>
      <c r="DAU22" s="3507"/>
      <c r="DAV22" s="3507"/>
      <c r="DAW22" s="3507"/>
      <c r="DAX22" s="3507"/>
      <c r="DAY22" s="3507"/>
      <c r="DAZ22" s="3507"/>
      <c r="DBA22" s="3507"/>
      <c r="DBB22" s="3507"/>
      <c r="DBC22" s="3507"/>
      <c r="DBD22" s="3507"/>
      <c r="DBE22" s="3507"/>
      <c r="DBF22" s="3507"/>
      <c r="DBG22" s="3507"/>
      <c r="DBH22" s="3507"/>
      <c r="DBI22" s="3507"/>
      <c r="DBJ22" s="3507"/>
      <c r="DBK22" s="3507"/>
      <c r="DBL22" s="3507"/>
      <c r="DBM22" s="3507"/>
      <c r="DBN22" s="3507"/>
      <c r="DBO22" s="3507"/>
      <c r="DBP22" s="3507"/>
      <c r="DBQ22" s="3507"/>
      <c r="DBR22" s="3507"/>
      <c r="DBS22" s="3507"/>
      <c r="DBT22" s="3507"/>
      <c r="DBU22" s="3507"/>
      <c r="DBV22" s="3507"/>
      <c r="DBW22" s="3507"/>
      <c r="DBX22" s="3507"/>
      <c r="DBY22" s="3507"/>
      <c r="DBZ22" s="3507"/>
      <c r="DCA22" s="3507"/>
      <c r="DCB22" s="3507"/>
      <c r="DCC22" s="3507"/>
      <c r="DCD22" s="3507"/>
      <c r="DCE22" s="3507"/>
      <c r="DCF22" s="3507"/>
      <c r="DCG22" s="3507"/>
      <c r="DCH22" s="3507"/>
      <c r="DCI22" s="3507"/>
      <c r="DCJ22" s="3507"/>
      <c r="DCK22" s="3507"/>
      <c r="DCL22" s="3507"/>
      <c r="DCM22" s="3507"/>
      <c r="DCN22" s="3507"/>
      <c r="DCO22" s="3507"/>
      <c r="DCP22" s="3507"/>
      <c r="DCQ22" s="3507"/>
      <c r="DCR22" s="3507"/>
      <c r="DCS22" s="3507"/>
      <c r="DCT22" s="3507"/>
      <c r="DCU22" s="3507"/>
      <c r="DCV22" s="3507"/>
      <c r="DCW22" s="3507"/>
      <c r="DCX22" s="3507"/>
      <c r="DCY22" s="3507"/>
      <c r="DCZ22" s="3507"/>
      <c r="DDA22" s="3507"/>
      <c r="DDB22" s="3507"/>
      <c r="DDC22" s="3507"/>
      <c r="DDD22" s="3507"/>
      <c r="DDE22" s="3507"/>
      <c r="DDF22" s="3507"/>
      <c r="DDG22" s="3507"/>
      <c r="DDH22" s="3507"/>
      <c r="DDI22" s="3507"/>
      <c r="DDJ22" s="3507"/>
      <c r="DDK22" s="3507"/>
      <c r="DDL22" s="3507"/>
      <c r="DDM22" s="3507"/>
      <c r="DDN22" s="3507"/>
      <c r="DDO22" s="3507"/>
      <c r="DDP22" s="3507"/>
      <c r="DDQ22" s="3507"/>
      <c r="DDR22" s="3507"/>
      <c r="DDS22" s="3507"/>
      <c r="DDT22" s="3507"/>
      <c r="DDU22" s="3507"/>
      <c r="DDV22" s="3507"/>
      <c r="DDW22" s="3507"/>
      <c r="DDX22" s="3507"/>
      <c r="DDY22" s="3507"/>
      <c r="DDZ22" s="3507"/>
      <c r="DEA22" s="3507"/>
      <c r="DEB22" s="3507"/>
      <c r="DEC22" s="3507"/>
      <c r="DED22" s="3507"/>
      <c r="DEE22" s="3507"/>
      <c r="DEF22" s="3507"/>
      <c r="DEG22" s="3507"/>
      <c r="DEH22" s="3507"/>
      <c r="DEI22" s="3507"/>
      <c r="DEJ22" s="3507"/>
      <c r="DEK22" s="3507"/>
      <c r="DEL22" s="3507"/>
      <c r="DEM22" s="3507"/>
      <c r="DEN22" s="3507"/>
      <c r="DEO22" s="3507"/>
      <c r="DEP22" s="3507"/>
      <c r="DEQ22" s="3507"/>
      <c r="DER22" s="3507"/>
      <c r="DES22" s="3507"/>
      <c r="DET22" s="3507"/>
      <c r="DEU22" s="3507"/>
      <c r="DEV22" s="3507"/>
      <c r="DEW22" s="3507"/>
      <c r="DEX22" s="3507"/>
      <c r="DEY22" s="3507"/>
      <c r="DEZ22" s="3507"/>
      <c r="DFA22" s="3507"/>
      <c r="DFB22" s="3507"/>
      <c r="DFC22" s="3507"/>
      <c r="DFD22" s="3507"/>
      <c r="DFE22" s="3507"/>
      <c r="DFF22" s="3507"/>
      <c r="DFG22" s="3507"/>
      <c r="DFH22" s="3507"/>
      <c r="DFI22" s="3507"/>
      <c r="DFJ22" s="3507"/>
      <c r="DFK22" s="3507"/>
      <c r="DFL22" s="3507"/>
      <c r="DFM22" s="3507"/>
      <c r="DFN22" s="3507"/>
      <c r="DFO22" s="3507"/>
      <c r="DFP22" s="3507"/>
      <c r="DFQ22" s="3507"/>
      <c r="DFR22" s="3507"/>
      <c r="DFS22" s="3507"/>
      <c r="DFT22" s="3507"/>
      <c r="DFU22" s="3507"/>
      <c r="DFV22" s="3507"/>
      <c r="DFW22" s="3507"/>
      <c r="DFX22" s="3507"/>
      <c r="DFY22" s="3507"/>
      <c r="DFZ22" s="3507"/>
      <c r="DGA22" s="3507"/>
      <c r="DGB22" s="3507"/>
      <c r="DGC22" s="3507"/>
      <c r="DGD22" s="3507"/>
      <c r="DGE22" s="3507"/>
      <c r="DGF22" s="3507"/>
      <c r="DGG22" s="3507"/>
      <c r="DGH22" s="3507"/>
      <c r="DGI22" s="3507"/>
      <c r="DGJ22" s="3507"/>
      <c r="DGK22" s="3507"/>
      <c r="DGL22" s="3507"/>
      <c r="DGM22" s="3507"/>
      <c r="DGN22" s="3507"/>
      <c r="DGO22" s="3507"/>
      <c r="DGP22" s="3507"/>
      <c r="DGQ22" s="3507"/>
      <c r="DGR22" s="3507"/>
      <c r="DGS22" s="3507"/>
      <c r="DGT22" s="3507"/>
      <c r="DGU22" s="3507"/>
      <c r="DGV22" s="3507"/>
      <c r="DGW22" s="3507"/>
      <c r="DGX22" s="3507"/>
      <c r="DGY22" s="3507"/>
      <c r="DGZ22" s="3507"/>
      <c r="DHA22" s="3507"/>
      <c r="DHB22" s="3507"/>
      <c r="DHC22" s="3507"/>
      <c r="DHD22" s="3507"/>
      <c r="DHE22" s="3507"/>
      <c r="DHF22" s="3507"/>
      <c r="DHG22" s="3507"/>
      <c r="DHH22" s="3507"/>
      <c r="DHI22" s="3507"/>
      <c r="DHJ22" s="3507"/>
      <c r="DHK22" s="3507"/>
      <c r="DHL22" s="3507"/>
      <c r="DHM22" s="3507"/>
      <c r="DHN22" s="3507"/>
      <c r="DHO22" s="3507"/>
      <c r="DHP22" s="3507"/>
      <c r="DHQ22" s="3507"/>
      <c r="DHR22" s="3507"/>
      <c r="DHS22" s="3507"/>
      <c r="DHT22" s="3507"/>
      <c r="DHU22" s="3507"/>
      <c r="DHV22" s="3507"/>
      <c r="DHW22" s="3507"/>
      <c r="DHX22" s="3507"/>
      <c r="DHY22" s="3507"/>
      <c r="DHZ22" s="3507"/>
      <c r="DIA22" s="3507"/>
      <c r="DIB22" s="3507"/>
      <c r="DIC22" s="3507"/>
      <c r="DID22" s="3507"/>
      <c r="DIE22" s="3507"/>
      <c r="DIF22" s="3507"/>
      <c r="DIG22" s="3507"/>
      <c r="DIH22" s="3507"/>
      <c r="DII22" s="3507"/>
      <c r="DIJ22" s="3507"/>
      <c r="DIK22" s="3507"/>
      <c r="DIL22" s="3507"/>
      <c r="DIM22" s="3507"/>
      <c r="DIN22" s="3507"/>
      <c r="DIO22" s="3507"/>
      <c r="DIP22" s="3507"/>
      <c r="DIQ22" s="3507"/>
      <c r="DIR22" s="3507"/>
      <c r="DIS22" s="3507"/>
      <c r="DIT22" s="3507"/>
      <c r="DIU22" s="3507"/>
      <c r="DIV22" s="3507"/>
      <c r="DIW22" s="3507"/>
      <c r="DIX22" s="3507"/>
      <c r="DIY22" s="3507"/>
      <c r="DIZ22" s="3507"/>
      <c r="DJA22" s="3507"/>
      <c r="DJB22" s="3507"/>
      <c r="DJC22" s="3507"/>
      <c r="DJD22" s="3507"/>
      <c r="DJE22" s="3507"/>
      <c r="DJF22" s="3507"/>
      <c r="DJG22" s="3507"/>
      <c r="DJH22" s="3507"/>
      <c r="DJI22" s="3507"/>
      <c r="DJJ22" s="3507"/>
      <c r="DJK22" s="3507"/>
      <c r="DJL22" s="3507"/>
      <c r="DJM22" s="3507"/>
      <c r="DJN22" s="3507"/>
      <c r="DJO22" s="3507"/>
      <c r="DJP22" s="3507"/>
      <c r="DJQ22" s="3507"/>
      <c r="DJR22" s="3507"/>
      <c r="DJS22" s="3507"/>
      <c r="DJT22" s="3507"/>
      <c r="DJU22" s="3507"/>
      <c r="DJV22" s="3507"/>
      <c r="DJW22" s="3507"/>
      <c r="DJX22" s="3507"/>
      <c r="DJY22" s="3507"/>
      <c r="DJZ22" s="3507"/>
      <c r="DKA22" s="3507"/>
      <c r="DKB22" s="3507"/>
      <c r="DKC22" s="3507"/>
      <c r="DKD22" s="3507"/>
      <c r="DKE22" s="3507"/>
      <c r="DKF22" s="3507"/>
      <c r="DKG22" s="3507"/>
      <c r="DKH22" s="3507"/>
      <c r="DKI22" s="3507"/>
      <c r="DKJ22" s="3507"/>
      <c r="DKK22" s="3507"/>
      <c r="DKL22" s="3507"/>
      <c r="DKM22" s="3507"/>
      <c r="DKN22" s="3507"/>
      <c r="DKO22" s="3507"/>
      <c r="DKP22" s="3507"/>
      <c r="DKQ22" s="3507"/>
      <c r="DKR22" s="3507"/>
      <c r="DKS22" s="3507"/>
      <c r="DKT22" s="3507"/>
      <c r="DKU22" s="3507"/>
      <c r="DKV22" s="3507"/>
      <c r="DKW22" s="3507"/>
      <c r="DKX22" s="3507"/>
      <c r="DKY22" s="3507"/>
      <c r="DKZ22" s="3507"/>
      <c r="DLA22" s="3507"/>
      <c r="DLB22" s="3507"/>
      <c r="DLC22" s="3507"/>
      <c r="DLD22" s="3507"/>
      <c r="DLE22" s="3507"/>
      <c r="DLF22" s="3507"/>
      <c r="DLG22" s="3507"/>
      <c r="DLH22" s="3507"/>
      <c r="DLI22" s="3507"/>
      <c r="DLJ22" s="3507"/>
      <c r="DLK22" s="3507"/>
      <c r="DLL22" s="3507"/>
      <c r="DLM22" s="3507"/>
      <c r="DLN22" s="3507"/>
      <c r="DLO22" s="3507"/>
      <c r="DLP22" s="3507"/>
      <c r="DLQ22" s="3507"/>
      <c r="DLR22" s="3507"/>
      <c r="DLS22" s="3507"/>
      <c r="DLT22" s="3507"/>
      <c r="DLU22" s="3507"/>
      <c r="DLV22" s="3507"/>
      <c r="DLW22" s="3507"/>
      <c r="DLX22" s="3507"/>
      <c r="DLY22" s="3507"/>
      <c r="DLZ22" s="3507"/>
      <c r="DMA22" s="3507"/>
      <c r="DMB22" s="3507"/>
      <c r="DMC22" s="3507"/>
      <c r="DMD22" s="3507"/>
      <c r="DME22" s="3507"/>
      <c r="DMF22" s="3507"/>
      <c r="DMG22" s="3507"/>
      <c r="DMH22" s="3507"/>
      <c r="DMI22" s="3507"/>
      <c r="DMJ22" s="3507"/>
      <c r="DMK22" s="3507"/>
      <c r="DML22" s="3507"/>
      <c r="DMM22" s="3507"/>
      <c r="DMN22" s="3507"/>
      <c r="DMO22" s="3507"/>
      <c r="DMP22" s="3507"/>
      <c r="DMQ22" s="3507"/>
      <c r="DMR22" s="3507"/>
      <c r="DMS22" s="3507"/>
      <c r="DMT22" s="3507"/>
      <c r="DMU22" s="3507"/>
      <c r="DMV22" s="3507"/>
      <c r="DMW22" s="3507"/>
      <c r="DMX22" s="3507"/>
      <c r="DMY22" s="3507"/>
      <c r="DMZ22" s="3507"/>
      <c r="DNA22" s="3507"/>
      <c r="DNB22" s="3507"/>
      <c r="DNC22" s="3507"/>
      <c r="DND22" s="3507"/>
      <c r="DNE22" s="3507"/>
      <c r="DNF22" s="3507"/>
      <c r="DNG22" s="3507"/>
      <c r="DNH22" s="3507"/>
      <c r="DNI22" s="3507"/>
      <c r="DNJ22" s="3507"/>
      <c r="DNK22" s="3507"/>
      <c r="DNL22" s="3507"/>
      <c r="DNM22" s="3507"/>
      <c r="DNN22" s="3507"/>
      <c r="DNO22" s="3507"/>
      <c r="DNP22" s="3507"/>
      <c r="DNQ22" s="3507"/>
      <c r="DNR22" s="3507"/>
      <c r="DNS22" s="3507"/>
      <c r="DNT22" s="3507"/>
      <c r="DNU22" s="3507"/>
      <c r="DNV22" s="3507"/>
      <c r="DNW22" s="3507"/>
      <c r="DNX22" s="3507"/>
      <c r="DNY22" s="3507"/>
      <c r="DNZ22" s="3507"/>
      <c r="DOA22" s="3507"/>
      <c r="DOB22" s="3507"/>
      <c r="DOC22" s="3507"/>
      <c r="DOD22" s="3507"/>
      <c r="DOE22" s="3507"/>
      <c r="DOF22" s="3507"/>
      <c r="DOG22" s="3507"/>
      <c r="DOH22" s="3507"/>
      <c r="DOI22" s="3507"/>
      <c r="DOJ22" s="3507"/>
      <c r="DOK22" s="3507"/>
      <c r="DOL22" s="3507"/>
      <c r="DOM22" s="3507"/>
      <c r="DON22" s="3507"/>
      <c r="DOO22" s="3507"/>
      <c r="DOP22" s="3507"/>
      <c r="DOQ22" s="3507"/>
      <c r="DOR22" s="3507"/>
      <c r="DOS22" s="3507"/>
      <c r="DOT22" s="3507"/>
      <c r="DOU22" s="3507"/>
      <c r="DOV22" s="3507"/>
      <c r="DOW22" s="3507"/>
      <c r="DOX22" s="3507"/>
      <c r="DOY22" s="3507"/>
      <c r="DOZ22" s="3507"/>
      <c r="DPA22" s="3507"/>
      <c r="DPB22" s="3507"/>
      <c r="DPC22" s="3507"/>
      <c r="DPD22" s="3507"/>
      <c r="DPE22" s="3507"/>
      <c r="DPF22" s="3507"/>
      <c r="DPG22" s="3507"/>
      <c r="DPH22" s="3507"/>
      <c r="DPI22" s="3507"/>
      <c r="DPJ22" s="3507"/>
      <c r="DPK22" s="3507"/>
      <c r="DPL22" s="3507"/>
      <c r="DPM22" s="3507"/>
      <c r="DPN22" s="3507"/>
      <c r="DPO22" s="3507"/>
      <c r="DPP22" s="3507"/>
      <c r="DPQ22" s="3507"/>
      <c r="DPR22" s="3507"/>
      <c r="DPS22" s="3507"/>
      <c r="DPT22" s="3507"/>
      <c r="DPU22" s="3507"/>
      <c r="DPV22" s="3507"/>
      <c r="DPW22" s="3507"/>
      <c r="DPX22" s="3507"/>
      <c r="DPY22" s="3507"/>
      <c r="DPZ22" s="3507"/>
      <c r="DQA22" s="3507"/>
      <c r="DQB22" s="3507"/>
      <c r="DQC22" s="3507"/>
      <c r="DQD22" s="3507"/>
      <c r="DQE22" s="3507"/>
      <c r="DQF22" s="3507"/>
      <c r="DQG22" s="3507"/>
      <c r="DQH22" s="3507"/>
      <c r="DQI22" s="3507"/>
      <c r="DQJ22" s="3507"/>
      <c r="DQK22" s="3507"/>
      <c r="DQL22" s="3507"/>
      <c r="DQM22" s="3507"/>
      <c r="DQN22" s="3507"/>
      <c r="DQO22" s="3507"/>
      <c r="DQP22" s="3507"/>
      <c r="DQQ22" s="3507"/>
      <c r="DQR22" s="3507"/>
      <c r="DQS22" s="3507"/>
      <c r="DQT22" s="3507"/>
      <c r="DQU22" s="3507"/>
      <c r="DQV22" s="3507"/>
      <c r="DQW22" s="3507"/>
      <c r="DQX22" s="3507"/>
      <c r="DQY22" s="3507"/>
      <c r="DQZ22" s="3507"/>
      <c r="DRA22" s="3507"/>
      <c r="DRB22" s="3507"/>
      <c r="DRC22" s="3507"/>
      <c r="DRD22" s="3507"/>
      <c r="DRE22" s="3507"/>
      <c r="DRF22" s="3507"/>
      <c r="DRG22" s="3507"/>
      <c r="DRH22" s="3507"/>
      <c r="DRI22" s="3507"/>
      <c r="DRJ22" s="3507"/>
      <c r="DRK22" s="3507"/>
      <c r="DRL22" s="3507"/>
      <c r="DRM22" s="3507"/>
      <c r="DRN22" s="3507"/>
      <c r="DRO22" s="3507"/>
      <c r="DRP22" s="3507"/>
      <c r="DRQ22" s="3507"/>
      <c r="DRR22" s="3507"/>
      <c r="DRS22" s="3507"/>
      <c r="DRT22" s="3507"/>
      <c r="DRU22" s="3507"/>
      <c r="DRV22" s="3507"/>
      <c r="DRW22" s="3507"/>
      <c r="DRX22" s="3507"/>
      <c r="DRY22" s="3507"/>
      <c r="DRZ22" s="3507"/>
      <c r="DSA22" s="3507"/>
      <c r="DSB22" s="3507"/>
      <c r="DSC22" s="3507"/>
      <c r="DSD22" s="3507"/>
      <c r="DSE22" s="3507"/>
      <c r="DSF22" s="3507"/>
      <c r="DSG22" s="3507"/>
      <c r="DSH22" s="3507"/>
      <c r="DSI22" s="3507"/>
      <c r="DSJ22" s="3507"/>
      <c r="DSK22" s="3507"/>
      <c r="DSL22" s="3507"/>
      <c r="DSM22" s="3507"/>
      <c r="DSN22" s="3507"/>
      <c r="DSO22" s="3507"/>
      <c r="DSP22" s="3507"/>
      <c r="DSQ22" s="3507"/>
      <c r="DSR22" s="3507"/>
      <c r="DSS22" s="3507"/>
      <c r="DST22" s="3507"/>
      <c r="DSU22" s="3507"/>
      <c r="DSV22" s="3507"/>
      <c r="DSW22" s="3507"/>
      <c r="DSX22" s="3507"/>
      <c r="DSY22" s="3507"/>
      <c r="DSZ22" s="3507"/>
      <c r="DTA22" s="3507"/>
      <c r="DTB22" s="3507"/>
      <c r="DTC22" s="3507"/>
      <c r="DTD22" s="3507"/>
      <c r="DTE22" s="3507"/>
      <c r="DTF22" s="3507"/>
      <c r="DTG22" s="3507"/>
      <c r="DTH22" s="3507"/>
      <c r="DTI22" s="3507"/>
      <c r="DTJ22" s="3507"/>
      <c r="DTK22" s="3507"/>
      <c r="DTL22" s="3507"/>
      <c r="DTM22" s="3507"/>
      <c r="DTN22" s="3507"/>
      <c r="DTO22" s="3507"/>
      <c r="DTP22" s="3507"/>
      <c r="DTQ22" s="3507"/>
      <c r="DTR22" s="3507"/>
      <c r="DTS22" s="3507"/>
      <c r="DTT22" s="3507"/>
      <c r="DTU22" s="3507"/>
      <c r="DTV22" s="3507"/>
      <c r="DTW22" s="3507"/>
      <c r="DTX22" s="3507"/>
      <c r="DTY22" s="3507"/>
      <c r="DTZ22" s="3507"/>
      <c r="DUA22" s="3507"/>
      <c r="DUB22" s="3507"/>
      <c r="DUC22" s="3507"/>
      <c r="DUD22" s="3507"/>
      <c r="DUE22" s="3507"/>
      <c r="DUF22" s="3507"/>
      <c r="DUG22" s="3507"/>
      <c r="DUH22" s="3507"/>
      <c r="DUI22" s="3507"/>
      <c r="DUJ22" s="3507"/>
      <c r="DUK22" s="3507"/>
      <c r="DUL22" s="3507"/>
      <c r="DUM22" s="3507"/>
      <c r="DUN22" s="3507"/>
      <c r="DUO22" s="3507"/>
      <c r="DUP22" s="3507"/>
      <c r="DUQ22" s="3507"/>
      <c r="DUR22" s="3507"/>
      <c r="DUS22" s="3507"/>
      <c r="DUT22" s="3507"/>
      <c r="DUU22" s="3507"/>
      <c r="DUV22" s="3507"/>
      <c r="DUW22" s="3507"/>
      <c r="DUX22" s="3507"/>
      <c r="DUY22" s="3507"/>
      <c r="DUZ22" s="3507"/>
      <c r="DVA22" s="3507"/>
      <c r="DVB22" s="3507"/>
      <c r="DVC22" s="3507"/>
      <c r="DVD22" s="3507"/>
      <c r="DVE22" s="3507"/>
      <c r="DVF22" s="3507"/>
      <c r="DVG22" s="3507"/>
      <c r="DVH22" s="3507"/>
      <c r="DVI22" s="3507"/>
      <c r="DVJ22" s="3507"/>
      <c r="DVK22" s="3507"/>
      <c r="DVL22" s="3507"/>
      <c r="DVM22" s="3507"/>
      <c r="DVN22" s="3507"/>
      <c r="DVO22" s="3507"/>
      <c r="DVP22" s="3507"/>
      <c r="DVQ22" s="3507"/>
      <c r="DVR22" s="3507"/>
      <c r="DVS22" s="3507"/>
      <c r="DVT22" s="3507"/>
      <c r="DVU22" s="3507"/>
      <c r="DVV22" s="3507"/>
      <c r="DVW22" s="3507"/>
      <c r="DVX22" s="3507"/>
      <c r="DVY22" s="3507"/>
      <c r="DVZ22" s="3507"/>
      <c r="DWA22" s="3507"/>
      <c r="DWB22" s="3507"/>
      <c r="DWC22" s="3507"/>
      <c r="DWD22" s="3507"/>
      <c r="DWE22" s="3507"/>
      <c r="DWF22" s="3507"/>
      <c r="DWG22" s="3507"/>
      <c r="DWH22" s="3507"/>
      <c r="DWI22" s="3507"/>
      <c r="DWJ22" s="3507"/>
      <c r="DWK22" s="3507"/>
      <c r="DWL22" s="3507"/>
      <c r="DWM22" s="3507"/>
      <c r="DWN22" s="3507"/>
      <c r="DWO22" s="3507"/>
      <c r="DWP22" s="3507"/>
      <c r="DWQ22" s="3507"/>
      <c r="DWR22" s="3507"/>
      <c r="DWS22" s="3507"/>
      <c r="DWT22" s="3507"/>
      <c r="DWU22" s="3507"/>
      <c r="DWV22" s="3507"/>
      <c r="DWW22" s="3507"/>
      <c r="DWX22" s="3507"/>
      <c r="DWY22" s="3507"/>
      <c r="DWZ22" s="3507"/>
      <c r="DXA22" s="3507"/>
      <c r="DXB22" s="3507"/>
      <c r="DXC22" s="3507"/>
      <c r="DXD22" s="3507"/>
      <c r="DXE22" s="3507"/>
      <c r="DXF22" s="3507"/>
      <c r="DXG22" s="3507"/>
      <c r="DXH22" s="3507"/>
      <c r="DXI22" s="3507"/>
      <c r="DXJ22" s="3507"/>
      <c r="DXK22" s="3507"/>
      <c r="DXL22" s="3507"/>
      <c r="DXM22" s="3507"/>
      <c r="DXN22" s="3507"/>
      <c r="DXO22" s="3507"/>
      <c r="DXP22" s="3507"/>
      <c r="DXQ22" s="3507"/>
      <c r="DXR22" s="3507"/>
      <c r="DXS22" s="3507"/>
      <c r="DXT22" s="3507"/>
      <c r="DXU22" s="3507"/>
      <c r="DXV22" s="3507"/>
      <c r="DXW22" s="3507"/>
      <c r="DXX22" s="3507"/>
      <c r="DXY22" s="3507"/>
      <c r="DXZ22" s="3507"/>
      <c r="DYA22" s="3507"/>
      <c r="DYB22" s="3507"/>
      <c r="DYC22" s="3507"/>
      <c r="DYD22" s="3507"/>
      <c r="DYE22" s="3507"/>
      <c r="DYF22" s="3507"/>
      <c r="DYG22" s="3507"/>
      <c r="DYH22" s="3507"/>
      <c r="DYI22" s="3507"/>
      <c r="DYJ22" s="3507"/>
      <c r="DYK22" s="3507"/>
      <c r="DYL22" s="3507"/>
      <c r="DYM22" s="3507"/>
      <c r="DYN22" s="3507"/>
      <c r="DYO22" s="3507"/>
      <c r="DYP22" s="3507"/>
      <c r="DYQ22" s="3507"/>
      <c r="DYR22" s="3507"/>
      <c r="DYS22" s="3507"/>
      <c r="DYT22" s="3507"/>
      <c r="DYU22" s="3507"/>
      <c r="DYV22" s="3507"/>
      <c r="DYW22" s="3507"/>
      <c r="DYX22" s="3507"/>
      <c r="DYY22" s="3507"/>
      <c r="DYZ22" s="3507"/>
      <c r="DZA22" s="3507"/>
      <c r="DZB22" s="3507"/>
      <c r="DZC22" s="3507"/>
      <c r="DZD22" s="3507"/>
      <c r="DZE22" s="3507"/>
      <c r="DZF22" s="3507"/>
      <c r="DZG22" s="3507"/>
      <c r="DZH22" s="3507"/>
      <c r="DZI22" s="3507"/>
      <c r="DZJ22" s="3507"/>
      <c r="DZK22" s="3507"/>
      <c r="DZL22" s="3507"/>
      <c r="DZM22" s="3507"/>
      <c r="DZN22" s="3507"/>
      <c r="DZO22" s="3507"/>
      <c r="DZP22" s="3507"/>
      <c r="DZQ22" s="3507"/>
      <c r="DZR22" s="3507"/>
      <c r="DZS22" s="3507"/>
      <c r="DZT22" s="3507"/>
      <c r="DZU22" s="3507"/>
      <c r="DZV22" s="3507"/>
      <c r="DZW22" s="3507"/>
      <c r="DZX22" s="3507"/>
      <c r="DZY22" s="3507"/>
      <c r="DZZ22" s="3507"/>
      <c r="EAA22" s="3507"/>
      <c r="EAB22" s="3507"/>
      <c r="EAC22" s="3507"/>
      <c r="EAD22" s="3507"/>
      <c r="EAE22" s="3507"/>
      <c r="EAF22" s="3507"/>
      <c r="EAG22" s="3507"/>
      <c r="EAH22" s="3507"/>
      <c r="EAI22" s="3507"/>
      <c r="EAJ22" s="3507"/>
      <c r="EAK22" s="3507"/>
      <c r="EAL22" s="3507"/>
      <c r="EAM22" s="3507"/>
      <c r="EAN22" s="3507"/>
      <c r="EAO22" s="3507"/>
      <c r="EAP22" s="3507"/>
      <c r="EAQ22" s="3507"/>
      <c r="EAR22" s="3507"/>
      <c r="EAS22" s="3507"/>
      <c r="EAT22" s="3507"/>
      <c r="EAU22" s="3507"/>
      <c r="EAV22" s="3507"/>
      <c r="EAW22" s="3507"/>
      <c r="EAX22" s="3507"/>
      <c r="EAY22" s="3507"/>
      <c r="EAZ22" s="3507"/>
      <c r="EBA22" s="3507"/>
      <c r="EBB22" s="3507"/>
      <c r="EBC22" s="3507"/>
      <c r="EBD22" s="3507"/>
      <c r="EBE22" s="3507"/>
      <c r="EBF22" s="3507"/>
      <c r="EBG22" s="3507"/>
      <c r="EBH22" s="3507"/>
      <c r="EBI22" s="3507"/>
      <c r="EBJ22" s="3507"/>
      <c r="EBK22" s="3507"/>
      <c r="EBL22" s="3507"/>
      <c r="EBM22" s="3507"/>
      <c r="EBN22" s="3507"/>
      <c r="EBO22" s="3507"/>
      <c r="EBP22" s="3507"/>
      <c r="EBQ22" s="3507"/>
      <c r="EBR22" s="3507"/>
      <c r="EBS22" s="3507"/>
      <c r="EBT22" s="3507"/>
      <c r="EBU22" s="3507"/>
      <c r="EBV22" s="3507"/>
      <c r="EBW22" s="3507"/>
      <c r="EBX22" s="3507"/>
      <c r="EBY22" s="3507"/>
      <c r="EBZ22" s="3507"/>
      <c r="ECA22" s="3507"/>
      <c r="ECB22" s="3507"/>
      <c r="ECC22" s="3507"/>
      <c r="ECD22" s="3507"/>
      <c r="ECE22" s="3507"/>
      <c r="ECF22" s="3507"/>
      <c r="ECG22" s="3507"/>
      <c r="ECH22" s="3507"/>
      <c r="ECI22" s="3507"/>
      <c r="ECJ22" s="3507"/>
      <c r="ECK22" s="3507"/>
      <c r="ECL22" s="3507"/>
      <c r="ECM22" s="3507"/>
      <c r="ECN22" s="3507"/>
      <c r="ECO22" s="3507"/>
      <c r="ECP22" s="3507"/>
      <c r="ECQ22" s="3507"/>
      <c r="ECR22" s="3507"/>
      <c r="ECS22" s="3507"/>
      <c r="ECT22" s="3507"/>
      <c r="ECU22" s="3507"/>
      <c r="ECV22" s="3507"/>
      <c r="ECW22" s="3507"/>
      <c r="ECX22" s="3507"/>
      <c r="ECY22" s="3507"/>
      <c r="ECZ22" s="3507"/>
      <c r="EDA22" s="3507"/>
      <c r="EDB22" s="3507"/>
      <c r="EDC22" s="3507"/>
      <c r="EDD22" s="3507"/>
      <c r="EDE22" s="3507"/>
      <c r="EDF22" s="3507"/>
      <c r="EDG22" s="3507"/>
      <c r="EDH22" s="3507"/>
      <c r="EDI22" s="3507"/>
      <c r="EDJ22" s="3507"/>
      <c r="EDK22" s="3507"/>
      <c r="EDL22" s="3507"/>
      <c r="EDM22" s="3507"/>
      <c r="EDN22" s="3507"/>
      <c r="EDO22" s="3507"/>
      <c r="EDP22" s="3507"/>
      <c r="EDQ22" s="3507"/>
      <c r="EDR22" s="3507"/>
      <c r="EDS22" s="3507"/>
      <c r="EDT22" s="3507"/>
      <c r="EDU22" s="3507"/>
      <c r="EDV22" s="3507"/>
      <c r="EDW22" s="3507"/>
      <c r="EDX22" s="3507"/>
      <c r="EDY22" s="3507"/>
      <c r="EDZ22" s="3507"/>
      <c r="EEA22" s="3507"/>
      <c r="EEB22" s="3507"/>
      <c r="EEC22" s="3507"/>
      <c r="EED22" s="3507"/>
      <c r="EEE22" s="3507"/>
      <c r="EEF22" s="3507"/>
      <c r="EEG22" s="3507"/>
      <c r="EEH22" s="3507"/>
      <c r="EEI22" s="3507"/>
      <c r="EEJ22" s="3507"/>
      <c r="EEK22" s="3507"/>
      <c r="EEL22" s="3507"/>
      <c r="EEM22" s="3507"/>
      <c r="EEN22" s="3507"/>
      <c r="EEO22" s="3507"/>
      <c r="EEP22" s="3507"/>
      <c r="EEQ22" s="3507"/>
      <c r="EER22" s="3507"/>
      <c r="EES22" s="3507"/>
      <c r="EET22" s="3507"/>
      <c r="EEU22" s="3507"/>
      <c r="EEV22" s="3507"/>
      <c r="EEW22" s="3507"/>
      <c r="EEX22" s="3507"/>
      <c r="EEY22" s="3507"/>
      <c r="EEZ22" s="3507"/>
      <c r="EFA22" s="3507"/>
      <c r="EFB22" s="3507"/>
      <c r="EFC22" s="3507"/>
      <c r="EFD22" s="3507"/>
      <c r="EFE22" s="3507"/>
      <c r="EFF22" s="3507"/>
      <c r="EFG22" s="3507"/>
      <c r="EFH22" s="3507"/>
      <c r="EFI22" s="3507"/>
      <c r="EFJ22" s="3507"/>
      <c r="EFK22" s="3507"/>
      <c r="EFL22" s="3507"/>
      <c r="EFM22" s="3507"/>
      <c r="EFN22" s="3507"/>
      <c r="EFO22" s="3507"/>
      <c r="EFP22" s="3507"/>
      <c r="EFQ22" s="3507"/>
      <c r="EFR22" s="3507"/>
      <c r="EFS22" s="3507"/>
      <c r="EFT22" s="3507"/>
      <c r="EFU22" s="3507"/>
      <c r="EFV22" s="3507"/>
      <c r="EFW22" s="3507"/>
      <c r="EFX22" s="3507"/>
      <c r="EFY22" s="3507"/>
      <c r="EFZ22" s="3507"/>
      <c r="EGA22" s="3507"/>
      <c r="EGB22" s="3507"/>
      <c r="EGC22" s="3507"/>
      <c r="EGD22" s="3507"/>
      <c r="EGE22" s="3507"/>
      <c r="EGF22" s="3507"/>
      <c r="EGG22" s="3507"/>
      <c r="EGH22" s="3507"/>
      <c r="EGI22" s="3507"/>
      <c r="EGJ22" s="3507"/>
      <c r="EGK22" s="3507"/>
      <c r="EGL22" s="3507"/>
      <c r="EGM22" s="3507"/>
      <c r="EGN22" s="3507"/>
      <c r="EGO22" s="3507"/>
      <c r="EGP22" s="3507"/>
      <c r="EGQ22" s="3507"/>
      <c r="EGR22" s="3507"/>
      <c r="EGS22" s="3507"/>
      <c r="EGT22" s="3507"/>
      <c r="EGU22" s="3507"/>
      <c r="EGV22" s="3507"/>
      <c r="EGW22" s="3507"/>
      <c r="EGX22" s="3507"/>
      <c r="EGY22" s="3507"/>
      <c r="EGZ22" s="3507"/>
      <c r="EHA22" s="3507"/>
      <c r="EHB22" s="3507"/>
      <c r="EHC22" s="3507"/>
      <c r="EHD22" s="3507"/>
      <c r="EHE22" s="3507"/>
      <c r="EHF22" s="3507"/>
      <c r="EHG22" s="3507"/>
      <c r="EHH22" s="3507"/>
      <c r="EHI22" s="3507"/>
      <c r="EHJ22" s="3507"/>
      <c r="EHK22" s="3507"/>
      <c r="EHL22" s="3507"/>
      <c r="EHM22" s="3507"/>
      <c r="EHN22" s="3507"/>
      <c r="EHO22" s="3507"/>
      <c r="EHP22" s="3507"/>
      <c r="EHQ22" s="3507"/>
      <c r="EHR22" s="3507"/>
      <c r="EHS22" s="3507"/>
      <c r="EHT22" s="3507"/>
      <c r="EHU22" s="3507"/>
      <c r="EHV22" s="3507"/>
      <c r="EHW22" s="3507"/>
      <c r="EHX22" s="3507"/>
      <c r="EHY22" s="3507"/>
      <c r="EHZ22" s="3507"/>
      <c r="EIA22" s="3507"/>
      <c r="EIB22" s="3507"/>
      <c r="EIC22" s="3507"/>
      <c r="EID22" s="3507"/>
      <c r="EIE22" s="3507"/>
      <c r="EIF22" s="3507"/>
      <c r="EIG22" s="3507"/>
      <c r="EIH22" s="3507"/>
      <c r="EII22" s="3507"/>
      <c r="EIJ22" s="3507"/>
      <c r="EIK22" s="3507"/>
      <c r="EIL22" s="3507"/>
      <c r="EIM22" s="3507"/>
      <c r="EIN22" s="3507"/>
      <c r="EIO22" s="3507"/>
      <c r="EIP22" s="3507"/>
      <c r="EIQ22" s="3507"/>
      <c r="EIR22" s="3507"/>
      <c r="EIS22" s="3507"/>
      <c r="EIT22" s="3507"/>
      <c r="EIU22" s="3507"/>
      <c r="EIV22" s="3507"/>
      <c r="EIW22" s="3507"/>
      <c r="EIX22" s="3507"/>
      <c r="EIY22" s="3507"/>
      <c r="EIZ22" s="3507"/>
      <c r="EJA22" s="3507"/>
      <c r="EJB22" s="3507"/>
      <c r="EJC22" s="3507"/>
      <c r="EJD22" s="3507"/>
      <c r="EJE22" s="3507"/>
      <c r="EJF22" s="3507"/>
      <c r="EJG22" s="3507"/>
      <c r="EJH22" s="3507"/>
      <c r="EJI22" s="3507"/>
      <c r="EJJ22" s="3507"/>
      <c r="EJK22" s="3507"/>
      <c r="EJL22" s="3507"/>
      <c r="EJM22" s="3507"/>
      <c r="EJN22" s="3507"/>
      <c r="EJO22" s="3507"/>
      <c r="EJP22" s="3507"/>
      <c r="EJQ22" s="3507"/>
      <c r="EJR22" s="3507"/>
      <c r="EJS22" s="3507"/>
      <c r="EJT22" s="3507"/>
      <c r="EJU22" s="3507"/>
      <c r="EJV22" s="3507"/>
      <c r="EJW22" s="3507"/>
      <c r="EJX22" s="3507"/>
      <c r="EJY22" s="3507"/>
      <c r="EJZ22" s="3507"/>
      <c r="EKA22" s="3507"/>
      <c r="EKB22" s="3507"/>
      <c r="EKC22" s="3507"/>
      <c r="EKD22" s="3507"/>
      <c r="EKE22" s="3507"/>
      <c r="EKF22" s="3507"/>
      <c r="EKG22" s="3507"/>
      <c r="EKH22" s="3507"/>
      <c r="EKI22" s="3507"/>
      <c r="EKJ22" s="3507"/>
      <c r="EKK22" s="3507"/>
      <c r="EKL22" s="3507"/>
      <c r="EKM22" s="3507"/>
      <c r="EKN22" s="3507"/>
      <c r="EKO22" s="3507"/>
      <c r="EKP22" s="3507"/>
      <c r="EKQ22" s="3507"/>
      <c r="EKR22" s="3507"/>
      <c r="EKS22" s="3507"/>
      <c r="EKT22" s="3507"/>
      <c r="EKU22" s="3507"/>
      <c r="EKV22" s="3507"/>
      <c r="EKW22" s="3507"/>
      <c r="EKX22" s="3507"/>
      <c r="EKY22" s="3507"/>
      <c r="EKZ22" s="3507"/>
      <c r="ELA22" s="3507"/>
      <c r="ELB22" s="3507"/>
      <c r="ELC22" s="3507"/>
      <c r="ELD22" s="3507"/>
      <c r="ELE22" s="3507"/>
      <c r="ELF22" s="3507"/>
      <c r="ELG22" s="3507"/>
      <c r="ELH22" s="3507"/>
      <c r="ELI22" s="3507"/>
      <c r="ELJ22" s="3507"/>
      <c r="ELK22" s="3507"/>
      <c r="ELL22" s="3507"/>
      <c r="ELM22" s="3507"/>
      <c r="ELN22" s="3507"/>
      <c r="ELO22" s="3507"/>
      <c r="ELP22" s="3507"/>
      <c r="ELQ22" s="3507"/>
      <c r="ELR22" s="3507"/>
      <c r="ELS22" s="3507"/>
      <c r="ELT22" s="3507"/>
      <c r="ELU22" s="3507"/>
      <c r="ELV22" s="3507"/>
      <c r="ELW22" s="3507"/>
      <c r="ELX22" s="3507"/>
      <c r="ELY22" s="3507"/>
      <c r="ELZ22" s="3507"/>
      <c r="EMA22" s="3507"/>
      <c r="EMB22" s="3507"/>
      <c r="EMC22" s="3507"/>
      <c r="EMD22" s="3507"/>
      <c r="EME22" s="3507"/>
      <c r="EMF22" s="3507"/>
      <c r="EMG22" s="3507"/>
      <c r="EMH22" s="3507"/>
      <c r="EMI22" s="3507"/>
      <c r="EMJ22" s="3507"/>
      <c r="EMK22" s="3507"/>
      <c r="EML22" s="3507"/>
      <c r="EMM22" s="3507"/>
      <c r="EMN22" s="3507"/>
      <c r="EMO22" s="3507"/>
      <c r="EMP22" s="3507"/>
      <c r="EMQ22" s="3507"/>
      <c r="EMR22" s="3507"/>
      <c r="EMS22" s="3507"/>
      <c r="EMT22" s="3507"/>
      <c r="EMU22" s="3507"/>
      <c r="EMV22" s="3507"/>
      <c r="EMW22" s="3507"/>
      <c r="EMX22" s="3507"/>
      <c r="EMY22" s="3507"/>
      <c r="EMZ22" s="3507"/>
      <c r="ENA22" s="3507"/>
      <c r="ENB22" s="3507"/>
      <c r="ENC22" s="3507"/>
      <c r="END22" s="3507"/>
      <c r="ENE22" s="3507"/>
      <c r="ENF22" s="3507"/>
      <c r="ENG22" s="3507"/>
      <c r="ENH22" s="3507"/>
      <c r="ENI22" s="3507"/>
      <c r="ENJ22" s="3507"/>
      <c r="ENK22" s="3507"/>
      <c r="ENL22" s="3507"/>
      <c r="ENM22" s="3507"/>
      <c r="ENN22" s="3507"/>
      <c r="ENO22" s="3507"/>
      <c r="ENP22" s="3507"/>
      <c r="ENQ22" s="3507"/>
      <c r="ENR22" s="3507"/>
      <c r="ENS22" s="3507"/>
      <c r="ENT22" s="3507"/>
      <c r="ENU22" s="3507"/>
      <c r="ENV22" s="3507"/>
      <c r="ENW22" s="3507"/>
      <c r="ENX22" s="3507"/>
      <c r="ENY22" s="3507"/>
      <c r="ENZ22" s="3507"/>
      <c r="EOA22" s="3507"/>
      <c r="EOB22" s="3507"/>
      <c r="EOC22" s="3507"/>
      <c r="EOD22" s="3507"/>
      <c r="EOE22" s="3507"/>
      <c r="EOF22" s="3507"/>
      <c r="EOG22" s="3507"/>
      <c r="EOH22" s="3507"/>
      <c r="EOI22" s="3507"/>
      <c r="EOJ22" s="3507"/>
      <c r="EOK22" s="3507"/>
      <c r="EOL22" s="3507"/>
      <c r="EOM22" s="3507"/>
      <c r="EON22" s="3507"/>
      <c r="EOO22" s="3507"/>
      <c r="EOP22" s="3507"/>
      <c r="EOQ22" s="3507"/>
      <c r="EOR22" s="3507"/>
      <c r="EOS22" s="3507"/>
      <c r="EOT22" s="3507"/>
      <c r="EOU22" s="3507"/>
      <c r="EOV22" s="3507"/>
      <c r="EOW22" s="3507"/>
      <c r="EOX22" s="3507"/>
      <c r="EOY22" s="3507"/>
      <c r="EOZ22" s="3507"/>
      <c r="EPA22" s="3507"/>
      <c r="EPB22" s="3507"/>
      <c r="EPC22" s="3507"/>
      <c r="EPD22" s="3507"/>
      <c r="EPE22" s="3507"/>
      <c r="EPF22" s="3507"/>
      <c r="EPG22" s="3507"/>
      <c r="EPH22" s="3507"/>
      <c r="EPI22" s="3507"/>
      <c r="EPJ22" s="3507"/>
      <c r="EPK22" s="3507"/>
      <c r="EPL22" s="3507"/>
      <c r="EPM22" s="3507"/>
      <c r="EPN22" s="3507"/>
      <c r="EPO22" s="3507"/>
      <c r="EPP22" s="3507"/>
      <c r="EPQ22" s="3507"/>
      <c r="EPR22" s="3507"/>
      <c r="EPS22" s="3507"/>
      <c r="EPT22" s="3507"/>
      <c r="EPU22" s="3507"/>
      <c r="EPV22" s="3507"/>
      <c r="EPW22" s="3507"/>
      <c r="EPX22" s="3507"/>
      <c r="EPY22" s="3507"/>
      <c r="EPZ22" s="3507"/>
      <c r="EQA22" s="3507"/>
      <c r="EQB22" s="3507"/>
      <c r="EQC22" s="3507"/>
      <c r="EQD22" s="3507"/>
      <c r="EQE22" s="3507"/>
      <c r="EQF22" s="3507"/>
      <c r="EQG22" s="3507"/>
      <c r="EQH22" s="3507"/>
      <c r="EQI22" s="3507"/>
      <c r="EQJ22" s="3507"/>
      <c r="EQK22" s="3507"/>
      <c r="EQL22" s="3507"/>
      <c r="EQM22" s="3507"/>
      <c r="EQN22" s="3507"/>
      <c r="EQO22" s="3507"/>
      <c r="EQP22" s="3507"/>
      <c r="EQQ22" s="3507"/>
      <c r="EQR22" s="3507"/>
      <c r="EQS22" s="3507"/>
      <c r="EQT22" s="3507"/>
      <c r="EQU22" s="3507"/>
      <c r="EQV22" s="3507"/>
      <c r="EQW22" s="3507"/>
      <c r="EQX22" s="3507"/>
      <c r="EQY22" s="3507"/>
      <c r="EQZ22" s="3507"/>
      <c r="ERA22" s="3507"/>
      <c r="ERB22" s="3507"/>
      <c r="ERC22" s="3507"/>
      <c r="ERD22" s="3507"/>
      <c r="ERE22" s="3507"/>
      <c r="ERF22" s="3507"/>
      <c r="ERG22" s="3507"/>
      <c r="ERH22" s="3507"/>
      <c r="ERI22" s="3507"/>
      <c r="ERJ22" s="3507"/>
      <c r="ERK22" s="3507"/>
      <c r="ERL22" s="3507"/>
      <c r="ERM22" s="3507"/>
      <c r="ERN22" s="3507"/>
      <c r="ERO22" s="3507"/>
      <c r="ERP22" s="3507"/>
      <c r="ERQ22" s="3507"/>
      <c r="ERR22" s="3507"/>
      <c r="ERS22" s="3507"/>
      <c r="ERT22" s="3507"/>
      <c r="ERU22" s="3507"/>
      <c r="ERV22" s="3507"/>
      <c r="ERW22" s="3507"/>
      <c r="ERX22" s="3507"/>
      <c r="ERY22" s="3507"/>
      <c r="ERZ22" s="3507"/>
      <c r="ESA22" s="3507"/>
      <c r="ESB22" s="3507"/>
      <c r="ESC22" s="3507"/>
      <c r="ESD22" s="3507"/>
      <c r="ESE22" s="3507"/>
      <c r="ESF22" s="3507"/>
      <c r="ESG22" s="3507"/>
      <c r="ESH22" s="3507"/>
      <c r="ESI22" s="3507"/>
      <c r="ESJ22" s="3507"/>
      <c r="ESK22" s="3507"/>
      <c r="ESL22" s="3507"/>
      <c r="ESM22" s="3507"/>
      <c r="ESN22" s="3507"/>
      <c r="ESO22" s="3507"/>
      <c r="ESP22" s="3507"/>
      <c r="ESQ22" s="3507"/>
      <c r="ESR22" s="3507"/>
      <c r="ESS22" s="3507"/>
      <c r="EST22" s="3507"/>
      <c r="ESU22" s="3507"/>
      <c r="ESV22" s="3507"/>
      <c r="ESW22" s="3507"/>
      <c r="ESX22" s="3507"/>
      <c r="ESY22" s="3507"/>
      <c r="ESZ22" s="3507"/>
      <c r="ETA22" s="3507"/>
      <c r="ETB22" s="3507"/>
      <c r="ETC22" s="3507"/>
      <c r="ETD22" s="3507"/>
      <c r="ETE22" s="3507"/>
      <c r="ETF22" s="3507"/>
      <c r="ETG22" s="3507"/>
      <c r="ETH22" s="3507"/>
      <c r="ETI22" s="3507"/>
      <c r="ETJ22" s="3507"/>
      <c r="ETK22" s="3507"/>
      <c r="ETL22" s="3507"/>
      <c r="ETM22" s="3507"/>
      <c r="ETN22" s="3507"/>
      <c r="ETO22" s="3507"/>
      <c r="ETP22" s="3507"/>
      <c r="ETQ22" s="3507"/>
      <c r="ETR22" s="3507"/>
      <c r="ETS22" s="3507"/>
      <c r="ETT22" s="3507"/>
      <c r="ETU22" s="3507"/>
      <c r="ETV22" s="3507"/>
      <c r="ETW22" s="3507"/>
      <c r="ETX22" s="3507"/>
      <c r="ETY22" s="3507"/>
      <c r="ETZ22" s="3507"/>
      <c r="EUA22" s="3507"/>
      <c r="EUB22" s="3507"/>
      <c r="EUC22" s="3507"/>
      <c r="EUD22" s="3507"/>
      <c r="EUE22" s="3507"/>
      <c r="EUF22" s="3507"/>
      <c r="EUG22" s="3507"/>
      <c r="EUH22" s="3507"/>
      <c r="EUI22" s="3507"/>
      <c r="EUJ22" s="3507"/>
      <c r="EUK22" s="3507"/>
      <c r="EUL22" s="3507"/>
      <c r="EUM22" s="3507"/>
      <c r="EUN22" s="3507"/>
      <c r="EUO22" s="3507"/>
      <c r="EUP22" s="3507"/>
      <c r="EUQ22" s="3507"/>
      <c r="EUR22" s="3507"/>
      <c r="EUS22" s="3507"/>
      <c r="EUT22" s="3507"/>
      <c r="EUU22" s="3507"/>
      <c r="EUV22" s="3507"/>
      <c r="EUW22" s="3507"/>
      <c r="EUX22" s="3507"/>
      <c r="EUY22" s="3507"/>
      <c r="EUZ22" s="3507"/>
      <c r="EVA22" s="3507"/>
      <c r="EVB22" s="3507"/>
      <c r="EVC22" s="3507"/>
      <c r="EVD22" s="3507"/>
      <c r="EVE22" s="3507"/>
      <c r="EVF22" s="3507"/>
      <c r="EVG22" s="3507"/>
      <c r="EVH22" s="3507"/>
      <c r="EVI22" s="3507"/>
      <c r="EVJ22" s="3507"/>
      <c r="EVK22" s="3507"/>
      <c r="EVL22" s="3507"/>
      <c r="EVM22" s="3507"/>
      <c r="EVN22" s="3507"/>
      <c r="EVO22" s="3507"/>
      <c r="EVP22" s="3507"/>
      <c r="EVQ22" s="3507"/>
      <c r="EVR22" s="3507"/>
      <c r="EVS22" s="3507"/>
      <c r="EVT22" s="3507"/>
      <c r="EVU22" s="3507"/>
      <c r="EVV22" s="3507"/>
      <c r="EVW22" s="3507"/>
      <c r="EVX22" s="3507"/>
      <c r="EVY22" s="3507"/>
      <c r="EVZ22" s="3507"/>
      <c r="EWA22" s="3507"/>
      <c r="EWB22" s="3507"/>
      <c r="EWC22" s="3507"/>
      <c r="EWD22" s="3507"/>
      <c r="EWE22" s="3507"/>
      <c r="EWF22" s="3507"/>
      <c r="EWG22" s="3507"/>
      <c r="EWH22" s="3507"/>
      <c r="EWI22" s="3507"/>
      <c r="EWJ22" s="3507"/>
      <c r="EWK22" s="3507"/>
      <c r="EWL22" s="3507"/>
      <c r="EWM22" s="3507"/>
      <c r="EWN22" s="3507"/>
      <c r="EWO22" s="3507"/>
      <c r="EWP22" s="3507"/>
      <c r="EWQ22" s="3507"/>
      <c r="EWR22" s="3507"/>
      <c r="EWS22" s="3507"/>
      <c r="EWT22" s="3507"/>
      <c r="EWU22" s="3507"/>
      <c r="EWV22" s="3507"/>
      <c r="EWW22" s="3507"/>
      <c r="EWX22" s="3507"/>
      <c r="EWY22" s="3507"/>
      <c r="EWZ22" s="3507"/>
      <c r="EXA22" s="3507"/>
      <c r="EXB22" s="3507"/>
      <c r="EXC22" s="3507"/>
      <c r="EXD22" s="3507"/>
      <c r="EXE22" s="3507"/>
      <c r="EXF22" s="3507"/>
      <c r="EXG22" s="3507"/>
      <c r="EXH22" s="3507"/>
      <c r="EXI22" s="3507"/>
      <c r="EXJ22" s="3507"/>
      <c r="EXK22" s="3507"/>
      <c r="EXL22" s="3507"/>
      <c r="EXM22" s="3507"/>
      <c r="EXN22" s="3507"/>
      <c r="EXO22" s="3507"/>
      <c r="EXP22" s="3507"/>
      <c r="EXQ22" s="3507"/>
      <c r="EXR22" s="3507"/>
      <c r="EXS22" s="3507"/>
      <c r="EXT22" s="3507"/>
      <c r="EXU22" s="3507"/>
      <c r="EXV22" s="3507"/>
      <c r="EXW22" s="3507"/>
      <c r="EXX22" s="3507"/>
      <c r="EXY22" s="3507"/>
      <c r="EXZ22" s="3507"/>
      <c r="EYA22" s="3507"/>
      <c r="EYB22" s="3507"/>
      <c r="EYC22" s="3507"/>
      <c r="EYD22" s="3507"/>
      <c r="EYE22" s="3507"/>
      <c r="EYF22" s="3507"/>
      <c r="EYG22" s="3507"/>
      <c r="EYH22" s="3507"/>
      <c r="EYI22" s="3507"/>
      <c r="EYJ22" s="3507"/>
      <c r="EYK22" s="3507"/>
      <c r="EYL22" s="3507"/>
      <c r="EYM22" s="3507"/>
      <c r="EYN22" s="3507"/>
      <c r="EYO22" s="3507"/>
      <c r="EYP22" s="3507"/>
      <c r="EYQ22" s="3507"/>
      <c r="EYR22" s="3507"/>
      <c r="EYS22" s="3507"/>
      <c r="EYT22" s="3507"/>
      <c r="EYU22" s="3507"/>
      <c r="EYV22" s="3507"/>
      <c r="EYW22" s="3507"/>
      <c r="EYX22" s="3507"/>
      <c r="EYY22" s="3507"/>
      <c r="EYZ22" s="3507"/>
      <c r="EZA22" s="3507"/>
      <c r="EZB22" s="3507"/>
      <c r="EZC22" s="3507"/>
      <c r="EZD22" s="3507"/>
      <c r="EZE22" s="3507"/>
      <c r="EZF22" s="3507"/>
      <c r="EZG22" s="3507"/>
      <c r="EZH22" s="3507"/>
      <c r="EZI22" s="3507"/>
      <c r="EZJ22" s="3507"/>
      <c r="EZK22" s="3507"/>
      <c r="EZL22" s="3507"/>
      <c r="EZM22" s="3507"/>
      <c r="EZN22" s="3507"/>
      <c r="EZO22" s="3507"/>
      <c r="EZP22" s="3507"/>
      <c r="EZQ22" s="3507"/>
      <c r="EZR22" s="3507"/>
      <c r="EZS22" s="3507"/>
      <c r="EZT22" s="3507"/>
      <c r="EZU22" s="3507"/>
      <c r="EZV22" s="3507"/>
      <c r="EZW22" s="3507"/>
      <c r="EZX22" s="3507"/>
      <c r="EZY22" s="3507"/>
      <c r="EZZ22" s="3507"/>
      <c r="FAA22" s="3507"/>
      <c r="FAB22" s="3507"/>
      <c r="FAC22" s="3507"/>
      <c r="FAD22" s="3507"/>
      <c r="FAE22" s="3507"/>
      <c r="FAF22" s="3507"/>
      <c r="FAG22" s="3507"/>
      <c r="FAH22" s="3507"/>
      <c r="FAI22" s="3507"/>
      <c r="FAJ22" s="3507"/>
      <c r="FAK22" s="3507"/>
      <c r="FAL22" s="3507"/>
      <c r="FAM22" s="3507"/>
      <c r="FAN22" s="3507"/>
      <c r="FAO22" s="3507"/>
      <c r="FAP22" s="3507"/>
      <c r="FAQ22" s="3507"/>
      <c r="FAR22" s="3507"/>
      <c r="FAS22" s="3507"/>
      <c r="FAT22" s="3507"/>
      <c r="FAU22" s="3507"/>
      <c r="FAV22" s="3507"/>
      <c r="FAW22" s="3507"/>
      <c r="FAX22" s="3507"/>
      <c r="FAY22" s="3507"/>
      <c r="FAZ22" s="3507"/>
      <c r="FBA22" s="3507"/>
      <c r="FBB22" s="3507"/>
      <c r="FBC22" s="3507"/>
      <c r="FBD22" s="3507"/>
      <c r="FBE22" s="3507"/>
      <c r="FBF22" s="3507"/>
      <c r="FBG22" s="3507"/>
      <c r="FBH22" s="3507"/>
      <c r="FBI22" s="3507"/>
      <c r="FBJ22" s="3507"/>
      <c r="FBK22" s="3507"/>
      <c r="FBL22" s="3507"/>
      <c r="FBM22" s="3507"/>
      <c r="FBN22" s="3507"/>
      <c r="FBO22" s="3507"/>
      <c r="FBP22" s="3507"/>
      <c r="FBQ22" s="3507"/>
      <c r="FBR22" s="3507"/>
      <c r="FBS22" s="3507"/>
      <c r="FBT22" s="3507"/>
      <c r="FBU22" s="3507"/>
      <c r="FBV22" s="3507"/>
      <c r="FBW22" s="3507"/>
      <c r="FBX22" s="3507"/>
      <c r="FBY22" s="3507"/>
      <c r="FBZ22" s="3507"/>
      <c r="FCA22" s="3507"/>
      <c r="FCB22" s="3507"/>
      <c r="FCC22" s="3507"/>
      <c r="FCD22" s="3507"/>
      <c r="FCE22" s="3507"/>
      <c r="FCF22" s="3507"/>
      <c r="FCG22" s="3507"/>
      <c r="FCH22" s="3507"/>
      <c r="FCI22" s="3507"/>
      <c r="FCJ22" s="3507"/>
      <c r="FCK22" s="3507"/>
      <c r="FCL22" s="3507"/>
      <c r="FCM22" s="3507"/>
      <c r="FCN22" s="3507"/>
      <c r="FCO22" s="3507"/>
      <c r="FCP22" s="3507"/>
      <c r="FCQ22" s="3507"/>
      <c r="FCR22" s="3507"/>
      <c r="FCS22" s="3507"/>
      <c r="FCT22" s="3507"/>
      <c r="FCU22" s="3507"/>
      <c r="FCV22" s="3507"/>
      <c r="FCW22" s="3507"/>
      <c r="FCX22" s="3507"/>
      <c r="FCY22" s="3507"/>
      <c r="FCZ22" s="3507"/>
      <c r="FDA22" s="3507"/>
      <c r="FDB22" s="3507"/>
      <c r="FDC22" s="3507"/>
      <c r="FDD22" s="3507"/>
      <c r="FDE22" s="3507"/>
      <c r="FDF22" s="3507"/>
      <c r="FDG22" s="3507"/>
      <c r="FDH22" s="3507"/>
      <c r="FDI22" s="3507"/>
      <c r="FDJ22" s="3507"/>
      <c r="FDK22" s="3507"/>
      <c r="FDL22" s="3507"/>
      <c r="FDM22" s="3507"/>
      <c r="FDN22" s="3507"/>
      <c r="FDO22" s="3507"/>
      <c r="FDP22" s="3507"/>
      <c r="FDQ22" s="3507"/>
      <c r="FDR22" s="3507"/>
      <c r="FDS22" s="3507"/>
      <c r="FDT22" s="3507"/>
      <c r="FDU22" s="3507"/>
      <c r="FDV22" s="3507"/>
      <c r="FDW22" s="3507"/>
      <c r="FDX22" s="3507"/>
      <c r="FDY22" s="3507"/>
      <c r="FDZ22" s="3507"/>
      <c r="FEA22" s="3507"/>
      <c r="FEB22" s="3507"/>
      <c r="FEC22" s="3507"/>
      <c r="FED22" s="3507"/>
      <c r="FEE22" s="3507"/>
      <c r="FEF22" s="3507"/>
      <c r="FEG22" s="3507"/>
      <c r="FEH22" s="3507"/>
      <c r="FEI22" s="3507"/>
      <c r="FEJ22" s="3507"/>
      <c r="FEK22" s="3507"/>
      <c r="FEL22" s="3507"/>
      <c r="FEM22" s="3507"/>
      <c r="FEN22" s="3507"/>
      <c r="FEO22" s="3507"/>
      <c r="FEP22" s="3507"/>
      <c r="FEQ22" s="3507"/>
      <c r="FER22" s="3507"/>
      <c r="FES22" s="3507"/>
      <c r="FET22" s="3507"/>
      <c r="FEU22" s="3507"/>
      <c r="FEV22" s="3507"/>
      <c r="FEW22" s="3507"/>
      <c r="FEX22" s="3507"/>
      <c r="FEY22" s="3507"/>
      <c r="FEZ22" s="3507"/>
      <c r="FFA22" s="3507"/>
      <c r="FFB22" s="3507"/>
      <c r="FFC22" s="3507"/>
      <c r="FFD22" s="3507"/>
      <c r="FFE22" s="3507"/>
      <c r="FFF22" s="3507"/>
      <c r="FFG22" s="3507"/>
      <c r="FFH22" s="3507"/>
      <c r="FFI22" s="3507"/>
      <c r="FFJ22" s="3507"/>
      <c r="FFK22" s="3507"/>
      <c r="FFL22" s="3507"/>
      <c r="FFM22" s="3507"/>
      <c r="FFN22" s="3507"/>
      <c r="FFO22" s="3507"/>
      <c r="FFP22" s="3507"/>
      <c r="FFQ22" s="3507"/>
      <c r="FFR22" s="3507"/>
      <c r="FFS22" s="3507"/>
      <c r="FFT22" s="3507"/>
      <c r="FFU22" s="3507"/>
      <c r="FFV22" s="3507"/>
      <c r="FFW22" s="3507"/>
      <c r="FFX22" s="3507"/>
      <c r="FFY22" s="3507"/>
      <c r="FFZ22" s="3507"/>
      <c r="FGA22" s="3507"/>
      <c r="FGB22" s="3507"/>
      <c r="FGC22" s="3507"/>
      <c r="FGD22" s="3507"/>
      <c r="FGE22" s="3507"/>
      <c r="FGF22" s="3507"/>
      <c r="FGG22" s="3507"/>
      <c r="FGH22" s="3507"/>
      <c r="FGI22" s="3507"/>
      <c r="FGJ22" s="3507"/>
      <c r="FGK22" s="3507"/>
      <c r="FGL22" s="3507"/>
      <c r="FGM22" s="3507"/>
      <c r="FGN22" s="3507"/>
      <c r="FGO22" s="3507"/>
      <c r="FGP22" s="3507"/>
      <c r="FGQ22" s="3507"/>
      <c r="FGR22" s="3507"/>
      <c r="FGS22" s="3507"/>
      <c r="FGT22" s="3507"/>
      <c r="FGU22" s="3507"/>
      <c r="FGV22" s="3507"/>
      <c r="FGW22" s="3507"/>
      <c r="FGX22" s="3507"/>
      <c r="FGY22" s="3507"/>
      <c r="FGZ22" s="3507"/>
      <c r="FHA22" s="3507"/>
      <c r="FHB22" s="3507"/>
      <c r="FHC22" s="3507"/>
      <c r="FHD22" s="3507"/>
      <c r="FHE22" s="3507"/>
      <c r="FHF22" s="3507"/>
      <c r="FHG22" s="3507"/>
      <c r="FHH22" s="3507"/>
      <c r="FHI22" s="3507"/>
      <c r="FHJ22" s="3507"/>
      <c r="FHK22" s="3507"/>
      <c r="FHL22" s="3507"/>
      <c r="FHM22" s="3507"/>
      <c r="FHN22" s="3507"/>
      <c r="FHO22" s="3507"/>
      <c r="FHP22" s="3507"/>
      <c r="FHQ22" s="3507"/>
      <c r="FHR22" s="3507"/>
      <c r="FHS22" s="3507"/>
      <c r="FHT22" s="3507"/>
      <c r="FHU22" s="3507"/>
      <c r="FHV22" s="3507"/>
      <c r="FHW22" s="3507"/>
      <c r="FHX22" s="3507"/>
      <c r="FHY22" s="3507"/>
      <c r="FHZ22" s="3507"/>
      <c r="FIA22" s="3507"/>
      <c r="FIB22" s="3507"/>
      <c r="FIC22" s="3507"/>
      <c r="FID22" s="3507"/>
      <c r="FIE22" s="3507"/>
      <c r="FIF22" s="3507"/>
      <c r="FIG22" s="3507"/>
      <c r="FIH22" s="3507"/>
      <c r="FII22" s="3507"/>
      <c r="FIJ22" s="3507"/>
      <c r="FIK22" s="3507"/>
      <c r="FIL22" s="3507"/>
      <c r="FIM22" s="3507"/>
      <c r="FIN22" s="3507"/>
      <c r="FIO22" s="3507"/>
      <c r="FIP22" s="3507"/>
      <c r="FIQ22" s="3507"/>
      <c r="FIR22" s="3507"/>
      <c r="FIS22" s="3507"/>
      <c r="FIT22" s="3507"/>
      <c r="FIU22" s="3507"/>
      <c r="FIV22" s="3507"/>
      <c r="FIW22" s="3507"/>
      <c r="FIX22" s="3507"/>
      <c r="FIY22" s="3507"/>
      <c r="FIZ22" s="3507"/>
      <c r="FJA22" s="3507"/>
      <c r="FJB22" s="3507"/>
      <c r="FJC22" s="3507"/>
      <c r="FJD22" s="3507"/>
      <c r="FJE22" s="3507"/>
      <c r="FJF22" s="3507"/>
      <c r="FJG22" s="3507"/>
      <c r="FJH22" s="3507"/>
      <c r="FJI22" s="3507"/>
      <c r="FJJ22" s="3507"/>
      <c r="FJK22" s="3507"/>
      <c r="FJL22" s="3507"/>
      <c r="FJM22" s="3507"/>
      <c r="FJN22" s="3507"/>
      <c r="FJO22" s="3507"/>
      <c r="FJP22" s="3507"/>
      <c r="FJQ22" s="3507"/>
      <c r="FJR22" s="3507"/>
      <c r="FJS22" s="3507"/>
      <c r="FJT22" s="3507"/>
      <c r="FJU22" s="3507"/>
      <c r="FJV22" s="3507"/>
      <c r="FJW22" s="3507"/>
      <c r="FJX22" s="3507"/>
      <c r="FJY22" s="3507"/>
      <c r="FJZ22" s="3507"/>
      <c r="FKA22" s="3507"/>
      <c r="FKB22" s="3507"/>
      <c r="FKC22" s="3507"/>
      <c r="FKD22" s="3507"/>
      <c r="FKE22" s="3507"/>
      <c r="FKF22" s="3507"/>
      <c r="FKG22" s="3507"/>
      <c r="FKH22" s="3507"/>
      <c r="FKI22" s="3507"/>
      <c r="FKJ22" s="3507"/>
      <c r="FKK22" s="3507"/>
      <c r="FKL22" s="3507"/>
      <c r="FKM22" s="3507"/>
      <c r="FKN22" s="3507"/>
      <c r="FKO22" s="3507"/>
      <c r="FKP22" s="3507"/>
      <c r="FKQ22" s="3507"/>
      <c r="FKR22" s="3507"/>
      <c r="FKS22" s="3507"/>
      <c r="FKT22" s="3507"/>
      <c r="FKU22" s="3507"/>
      <c r="FKV22" s="3507"/>
      <c r="FKW22" s="3507"/>
      <c r="FKX22" s="3507"/>
      <c r="FKY22" s="3507"/>
      <c r="FKZ22" s="3507"/>
      <c r="FLA22" s="3507"/>
      <c r="FLB22" s="3507"/>
      <c r="FLC22" s="3507"/>
      <c r="FLD22" s="3507"/>
      <c r="FLE22" s="3507"/>
      <c r="FLF22" s="3507"/>
      <c r="FLG22" s="3507"/>
      <c r="FLH22" s="3507"/>
      <c r="FLI22" s="3507"/>
      <c r="FLJ22" s="3507"/>
      <c r="FLK22" s="3507"/>
      <c r="FLL22" s="3507"/>
      <c r="FLM22" s="3507"/>
      <c r="FLN22" s="3507"/>
      <c r="FLO22" s="3507"/>
      <c r="FLP22" s="3507"/>
      <c r="FLQ22" s="3507"/>
      <c r="FLR22" s="3507"/>
      <c r="FLS22" s="3507"/>
      <c r="FLT22" s="3507"/>
      <c r="FLU22" s="3507"/>
      <c r="FLV22" s="3507"/>
      <c r="FLW22" s="3507"/>
      <c r="FLX22" s="3507"/>
      <c r="FLY22" s="3507"/>
      <c r="FLZ22" s="3507"/>
      <c r="FMA22" s="3507"/>
      <c r="FMB22" s="3507"/>
      <c r="FMC22" s="3507"/>
      <c r="FMD22" s="3507"/>
      <c r="FME22" s="3507"/>
      <c r="FMF22" s="3507"/>
      <c r="FMG22" s="3507"/>
      <c r="FMH22" s="3507"/>
      <c r="FMI22" s="3507"/>
      <c r="FMJ22" s="3507"/>
      <c r="FMK22" s="3507"/>
      <c r="FML22" s="3507"/>
      <c r="FMM22" s="3507"/>
      <c r="FMN22" s="3507"/>
      <c r="FMO22" s="3507"/>
      <c r="FMP22" s="3507"/>
      <c r="FMQ22" s="3507"/>
      <c r="FMR22" s="3507"/>
      <c r="FMS22" s="3507"/>
      <c r="FMT22" s="3507"/>
      <c r="FMU22" s="3507"/>
      <c r="FMV22" s="3507"/>
      <c r="FMW22" s="3507"/>
      <c r="FMX22" s="3507"/>
      <c r="FMY22" s="3507"/>
      <c r="FMZ22" s="3507"/>
      <c r="FNA22" s="3507"/>
      <c r="FNB22" s="3507"/>
      <c r="FNC22" s="3507"/>
      <c r="FND22" s="3507"/>
      <c r="FNE22" s="3507"/>
      <c r="FNF22" s="3507"/>
      <c r="FNG22" s="3507"/>
      <c r="FNH22" s="3507"/>
      <c r="FNI22" s="3507"/>
      <c r="FNJ22" s="3507"/>
      <c r="FNK22" s="3507"/>
      <c r="FNL22" s="3507"/>
      <c r="FNM22" s="3507"/>
      <c r="FNN22" s="3507"/>
      <c r="FNO22" s="3507"/>
      <c r="FNP22" s="3507"/>
      <c r="FNQ22" s="3507"/>
      <c r="FNR22" s="3507"/>
      <c r="FNS22" s="3507"/>
      <c r="FNT22" s="3507"/>
      <c r="FNU22" s="3507"/>
      <c r="FNV22" s="3507"/>
      <c r="FNW22" s="3507"/>
      <c r="FNX22" s="3507"/>
      <c r="FNY22" s="3507"/>
      <c r="FNZ22" s="3507"/>
      <c r="FOA22" s="3507"/>
      <c r="FOB22" s="3507"/>
      <c r="FOC22" s="3507"/>
      <c r="FOD22" s="3507"/>
      <c r="FOE22" s="3507"/>
      <c r="FOF22" s="3507"/>
      <c r="FOG22" s="3507"/>
      <c r="FOH22" s="3507"/>
      <c r="FOI22" s="3507"/>
      <c r="FOJ22" s="3507"/>
      <c r="FOK22" s="3507"/>
      <c r="FOL22" s="3507"/>
      <c r="FOM22" s="3507"/>
      <c r="FON22" s="3507"/>
      <c r="FOO22" s="3507"/>
      <c r="FOP22" s="3507"/>
      <c r="FOQ22" s="3507"/>
      <c r="FOR22" s="3507"/>
      <c r="FOS22" s="3507"/>
      <c r="FOT22" s="3507"/>
      <c r="FOU22" s="3507"/>
      <c r="FOV22" s="3507"/>
      <c r="FOW22" s="3507"/>
      <c r="FOX22" s="3507"/>
      <c r="FOY22" s="3507"/>
      <c r="FOZ22" s="3507"/>
      <c r="FPA22" s="3507"/>
      <c r="FPB22" s="3507"/>
      <c r="FPC22" s="3507"/>
      <c r="FPD22" s="3507"/>
      <c r="FPE22" s="3507"/>
      <c r="FPF22" s="3507"/>
      <c r="FPG22" s="3507"/>
      <c r="FPH22" s="3507"/>
      <c r="FPI22" s="3507"/>
      <c r="FPJ22" s="3507"/>
      <c r="FPK22" s="3507"/>
      <c r="FPL22" s="3507"/>
      <c r="FPM22" s="3507"/>
      <c r="FPN22" s="3507"/>
      <c r="FPO22" s="3507"/>
      <c r="FPP22" s="3507"/>
      <c r="FPQ22" s="3507"/>
      <c r="FPR22" s="3507"/>
      <c r="FPS22" s="3507"/>
      <c r="FPT22" s="3507"/>
      <c r="FPU22" s="3507"/>
      <c r="FPV22" s="3507"/>
      <c r="FPW22" s="3507"/>
      <c r="FPX22" s="3507"/>
      <c r="FPY22" s="3507"/>
      <c r="FPZ22" s="3507"/>
      <c r="FQA22" s="3507"/>
      <c r="FQB22" s="3507"/>
      <c r="FQC22" s="3507"/>
      <c r="FQD22" s="3507"/>
      <c r="FQE22" s="3507"/>
      <c r="FQF22" s="3507"/>
      <c r="FQG22" s="3507"/>
      <c r="FQH22" s="3507"/>
      <c r="FQI22" s="3507"/>
      <c r="FQJ22" s="3507"/>
      <c r="FQK22" s="3507"/>
      <c r="FQL22" s="3507"/>
      <c r="FQM22" s="3507"/>
      <c r="FQN22" s="3507"/>
      <c r="FQO22" s="3507"/>
      <c r="FQP22" s="3507"/>
      <c r="FQQ22" s="3507"/>
      <c r="FQR22" s="3507"/>
      <c r="FQS22" s="3507"/>
      <c r="FQT22" s="3507"/>
      <c r="FQU22" s="3507"/>
      <c r="FQV22" s="3507"/>
      <c r="FQW22" s="3507"/>
      <c r="FQX22" s="3507"/>
      <c r="FQY22" s="3507"/>
      <c r="FQZ22" s="3507"/>
      <c r="FRA22" s="3507"/>
      <c r="FRB22" s="3507"/>
      <c r="FRC22" s="3507"/>
      <c r="FRD22" s="3507"/>
      <c r="FRE22" s="3507"/>
      <c r="FRF22" s="3507"/>
      <c r="FRG22" s="3507"/>
      <c r="FRH22" s="3507"/>
      <c r="FRI22" s="3507"/>
      <c r="FRJ22" s="3507"/>
      <c r="FRK22" s="3507"/>
      <c r="FRL22" s="3507"/>
      <c r="FRM22" s="3507"/>
      <c r="FRN22" s="3507"/>
      <c r="FRO22" s="3507"/>
      <c r="FRP22" s="3507"/>
      <c r="FRQ22" s="3507"/>
      <c r="FRR22" s="3507"/>
      <c r="FRS22" s="3507"/>
      <c r="FRT22" s="3507"/>
      <c r="FRU22" s="3507"/>
      <c r="FRV22" s="3507"/>
      <c r="FRW22" s="3507"/>
      <c r="FRX22" s="3507"/>
      <c r="FRY22" s="3507"/>
      <c r="FRZ22" s="3507"/>
      <c r="FSA22" s="3507"/>
      <c r="FSB22" s="3507"/>
      <c r="FSC22" s="3507"/>
      <c r="FSD22" s="3507"/>
      <c r="FSE22" s="3507"/>
      <c r="FSF22" s="3507"/>
      <c r="FSG22" s="3507"/>
      <c r="FSH22" s="3507"/>
      <c r="FSI22" s="3507"/>
      <c r="FSJ22" s="3507"/>
      <c r="FSK22" s="3507"/>
      <c r="FSL22" s="3507"/>
      <c r="FSM22" s="3507"/>
      <c r="FSN22" s="3507"/>
      <c r="FSO22" s="3507"/>
      <c r="FSP22" s="3507"/>
      <c r="FSQ22" s="3507"/>
      <c r="FSR22" s="3507"/>
      <c r="FSS22" s="3507"/>
      <c r="FST22" s="3507"/>
      <c r="FSU22" s="3507"/>
      <c r="FSV22" s="3507"/>
      <c r="FSW22" s="3507"/>
      <c r="FSX22" s="3507"/>
      <c r="FSY22" s="3507"/>
      <c r="FSZ22" s="3507"/>
      <c r="FTA22" s="3507"/>
      <c r="FTB22" s="3507"/>
      <c r="FTC22" s="3507"/>
      <c r="FTD22" s="3507"/>
      <c r="FTE22" s="3507"/>
      <c r="FTF22" s="3507"/>
      <c r="FTG22" s="3507"/>
      <c r="FTH22" s="3507"/>
      <c r="FTI22" s="3507"/>
      <c r="FTJ22" s="3507"/>
      <c r="FTK22" s="3507"/>
      <c r="FTL22" s="3507"/>
      <c r="FTM22" s="3507"/>
      <c r="FTN22" s="3507"/>
      <c r="FTO22" s="3507"/>
      <c r="FTP22" s="3507"/>
      <c r="FTQ22" s="3507"/>
      <c r="FTR22" s="3507"/>
      <c r="FTS22" s="3507"/>
      <c r="FTT22" s="3507"/>
      <c r="FTU22" s="3507"/>
      <c r="FTV22" s="3507"/>
      <c r="FTW22" s="3507"/>
      <c r="FTX22" s="3507"/>
      <c r="FTY22" s="3507"/>
      <c r="FTZ22" s="3507"/>
      <c r="FUA22" s="3507"/>
      <c r="FUB22" s="3507"/>
      <c r="FUC22" s="3507"/>
      <c r="FUD22" s="3507"/>
      <c r="FUE22" s="3507"/>
      <c r="FUF22" s="3507"/>
      <c r="FUG22" s="3507"/>
      <c r="FUH22" s="3507"/>
      <c r="FUI22" s="3507"/>
      <c r="FUJ22" s="3507"/>
      <c r="FUK22" s="3507"/>
      <c r="FUL22" s="3507"/>
      <c r="FUM22" s="3507"/>
      <c r="FUN22" s="3507"/>
      <c r="FUO22" s="3507"/>
      <c r="FUP22" s="3507"/>
      <c r="FUQ22" s="3507"/>
      <c r="FUR22" s="3507"/>
      <c r="FUS22" s="3507"/>
      <c r="FUT22" s="3507"/>
      <c r="FUU22" s="3507"/>
      <c r="FUV22" s="3507"/>
      <c r="FUW22" s="3507"/>
      <c r="FUX22" s="3507"/>
      <c r="FUY22" s="3507"/>
      <c r="FUZ22" s="3507"/>
      <c r="FVA22" s="3507"/>
      <c r="FVB22" s="3507"/>
      <c r="FVC22" s="3507"/>
      <c r="FVD22" s="3507"/>
      <c r="FVE22" s="3507"/>
      <c r="FVF22" s="3507"/>
      <c r="FVG22" s="3507"/>
      <c r="FVH22" s="3507"/>
      <c r="FVI22" s="3507"/>
      <c r="FVJ22" s="3507"/>
      <c r="FVK22" s="3507"/>
      <c r="FVL22" s="3507"/>
      <c r="FVM22" s="3507"/>
      <c r="FVN22" s="3507"/>
      <c r="FVO22" s="3507"/>
      <c r="FVP22" s="3507"/>
      <c r="FVQ22" s="3507"/>
      <c r="FVR22" s="3507"/>
      <c r="FVS22" s="3507"/>
      <c r="FVT22" s="3507"/>
      <c r="FVU22" s="3507"/>
      <c r="FVV22" s="3507"/>
      <c r="FVW22" s="3507"/>
      <c r="FVX22" s="3507"/>
      <c r="FVY22" s="3507"/>
      <c r="FVZ22" s="3507"/>
      <c r="FWA22" s="3507"/>
      <c r="FWB22" s="3507"/>
      <c r="FWC22" s="3507"/>
      <c r="FWD22" s="3507"/>
      <c r="FWE22" s="3507"/>
      <c r="FWF22" s="3507"/>
      <c r="FWG22" s="3507"/>
      <c r="FWH22" s="3507"/>
      <c r="FWI22" s="3507"/>
      <c r="FWJ22" s="3507"/>
      <c r="FWK22" s="3507"/>
      <c r="FWL22" s="3507"/>
      <c r="FWM22" s="3507"/>
      <c r="FWN22" s="3507"/>
      <c r="FWO22" s="3507"/>
      <c r="FWP22" s="3507"/>
      <c r="FWQ22" s="3507"/>
      <c r="FWR22" s="3507"/>
      <c r="FWS22" s="3507"/>
      <c r="FWT22" s="3507"/>
      <c r="FWU22" s="3507"/>
      <c r="FWV22" s="3507"/>
      <c r="FWW22" s="3507"/>
      <c r="FWX22" s="3507"/>
      <c r="FWY22" s="3507"/>
      <c r="FWZ22" s="3507"/>
      <c r="FXA22" s="3507"/>
      <c r="FXB22" s="3507"/>
      <c r="FXC22" s="3507"/>
      <c r="FXD22" s="3507"/>
      <c r="FXE22" s="3507"/>
      <c r="FXF22" s="3507"/>
      <c r="FXG22" s="3507"/>
      <c r="FXH22" s="3507"/>
      <c r="FXI22" s="3507"/>
      <c r="FXJ22" s="3507"/>
      <c r="FXK22" s="3507"/>
      <c r="FXL22" s="3507"/>
      <c r="FXM22" s="3507"/>
      <c r="FXN22" s="3507"/>
      <c r="FXO22" s="3507"/>
      <c r="FXP22" s="3507"/>
      <c r="FXQ22" s="3507"/>
      <c r="FXR22" s="3507"/>
      <c r="FXS22" s="3507"/>
      <c r="FXT22" s="3507"/>
      <c r="FXU22" s="3507"/>
      <c r="FXV22" s="3507"/>
      <c r="FXW22" s="3507"/>
      <c r="FXX22" s="3507"/>
      <c r="FXY22" s="3507"/>
      <c r="FXZ22" s="3507"/>
      <c r="FYA22" s="3507"/>
      <c r="FYB22" s="3507"/>
      <c r="FYC22" s="3507"/>
      <c r="FYD22" s="3507"/>
      <c r="FYE22" s="3507"/>
      <c r="FYF22" s="3507"/>
      <c r="FYG22" s="3507"/>
      <c r="FYH22" s="3507"/>
      <c r="FYI22" s="3507"/>
      <c r="FYJ22" s="3507"/>
      <c r="FYK22" s="3507"/>
      <c r="FYL22" s="3507"/>
      <c r="FYM22" s="3507"/>
      <c r="FYN22" s="3507"/>
      <c r="FYO22" s="3507"/>
      <c r="FYP22" s="3507"/>
      <c r="FYQ22" s="3507"/>
      <c r="FYR22" s="3507"/>
      <c r="FYS22" s="3507"/>
      <c r="FYT22" s="3507"/>
      <c r="FYU22" s="3507"/>
      <c r="FYV22" s="3507"/>
      <c r="FYW22" s="3507"/>
      <c r="FYX22" s="3507"/>
      <c r="FYY22" s="3507"/>
      <c r="FYZ22" s="3507"/>
      <c r="FZA22" s="3507"/>
      <c r="FZB22" s="3507"/>
      <c r="FZC22" s="3507"/>
      <c r="FZD22" s="3507"/>
      <c r="FZE22" s="3507"/>
      <c r="FZF22" s="3507"/>
      <c r="FZG22" s="3507"/>
      <c r="FZH22" s="3507"/>
      <c r="FZI22" s="3507"/>
      <c r="FZJ22" s="3507"/>
      <c r="FZK22" s="3507"/>
      <c r="FZL22" s="3507"/>
      <c r="FZM22" s="3507"/>
      <c r="FZN22" s="3507"/>
      <c r="FZO22" s="3507"/>
      <c r="FZP22" s="3507"/>
      <c r="FZQ22" s="3507"/>
      <c r="FZR22" s="3507"/>
      <c r="FZS22" s="3507"/>
      <c r="FZT22" s="3507"/>
      <c r="FZU22" s="3507"/>
      <c r="FZV22" s="3507"/>
      <c r="FZW22" s="3507"/>
      <c r="FZX22" s="3507"/>
      <c r="FZY22" s="3507"/>
      <c r="FZZ22" s="3507"/>
      <c r="GAA22" s="3507"/>
      <c r="GAB22" s="3507"/>
      <c r="GAC22" s="3507"/>
      <c r="GAD22" s="3507"/>
      <c r="GAE22" s="3507"/>
      <c r="GAF22" s="3507"/>
      <c r="GAG22" s="3507"/>
      <c r="GAH22" s="3507"/>
      <c r="GAI22" s="3507"/>
      <c r="GAJ22" s="3507"/>
      <c r="GAK22" s="3507"/>
      <c r="GAL22" s="3507"/>
      <c r="GAM22" s="3507"/>
      <c r="GAN22" s="3507"/>
      <c r="GAO22" s="3507"/>
      <c r="GAP22" s="3507"/>
      <c r="GAQ22" s="3507"/>
      <c r="GAR22" s="3507"/>
      <c r="GAS22" s="3507"/>
      <c r="GAT22" s="3507"/>
      <c r="GAU22" s="3507"/>
      <c r="GAV22" s="3507"/>
      <c r="GAW22" s="3507"/>
      <c r="GAX22" s="3507"/>
      <c r="GAY22" s="3507"/>
      <c r="GAZ22" s="3507"/>
      <c r="GBA22" s="3507"/>
      <c r="GBB22" s="3507"/>
      <c r="GBC22" s="3507"/>
      <c r="GBD22" s="3507"/>
      <c r="GBE22" s="3507"/>
      <c r="GBF22" s="3507"/>
      <c r="GBG22" s="3507"/>
      <c r="GBH22" s="3507"/>
      <c r="GBI22" s="3507"/>
      <c r="GBJ22" s="3507"/>
      <c r="GBK22" s="3507"/>
      <c r="GBL22" s="3507"/>
      <c r="GBM22" s="3507"/>
      <c r="GBN22" s="3507"/>
      <c r="GBO22" s="3507"/>
      <c r="GBP22" s="3507"/>
      <c r="GBQ22" s="3507"/>
      <c r="GBR22" s="3507"/>
      <c r="GBS22" s="3507"/>
      <c r="GBT22" s="3507"/>
      <c r="GBU22" s="3507"/>
      <c r="GBV22" s="3507"/>
      <c r="GBW22" s="3507"/>
      <c r="GBX22" s="3507"/>
      <c r="GBY22" s="3507"/>
      <c r="GBZ22" s="3507"/>
      <c r="GCA22" s="3507"/>
      <c r="GCB22" s="3507"/>
      <c r="GCC22" s="3507"/>
      <c r="GCD22" s="3507"/>
      <c r="GCE22" s="3507"/>
      <c r="GCF22" s="3507"/>
      <c r="GCG22" s="3507"/>
      <c r="GCH22" s="3507"/>
      <c r="GCI22" s="3507"/>
      <c r="GCJ22" s="3507"/>
      <c r="GCK22" s="3507"/>
      <c r="GCL22" s="3507"/>
      <c r="GCM22" s="3507"/>
      <c r="GCN22" s="3507"/>
      <c r="GCO22" s="3507"/>
      <c r="GCP22" s="3507"/>
      <c r="GCQ22" s="3507"/>
      <c r="GCR22" s="3507"/>
      <c r="GCS22" s="3507"/>
      <c r="GCT22" s="3507"/>
      <c r="GCU22" s="3507"/>
      <c r="GCV22" s="3507"/>
      <c r="GCW22" s="3507"/>
      <c r="GCX22" s="3507"/>
      <c r="GCY22" s="3507"/>
      <c r="GCZ22" s="3507"/>
      <c r="GDA22" s="3507"/>
      <c r="GDB22" s="3507"/>
      <c r="GDC22" s="3507"/>
      <c r="GDD22" s="3507"/>
      <c r="GDE22" s="3507"/>
      <c r="GDF22" s="3507"/>
      <c r="GDG22" s="3507"/>
      <c r="GDH22" s="3507"/>
      <c r="GDI22" s="3507"/>
      <c r="GDJ22" s="3507"/>
      <c r="GDK22" s="3507"/>
      <c r="GDL22" s="3507"/>
      <c r="GDM22" s="3507"/>
      <c r="GDN22" s="3507"/>
      <c r="GDO22" s="3507"/>
      <c r="GDP22" s="3507"/>
      <c r="GDQ22" s="3507"/>
      <c r="GDR22" s="3507"/>
      <c r="GDS22" s="3507"/>
      <c r="GDT22" s="3507"/>
      <c r="GDU22" s="3507"/>
      <c r="GDV22" s="3507"/>
      <c r="GDW22" s="3507"/>
      <c r="GDX22" s="3507"/>
      <c r="GDY22" s="3507"/>
      <c r="GDZ22" s="3507"/>
      <c r="GEA22" s="3507"/>
      <c r="GEB22" s="3507"/>
      <c r="GEC22" s="3507"/>
      <c r="GED22" s="3507"/>
      <c r="GEE22" s="3507"/>
      <c r="GEF22" s="3507"/>
      <c r="GEG22" s="3507"/>
      <c r="GEH22" s="3507"/>
      <c r="GEI22" s="3507"/>
      <c r="GEJ22" s="3507"/>
      <c r="GEK22" s="3507"/>
      <c r="GEL22" s="3507"/>
      <c r="GEM22" s="3507"/>
      <c r="GEN22" s="3507"/>
      <c r="GEO22" s="3507"/>
      <c r="GEP22" s="3507"/>
      <c r="GEQ22" s="3507"/>
      <c r="GER22" s="3507"/>
      <c r="GES22" s="3507"/>
      <c r="GET22" s="3507"/>
      <c r="GEU22" s="3507"/>
      <c r="GEV22" s="3507"/>
      <c r="GEW22" s="3507"/>
      <c r="GEX22" s="3507"/>
      <c r="GEY22" s="3507"/>
      <c r="GEZ22" s="3507"/>
      <c r="GFA22" s="3507"/>
      <c r="GFB22" s="3507"/>
      <c r="GFC22" s="3507"/>
      <c r="GFD22" s="3507"/>
      <c r="GFE22" s="3507"/>
      <c r="GFF22" s="3507"/>
      <c r="GFG22" s="3507"/>
      <c r="GFH22" s="3507"/>
      <c r="GFI22" s="3507"/>
      <c r="GFJ22" s="3507"/>
      <c r="GFK22" s="3507"/>
      <c r="GFL22" s="3507"/>
      <c r="GFM22" s="3507"/>
      <c r="GFN22" s="3507"/>
      <c r="GFO22" s="3507"/>
      <c r="GFP22" s="3507"/>
      <c r="GFQ22" s="3507"/>
      <c r="GFR22" s="3507"/>
      <c r="GFS22" s="3507"/>
      <c r="GFT22" s="3507"/>
      <c r="GFU22" s="3507"/>
      <c r="GFV22" s="3507"/>
      <c r="GFW22" s="3507"/>
      <c r="GFX22" s="3507"/>
      <c r="GFY22" s="3507"/>
      <c r="GFZ22" s="3507"/>
      <c r="GGA22" s="3507"/>
      <c r="GGB22" s="3507"/>
      <c r="GGC22" s="3507"/>
      <c r="GGD22" s="3507"/>
      <c r="GGE22" s="3507"/>
      <c r="GGF22" s="3507"/>
      <c r="GGG22" s="3507"/>
      <c r="GGH22" s="3507"/>
      <c r="GGI22" s="3507"/>
      <c r="GGJ22" s="3507"/>
      <c r="GGK22" s="3507"/>
      <c r="GGL22" s="3507"/>
      <c r="GGM22" s="3507"/>
      <c r="GGN22" s="3507"/>
      <c r="GGO22" s="3507"/>
      <c r="GGP22" s="3507"/>
      <c r="GGQ22" s="3507"/>
      <c r="GGR22" s="3507"/>
      <c r="GGS22" s="3507"/>
      <c r="GGT22" s="3507"/>
      <c r="GGU22" s="3507"/>
      <c r="GGV22" s="3507"/>
      <c r="GGW22" s="3507"/>
      <c r="GGX22" s="3507"/>
      <c r="GGY22" s="3507"/>
      <c r="GGZ22" s="3507"/>
      <c r="GHA22" s="3507"/>
      <c r="GHB22" s="3507"/>
      <c r="GHC22" s="3507"/>
      <c r="GHD22" s="3507"/>
      <c r="GHE22" s="3507"/>
      <c r="GHF22" s="3507"/>
      <c r="GHG22" s="3507"/>
      <c r="GHH22" s="3507"/>
      <c r="GHI22" s="3507"/>
      <c r="GHJ22" s="3507"/>
      <c r="GHK22" s="3507"/>
      <c r="GHL22" s="3507"/>
      <c r="GHM22" s="3507"/>
      <c r="GHN22" s="3507"/>
      <c r="GHO22" s="3507"/>
      <c r="GHP22" s="3507"/>
      <c r="GHQ22" s="3507"/>
      <c r="GHR22" s="3507"/>
      <c r="GHS22" s="3507"/>
      <c r="GHT22" s="3507"/>
      <c r="GHU22" s="3507"/>
      <c r="GHV22" s="3507"/>
      <c r="GHW22" s="3507"/>
      <c r="GHX22" s="3507"/>
      <c r="GHY22" s="3507"/>
      <c r="GHZ22" s="3507"/>
      <c r="GIA22" s="3507"/>
      <c r="GIB22" s="3507"/>
      <c r="GIC22" s="3507"/>
      <c r="GID22" s="3507"/>
      <c r="GIE22" s="3507"/>
      <c r="GIF22" s="3507"/>
      <c r="GIG22" s="3507"/>
      <c r="GIH22" s="3507"/>
      <c r="GII22" s="3507"/>
      <c r="GIJ22" s="3507"/>
      <c r="GIK22" s="3507"/>
      <c r="GIL22" s="3507"/>
      <c r="GIM22" s="3507"/>
      <c r="GIN22" s="3507"/>
      <c r="GIO22" s="3507"/>
      <c r="GIP22" s="3507"/>
      <c r="GIQ22" s="3507"/>
      <c r="GIR22" s="3507"/>
      <c r="GIS22" s="3507"/>
      <c r="GIT22" s="3507"/>
      <c r="GIU22" s="3507"/>
      <c r="GIV22" s="3507"/>
      <c r="GIW22" s="3507"/>
      <c r="GIX22" s="3507"/>
      <c r="GIY22" s="3507"/>
      <c r="GIZ22" s="3507"/>
      <c r="GJA22" s="3507"/>
      <c r="GJB22" s="3507"/>
      <c r="GJC22" s="3507"/>
      <c r="GJD22" s="3507"/>
      <c r="GJE22" s="3507"/>
      <c r="GJF22" s="3507"/>
      <c r="GJG22" s="3507"/>
      <c r="GJH22" s="3507"/>
      <c r="GJI22" s="3507"/>
      <c r="GJJ22" s="3507"/>
      <c r="GJK22" s="3507"/>
      <c r="GJL22" s="3507"/>
      <c r="GJM22" s="3507"/>
      <c r="GJN22" s="3507"/>
      <c r="GJO22" s="3507"/>
      <c r="GJP22" s="3507"/>
      <c r="GJQ22" s="3507"/>
      <c r="GJR22" s="3507"/>
      <c r="GJS22" s="3507"/>
      <c r="GJT22" s="3507"/>
      <c r="GJU22" s="3507"/>
      <c r="GJV22" s="3507"/>
      <c r="GJW22" s="3507"/>
      <c r="GJX22" s="3507"/>
      <c r="GJY22" s="3507"/>
      <c r="GJZ22" s="3507"/>
      <c r="GKA22" s="3507"/>
      <c r="GKB22" s="3507"/>
      <c r="GKC22" s="3507"/>
      <c r="GKD22" s="3507"/>
      <c r="GKE22" s="3507"/>
      <c r="GKF22" s="3507"/>
      <c r="GKG22" s="3507"/>
      <c r="GKH22" s="3507"/>
      <c r="GKI22" s="3507"/>
      <c r="GKJ22" s="3507"/>
      <c r="GKK22" s="3507"/>
      <c r="GKL22" s="3507"/>
      <c r="GKM22" s="3507"/>
      <c r="GKN22" s="3507"/>
      <c r="GKO22" s="3507"/>
      <c r="GKP22" s="3507"/>
      <c r="GKQ22" s="3507"/>
      <c r="GKR22" s="3507"/>
      <c r="GKS22" s="3507"/>
      <c r="GKT22" s="3507"/>
      <c r="GKU22" s="3507"/>
      <c r="GKV22" s="3507"/>
      <c r="GKW22" s="3507"/>
      <c r="GKX22" s="3507"/>
      <c r="GKY22" s="3507"/>
      <c r="GKZ22" s="3507"/>
      <c r="GLA22" s="3507"/>
      <c r="GLB22" s="3507"/>
      <c r="GLC22" s="3507"/>
      <c r="GLD22" s="3507"/>
      <c r="GLE22" s="3507"/>
      <c r="GLF22" s="3507"/>
      <c r="GLG22" s="3507"/>
      <c r="GLH22" s="3507"/>
      <c r="GLI22" s="3507"/>
      <c r="GLJ22" s="3507"/>
      <c r="GLK22" s="3507"/>
      <c r="GLL22" s="3507"/>
      <c r="GLM22" s="3507"/>
      <c r="GLN22" s="3507"/>
      <c r="GLO22" s="3507"/>
      <c r="GLP22" s="3507"/>
      <c r="GLQ22" s="3507"/>
      <c r="GLR22" s="3507"/>
      <c r="GLS22" s="3507"/>
      <c r="GLT22" s="3507"/>
      <c r="GLU22" s="3507"/>
      <c r="GLV22" s="3507"/>
      <c r="GLW22" s="3507"/>
      <c r="GLX22" s="3507"/>
      <c r="GLY22" s="3507"/>
      <c r="GLZ22" s="3507"/>
      <c r="GMA22" s="3507"/>
      <c r="GMB22" s="3507"/>
      <c r="GMC22" s="3507"/>
      <c r="GMD22" s="3507"/>
      <c r="GME22" s="3507"/>
      <c r="GMF22" s="3507"/>
      <c r="GMG22" s="3507"/>
      <c r="GMH22" s="3507"/>
      <c r="GMI22" s="3507"/>
      <c r="GMJ22" s="3507"/>
      <c r="GMK22" s="3507"/>
      <c r="GML22" s="3507"/>
      <c r="GMM22" s="3507"/>
      <c r="GMN22" s="3507"/>
      <c r="GMO22" s="3507"/>
      <c r="GMP22" s="3507"/>
      <c r="GMQ22" s="3507"/>
      <c r="GMR22" s="3507"/>
      <c r="GMS22" s="3507"/>
      <c r="GMT22" s="3507"/>
      <c r="GMU22" s="3507"/>
      <c r="GMV22" s="3507"/>
      <c r="GMW22" s="3507"/>
      <c r="GMX22" s="3507"/>
      <c r="GMY22" s="3507"/>
      <c r="GMZ22" s="3507"/>
      <c r="GNA22" s="3507"/>
      <c r="GNB22" s="3507"/>
      <c r="GNC22" s="3507"/>
      <c r="GND22" s="3507"/>
      <c r="GNE22" s="3507"/>
      <c r="GNF22" s="3507"/>
      <c r="GNG22" s="3507"/>
      <c r="GNH22" s="3507"/>
      <c r="GNI22" s="3507"/>
      <c r="GNJ22" s="3507"/>
      <c r="GNK22" s="3507"/>
      <c r="GNL22" s="3507"/>
      <c r="GNM22" s="3507"/>
      <c r="GNN22" s="3507"/>
      <c r="GNO22" s="3507"/>
      <c r="GNP22" s="3507"/>
      <c r="GNQ22" s="3507"/>
      <c r="GNR22" s="3507"/>
      <c r="GNS22" s="3507"/>
      <c r="GNT22" s="3507"/>
      <c r="GNU22" s="3507"/>
      <c r="GNV22" s="3507"/>
      <c r="GNW22" s="3507"/>
      <c r="GNX22" s="3507"/>
      <c r="GNY22" s="3507"/>
      <c r="GNZ22" s="3507"/>
      <c r="GOA22" s="3507"/>
      <c r="GOB22" s="3507"/>
      <c r="GOC22" s="3507"/>
      <c r="GOD22" s="3507"/>
      <c r="GOE22" s="3507"/>
      <c r="GOF22" s="3507"/>
      <c r="GOG22" s="3507"/>
      <c r="GOH22" s="3507"/>
      <c r="GOI22" s="3507"/>
      <c r="GOJ22" s="3507"/>
      <c r="GOK22" s="3507"/>
      <c r="GOL22" s="3507"/>
      <c r="GOM22" s="3507"/>
      <c r="GON22" s="3507"/>
      <c r="GOO22" s="3507"/>
      <c r="GOP22" s="3507"/>
      <c r="GOQ22" s="3507"/>
      <c r="GOR22" s="3507"/>
      <c r="GOS22" s="3507"/>
      <c r="GOT22" s="3507"/>
      <c r="GOU22" s="3507"/>
      <c r="GOV22" s="3507"/>
      <c r="GOW22" s="3507"/>
      <c r="GOX22" s="3507"/>
      <c r="GOY22" s="3507"/>
      <c r="GOZ22" s="3507"/>
      <c r="GPA22" s="3507"/>
      <c r="GPB22" s="3507"/>
      <c r="GPC22" s="3507"/>
      <c r="GPD22" s="3507"/>
      <c r="GPE22" s="3507"/>
      <c r="GPF22" s="3507"/>
      <c r="GPG22" s="3507"/>
      <c r="GPH22" s="3507"/>
      <c r="GPI22" s="3507"/>
      <c r="GPJ22" s="3507"/>
      <c r="GPK22" s="3507"/>
      <c r="GPL22" s="3507"/>
      <c r="GPM22" s="3507"/>
      <c r="GPN22" s="3507"/>
      <c r="GPO22" s="3507"/>
      <c r="GPP22" s="3507"/>
      <c r="GPQ22" s="3507"/>
      <c r="GPR22" s="3507"/>
      <c r="GPS22" s="3507"/>
      <c r="GPT22" s="3507"/>
      <c r="GPU22" s="3507"/>
      <c r="GPV22" s="3507"/>
      <c r="GPW22" s="3507"/>
      <c r="GPX22" s="3507"/>
      <c r="GPY22" s="3507"/>
      <c r="GPZ22" s="3507"/>
      <c r="GQA22" s="3507"/>
      <c r="GQB22" s="3507"/>
      <c r="GQC22" s="3507"/>
      <c r="GQD22" s="3507"/>
      <c r="GQE22" s="3507"/>
      <c r="GQF22" s="3507"/>
      <c r="GQG22" s="3507"/>
      <c r="GQH22" s="3507"/>
      <c r="GQI22" s="3507"/>
      <c r="GQJ22" s="3507"/>
      <c r="GQK22" s="3507"/>
      <c r="GQL22" s="3507"/>
      <c r="GQM22" s="3507"/>
      <c r="GQN22" s="3507"/>
      <c r="GQO22" s="3507"/>
      <c r="GQP22" s="3507"/>
      <c r="GQQ22" s="3507"/>
      <c r="GQR22" s="3507"/>
      <c r="GQS22" s="3507"/>
      <c r="GQT22" s="3507"/>
      <c r="GQU22" s="3507"/>
      <c r="GQV22" s="3507"/>
      <c r="GQW22" s="3507"/>
      <c r="GQX22" s="3507"/>
      <c r="GQY22" s="3507"/>
      <c r="GQZ22" s="3507"/>
      <c r="GRA22" s="3507"/>
      <c r="GRB22" s="3507"/>
      <c r="GRC22" s="3507"/>
      <c r="GRD22" s="3507"/>
      <c r="GRE22" s="3507"/>
      <c r="GRF22" s="3507"/>
      <c r="GRG22" s="3507"/>
      <c r="GRH22" s="3507"/>
      <c r="GRI22" s="3507"/>
      <c r="GRJ22" s="3507"/>
      <c r="GRK22" s="3507"/>
      <c r="GRL22" s="3507"/>
      <c r="GRM22" s="3507"/>
      <c r="GRN22" s="3507"/>
      <c r="GRO22" s="3507"/>
      <c r="GRP22" s="3507"/>
      <c r="GRQ22" s="3507"/>
      <c r="GRR22" s="3507"/>
      <c r="GRS22" s="3507"/>
      <c r="GRT22" s="3507"/>
      <c r="GRU22" s="3507"/>
      <c r="GRV22" s="3507"/>
      <c r="GRW22" s="3507"/>
      <c r="GRX22" s="3507"/>
      <c r="GRY22" s="3507"/>
      <c r="GRZ22" s="3507"/>
      <c r="GSA22" s="3507"/>
      <c r="GSB22" s="3507"/>
      <c r="GSC22" s="3507"/>
      <c r="GSD22" s="3507"/>
      <c r="GSE22" s="3507"/>
      <c r="GSF22" s="3507"/>
      <c r="GSG22" s="3507"/>
      <c r="GSH22" s="3507"/>
      <c r="GSI22" s="3507"/>
      <c r="GSJ22" s="3507"/>
      <c r="GSK22" s="3507"/>
      <c r="GSL22" s="3507"/>
      <c r="GSM22" s="3507"/>
      <c r="GSN22" s="3507"/>
      <c r="GSO22" s="3507"/>
      <c r="GSP22" s="3507"/>
      <c r="GSQ22" s="3507"/>
      <c r="GSR22" s="3507"/>
      <c r="GSS22" s="3507"/>
      <c r="GST22" s="3507"/>
      <c r="GSU22" s="3507"/>
      <c r="GSV22" s="3507"/>
      <c r="GSW22" s="3507"/>
      <c r="GSX22" s="3507"/>
      <c r="GSY22" s="3507"/>
      <c r="GSZ22" s="3507"/>
      <c r="GTA22" s="3507"/>
      <c r="GTB22" s="3507"/>
      <c r="GTC22" s="3507"/>
      <c r="GTD22" s="3507"/>
      <c r="GTE22" s="3507"/>
      <c r="GTF22" s="3507"/>
      <c r="GTG22" s="3507"/>
      <c r="GTH22" s="3507"/>
      <c r="GTI22" s="3507"/>
      <c r="GTJ22" s="3507"/>
      <c r="GTK22" s="3507"/>
      <c r="GTL22" s="3507"/>
      <c r="GTM22" s="3507"/>
      <c r="GTN22" s="3507"/>
      <c r="GTO22" s="3507"/>
      <c r="GTP22" s="3507"/>
      <c r="GTQ22" s="3507"/>
      <c r="GTR22" s="3507"/>
      <c r="GTS22" s="3507"/>
      <c r="GTT22" s="3507"/>
      <c r="GTU22" s="3507"/>
      <c r="GTV22" s="3507"/>
      <c r="GTW22" s="3507"/>
      <c r="GTX22" s="3507"/>
      <c r="GTY22" s="3507"/>
      <c r="GTZ22" s="3507"/>
      <c r="GUA22" s="3507"/>
      <c r="GUB22" s="3507"/>
      <c r="GUC22" s="3507"/>
      <c r="GUD22" s="3507"/>
      <c r="GUE22" s="3507"/>
      <c r="GUF22" s="3507"/>
      <c r="GUG22" s="3507"/>
      <c r="GUH22" s="3507"/>
      <c r="GUI22" s="3507"/>
      <c r="GUJ22" s="3507"/>
      <c r="GUK22" s="3507"/>
      <c r="GUL22" s="3507"/>
      <c r="GUM22" s="3507"/>
      <c r="GUN22" s="3507"/>
      <c r="GUO22" s="3507"/>
      <c r="GUP22" s="3507"/>
      <c r="GUQ22" s="3507"/>
      <c r="GUR22" s="3507"/>
      <c r="GUS22" s="3507"/>
      <c r="GUT22" s="3507"/>
      <c r="GUU22" s="3507"/>
      <c r="GUV22" s="3507"/>
      <c r="GUW22" s="3507"/>
      <c r="GUX22" s="3507"/>
      <c r="GUY22" s="3507"/>
      <c r="GUZ22" s="3507"/>
      <c r="GVA22" s="3507"/>
      <c r="GVB22" s="3507"/>
      <c r="GVC22" s="3507"/>
      <c r="GVD22" s="3507"/>
      <c r="GVE22" s="3507"/>
      <c r="GVF22" s="3507"/>
      <c r="GVG22" s="3507"/>
      <c r="GVH22" s="3507"/>
      <c r="GVI22" s="3507"/>
      <c r="GVJ22" s="3507"/>
      <c r="GVK22" s="3507"/>
      <c r="GVL22" s="3507"/>
      <c r="GVM22" s="3507"/>
      <c r="GVN22" s="3507"/>
      <c r="GVO22" s="3507"/>
      <c r="GVP22" s="3507"/>
      <c r="GVQ22" s="3507"/>
      <c r="GVR22" s="3507"/>
      <c r="GVS22" s="3507"/>
      <c r="GVT22" s="3507"/>
      <c r="GVU22" s="3507"/>
      <c r="GVV22" s="3507"/>
      <c r="GVW22" s="3507"/>
      <c r="GVX22" s="3507"/>
      <c r="GVY22" s="3507"/>
      <c r="GVZ22" s="3507"/>
      <c r="GWA22" s="3507"/>
      <c r="GWB22" s="3507"/>
      <c r="GWC22" s="3507"/>
      <c r="GWD22" s="3507"/>
      <c r="GWE22" s="3507"/>
      <c r="GWF22" s="3507"/>
      <c r="GWG22" s="3507"/>
      <c r="GWH22" s="3507"/>
      <c r="GWI22" s="3507"/>
      <c r="GWJ22" s="3507"/>
      <c r="GWK22" s="3507"/>
      <c r="GWL22" s="3507"/>
      <c r="GWM22" s="3507"/>
      <c r="GWN22" s="3507"/>
      <c r="GWO22" s="3507"/>
      <c r="GWP22" s="3507"/>
      <c r="GWQ22" s="3507"/>
      <c r="GWR22" s="3507"/>
      <c r="GWS22" s="3507"/>
      <c r="GWT22" s="3507"/>
      <c r="GWU22" s="3507"/>
      <c r="GWV22" s="3507"/>
      <c r="GWW22" s="3507"/>
      <c r="GWX22" s="3507"/>
      <c r="GWY22" s="3507"/>
      <c r="GWZ22" s="3507"/>
      <c r="GXA22" s="3507"/>
      <c r="GXB22" s="3507"/>
      <c r="GXC22" s="3507"/>
      <c r="GXD22" s="3507"/>
      <c r="GXE22" s="3507"/>
      <c r="GXF22" s="3507"/>
      <c r="GXG22" s="3507"/>
      <c r="GXH22" s="3507"/>
      <c r="GXI22" s="3507"/>
      <c r="GXJ22" s="3507"/>
      <c r="GXK22" s="3507"/>
      <c r="GXL22" s="3507"/>
      <c r="GXM22" s="3507"/>
      <c r="GXN22" s="3507"/>
      <c r="GXO22" s="3507"/>
      <c r="GXP22" s="3507"/>
      <c r="GXQ22" s="3507"/>
      <c r="GXR22" s="3507"/>
      <c r="GXS22" s="3507"/>
      <c r="GXT22" s="3507"/>
      <c r="GXU22" s="3507"/>
      <c r="GXV22" s="3507"/>
      <c r="GXW22" s="3507"/>
      <c r="GXX22" s="3507"/>
      <c r="GXY22" s="3507"/>
      <c r="GXZ22" s="3507"/>
      <c r="GYA22" s="3507"/>
      <c r="GYB22" s="3507"/>
      <c r="GYC22" s="3507"/>
      <c r="GYD22" s="3507"/>
      <c r="GYE22" s="3507"/>
      <c r="GYF22" s="3507"/>
      <c r="GYG22" s="3507"/>
      <c r="GYH22" s="3507"/>
      <c r="GYI22" s="3507"/>
      <c r="GYJ22" s="3507"/>
      <c r="GYK22" s="3507"/>
      <c r="GYL22" s="3507"/>
      <c r="GYM22" s="3507"/>
      <c r="GYN22" s="3507"/>
      <c r="GYO22" s="3507"/>
      <c r="GYP22" s="3507"/>
      <c r="GYQ22" s="3507"/>
      <c r="GYR22" s="3507"/>
      <c r="GYS22" s="3507"/>
      <c r="GYT22" s="3507"/>
      <c r="GYU22" s="3507"/>
      <c r="GYV22" s="3507"/>
      <c r="GYW22" s="3507"/>
      <c r="GYX22" s="3507"/>
      <c r="GYY22" s="3507"/>
      <c r="GYZ22" s="3507"/>
      <c r="GZA22" s="3507"/>
      <c r="GZB22" s="3507"/>
      <c r="GZC22" s="3507"/>
      <c r="GZD22" s="3507"/>
      <c r="GZE22" s="3507"/>
      <c r="GZF22" s="3507"/>
      <c r="GZG22" s="3507"/>
      <c r="GZH22" s="3507"/>
      <c r="GZI22" s="3507"/>
      <c r="GZJ22" s="3507"/>
      <c r="GZK22" s="3507"/>
      <c r="GZL22" s="3507"/>
      <c r="GZM22" s="3507"/>
      <c r="GZN22" s="3507"/>
      <c r="GZO22" s="3507"/>
      <c r="GZP22" s="3507"/>
      <c r="GZQ22" s="3507"/>
      <c r="GZR22" s="3507"/>
      <c r="GZS22" s="3507"/>
      <c r="GZT22" s="3507"/>
      <c r="GZU22" s="3507"/>
      <c r="GZV22" s="3507"/>
      <c r="GZW22" s="3507"/>
      <c r="GZX22" s="3507"/>
      <c r="GZY22" s="3507"/>
      <c r="GZZ22" s="3507"/>
      <c r="HAA22" s="3507"/>
      <c r="HAB22" s="3507"/>
      <c r="HAC22" s="3507"/>
      <c r="HAD22" s="3507"/>
      <c r="HAE22" s="3507"/>
      <c r="HAF22" s="3507"/>
      <c r="HAG22" s="3507"/>
      <c r="HAH22" s="3507"/>
      <c r="HAI22" s="3507"/>
      <c r="HAJ22" s="3507"/>
      <c r="HAK22" s="3507"/>
      <c r="HAL22" s="3507"/>
      <c r="HAM22" s="3507"/>
      <c r="HAN22" s="3507"/>
      <c r="HAO22" s="3507"/>
      <c r="HAP22" s="3507"/>
      <c r="HAQ22" s="3507"/>
      <c r="HAR22" s="3507"/>
      <c r="HAS22" s="3507"/>
      <c r="HAT22" s="3507"/>
      <c r="HAU22" s="3507"/>
      <c r="HAV22" s="3507"/>
      <c r="HAW22" s="3507"/>
      <c r="HAX22" s="3507"/>
      <c r="HAY22" s="3507"/>
      <c r="HAZ22" s="3507"/>
      <c r="HBA22" s="3507"/>
      <c r="HBB22" s="3507"/>
      <c r="HBC22" s="3507"/>
      <c r="HBD22" s="3507"/>
      <c r="HBE22" s="3507"/>
      <c r="HBF22" s="3507"/>
      <c r="HBG22" s="3507"/>
      <c r="HBH22" s="3507"/>
      <c r="HBI22" s="3507"/>
      <c r="HBJ22" s="3507"/>
      <c r="HBK22" s="3507"/>
      <c r="HBL22" s="3507"/>
      <c r="HBM22" s="3507"/>
      <c r="HBN22" s="3507"/>
      <c r="HBO22" s="3507"/>
      <c r="HBP22" s="3507"/>
      <c r="HBQ22" s="3507"/>
      <c r="HBR22" s="3507"/>
      <c r="HBS22" s="3507"/>
      <c r="HBT22" s="3507"/>
      <c r="HBU22" s="3507"/>
      <c r="HBV22" s="3507"/>
      <c r="HBW22" s="3507"/>
      <c r="HBX22" s="3507"/>
      <c r="HBY22" s="3507"/>
      <c r="HBZ22" s="3507"/>
      <c r="HCA22" s="3507"/>
      <c r="HCB22" s="3507"/>
      <c r="HCC22" s="3507"/>
      <c r="HCD22" s="3507"/>
      <c r="HCE22" s="3507"/>
      <c r="HCF22" s="3507"/>
      <c r="HCG22" s="3507"/>
      <c r="HCH22" s="3507"/>
      <c r="HCI22" s="3507"/>
      <c r="HCJ22" s="3507"/>
      <c r="HCK22" s="3507"/>
      <c r="HCL22" s="3507"/>
      <c r="HCM22" s="3507"/>
      <c r="HCN22" s="3507"/>
      <c r="HCO22" s="3507"/>
      <c r="HCP22" s="3507"/>
      <c r="HCQ22" s="3507"/>
      <c r="HCR22" s="3507"/>
      <c r="HCS22" s="3507"/>
      <c r="HCT22" s="3507"/>
      <c r="HCU22" s="3507"/>
      <c r="HCV22" s="3507"/>
      <c r="HCW22" s="3507"/>
      <c r="HCX22" s="3507"/>
      <c r="HCY22" s="3507"/>
      <c r="HCZ22" s="3507"/>
      <c r="HDA22" s="3507"/>
      <c r="HDB22" s="3507"/>
      <c r="HDC22" s="3507"/>
      <c r="HDD22" s="3507"/>
      <c r="HDE22" s="3507"/>
      <c r="HDF22" s="3507"/>
      <c r="HDG22" s="3507"/>
      <c r="HDH22" s="3507"/>
      <c r="HDI22" s="3507"/>
      <c r="HDJ22" s="3507"/>
      <c r="HDK22" s="3507"/>
      <c r="HDL22" s="3507"/>
      <c r="HDM22" s="3507"/>
      <c r="HDN22" s="3507"/>
      <c r="HDO22" s="3507"/>
      <c r="HDP22" s="3507"/>
      <c r="HDQ22" s="3507"/>
      <c r="HDR22" s="3507"/>
      <c r="HDS22" s="3507"/>
      <c r="HDT22" s="3507"/>
      <c r="HDU22" s="3507"/>
      <c r="HDV22" s="3507"/>
      <c r="HDW22" s="3507"/>
      <c r="HDX22" s="3507"/>
      <c r="HDY22" s="3507"/>
      <c r="HDZ22" s="3507"/>
      <c r="HEA22" s="3507"/>
      <c r="HEB22" s="3507"/>
      <c r="HEC22" s="3507"/>
      <c r="HED22" s="3507"/>
      <c r="HEE22" s="3507"/>
      <c r="HEF22" s="3507"/>
      <c r="HEG22" s="3507"/>
      <c r="HEH22" s="3507"/>
      <c r="HEI22" s="3507"/>
      <c r="HEJ22" s="3507"/>
      <c r="HEK22" s="3507"/>
      <c r="HEL22" s="3507"/>
      <c r="HEM22" s="3507"/>
      <c r="HEN22" s="3507"/>
      <c r="HEO22" s="3507"/>
      <c r="HEP22" s="3507"/>
      <c r="HEQ22" s="3507"/>
      <c r="HER22" s="3507"/>
      <c r="HES22" s="3507"/>
      <c r="HET22" s="3507"/>
      <c r="HEU22" s="3507"/>
      <c r="HEV22" s="3507"/>
      <c r="HEW22" s="3507"/>
      <c r="HEX22" s="3507"/>
      <c r="HEY22" s="3507"/>
      <c r="HEZ22" s="3507"/>
      <c r="HFA22" s="3507"/>
      <c r="HFB22" s="3507"/>
      <c r="HFC22" s="3507"/>
      <c r="HFD22" s="3507"/>
      <c r="HFE22" s="3507"/>
      <c r="HFF22" s="3507"/>
      <c r="HFG22" s="3507"/>
      <c r="HFH22" s="3507"/>
      <c r="HFI22" s="3507"/>
      <c r="HFJ22" s="3507"/>
      <c r="HFK22" s="3507"/>
      <c r="HFL22" s="3507"/>
      <c r="HFM22" s="3507"/>
      <c r="HFN22" s="3507"/>
      <c r="HFO22" s="3507"/>
      <c r="HFP22" s="3507"/>
      <c r="HFQ22" s="3507"/>
      <c r="HFR22" s="3507"/>
      <c r="HFS22" s="3507"/>
      <c r="HFT22" s="3507"/>
      <c r="HFU22" s="3507"/>
      <c r="HFV22" s="3507"/>
      <c r="HFW22" s="3507"/>
      <c r="HFX22" s="3507"/>
      <c r="HFY22" s="3507"/>
      <c r="HFZ22" s="3507"/>
      <c r="HGA22" s="3507"/>
      <c r="HGB22" s="3507"/>
      <c r="HGC22" s="3507"/>
      <c r="HGD22" s="3507"/>
      <c r="HGE22" s="3507"/>
      <c r="HGF22" s="3507"/>
      <c r="HGG22" s="3507"/>
      <c r="HGH22" s="3507"/>
      <c r="HGI22" s="3507"/>
      <c r="HGJ22" s="3507"/>
      <c r="HGK22" s="3507"/>
      <c r="HGL22" s="3507"/>
      <c r="HGM22" s="3507"/>
      <c r="HGN22" s="3507"/>
      <c r="HGO22" s="3507"/>
      <c r="HGP22" s="3507"/>
      <c r="HGQ22" s="3507"/>
      <c r="HGR22" s="3507"/>
      <c r="HGS22" s="3507"/>
      <c r="HGT22" s="3507"/>
      <c r="HGU22" s="3507"/>
      <c r="HGV22" s="3507"/>
      <c r="HGW22" s="3507"/>
      <c r="HGX22" s="3507"/>
      <c r="HGY22" s="3507"/>
      <c r="HGZ22" s="3507"/>
      <c r="HHA22" s="3507"/>
      <c r="HHB22" s="3507"/>
      <c r="HHC22" s="3507"/>
      <c r="HHD22" s="3507"/>
      <c r="HHE22" s="3507"/>
      <c r="HHF22" s="3507"/>
      <c r="HHG22" s="3507"/>
      <c r="HHH22" s="3507"/>
      <c r="HHI22" s="3507"/>
      <c r="HHJ22" s="3507"/>
      <c r="HHK22" s="3507"/>
      <c r="HHL22" s="3507"/>
      <c r="HHM22" s="3507"/>
      <c r="HHN22" s="3507"/>
      <c r="HHO22" s="3507"/>
      <c r="HHP22" s="3507"/>
      <c r="HHQ22" s="3507"/>
      <c r="HHR22" s="3507"/>
      <c r="HHS22" s="3507"/>
      <c r="HHT22" s="3507"/>
      <c r="HHU22" s="3507"/>
      <c r="HHV22" s="3507"/>
      <c r="HHW22" s="3507"/>
      <c r="HHX22" s="3507"/>
      <c r="HHY22" s="3507"/>
      <c r="HHZ22" s="3507"/>
      <c r="HIA22" s="3507"/>
      <c r="HIB22" s="3507"/>
      <c r="HIC22" s="3507"/>
      <c r="HID22" s="3507"/>
      <c r="HIE22" s="3507"/>
      <c r="HIF22" s="3507"/>
      <c r="HIG22" s="3507"/>
      <c r="HIH22" s="3507"/>
      <c r="HII22" s="3507"/>
      <c r="HIJ22" s="3507"/>
      <c r="HIK22" s="3507"/>
      <c r="HIL22" s="3507"/>
      <c r="HIM22" s="3507"/>
      <c r="HIN22" s="3507"/>
      <c r="HIO22" s="3507"/>
      <c r="HIP22" s="3507"/>
      <c r="HIQ22" s="3507"/>
      <c r="HIR22" s="3507"/>
      <c r="HIS22" s="3507"/>
      <c r="HIT22" s="3507"/>
      <c r="HIU22" s="3507"/>
      <c r="HIV22" s="3507"/>
      <c r="HIW22" s="3507"/>
      <c r="HIX22" s="3507"/>
      <c r="HIY22" s="3507"/>
      <c r="HIZ22" s="3507"/>
      <c r="HJA22" s="3507"/>
      <c r="HJB22" s="3507"/>
      <c r="HJC22" s="3507"/>
      <c r="HJD22" s="3507"/>
      <c r="HJE22" s="3507"/>
      <c r="HJF22" s="3507"/>
      <c r="HJG22" s="3507"/>
      <c r="HJH22" s="3507"/>
      <c r="HJI22" s="3507"/>
      <c r="HJJ22" s="3507"/>
      <c r="HJK22" s="3507"/>
      <c r="HJL22" s="3507"/>
      <c r="HJM22" s="3507"/>
      <c r="HJN22" s="3507"/>
      <c r="HJO22" s="3507"/>
      <c r="HJP22" s="3507"/>
      <c r="HJQ22" s="3507"/>
      <c r="HJR22" s="3507"/>
      <c r="HJS22" s="3507"/>
      <c r="HJT22" s="3507"/>
      <c r="HJU22" s="3507"/>
      <c r="HJV22" s="3507"/>
      <c r="HJW22" s="3507"/>
      <c r="HJX22" s="3507"/>
      <c r="HJY22" s="3507"/>
      <c r="HJZ22" s="3507"/>
      <c r="HKA22" s="3507"/>
      <c r="HKB22" s="3507"/>
      <c r="HKC22" s="3507"/>
      <c r="HKD22" s="3507"/>
      <c r="HKE22" s="3507"/>
      <c r="HKF22" s="3507"/>
      <c r="HKG22" s="3507"/>
      <c r="HKH22" s="3507"/>
      <c r="HKI22" s="3507"/>
      <c r="HKJ22" s="3507"/>
      <c r="HKK22" s="3507"/>
      <c r="HKL22" s="3507"/>
      <c r="HKM22" s="3507"/>
      <c r="HKN22" s="3507"/>
      <c r="HKO22" s="3507"/>
      <c r="HKP22" s="3507"/>
      <c r="HKQ22" s="3507"/>
      <c r="HKR22" s="3507"/>
      <c r="HKS22" s="3507"/>
      <c r="HKT22" s="3507"/>
      <c r="HKU22" s="3507"/>
      <c r="HKV22" s="3507"/>
      <c r="HKW22" s="3507"/>
      <c r="HKX22" s="3507"/>
      <c r="HKY22" s="3507"/>
      <c r="HKZ22" s="3507"/>
      <c r="HLA22" s="3507"/>
      <c r="HLB22" s="3507"/>
      <c r="HLC22" s="3507"/>
      <c r="HLD22" s="3507"/>
      <c r="HLE22" s="3507"/>
      <c r="HLF22" s="3507"/>
      <c r="HLG22" s="3507"/>
      <c r="HLH22" s="3507"/>
      <c r="HLI22" s="3507"/>
      <c r="HLJ22" s="3507"/>
      <c r="HLK22" s="3507"/>
      <c r="HLL22" s="3507"/>
      <c r="HLM22" s="3507"/>
      <c r="HLN22" s="3507"/>
      <c r="HLO22" s="3507"/>
      <c r="HLP22" s="3507"/>
      <c r="HLQ22" s="3507"/>
      <c r="HLR22" s="3507"/>
      <c r="HLS22" s="3507"/>
      <c r="HLT22" s="3507"/>
      <c r="HLU22" s="3507"/>
      <c r="HLV22" s="3507"/>
      <c r="HLW22" s="3507"/>
      <c r="HLX22" s="3507"/>
      <c r="HLY22" s="3507"/>
      <c r="HLZ22" s="3507"/>
      <c r="HMA22" s="3507"/>
      <c r="HMB22" s="3507"/>
      <c r="HMC22" s="3507"/>
      <c r="HMD22" s="3507"/>
      <c r="HME22" s="3507"/>
      <c r="HMF22" s="3507"/>
      <c r="HMG22" s="3507"/>
      <c r="HMH22" s="3507"/>
      <c r="HMI22" s="3507"/>
      <c r="HMJ22" s="3507"/>
      <c r="HMK22" s="3507"/>
      <c r="HML22" s="3507"/>
      <c r="HMM22" s="3507"/>
      <c r="HMN22" s="3507"/>
      <c r="HMO22" s="3507"/>
      <c r="HMP22" s="3507"/>
      <c r="HMQ22" s="3507"/>
      <c r="HMR22" s="3507"/>
      <c r="HMS22" s="3507"/>
      <c r="HMT22" s="3507"/>
      <c r="HMU22" s="3507"/>
      <c r="HMV22" s="3507"/>
      <c r="HMW22" s="3507"/>
      <c r="HMX22" s="3507"/>
      <c r="HMY22" s="3507"/>
      <c r="HMZ22" s="3507"/>
      <c r="HNA22" s="3507"/>
      <c r="HNB22" s="3507"/>
      <c r="HNC22" s="3507"/>
      <c r="HND22" s="3507"/>
      <c r="HNE22" s="3507"/>
      <c r="HNF22" s="3507"/>
      <c r="HNG22" s="3507"/>
      <c r="HNH22" s="3507"/>
      <c r="HNI22" s="3507"/>
      <c r="HNJ22" s="3507"/>
      <c r="HNK22" s="3507"/>
      <c r="HNL22" s="3507"/>
      <c r="HNM22" s="3507"/>
      <c r="HNN22" s="3507"/>
      <c r="HNO22" s="3507"/>
      <c r="HNP22" s="3507"/>
      <c r="HNQ22" s="3507"/>
      <c r="HNR22" s="3507"/>
      <c r="HNS22" s="3507"/>
      <c r="HNT22" s="3507"/>
      <c r="HNU22" s="3507"/>
      <c r="HNV22" s="3507"/>
      <c r="HNW22" s="3507"/>
      <c r="HNX22" s="3507"/>
      <c r="HNY22" s="3507"/>
      <c r="HNZ22" s="3507"/>
      <c r="HOA22" s="3507"/>
      <c r="HOB22" s="3507"/>
      <c r="HOC22" s="3507"/>
      <c r="HOD22" s="3507"/>
      <c r="HOE22" s="3507"/>
      <c r="HOF22" s="3507"/>
      <c r="HOG22" s="3507"/>
      <c r="HOH22" s="3507"/>
      <c r="HOI22" s="3507"/>
      <c r="HOJ22" s="3507"/>
      <c r="HOK22" s="3507"/>
      <c r="HOL22" s="3507"/>
      <c r="HOM22" s="3507"/>
      <c r="HON22" s="3507"/>
      <c r="HOO22" s="3507"/>
      <c r="HOP22" s="3507"/>
      <c r="HOQ22" s="3507"/>
      <c r="HOR22" s="3507"/>
      <c r="HOS22" s="3507"/>
      <c r="HOT22" s="3507"/>
      <c r="HOU22" s="3507"/>
      <c r="HOV22" s="3507"/>
      <c r="HOW22" s="3507"/>
      <c r="HOX22" s="3507"/>
      <c r="HOY22" s="3507"/>
      <c r="HOZ22" s="3507"/>
      <c r="HPA22" s="3507"/>
      <c r="HPB22" s="3507"/>
      <c r="HPC22" s="3507"/>
      <c r="HPD22" s="3507"/>
      <c r="HPE22" s="3507"/>
      <c r="HPF22" s="3507"/>
      <c r="HPG22" s="3507"/>
      <c r="HPH22" s="3507"/>
      <c r="HPI22" s="3507"/>
      <c r="HPJ22" s="3507"/>
      <c r="HPK22" s="3507"/>
      <c r="HPL22" s="3507"/>
      <c r="HPM22" s="3507"/>
      <c r="HPN22" s="3507"/>
      <c r="HPO22" s="3507"/>
      <c r="HPP22" s="3507"/>
      <c r="HPQ22" s="3507"/>
      <c r="HPR22" s="3507"/>
      <c r="HPS22" s="3507"/>
      <c r="HPT22" s="3507"/>
      <c r="HPU22" s="3507"/>
      <c r="HPV22" s="3507"/>
      <c r="HPW22" s="3507"/>
      <c r="HPX22" s="3507"/>
      <c r="HPY22" s="3507"/>
      <c r="HPZ22" s="3507"/>
      <c r="HQA22" s="3507"/>
      <c r="HQB22" s="3507"/>
      <c r="HQC22" s="3507"/>
      <c r="HQD22" s="3507"/>
      <c r="HQE22" s="3507"/>
      <c r="HQF22" s="3507"/>
      <c r="HQG22" s="3507"/>
      <c r="HQH22" s="3507"/>
      <c r="HQI22" s="3507"/>
      <c r="HQJ22" s="3507"/>
      <c r="HQK22" s="3507"/>
      <c r="HQL22" s="3507"/>
      <c r="HQM22" s="3507"/>
      <c r="HQN22" s="3507"/>
      <c r="HQO22" s="3507"/>
      <c r="HQP22" s="3507"/>
      <c r="HQQ22" s="3507"/>
      <c r="HQR22" s="3507"/>
      <c r="HQS22" s="3507"/>
      <c r="HQT22" s="3507"/>
      <c r="HQU22" s="3507"/>
      <c r="HQV22" s="3507"/>
      <c r="HQW22" s="3507"/>
      <c r="HQX22" s="3507"/>
      <c r="HQY22" s="3507"/>
      <c r="HQZ22" s="3507"/>
      <c r="HRA22" s="3507"/>
      <c r="HRB22" s="3507"/>
      <c r="HRC22" s="3507"/>
      <c r="HRD22" s="3507"/>
      <c r="HRE22" s="3507"/>
      <c r="HRF22" s="3507"/>
      <c r="HRG22" s="3507"/>
      <c r="HRH22" s="3507"/>
      <c r="HRI22" s="3507"/>
      <c r="HRJ22" s="3507"/>
      <c r="HRK22" s="3507"/>
      <c r="HRL22" s="3507"/>
      <c r="HRM22" s="3507"/>
      <c r="HRN22" s="3507"/>
      <c r="HRO22" s="3507"/>
      <c r="HRP22" s="3507"/>
      <c r="HRQ22" s="3507"/>
      <c r="HRR22" s="3507"/>
      <c r="HRS22" s="3507"/>
      <c r="HRT22" s="3507"/>
      <c r="HRU22" s="3507"/>
      <c r="HRV22" s="3507"/>
      <c r="HRW22" s="3507"/>
      <c r="HRX22" s="3507"/>
      <c r="HRY22" s="3507"/>
      <c r="HRZ22" s="3507"/>
      <c r="HSA22" s="3507"/>
      <c r="HSB22" s="3507"/>
      <c r="HSC22" s="3507"/>
      <c r="HSD22" s="3507"/>
      <c r="HSE22" s="3507"/>
      <c r="HSF22" s="3507"/>
      <c r="HSG22" s="3507"/>
      <c r="HSH22" s="3507"/>
      <c r="HSI22" s="3507"/>
      <c r="HSJ22" s="3507"/>
      <c r="HSK22" s="3507"/>
      <c r="HSL22" s="3507"/>
      <c r="HSM22" s="3507"/>
      <c r="HSN22" s="3507"/>
      <c r="HSO22" s="3507"/>
      <c r="HSP22" s="3507"/>
      <c r="HSQ22" s="3507"/>
      <c r="HSR22" s="3507"/>
      <c r="HSS22" s="3507"/>
      <c r="HST22" s="3507"/>
      <c r="HSU22" s="3507"/>
      <c r="HSV22" s="3507"/>
      <c r="HSW22" s="3507"/>
      <c r="HSX22" s="3507"/>
      <c r="HSY22" s="3507"/>
      <c r="HSZ22" s="3507"/>
      <c r="HTA22" s="3507"/>
      <c r="HTB22" s="3507"/>
      <c r="HTC22" s="3507"/>
      <c r="HTD22" s="3507"/>
      <c r="HTE22" s="3507"/>
      <c r="HTF22" s="3507"/>
      <c r="HTG22" s="3507"/>
      <c r="HTH22" s="3507"/>
      <c r="HTI22" s="3507"/>
      <c r="HTJ22" s="3507"/>
      <c r="HTK22" s="3507"/>
      <c r="HTL22" s="3507"/>
      <c r="HTM22" s="3507"/>
      <c r="HTN22" s="3507"/>
      <c r="HTO22" s="3507"/>
      <c r="HTP22" s="3507"/>
      <c r="HTQ22" s="3507"/>
      <c r="HTR22" s="3507"/>
      <c r="HTS22" s="3507"/>
      <c r="HTT22" s="3507"/>
      <c r="HTU22" s="3507"/>
      <c r="HTV22" s="3507"/>
      <c r="HTW22" s="3507"/>
      <c r="HTX22" s="3507"/>
      <c r="HTY22" s="3507"/>
      <c r="HTZ22" s="3507"/>
      <c r="HUA22" s="3507"/>
      <c r="HUB22" s="3507"/>
      <c r="HUC22" s="3507"/>
      <c r="HUD22" s="3507"/>
      <c r="HUE22" s="3507"/>
      <c r="HUF22" s="3507"/>
      <c r="HUG22" s="3507"/>
      <c r="HUH22" s="3507"/>
      <c r="HUI22" s="3507"/>
      <c r="HUJ22" s="3507"/>
      <c r="HUK22" s="3507"/>
      <c r="HUL22" s="3507"/>
      <c r="HUM22" s="3507"/>
      <c r="HUN22" s="3507"/>
      <c r="HUO22" s="3507"/>
      <c r="HUP22" s="3507"/>
      <c r="HUQ22" s="3507"/>
      <c r="HUR22" s="3507"/>
      <c r="HUS22" s="3507"/>
      <c r="HUT22" s="3507"/>
      <c r="HUU22" s="3507"/>
      <c r="HUV22" s="3507"/>
      <c r="HUW22" s="3507"/>
      <c r="HUX22" s="3507"/>
      <c r="HUY22" s="3507"/>
      <c r="HUZ22" s="3507"/>
      <c r="HVA22" s="3507"/>
      <c r="HVB22" s="3507"/>
      <c r="HVC22" s="3507"/>
      <c r="HVD22" s="3507"/>
      <c r="HVE22" s="3507"/>
      <c r="HVF22" s="3507"/>
      <c r="HVG22" s="3507"/>
      <c r="HVH22" s="3507"/>
      <c r="HVI22" s="3507"/>
      <c r="HVJ22" s="3507"/>
      <c r="HVK22" s="3507"/>
      <c r="HVL22" s="3507"/>
      <c r="HVM22" s="3507"/>
      <c r="HVN22" s="3507"/>
      <c r="HVO22" s="3507"/>
      <c r="HVP22" s="3507"/>
      <c r="HVQ22" s="3507"/>
      <c r="HVR22" s="3507"/>
      <c r="HVS22" s="3507"/>
      <c r="HVT22" s="3507"/>
      <c r="HVU22" s="3507"/>
      <c r="HVV22" s="3507"/>
      <c r="HVW22" s="3507"/>
      <c r="HVX22" s="3507"/>
      <c r="HVY22" s="3507"/>
      <c r="HVZ22" s="3507"/>
      <c r="HWA22" s="3507"/>
      <c r="HWB22" s="3507"/>
      <c r="HWC22" s="3507"/>
      <c r="HWD22" s="3507"/>
      <c r="HWE22" s="3507"/>
      <c r="HWF22" s="3507"/>
      <c r="HWG22" s="3507"/>
      <c r="HWH22" s="3507"/>
      <c r="HWI22" s="3507"/>
      <c r="HWJ22" s="3507"/>
      <c r="HWK22" s="3507"/>
      <c r="HWL22" s="3507"/>
      <c r="HWM22" s="3507"/>
      <c r="HWN22" s="3507"/>
      <c r="HWO22" s="3507"/>
      <c r="HWP22" s="3507"/>
      <c r="HWQ22" s="3507"/>
      <c r="HWR22" s="3507"/>
      <c r="HWS22" s="3507"/>
      <c r="HWT22" s="3507"/>
      <c r="HWU22" s="3507"/>
      <c r="HWV22" s="3507"/>
      <c r="HWW22" s="3507"/>
      <c r="HWX22" s="3507"/>
      <c r="HWY22" s="3507"/>
      <c r="HWZ22" s="3507"/>
      <c r="HXA22" s="3507"/>
      <c r="HXB22" s="3507"/>
      <c r="HXC22" s="3507"/>
      <c r="HXD22" s="3507"/>
      <c r="HXE22" s="3507"/>
      <c r="HXF22" s="3507"/>
      <c r="HXG22" s="3507"/>
      <c r="HXH22" s="3507"/>
      <c r="HXI22" s="3507"/>
      <c r="HXJ22" s="3507"/>
      <c r="HXK22" s="3507"/>
      <c r="HXL22" s="3507"/>
      <c r="HXM22" s="3507"/>
      <c r="HXN22" s="3507"/>
      <c r="HXO22" s="3507"/>
      <c r="HXP22" s="3507"/>
      <c r="HXQ22" s="3507"/>
      <c r="HXR22" s="3507"/>
      <c r="HXS22" s="3507"/>
      <c r="HXT22" s="3507"/>
      <c r="HXU22" s="3507"/>
      <c r="HXV22" s="3507"/>
      <c r="HXW22" s="3507"/>
      <c r="HXX22" s="3507"/>
      <c r="HXY22" s="3507"/>
      <c r="HXZ22" s="3507"/>
      <c r="HYA22" s="3507"/>
      <c r="HYB22" s="3507"/>
      <c r="HYC22" s="3507"/>
      <c r="HYD22" s="3507"/>
      <c r="HYE22" s="3507"/>
      <c r="HYF22" s="3507"/>
      <c r="HYG22" s="3507"/>
      <c r="HYH22" s="3507"/>
      <c r="HYI22" s="3507"/>
      <c r="HYJ22" s="3507"/>
      <c r="HYK22" s="3507"/>
      <c r="HYL22" s="3507"/>
      <c r="HYM22" s="3507"/>
      <c r="HYN22" s="3507"/>
      <c r="HYO22" s="3507"/>
      <c r="HYP22" s="3507"/>
      <c r="HYQ22" s="3507"/>
      <c r="HYR22" s="3507"/>
      <c r="HYS22" s="3507"/>
      <c r="HYT22" s="3507"/>
      <c r="HYU22" s="3507"/>
      <c r="HYV22" s="3507"/>
      <c r="HYW22" s="3507"/>
      <c r="HYX22" s="3507"/>
      <c r="HYY22" s="3507"/>
      <c r="HYZ22" s="3507"/>
      <c r="HZA22" s="3507"/>
      <c r="HZB22" s="3507"/>
      <c r="HZC22" s="3507"/>
      <c r="HZD22" s="3507"/>
      <c r="HZE22" s="3507"/>
      <c r="HZF22" s="3507"/>
      <c r="HZG22" s="3507"/>
      <c r="HZH22" s="3507"/>
      <c r="HZI22" s="3507"/>
      <c r="HZJ22" s="3507"/>
      <c r="HZK22" s="3507"/>
      <c r="HZL22" s="3507"/>
      <c r="HZM22" s="3507"/>
      <c r="HZN22" s="3507"/>
      <c r="HZO22" s="3507"/>
      <c r="HZP22" s="3507"/>
      <c r="HZQ22" s="3507"/>
      <c r="HZR22" s="3507"/>
      <c r="HZS22" s="3507"/>
      <c r="HZT22" s="3507"/>
      <c r="HZU22" s="3507"/>
      <c r="HZV22" s="3507"/>
      <c r="HZW22" s="3507"/>
      <c r="HZX22" s="3507"/>
      <c r="HZY22" s="3507"/>
      <c r="HZZ22" s="3507"/>
      <c r="IAA22" s="3507"/>
      <c r="IAB22" s="3507"/>
      <c r="IAC22" s="3507"/>
      <c r="IAD22" s="3507"/>
      <c r="IAE22" s="3507"/>
      <c r="IAF22" s="3507"/>
      <c r="IAG22" s="3507"/>
      <c r="IAH22" s="3507"/>
      <c r="IAI22" s="3507"/>
      <c r="IAJ22" s="3507"/>
      <c r="IAK22" s="3507"/>
      <c r="IAL22" s="3507"/>
      <c r="IAM22" s="3507"/>
      <c r="IAN22" s="3507"/>
      <c r="IAO22" s="3507"/>
      <c r="IAP22" s="3507"/>
      <c r="IAQ22" s="3507"/>
      <c r="IAR22" s="3507"/>
      <c r="IAS22" s="3507"/>
      <c r="IAT22" s="3507"/>
      <c r="IAU22" s="3507"/>
      <c r="IAV22" s="3507"/>
      <c r="IAW22" s="3507"/>
      <c r="IAX22" s="3507"/>
      <c r="IAY22" s="3507"/>
      <c r="IAZ22" s="3507"/>
      <c r="IBA22" s="3507"/>
      <c r="IBB22" s="3507"/>
      <c r="IBC22" s="3507"/>
      <c r="IBD22" s="3507"/>
      <c r="IBE22" s="3507"/>
      <c r="IBF22" s="3507"/>
      <c r="IBG22" s="3507"/>
      <c r="IBH22" s="3507"/>
      <c r="IBI22" s="3507"/>
      <c r="IBJ22" s="3507"/>
      <c r="IBK22" s="3507"/>
      <c r="IBL22" s="3507"/>
      <c r="IBM22" s="3507"/>
      <c r="IBN22" s="3507"/>
      <c r="IBO22" s="3507"/>
      <c r="IBP22" s="3507"/>
      <c r="IBQ22" s="3507"/>
      <c r="IBR22" s="3507"/>
      <c r="IBS22" s="3507"/>
      <c r="IBT22" s="3507"/>
      <c r="IBU22" s="3507"/>
      <c r="IBV22" s="3507"/>
      <c r="IBW22" s="3507"/>
      <c r="IBX22" s="3507"/>
      <c r="IBY22" s="3507"/>
      <c r="IBZ22" s="3507"/>
      <c r="ICA22" s="3507"/>
      <c r="ICB22" s="3507"/>
      <c r="ICC22" s="3507"/>
      <c r="ICD22" s="3507"/>
      <c r="ICE22" s="3507"/>
      <c r="ICF22" s="3507"/>
      <c r="ICG22" s="3507"/>
      <c r="ICH22" s="3507"/>
      <c r="ICI22" s="3507"/>
      <c r="ICJ22" s="3507"/>
      <c r="ICK22" s="3507"/>
      <c r="ICL22" s="3507"/>
      <c r="ICM22" s="3507"/>
      <c r="ICN22" s="3507"/>
      <c r="ICO22" s="3507"/>
      <c r="ICP22" s="3507"/>
      <c r="ICQ22" s="3507"/>
      <c r="ICR22" s="3507"/>
      <c r="ICS22" s="3507"/>
      <c r="ICT22" s="3507"/>
      <c r="ICU22" s="3507"/>
      <c r="ICV22" s="3507"/>
      <c r="ICW22" s="3507"/>
      <c r="ICX22" s="3507"/>
      <c r="ICY22" s="3507"/>
      <c r="ICZ22" s="3507"/>
      <c r="IDA22" s="3507"/>
      <c r="IDB22" s="3507"/>
      <c r="IDC22" s="3507"/>
      <c r="IDD22" s="3507"/>
      <c r="IDE22" s="3507"/>
      <c r="IDF22" s="3507"/>
      <c r="IDG22" s="3507"/>
      <c r="IDH22" s="3507"/>
      <c r="IDI22" s="3507"/>
      <c r="IDJ22" s="3507"/>
      <c r="IDK22" s="3507"/>
      <c r="IDL22" s="3507"/>
      <c r="IDM22" s="3507"/>
      <c r="IDN22" s="3507"/>
      <c r="IDO22" s="3507"/>
      <c r="IDP22" s="3507"/>
      <c r="IDQ22" s="3507"/>
      <c r="IDR22" s="3507"/>
      <c r="IDS22" s="3507"/>
      <c r="IDT22" s="3507"/>
      <c r="IDU22" s="3507"/>
      <c r="IDV22" s="3507"/>
      <c r="IDW22" s="3507"/>
      <c r="IDX22" s="3507"/>
      <c r="IDY22" s="3507"/>
      <c r="IDZ22" s="3507"/>
      <c r="IEA22" s="3507"/>
      <c r="IEB22" s="3507"/>
      <c r="IEC22" s="3507"/>
      <c r="IED22" s="3507"/>
      <c r="IEE22" s="3507"/>
      <c r="IEF22" s="3507"/>
      <c r="IEG22" s="3507"/>
      <c r="IEH22" s="3507"/>
      <c r="IEI22" s="3507"/>
      <c r="IEJ22" s="3507"/>
      <c r="IEK22" s="3507"/>
      <c r="IEL22" s="3507"/>
      <c r="IEM22" s="3507"/>
      <c r="IEN22" s="3507"/>
      <c r="IEO22" s="3507"/>
      <c r="IEP22" s="3507"/>
      <c r="IEQ22" s="3507"/>
      <c r="IER22" s="3507"/>
      <c r="IES22" s="3507"/>
      <c r="IET22" s="3507"/>
      <c r="IEU22" s="3507"/>
      <c r="IEV22" s="3507"/>
      <c r="IEW22" s="3507"/>
      <c r="IEX22" s="3507"/>
      <c r="IEY22" s="3507"/>
      <c r="IEZ22" s="3507"/>
      <c r="IFA22" s="3507"/>
      <c r="IFB22" s="3507"/>
      <c r="IFC22" s="3507"/>
      <c r="IFD22" s="3507"/>
      <c r="IFE22" s="3507"/>
      <c r="IFF22" s="3507"/>
      <c r="IFG22" s="3507"/>
      <c r="IFH22" s="3507"/>
      <c r="IFI22" s="3507"/>
      <c r="IFJ22" s="3507"/>
      <c r="IFK22" s="3507"/>
      <c r="IFL22" s="3507"/>
      <c r="IFM22" s="3507"/>
      <c r="IFN22" s="3507"/>
      <c r="IFO22" s="3507"/>
      <c r="IFP22" s="3507"/>
      <c r="IFQ22" s="3507"/>
      <c r="IFR22" s="3507"/>
      <c r="IFS22" s="3507"/>
      <c r="IFT22" s="3507"/>
      <c r="IFU22" s="3507"/>
      <c r="IFV22" s="3507"/>
      <c r="IFW22" s="3507"/>
      <c r="IFX22" s="3507"/>
      <c r="IFY22" s="3507"/>
      <c r="IFZ22" s="3507"/>
      <c r="IGA22" s="3507"/>
      <c r="IGB22" s="3507"/>
      <c r="IGC22" s="3507"/>
      <c r="IGD22" s="3507"/>
      <c r="IGE22" s="3507"/>
      <c r="IGF22" s="3507"/>
      <c r="IGG22" s="3507"/>
      <c r="IGH22" s="3507"/>
      <c r="IGI22" s="3507"/>
      <c r="IGJ22" s="3507"/>
      <c r="IGK22" s="3507"/>
      <c r="IGL22" s="3507"/>
      <c r="IGM22" s="3507"/>
      <c r="IGN22" s="3507"/>
      <c r="IGO22" s="3507"/>
      <c r="IGP22" s="3507"/>
      <c r="IGQ22" s="3507"/>
      <c r="IGR22" s="3507"/>
      <c r="IGS22" s="3507"/>
      <c r="IGT22" s="3507"/>
      <c r="IGU22" s="3507"/>
      <c r="IGV22" s="3507"/>
      <c r="IGW22" s="3507"/>
      <c r="IGX22" s="3507"/>
      <c r="IGY22" s="3507"/>
      <c r="IGZ22" s="3507"/>
      <c r="IHA22" s="3507"/>
      <c r="IHB22" s="3507"/>
      <c r="IHC22" s="3507"/>
      <c r="IHD22" s="3507"/>
      <c r="IHE22" s="3507"/>
      <c r="IHF22" s="3507"/>
      <c r="IHG22" s="3507"/>
      <c r="IHH22" s="3507"/>
      <c r="IHI22" s="3507"/>
      <c r="IHJ22" s="3507"/>
      <c r="IHK22" s="3507"/>
      <c r="IHL22" s="3507"/>
      <c r="IHM22" s="3507"/>
      <c r="IHN22" s="3507"/>
      <c r="IHO22" s="3507"/>
      <c r="IHP22" s="3507"/>
      <c r="IHQ22" s="3507"/>
      <c r="IHR22" s="3507"/>
      <c r="IHS22" s="3507"/>
      <c r="IHT22" s="3507"/>
      <c r="IHU22" s="3507"/>
      <c r="IHV22" s="3507"/>
      <c r="IHW22" s="3507"/>
      <c r="IHX22" s="3507"/>
      <c r="IHY22" s="3507"/>
      <c r="IHZ22" s="3507"/>
      <c r="IIA22" s="3507"/>
      <c r="IIB22" s="3507"/>
      <c r="IIC22" s="3507"/>
      <c r="IID22" s="3507"/>
      <c r="IIE22" s="3507"/>
      <c r="IIF22" s="3507"/>
      <c r="IIG22" s="3507"/>
      <c r="IIH22" s="3507"/>
      <c r="III22" s="3507"/>
      <c r="IIJ22" s="3507"/>
      <c r="IIK22" s="3507"/>
      <c r="IIL22" s="3507"/>
      <c r="IIM22" s="3507"/>
      <c r="IIN22" s="3507"/>
      <c r="IIO22" s="3507"/>
      <c r="IIP22" s="3507"/>
      <c r="IIQ22" s="3507"/>
      <c r="IIR22" s="3507"/>
      <c r="IIS22" s="3507"/>
      <c r="IIT22" s="3507"/>
      <c r="IIU22" s="3507"/>
      <c r="IIV22" s="3507"/>
      <c r="IIW22" s="3507"/>
      <c r="IIX22" s="3507"/>
      <c r="IIY22" s="3507"/>
      <c r="IIZ22" s="3507"/>
      <c r="IJA22" s="3507"/>
      <c r="IJB22" s="3507"/>
      <c r="IJC22" s="3507"/>
      <c r="IJD22" s="3507"/>
      <c r="IJE22" s="3507"/>
      <c r="IJF22" s="3507"/>
      <c r="IJG22" s="3507"/>
      <c r="IJH22" s="3507"/>
      <c r="IJI22" s="3507"/>
      <c r="IJJ22" s="3507"/>
      <c r="IJK22" s="3507"/>
      <c r="IJL22" s="3507"/>
      <c r="IJM22" s="3507"/>
      <c r="IJN22" s="3507"/>
      <c r="IJO22" s="3507"/>
      <c r="IJP22" s="3507"/>
      <c r="IJQ22" s="3507"/>
      <c r="IJR22" s="3507"/>
      <c r="IJS22" s="3507"/>
      <c r="IJT22" s="3507"/>
      <c r="IJU22" s="3507"/>
      <c r="IJV22" s="3507"/>
      <c r="IJW22" s="3507"/>
      <c r="IJX22" s="3507"/>
      <c r="IJY22" s="3507"/>
      <c r="IJZ22" s="3507"/>
      <c r="IKA22" s="3507"/>
      <c r="IKB22" s="3507"/>
      <c r="IKC22" s="3507"/>
      <c r="IKD22" s="3507"/>
      <c r="IKE22" s="3507"/>
      <c r="IKF22" s="3507"/>
      <c r="IKG22" s="3507"/>
      <c r="IKH22" s="3507"/>
      <c r="IKI22" s="3507"/>
      <c r="IKJ22" s="3507"/>
      <c r="IKK22" s="3507"/>
      <c r="IKL22" s="3507"/>
      <c r="IKM22" s="3507"/>
      <c r="IKN22" s="3507"/>
      <c r="IKO22" s="3507"/>
      <c r="IKP22" s="3507"/>
      <c r="IKQ22" s="3507"/>
      <c r="IKR22" s="3507"/>
      <c r="IKS22" s="3507"/>
      <c r="IKT22" s="3507"/>
      <c r="IKU22" s="3507"/>
      <c r="IKV22" s="3507"/>
      <c r="IKW22" s="3507"/>
      <c r="IKX22" s="3507"/>
      <c r="IKY22" s="3507"/>
      <c r="IKZ22" s="3507"/>
      <c r="ILA22" s="3507"/>
      <c r="ILB22" s="3507"/>
      <c r="ILC22" s="3507"/>
      <c r="ILD22" s="3507"/>
      <c r="ILE22" s="3507"/>
      <c r="ILF22" s="3507"/>
      <c r="ILG22" s="3507"/>
      <c r="ILH22" s="3507"/>
      <c r="ILI22" s="3507"/>
      <c r="ILJ22" s="3507"/>
      <c r="ILK22" s="3507"/>
      <c r="ILL22" s="3507"/>
      <c r="ILM22" s="3507"/>
      <c r="ILN22" s="3507"/>
      <c r="ILO22" s="3507"/>
      <c r="ILP22" s="3507"/>
      <c r="ILQ22" s="3507"/>
      <c r="ILR22" s="3507"/>
      <c r="ILS22" s="3507"/>
      <c r="ILT22" s="3507"/>
      <c r="ILU22" s="3507"/>
      <c r="ILV22" s="3507"/>
      <c r="ILW22" s="3507"/>
      <c r="ILX22" s="3507"/>
      <c r="ILY22" s="3507"/>
      <c r="ILZ22" s="3507"/>
      <c r="IMA22" s="3507"/>
      <c r="IMB22" s="3507"/>
      <c r="IMC22" s="3507"/>
      <c r="IMD22" s="3507"/>
      <c r="IME22" s="3507"/>
      <c r="IMF22" s="3507"/>
      <c r="IMG22" s="3507"/>
      <c r="IMH22" s="3507"/>
      <c r="IMI22" s="3507"/>
      <c r="IMJ22" s="3507"/>
      <c r="IMK22" s="3507"/>
      <c r="IML22" s="3507"/>
      <c r="IMM22" s="3507"/>
      <c r="IMN22" s="3507"/>
      <c r="IMO22" s="3507"/>
      <c r="IMP22" s="3507"/>
      <c r="IMQ22" s="3507"/>
      <c r="IMR22" s="3507"/>
      <c r="IMS22" s="3507"/>
      <c r="IMT22" s="3507"/>
      <c r="IMU22" s="3507"/>
      <c r="IMV22" s="3507"/>
      <c r="IMW22" s="3507"/>
      <c r="IMX22" s="3507"/>
      <c r="IMY22" s="3507"/>
      <c r="IMZ22" s="3507"/>
      <c r="INA22" s="3507"/>
      <c r="INB22" s="3507"/>
      <c r="INC22" s="3507"/>
      <c r="IND22" s="3507"/>
      <c r="INE22" s="3507"/>
      <c r="INF22" s="3507"/>
      <c r="ING22" s="3507"/>
      <c r="INH22" s="3507"/>
      <c r="INI22" s="3507"/>
      <c r="INJ22" s="3507"/>
      <c r="INK22" s="3507"/>
      <c r="INL22" s="3507"/>
      <c r="INM22" s="3507"/>
      <c r="INN22" s="3507"/>
      <c r="INO22" s="3507"/>
      <c r="INP22" s="3507"/>
      <c r="INQ22" s="3507"/>
      <c r="INR22" s="3507"/>
      <c r="INS22" s="3507"/>
      <c r="INT22" s="3507"/>
      <c r="INU22" s="3507"/>
      <c r="INV22" s="3507"/>
      <c r="INW22" s="3507"/>
      <c r="INX22" s="3507"/>
      <c r="INY22" s="3507"/>
      <c r="INZ22" s="3507"/>
      <c r="IOA22" s="3507"/>
      <c r="IOB22" s="3507"/>
      <c r="IOC22" s="3507"/>
      <c r="IOD22" s="3507"/>
      <c r="IOE22" s="3507"/>
      <c r="IOF22" s="3507"/>
      <c r="IOG22" s="3507"/>
      <c r="IOH22" s="3507"/>
      <c r="IOI22" s="3507"/>
      <c r="IOJ22" s="3507"/>
      <c r="IOK22" s="3507"/>
      <c r="IOL22" s="3507"/>
      <c r="IOM22" s="3507"/>
      <c r="ION22" s="3507"/>
      <c r="IOO22" s="3507"/>
      <c r="IOP22" s="3507"/>
      <c r="IOQ22" s="3507"/>
      <c r="IOR22" s="3507"/>
      <c r="IOS22" s="3507"/>
      <c r="IOT22" s="3507"/>
      <c r="IOU22" s="3507"/>
      <c r="IOV22" s="3507"/>
      <c r="IOW22" s="3507"/>
      <c r="IOX22" s="3507"/>
      <c r="IOY22" s="3507"/>
      <c r="IOZ22" s="3507"/>
      <c r="IPA22" s="3507"/>
      <c r="IPB22" s="3507"/>
      <c r="IPC22" s="3507"/>
      <c r="IPD22" s="3507"/>
      <c r="IPE22" s="3507"/>
      <c r="IPF22" s="3507"/>
      <c r="IPG22" s="3507"/>
      <c r="IPH22" s="3507"/>
      <c r="IPI22" s="3507"/>
      <c r="IPJ22" s="3507"/>
      <c r="IPK22" s="3507"/>
      <c r="IPL22" s="3507"/>
      <c r="IPM22" s="3507"/>
      <c r="IPN22" s="3507"/>
      <c r="IPO22" s="3507"/>
      <c r="IPP22" s="3507"/>
      <c r="IPQ22" s="3507"/>
      <c r="IPR22" s="3507"/>
      <c r="IPS22" s="3507"/>
      <c r="IPT22" s="3507"/>
      <c r="IPU22" s="3507"/>
      <c r="IPV22" s="3507"/>
      <c r="IPW22" s="3507"/>
      <c r="IPX22" s="3507"/>
      <c r="IPY22" s="3507"/>
      <c r="IPZ22" s="3507"/>
      <c r="IQA22" s="3507"/>
      <c r="IQB22" s="3507"/>
      <c r="IQC22" s="3507"/>
      <c r="IQD22" s="3507"/>
      <c r="IQE22" s="3507"/>
      <c r="IQF22" s="3507"/>
      <c r="IQG22" s="3507"/>
      <c r="IQH22" s="3507"/>
      <c r="IQI22" s="3507"/>
      <c r="IQJ22" s="3507"/>
      <c r="IQK22" s="3507"/>
      <c r="IQL22" s="3507"/>
      <c r="IQM22" s="3507"/>
      <c r="IQN22" s="3507"/>
      <c r="IQO22" s="3507"/>
      <c r="IQP22" s="3507"/>
      <c r="IQQ22" s="3507"/>
      <c r="IQR22" s="3507"/>
      <c r="IQS22" s="3507"/>
      <c r="IQT22" s="3507"/>
      <c r="IQU22" s="3507"/>
      <c r="IQV22" s="3507"/>
      <c r="IQW22" s="3507"/>
      <c r="IQX22" s="3507"/>
      <c r="IQY22" s="3507"/>
      <c r="IQZ22" s="3507"/>
      <c r="IRA22" s="3507"/>
      <c r="IRB22" s="3507"/>
      <c r="IRC22" s="3507"/>
      <c r="IRD22" s="3507"/>
      <c r="IRE22" s="3507"/>
      <c r="IRF22" s="3507"/>
      <c r="IRG22" s="3507"/>
      <c r="IRH22" s="3507"/>
      <c r="IRI22" s="3507"/>
      <c r="IRJ22" s="3507"/>
      <c r="IRK22" s="3507"/>
      <c r="IRL22" s="3507"/>
      <c r="IRM22" s="3507"/>
      <c r="IRN22" s="3507"/>
      <c r="IRO22" s="3507"/>
      <c r="IRP22" s="3507"/>
      <c r="IRQ22" s="3507"/>
      <c r="IRR22" s="3507"/>
      <c r="IRS22" s="3507"/>
      <c r="IRT22" s="3507"/>
      <c r="IRU22" s="3507"/>
      <c r="IRV22" s="3507"/>
      <c r="IRW22" s="3507"/>
      <c r="IRX22" s="3507"/>
      <c r="IRY22" s="3507"/>
      <c r="IRZ22" s="3507"/>
      <c r="ISA22" s="3507"/>
      <c r="ISB22" s="3507"/>
      <c r="ISC22" s="3507"/>
      <c r="ISD22" s="3507"/>
      <c r="ISE22" s="3507"/>
      <c r="ISF22" s="3507"/>
      <c r="ISG22" s="3507"/>
      <c r="ISH22" s="3507"/>
      <c r="ISI22" s="3507"/>
      <c r="ISJ22" s="3507"/>
      <c r="ISK22" s="3507"/>
      <c r="ISL22" s="3507"/>
      <c r="ISM22" s="3507"/>
      <c r="ISN22" s="3507"/>
      <c r="ISO22" s="3507"/>
      <c r="ISP22" s="3507"/>
      <c r="ISQ22" s="3507"/>
      <c r="ISR22" s="3507"/>
      <c r="ISS22" s="3507"/>
      <c r="IST22" s="3507"/>
      <c r="ISU22" s="3507"/>
      <c r="ISV22" s="3507"/>
      <c r="ISW22" s="3507"/>
      <c r="ISX22" s="3507"/>
      <c r="ISY22" s="3507"/>
      <c r="ISZ22" s="3507"/>
      <c r="ITA22" s="3507"/>
      <c r="ITB22" s="3507"/>
      <c r="ITC22" s="3507"/>
      <c r="ITD22" s="3507"/>
      <c r="ITE22" s="3507"/>
      <c r="ITF22" s="3507"/>
      <c r="ITG22" s="3507"/>
      <c r="ITH22" s="3507"/>
      <c r="ITI22" s="3507"/>
      <c r="ITJ22" s="3507"/>
      <c r="ITK22" s="3507"/>
      <c r="ITL22" s="3507"/>
      <c r="ITM22" s="3507"/>
      <c r="ITN22" s="3507"/>
      <c r="ITO22" s="3507"/>
      <c r="ITP22" s="3507"/>
      <c r="ITQ22" s="3507"/>
      <c r="ITR22" s="3507"/>
      <c r="ITS22" s="3507"/>
      <c r="ITT22" s="3507"/>
      <c r="ITU22" s="3507"/>
      <c r="ITV22" s="3507"/>
      <c r="ITW22" s="3507"/>
      <c r="ITX22" s="3507"/>
      <c r="ITY22" s="3507"/>
      <c r="ITZ22" s="3507"/>
      <c r="IUA22" s="3507"/>
      <c r="IUB22" s="3507"/>
      <c r="IUC22" s="3507"/>
      <c r="IUD22" s="3507"/>
      <c r="IUE22" s="3507"/>
      <c r="IUF22" s="3507"/>
      <c r="IUG22" s="3507"/>
      <c r="IUH22" s="3507"/>
      <c r="IUI22" s="3507"/>
      <c r="IUJ22" s="3507"/>
      <c r="IUK22" s="3507"/>
      <c r="IUL22" s="3507"/>
      <c r="IUM22" s="3507"/>
      <c r="IUN22" s="3507"/>
      <c r="IUO22" s="3507"/>
      <c r="IUP22" s="3507"/>
      <c r="IUQ22" s="3507"/>
      <c r="IUR22" s="3507"/>
      <c r="IUS22" s="3507"/>
      <c r="IUT22" s="3507"/>
      <c r="IUU22" s="3507"/>
      <c r="IUV22" s="3507"/>
      <c r="IUW22" s="3507"/>
      <c r="IUX22" s="3507"/>
      <c r="IUY22" s="3507"/>
      <c r="IUZ22" s="3507"/>
      <c r="IVA22" s="3507"/>
      <c r="IVB22" s="3507"/>
      <c r="IVC22" s="3507"/>
      <c r="IVD22" s="3507"/>
      <c r="IVE22" s="3507"/>
      <c r="IVF22" s="3507"/>
      <c r="IVG22" s="3507"/>
      <c r="IVH22" s="3507"/>
      <c r="IVI22" s="3507"/>
      <c r="IVJ22" s="3507"/>
      <c r="IVK22" s="3507"/>
      <c r="IVL22" s="3507"/>
      <c r="IVM22" s="3507"/>
      <c r="IVN22" s="3507"/>
      <c r="IVO22" s="3507"/>
      <c r="IVP22" s="3507"/>
      <c r="IVQ22" s="3507"/>
      <c r="IVR22" s="3507"/>
      <c r="IVS22" s="3507"/>
      <c r="IVT22" s="3507"/>
      <c r="IVU22" s="3507"/>
      <c r="IVV22" s="3507"/>
      <c r="IVW22" s="3507"/>
      <c r="IVX22" s="3507"/>
      <c r="IVY22" s="3507"/>
      <c r="IVZ22" s="3507"/>
      <c r="IWA22" s="3507"/>
      <c r="IWB22" s="3507"/>
      <c r="IWC22" s="3507"/>
      <c r="IWD22" s="3507"/>
      <c r="IWE22" s="3507"/>
      <c r="IWF22" s="3507"/>
      <c r="IWG22" s="3507"/>
      <c r="IWH22" s="3507"/>
      <c r="IWI22" s="3507"/>
      <c r="IWJ22" s="3507"/>
      <c r="IWK22" s="3507"/>
      <c r="IWL22" s="3507"/>
      <c r="IWM22" s="3507"/>
      <c r="IWN22" s="3507"/>
      <c r="IWO22" s="3507"/>
      <c r="IWP22" s="3507"/>
      <c r="IWQ22" s="3507"/>
      <c r="IWR22" s="3507"/>
      <c r="IWS22" s="3507"/>
      <c r="IWT22" s="3507"/>
      <c r="IWU22" s="3507"/>
      <c r="IWV22" s="3507"/>
      <c r="IWW22" s="3507"/>
      <c r="IWX22" s="3507"/>
      <c r="IWY22" s="3507"/>
      <c r="IWZ22" s="3507"/>
      <c r="IXA22" s="3507"/>
      <c r="IXB22" s="3507"/>
      <c r="IXC22" s="3507"/>
      <c r="IXD22" s="3507"/>
      <c r="IXE22" s="3507"/>
      <c r="IXF22" s="3507"/>
      <c r="IXG22" s="3507"/>
      <c r="IXH22" s="3507"/>
      <c r="IXI22" s="3507"/>
      <c r="IXJ22" s="3507"/>
      <c r="IXK22" s="3507"/>
      <c r="IXL22" s="3507"/>
      <c r="IXM22" s="3507"/>
      <c r="IXN22" s="3507"/>
      <c r="IXO22" s="3507"/>
      <c r="IXP22" s="3507"/>
      <c r="IXQ22" s="3507"/>
      <c r="IXR22" s="3507"/>
      <c r="IXS22" s="3507"/>
      <c r="IXT22" s="3507"/>
      <c r="IXU22" s="3507"/>
      <c r="IXV22" s="3507"/>
      <c r="IXW22" s="3507"/>
      <c r="IXX22" s="3507"/>
      <c r="IXY22" s="3507"/>
      <c r="IXZ22" s="3507"/>
      <c r="IYA22" s="3507"/>
      <c r="IYB22" s="3507"/>
      <c r="IYC22" s="3507"/>
      <c r="IYD22" s="3507"/>
      <c r="IYE22" s="3507"/>
      <c r="IYF22" s="3507"/>
      <c r="IYG22" s="3507"/>
      <c r="IYH22" s="3507"/>
      <c r="IYI22" s="3507"/>
      <c r="IYJ22" s="3507"/>
      <c r="IYK22" s="3507"/>
      <c r="IYL22" s="3507"/>
      <c r="IYM22" s="3507"/>
      <c r="IYN22" s="3507"/>
      <c r="IYO22" s="3507"/>
      <c r="IYP22" s="3507"/>
      <c r="IYQ22" s="3507"/>
      <c r="IYR22" s="3507"/>
      <c r="IYS22" s="3507"/>
      <c r="IYT22" s="3507"/>
      <c r="IYU22" s="3507"/>
      <c r="IYV22" s="3507"/>
      <c r="IYW22" s="3507"/>
      <c r="IYX22" s="3507"/>
      <c r="IYY22" s="3507"/>
      <c r="IYZ22" s="3507"/>
      <c r="IZA22" s="3507"/>
      <c r="IZB22" s="3507"/>
      <c r="IZC22" s="3507"/>
      <c r="IZD22" s="3507"/>
      <c r="IZE22" s="3507"/>
      <c r="IZF22" s="3507"/>
      <c r="IZG22" s="3507"/>
      <c r="IZH22" s="3507"/>
      <c r="IZI22" s="3507"/>
      <c r="IZJ22" s="3507"/>
      <c r="IZK22" s="3507"/>
      <c r="IZL22" s="3507"/>
      <c r="IZM22" s="3507"/>
      <c r="IZN22" s="3507"/>
      <c r="IZO22" s="3507"/>
      <c r="IZP22" s="3507"/>
      <c r="IZQ22" s="3507"/>
      <c r="IZR22" s="3507"/>
      <c r="IZS22" s="3507"/>
      <c r="IZT22" s="3507"/>
      <c r="IZU22" s="3507"/>
      <c r="IZV22" s="3507"/>
      <c r="IZW22" s="3507"/>
      <c r="IZX22" s="3507"/>
      <c r="IZY22" s="3507"/>
      <c r="IZZ22" s="3507"/>
      <c r="JAA22" s="3507"/>
      <c r="JAB22" s="3507"/>
      <c r="JAC22" s="3507"/>
      <c r="JAD22" s="3507"/>
      <c r="JAE22" s="3507"/>
      <c r="JAF22" s="3507"/>
      <c r="JAG22" s="3507"/>
      <c r="JAH22" s="3507"/>
      <c r="JAI22" s="3507"/>
      <c r="JAJ22" s="3507"/>
      <c r="JAK22" s="3507"/>
      <c r="JAL22" s="3507"/>
      <c r="JAM22" s="3507"/>
      <c r="JAN22" s="3507"/>
      <c r="JAO22" s="3507"/>
      <c r="JAP22" s="3507"/>
      <c r="JAQ22" s="3507"/>
      <c r="JAR22" s="3507"/>
      <c r="JAS22" s="3507"/>
      <c r="JAT22" s="3507"/>
      <c r="JAU22" s="3507"/>
      <c r="JAV22" s="3507"/>
      <c r="JAW22" s="3507"/>
      <c r="JAX22" s="3507"/>
      <c r="JAY22" s="3507"/>
      <c r="JAZ22" s="3507"/>
      <c r="JBA22" s="3507"/>
      <c r="JBB22" s="3507"/>
      <c r="JBC22" s="3507"/>
      <c r="JBD22" s="3507"/>
      <c r="JBE22" s="3507"/>
      <c r="JBF22" s="3507"/>
      <c r="JBG22" s="3507"/>
      <c r="JBH22" s="3507"/>
      <c r="JBI22" s="3507"/>
      <c r="JBJ22" s="3507"/>
      <c r="JBK22" s="3507"/>
      <c r="JBL22" s="3507"/>
      <c r="JBM22" s="3507"/>
      <c r="JBN22" s="3507"/>
      <c r="JBO22" s="3507"/>
      <c r="JBP22" s="3507"/>
      <c r="JBQ22" s="3507"/>
      <c r="JBR22" s="3507"/>
      <c r="JBS22" s="3507"/>
      <c r="JBT22" s="3507"/>
      <c r="JBU22" s="3507"/>
      <c r="JBV22" s="3507"/>
      <c r="JBW22" s="3507"/>
      <c r="JBX22" s="3507"/>
      <c r="JBY22" s="3507"/>
      <c r="JBZ22" s="3507"/>
      <c r="JCA22" s="3507"/>
      <c r="JCB22" s="3507"/>
      <c r="JCC22" s="3507"/>
      <c r="JCD22" s="3507"/>
      <c r="JCE22" s="3507"/>
      <c r="JCF22" s="3507"/>
      <c r="JCG22" s="3507"/>
      <c r="JCH22" s="3507"/>
      <c r="JCI22" s="3507"/>
      <c r="JCJ22" s="3507"/>
      <c r="JCK22" s="3507"/>
      <c r="JCL22" s="3507"/>
      <c r="JCM22" s="3507"/>
      <c r="JCN22" s="3507"/>
      <c r="JCO22" s="3507"/>
      <c r="JCP22" s="3507"/>
      <c r="JCQ22" s="3507"/>
      <c r="JCR22" s="3507"/>
      <c r="JCS22" s="3507"/>
      <c r="JCT22" s="3507"/>
      <c r="JCU22" s="3507"/>
      <c r="JCV22" s="3507"/>
      <c r="JCW22" s="3507"/>
      <c r="JCX22" s="3507"/>
      <c r="JCY22" s="3507"/>
      <c r="JCZ22" s="3507"/>
      <c r="JDA22" s="3507"/>
      <c r="JDB22" s="3507"/>
      <c r="JDC22" s="3507"/>
      <c r="JDD22" s="3507"/>
      <c r="JDE22" s="3507"/>
      <c r="JDF22" s="3507"/>
      <c r="JDG22" s="3507"/>
      <c r="JDH22" s="3507"/>
      <c r="JDI22" s="3507"/>
      <c r="JDJ22" s="3507"/>
      <c r="JDK22" s="3507"/>
      <c r="JDL22" s="3507"/>
      <c r="JDM22" s="3507"/>
      <c r="JDN22" s="3507"/>
      <c r="JDO22" s="3507"/>
      <c r="JDP22" s="3507"/>
      <c r="JDQ22" s="3507"/>
      <c r="JDR22" s="3507"/>
      <c r="JDS22" s="3507"/>
      <c r="JDT22" s="3507"/>
      <c r="JDU22" s="3507"/>
      <c r="JDV22" s="3507"/>
      <c r="JDW22" s="3507"/>
      <c r="JDX22" s="3507"/>
      <c r="JDY22" s="3507"/>
      <c r="JDZ22" s="3507"/>
      <c r="JEA22" s="3507"/>
      <c r="JEB22" s="3507"/>
      <c r="JEC22" s="3507"/>
      <c r="JED22" s="3507"/>
      <c r="JEE22" s="3507"/>
      <c r="JEF22" s="3507"/>
      <c r="JEG22" s="3507"/>
      <c r="JEH22" s="3507"/>
      <c r="JEI22" s="3507"/>
      <c r="JEJ22" s="3507"/>
      <c r="JEK22" s="3507"/>
      <c r="JEL22" s="3507"/>
      <c r="JEM22" s="3507"/>
      <c r="JEN22" s="3507"/>
      <c r="JEO22" s="3507"/>
      <c r="JEP22" s="3507"/>
      <c r="JEQ22" s="3507"/>
      <c r="JER22" s="3507"/>
      <c r="JES22" s="3507"/>
      <c r="JET22" s="3507"/>
      <c r="JEU22" s="3507"/>
      <c r="JEV22" s="3507"/>
      <c r="JEW22" s="3507"/>
      <c r="JEX22" s="3507"/>
      <c r="JEY22" s="3507"/>
      <c r="JEZ22" s="3507"/>
      <c r="JFA22" s="3507"/>
      <c r="JFB22" s="3507"/>
      <c r="JFC22" s="3507"/>
      <c r="JFD22" s="3507"/>
      <c r="JFE22" s="3507"/>
      <c r="JFF22" s="3507"/>
      <c r="JFG22" s="3507"/>
      <c r="JFH22" s="3507"/>
      <c r="JFI22" s="3507"/>
      <c r="JFJ22" s="3507"/>
      <c r="JFK22" s="3507"/>
      <c r="JFL22" s="3507"/>
      <c r="JFM22" s="3507"/>
      <c r="JFN22" s="3507"/>
      <c r="JFO22" s="3507"/>
      <c r="JFP22" s="3507"/>
      <c r="JFQ22" s="3507"/>
      <c r="JFR22" s="3507"/>
      <c r="JFS22" s="3507"/>
      <c r="JFT22" s="3507"/>
      <c r="JFU22" s="3507"/>
      <c r="JFV22" s="3507"/>
      <c r="JFW22" s="3507"/>
      <c r="JFX22" s="3507"/>
      <c r="JFY22" s="3507"/>
      <c r="JFZ22" s="3507"/>
      <c r="JGA22" s="3507"/>
      <c r="JGB22" s="3507"/>
      <c r="JGC22" s="3507"/>
      <c r="JGD22" s="3507"/>
      <c r="JGE22" s="3507"/>
      <c r="JGF22" s="3507"/>
      <c r="JGG22" s="3507"/>
      <c r="JGH22" s="3507"/>
      <c r="JGI22" s="3507"/>
      <c r="JGJ22" s="3507"/>
      <c r="JGK22" s="3507"/>
      <c r="JGL22" s="3507"/>
      <c r="JGM22" s="3507"/>
      <c r="JGN22" s="3507"/>
      <c r="JGO22" s="3507"/>
      <c r="JGP22" s="3507"/>
      <c r="JGQ22" s="3507"/>
      <c r="JGR22" s="3507"/>
      <c r="JGS22" s="3507"/>
      <c r="JGT22" s="3507"/>
      <c r="JGU22" s="3507"/>
      <c r="JGV22" s="3507"/>
      <c r="JGW22" s="3507"/>
      <c r="JGX22" s="3507"/>
      <c r="JGY22" s="3507"/>
      <c r="JGZ22" s="3507"/>
      <c r="JHA22" s="3507"/>
      <c r="JHB22" s="3507"/>
      <c r="JHC22" s="3507"/>
      <c r="JHD22" s="3507"/>
      <c r="JHE22" s="3507"/>
      <c r="JHF22" s="3507"/>
      <c r="JHG22" s="3507"/>
      <c r="JHH22" s="3507"/>
      <c r="JHI22" s="3507"/>
      <c r="JHJ22" s="3507"/>
      <c r="JHK22" s="3507"/>
      <c r="JHL22" s="3507"/>
      <c r="JHM22" s="3507"/>
      <c r="JHN22" s="3507"/>
      <c r="JHO22" s="3507"/>
      <c r="JHP22" s="3507"/>
      <c r="JHQ22" s="3507"/>
      <c r="JHR22" s="3507"/>
      <c r="JHS22" s="3507"/>
      <c r="JHT22" s="3507"/>
      <c r="JHU22" s="3507"/>
      <c r="JHV22" s="3507"/>
      <c r="JHW22" s="3507"/>
      <c r="JHX22" s="3507"/>
      <c r="JHY22" s="3507"/>
      <c r="JHZ22" s="3507"/>
      <c r="JIA22" s="3507"/>
      <c r="JIB22" s="3507"/>
      <c r="JIC22" s="3507"/>
      <c r="JID22" s="3507"/>
      <c r="JIE22" s="3507"/>
      <c r="JIF22" s="3507"/>
      <c r="JIG22" s="3507"/>
      <c r="JIH22" s="3507"/>
      <c r="JII22" s="3507"/>
      <c r="JIJ22" s="3507"/>
      <c r="JIK22" s="3507"/>
      <c r="JIL22" s="3507"/>
      <c r="JIM22" s="3507"/>
      <c r="JIN22" s="3507"/>
      <c r="JIO22" s="3507"/>
      <c r="JIP22" s="3507"/>
      <c r="JIQ22" s="3507"/>
      <c r="JIR22" s="3507"/>
      <c r="JIS22" s="3507"/>
      <c r="JIT22" s="3507"/>
      <c r="JIU22" s="3507"/>
      <c r="JIV22" s="3507"/>
      <c r="JIW22" s="3507"/>
      <c r="JIX22" s="3507"/>
      <c r="JIY22" s="3507"/>
      <c r="JIZ22" s="3507"/>
      <c r="JJA22" s="3507"/>
      <c r="JJB22" s="3507"/>
      <c r="JJC22" s="3507"/>
      <c r="JJD22" s="3507"/>
      <c r="JJE22" s="3507"/>
      <c r="JJF22" s="3507"/>
      <c r="JJG22" s="3507"/>
      <c r="JJH22" s="3507"/>
      <c r="JJI22" s="3507"/>
      <c r="JJJ22" s="3507"/>
      <c r="JJK22" s="3507"/>
      <c r="JJL22" s="3507"/>
      <c r="JJM22" s="3507"/>
      <c r="JJN22" s="3507"/>
      <c r="JJO22" s="3507"/>
      <c r="JJP22" s="3507"/>
      <c r="JJQ22" s="3507"/>
      <c r="JJR22" s="3507"/>
      <c r="JJS22" s="3507"/>
      <c r="JJT22" s="3507"/>
      <c r="JJU22" s="3507"/>
      <c r="JJV22" s="3507"/>
      <c r="JJW22" s="3507"/>
      <c r="JJX22" s="3507"/>
      <c r="JJY22" s="3507"/>
      <c r="JJZ22" s="3507"/>
      <c r="JKA22" s="3507"/>
      <c r="JKB22" s="3507"/>
      <c r="JKC22" s="3507"/>
      <c r="JKD22" s="3507"/>
      <c r="JKE22" s="3507"/>
      <c r="JKF22" s="3507"/>
      <c r="JKG22" s="3507"/>
      <c r="JKH22" s="3507"/>
      <c r="JKI22" s="3507"/>
      <c r="JKJ22" s="3507"/>
      <c r="JKK22" s="3507"/>
      <c r="JKL22" s="3507"/>
      <c r="JKM22" s="3507"/>
      <c r="JKN22" s="3507"/>
      <c r="JKO22" s="3507"/>
      <c r="JKP22" s="3507"/>
      <c r="JKQ22" s="3507"/>
      <c r="JKR22" s="3507"/>
      <c r="JKS22" s="3507"/>
      <c r="JKT22" s="3507"/>
      <c r="JKU22" s="3507"/>
      <c r="JKV22" s="3507"/>
      <c r="JKW22" s="3507"/>
      <c r="JKX22" s="3507"/>
      <c r="JKY22" s="3507"/>
      <c r="JKZ22" s="3507"/>
      <c r="JLA22" s="3507"/>
      <c r="JLB22" s="3507"/>
      <c r="JLC22" s="3507"/>
      <c r="JLD22" s="3507"/>
      <c r="JLE22" s="3507"/>
      <c r="JLF22" s="3507"/>
      <c r="JLG22" s="3507"/>
      <c r="JLH22" s="3507"/>
      <c r="JLI22" s="3507"/>
      <c r="JLJ22" s="3507"/>
      <c r="JLK22" s="3507"/>
      <c r="JLL22" s="3507"/>
      <c r="JLM22" s="3507"/>
      <c r="JLN22" s="3507"/>
      <c r="JLO22" s="3507"/>
      <c r="JLP22" s="3507"/>
      <c r="JLQ22" s="3507"/>
      <c r="JLR22" s="3507"/>
      <c r="JLS22" s="3507"/>
      <c r="JLT22" s="3507"/>
      <c r="JLU22" s="3507"/>
      <c r="JLV22" s="3507"/>
      <c r="JLW22" s="3507"/>
      <c r="JLX22" s="3507"/>
      <c r="JLY22" s="3507"/>
      <c r="JLZ22" s="3507"/>
      <c r="JMA22" s="3507"/>
      <c r="JMB22" s="3507"/>
      <c r="JMC22" s="3507"/>
      <c r="JMD22" s="3507"/>
      <c r="JME22" s="3507"/>
      <c r="JMF22" s="3507"/>
      <c r="JMG22" s="3507"/>
      <c r="JMH22" s="3507"/>
      <c r="JMI22" s="3507"/>
      <c r="JMJ22" s="3507"/>
      <c r="JMK22" s="3507"/>
      <c r="JML22" s="3507"/>
      <c r="JMM22" s="3507"/>
      <c r="JMN22" s="3507"/>
      <c r="JMO22" s="3507"/>
      <c r="JMP22" s="3507"/>
      <c r="JMQ22" s="3507"/>
      <c r="JMR22" s="3507"/>
      <c r="JMS22" s="3507"/>
      <c r="JMT22" s="3507"/>
      <c r="JMU22" s="3507"/>
      <c r="JMV22" s="3507"/>
      <c r="JMW22" s="3507"/>
      <c r="JMX22" s="3507"/>
      <c r="JMY22" s="3507"/>
      <c r="JMZ22" s="3507"/>
      <c r="JNA22" s="3507"/>
      <c r="JNB22" s="3507"/>
      <c r="JNC22" s="3507"/>
      <c r="JND22" s="3507"/>
      <c r="JNE22" s="3507"/>
      <c r="JNF22" s="3507"/>
      <c r="JNG22" s="3507"/>
      <c r="JNH22" s="3507"/>
      <c r="JNI22" s="3507"/>
      <c r="JNJ22" s="3507"/>
      <c r="JNK22" s="3507"/>
      <c r="JNL22" s="3507"/>
      <c r="JNM22" s="3507"/>
      <c r="JNN22" s="3507"/>
      <c r="JNO22" s="3507"/>
      <c r="JNP22" s="3507"/>
      <c r="JNQ22" s="3507"/>
      <c r="JNR22" s="3507"/>
      <c r="JNS22" s="3507"/>
      <c r="JNT22" s="3507"/>
      <c r="JNU22" s="3507"/>
      <c r="JNV22" s="3507"/>
      <c r="JNW22" s="3507"/>
      <c r="JNX22" s="3507"/>
      <c r="JNY22" s="3507"/>
      <c r="JNZ22" s="3507"/>
      <c r="JOA22" s="3507"/>
      <c r="JOB22" s="3507"/>
      <c r="JOC22" s="3507"/>
      <c r="JOD22" s="3507"/>
      <c r="JOE22" s="3507"/>
      <c r="JOF22" s="3507"/>
      <c r="JOG22" s="3507"/>
      <c r="JOH22" s="3507"/>
      <c r="JOI22" s="3507"/>
      <c r="JOJ22" s="3507"/>
      <c r="JOK22" s="3507"/>
      <c r="JOL22" s="3507"/>
      <c r="JOM22" s="3507"/>
      <c r="JON22" s="3507"/>
      <c r="JOO22" s="3507"/>
      <c r="JOP22" s="3507"/>
      <c r="JOQ22" s="3507"/>
      <c r="JOR22" s="3507"/>
      <c r="JOS22" s="3507"/>
      <c r="JOT22" s="3507"/>
      <c r="JOU22" s="3507"/>
      <c r="JOV22" s="3507"/>
      <c r="JOW22" s="3507"/>
      <c r="JOX22" s="3507"/>
      <c r="JOY22" s="3507"/>
      <c r="JOZ22" s="3507"/>
      <c r="JPA22" s="3507"/>
      <c r="JPB22" s="3507"/>
      <c r="JPC22" s="3507"/>
      <c r="JPD22" s="3507"/>
      <c r="JPE22" s="3507"/>
      <c r="JPF22" s="3507"/>
      <c r="JPG22" s="3507"/>
      <c r="JPH22" s="3507"/>
      <c r="JPI22" s="3507"/>
      <c r="JPJ22" s="3507"/>
      <c r="JPK22" s="3507"/>
      <c r="JPL22" s="3507"/>
      <c r="JPM22" s="3507"/>
      <c r="JPN22" s="3507"/>
      <c r="JPO22" s="3507"/>
      <c r="JPP22" s="3507"/>
      <c r="JPQ22" s="3507"/>
      <c r="JPR22" s="3507"/>
      <c r="JPS22" s="3507"/>
      <c r="JPT22" s="3507"/>
      <c r="JPU22" s="3507"/>
      <c r="JPV22" s="3507"/>
      <c r="JPW22" s="3507"/>
      <c r="JPX22" s="3507"/>
      <c r="JPY22" s="3507"/>
      <c r="JPZ22" s="3507"/>
      <c r="JQA22" s="3507"/>
      <c r="JQB22" s="3507"/>
      <c r="JQC22" s="3507"/>
      <c r="JQD22" s="3507"/>
      <c r="JQE22" s="3507"/>
      <c r="JQF22" s="3507"/>
      <c r="JQG22" s="3507"/>
      <c r="JQH22" s="3507"/>
      <c r="JQI22" s="3507"/>
      <c r="JQJ22" s="3507"/>
      <c r="JQK22" s="3507"/>
      <c r="JQL22" s="3507"/>
      <c r="JQM22" s="3507"/>
      <c r="JQN22" s="3507"/>
      <c r="JQO22" s="3507"/>
      <c r="JQP22" s="3507"/>
      <c r="JQQ22" s="3507"/>
      <c r="JQR22" s="3507"/>
      <c r="JQS22" s="3507"/>
      <c r="JQT22" s="3507"/>
      <c r="JQU22" s="3507"/>
      <c r="JQV22" s="3507"/>
      <c r="JQW22" s="3507"/>
      <c r="JQX22" s="3507"/>
      <c r="JQY22" s="3507"/>
      <c r="JQZ22" s="3507"/>
      <c r="JRA22" s="3507"/>
      <c r="JRB22" s="3507"/>
      <c r="JRC22" s="3507"/>
      <c r="JRD22" s="3507"/>
      <c r="JRE22" s="3507"/>
      <c r="JRF22" s="3507"/>
      <c r="JRG22" s="3507"/>
      <c r="JRH22" s="3507"/>
      <c r="JRI22" s="3507"/>
      <c r="JRJ22" s="3507"/>
      <c r="JRK22" s="3507"/>
      <c r="JRL22" s="3507"/>
      <c r="JRM22" s="3507"/>
      <c r="JRN22" s="3507"/>
      <c r="JRO22" s="3507"/>
      <c r="JRP22" s="3507"/>
      <c r="JRQ22" s="3507"/>
      <c r="JRR22" s="3507"/>
      <c r="JRS22" s="3507"/>
      <c r="JRT22" s="3507"/>
      <c r="JRU22" s="3507"/>
      <c r="JRV22" s="3507"/>
      <c r="JRW22" s="3507"/>
      <c r="JRX22" s="3507"/>
      <c r="JRY22" s="3507"/>
      <c r="JRZ22" s="3507"/>
      <c r="JSA22" s="3507"/>
      <c r="JSB22" s="3507"/>
      <c r="JSC22" s="3507"/>
      <c r="JSD22" s="3507"/>
      <c r="JSE22" s="3507"/>
      <c r="JSF22" s="3507"/>
      <c r="JSG22" s="3507"/>
      <c r="JSH22" s="3507"/>
      <c r="JSI22" s="3507"/>
      <c r="JSJ22" s="3507"/>
      <c r="JSK22" s="3507"/>
      <c r="JSL22" s="3507"/>
      <c r="JSM22" s="3507"/>
      <c r="JSN22" s="3507"/>
      <c r="JSO22" s="3507"/>
      <c r="JSP22" s="3507"/>
      <c r="JSQ22" s="3507"/>
      <c r="JSR22" s="3507"/>
      <c r="JSS22" s="3507"/>
      <c r="JST22" s="3507"/>
      <c r="JSU22" s="3507"/>
      <c r="JSV22" s="3507"/>
      <c r="JSW22" s="3507"/>
      <c r="JSX22" s="3507"/>
      <c r="JSY22" s="3507"/>
      <c r="JSZ22" s="3507"/>
      <c r="JTA22" s="3507"/>
      <c r="JTB22" s="3507"/>
      <c r="JTC22" s="3507"/>
      <c r="JTD22" s="3507"/>
      <c r="JTE22" s="3507"/>
      <c r="JTF22" s="3507"/>
      <c r="JTG22" s="3507"/>
      <c r="JTH22" s="3507"/>
      <c r="JTI22" s="3507"/>
      <c r="JTJ22" s="3507"/>
      <c r="JTK22" s="3507"/>
      <c r="JTL22" s="3507"/>
      <c r="JTM22" s="3507"/>
      <c r="JTN22" s="3507"/>
      <c r="JTO22" s="3507"/>
      <c r="JTP22" s="3507"/>
      <c r="JTQ22" s="3507"/>
      <c r="JTR22" s="3507"/>
      <c r="JTS22" s="3507"/>
      <c r="JTT22" s="3507"/>
      <c r="JTU22" s="3507"/>
      <c r="JTV22" s="3507"/>
      <c r="JTW22" s="3507"/>
      <c r="JTX22" s="3507"/>
      <c r="JTY22" s="3507"/>
      <c r="JTZ22" s="3507"/>
      <c r="JUA22" s="3507"/>
      <c r="JUB22" s="3507"/>
      <c r="JUC22" s="3507"/>
      <c r="JUD22" s="3507"/>
      <c r="JUE22" s="3507"/>
      <c r="JUF22" s="3507"/>
      <c r="JUG22" s="3507"/>
      <c r="JUH22" s="3507"/>
      <c r="JUI22" s="3507"/>
      <c r="JUJ22" s="3507"/>
      <c r="JUK22" s="3507"/>
      <c r="JUL22" s="3507"/>
      <c r="JUM22" s="3507"/>
      <c r="JUN22" s="3507"/>
      <c r="JUO22" s="3507"/>
      <c r="JUP22" s="3507"/>
      <c r="JUQ22" s="3507"/>
      <c r="JUR22" s="3507"/>
      <c r="JUS22" s="3507"/>
      <c r="JUT22" s="3507"/>
      <c r="JUU22" s="3507"/>
      <c r="JUV22" s="3507"/>
      <c r="JUW22" s="3507"/>
      <c r="JUX22" s="3507"/>
      <c r="JUY22" s="3507"/>
      <c r="JUZ22" s="3507"/>
      <c r="JVA22" s="3507"/>
      <c r="JVB22" s="3507"/>
      <c r="JVC22" s="3507"/>
      <c r="JVD22" s="3507"/>
      <c r="JVE22" s="3507"/>
      <c r="JVF22" s="3507"/>
      <c r="JVG22" s="3507"/>
      <c r="JVH22" s="3507"/>
      <c r="JVI22" s="3507"/>
      <c r="JVJ22" s="3507"/>
      <c r="JVK22" s="3507"/>
      <c r="JVL22" s="3507"/>
      <c r="JVM22" s="3507"/>
      <c r="JVN22" s="3507"/>
      <c r="JVO22" s="3507"/>
      <c r="JVP22" s="3507"/>
      <c r="JVQ22" s="3507"/>
      <c r="JVR22" s="3507"/>
      <c r="JVS22" s="3507"/>
      <c r="JVT22" s="3507"/>
      <c r="JVU22" s="3507"/>
      <c r="JVV22" s="3507"/>
      <c r="JVW22" s="3507"/>
      <c r="JVX22" s="3507"/>
      <c r="JVY22" s="3507"/>
      <c r="JVZ22" s="3507"/>
      <c r="JWA22" s="3507"/>
      <c r="JWB22" s="3507"/>
      <c r="JWC22" s="3507"/>
      <c r="JWD22" s="3507"/>
      <c r="JWE22" s="3507"/>
      <c r="JWF22" s="3507"/>
      <c r="JWG22" s="3507"/>
      <c r="JWH22" s="3507"/>
      <c r="JWI22" s="3507"/>
      <c r="JWJ22" s="3507"/>
      <c r="JWK22" s="3507"/>
      <c r="JWL22" s="3507"/>
      <c r="JWM22" s="3507"/>
      <c r="JWN22" s="3507"/>
      <c r="JWO22" s="3507"/>
      <c r="JWP22" s="3507"/>
      <c r="JWQ22" s="3507"/>
      <c r="JWR22" s="3507"/>
      <c r="JWS22" s="3507"/>
      <c r="JWT22" s="3507"/>
      <c r="JWU22" s="3507"/>
      <c r="JWV22" s="3507"/>
      <c r="JWW22" s="3507"/>
      <c r="JWX22" s="3507"/>
      <c r="JWY22" s="3507"/>
      <c r="JWZ22" s="3507"/>
      <c r="JXA22" s="3507"/>
      <c r="JXB22" s="3507"/>
      <c r="JXC22" s="3507"/>
      <c r="JXD22" s="3507"/>
      <c r="JXE22" s="3507"/>
      <c r="JXF22" s="3507"/>
      <c r="JXG22" s="3507"/>
      <c r="JXH22" s="3507"/>
      <c r="JXI22" s="3507"/>
      <c r="JXJ22" s="3507"/>
      <c r="JXK22" s="3507"/>
      <c r="JXL22" s="3507"/>
      <c r="JXM22" s="3507"/>
      <c r="JXN22" s="3507"/>
      <c r="JXO22" s="3507"/>
      <c r="JXP22" s="3507"/>
      <c r="JXQ22" s="3507"/>
      <c r="JXR22" s="3507"/>
      <c r="JXS22" s="3507"/>
      <c r="JXT22" s="3507"/>
      <c r="JXU22" s="3507"/>
      <c r="JXV22" s="3507"/>
      <c r="JXW22" s="3507"/>
      <c r="JXX22" s="3507"/>
      <c r="JXY22" s="3507"/>
      <c r="JXZ22" s="3507"/>
      <c r="JYA22" s="3507"/>
      <c r="JYB22" s="3507"/>
      <c r="JYC22" s="3507"/>
      <c r="JYD22" s="3507"/>
      <c r="JYE22" s="3507"/>
      <c r="JYF22" s="3507"/>
      <c r="JYG22" s="3507"/>
      <c r="JYH22" s="3507"/>
      <c r="JYI22" s="3507"/>
      <c r="JYJ22" s="3507"/>
      <c r="JYK22" s="3507"/>
      <c r="JYL22" s="3507"/>
      <c r="JYM22" s="3507"/>
      <c r="JYN22" s="3507"/>
      <c r="JYO22" s="3507"/>
      <c r="JYP22" s="3507"/>
      <c r="JYQ22" s="3507"/>
      <c r="JYR22" s="3507"/>
      <c r="JYS22" s="3507"/>
      <c r="JYT22" s="3507"/>
      <c r="JYU22" s="3507"/>
      <c r="JYV22" s="3507"/>
      <c r="JYW22" s="3507"/>
      <c r="JYX22" s="3507"/>
      <c r="JYY22" s="3507"/>
      <c r="JYZ22" s="3507"/>
      <c r="JZA22" s="3507"/>
      <c r="JZB22" s="3507"/>
      <c r="JZC22" s="3507"/>
      <c r="JZD22" s="3507"/>
      <c r="JZE22" s="3507"/>
      <c r="JZF22" s="3507"/>
      <c r="JZG22" s="3507"/>
      <c r="JZH22" s="3507"/>
      <c r="JZI22" s="3507"/>
      <c r="JZJ22" s="3507"/>
      <c r="JZK22" s="3507"/>
      <c r="JZL22" s="3507"/>
      <c r="JZM22" s="3507"/>
      <c r="JZN22" s="3507"/>
      <c r="JZO22" s="3507"/>
      <c r="JZP22" s="3507"/>
      <c r="JZQ22" s="3507"/>
      <c r="JZR22" s="3507"/>
      <c r="JZS22" s="3507"/>
      <c r="JZT22" s="3507"/>
      <c r="JZU22" s="3507"/>
      <c r="JZV22" s="3507"/>
      <c r="JZW22" s="3507"/>
      <c r="JZX22" s="3507"/>
      <c r="JZY22" s="3507"/>
      <c r="JZZ22" s="3507"/>
      <c r="KAA22" s="3507"/>
      <c r="KAB22" s="3507"/>
      <c r="KAC22" s="3507"/>
      <c r="KAD22" s="3507"/>
      <c r="KAE22" s="3507"/>
      <c r="KAF22" s="3507"/>
      <c r="KAG22" s="3507"/>
      <c r="KAH22" s="3507"/>
      <c r="KAI22" s="3507"/>
      <c r="KAJ22" s="3507"/>
      <c r="KAK22" s="3507"/>
      <c r="KAL22" s="3507"/>
      <c r="KAM22" s="3507"/>
      <c r="KAN22" s="3507"/>
      <c r="KAO22" s="3507"/>
      <c r="KAP22" s="3507"/>
      <c r="KAQ22" s="3507"/>
      <c r="KAR22" s="3507"/>
      <c r="KAS22" s="3507"/>
      <c r="KAT22" s="3507"/>
      <c r="KAU22" s="3507"/>
      <c r="KAV22" s="3507"/>
      <c r="KAW22" s="3507"/>
      <c r="KAX22" s="3507"/>
      <c r="KAY22" s="3507"/>
      <c r="KAZ22" s="3507"/>
      <c r="KBA22" s="3507"/>
      <c r="KBB22" s="3507"/>
      <c r="KBC22" s="3507"/>
      <c r="KBD22" s="3507"/>
      <c r="KBE22" s="3507"/>
      <c r="KBF22" s="3507"/>
      <c r="KBG22" s="3507"/>
      <c r="KBH22" s="3507"/>
      <c r="KBI22" s="3507"/>
      <c r="KBJ22" s="3507"/>
      <c r="KBK22" s="3507"/>
      <c r="KBL22" s="3507"/>
      <c r="KBM22" s="3507"/>
      <c r="KBN22" s="3507"/>
      <c r="KBO22" s="3507"/>
      <c r="KBP22" s="3507"/>
      <c r="KBQ22" s="3507"/>
      <c r="KBR22" s="3507"/>
      <c r="KBS22" s="3507"/>
      <c r="KBT22" s="3507"/>
      <c r="KBU22" s="3507"/>
      <c r="KBV22" s="3507"/>
      <c r="KBW22" s="3507"/>
      <c r="KBX22" s="3507"/>
      <c r="KBY22" s="3507"/>
      <c r="KBZ22" s="3507"/>
      <c r="KCA22" s="3507"/>
      <c r="KCB22" s="3507"/>
      <c r="KCC22" s="3507"/>
      <c r="KCD22" s="3507"/>
      <c r="KCE22" s="3507"/>
      <c r="KCF22" s="3507"/>
      <c r="KCG22" s="3507"/>
      <c r="KCH22" s="3507"/>
      <c r="KCI22" s="3507"/>
      <c r="KCJ22" s="3507"/>
      <c r="KCK22" s="3507"/>
      <c r="KCL22" s="3507"/>
      <c r="KCM22" s="3507"/>
      <c r="KCN22" s="3507"/>
      <c r="KCO22" s="3507"/>
      <c r="KCP22" s="3507"/>
      <c r="KCQ22" s="3507"/>
      <c r="KCR22" s="3507"/>
      <c r="KCS22" s="3507"/>
      <c r="KCT22" s="3507"/>
      <c r="KCU22" s="3507"/>
      <c r="KCV22" s="3507"/>
      <c r="KCW22" s="3507"/>
      <c r="KCX22" s="3507"/>
      <c r="KCY22" s="3507"/>
      <c r="KCZ22" s="3507"/>
      <c r="KDA22" s="3507"/>
      <c r="KDB22" s="3507"/>
      <c r="KDC22" s="3507"/>
      <c r="KDD22" s="3507"/>
      <c r="KDE22" s="3507"/>
      <c r="KDF22" s="3507"/>
      <c r="KDG22" s="3507"/>
      <c r="KDH22" s="3507"/>
      <c r="KDI22" s="3507"/>
      <c r="KDJ22" s="3507"/>
      <c r="KDK22" s="3507"/>
      <c r="KDL22" s="3507"/>
      <c r="KDM22" s="3507"/>
      <c r="KDN22" s="3507"/>
      <c r="KDO22" s="3507"/>
      <c r="KDP22" s="3507"/>
      <c r="KDQ22" s="3507"/>
      <c r="KDR22" s="3507"/>
      <c r="KDS22" s="3507"/>
      <c r="KDT22" s="3507"/>
      <c r="KDU22" s="3507"/>
      <c r="KDV22" s="3507"/>
      <c r="KDW22" s="3507"/>
      <c r="KDX22" s="3507"/>
      <c r="KDY22" s="3507"/>
      <c r="KDZ22" s="3507"/>
      <c r="KEA22" s="3507"/>
      <c r="KEB22" s="3507"/>
      <c r="KEC22" s="3507"/>
      <c r="KED22" s="3507"/>
      <c r="KEE22" s="3507"/>
      <c r="KEF22" s="3507"/>
      <c r="KEG22" s="3507"/>
      <c r="KEH22" s="3507"/>
      <c r="KEI22" s="3507"/>
      <c r="KEJ22" s="3507"/>
      <c r="KEK22" s="3507"/>
      <c r="KEL22" s="3507"/>
      <c r="KEM22" s="3507"/>
      <c r="KEN22" s="3507"/>
      <c r="KEO22" s="3507"/>
      <c r="KEP22" s="3507"/>
      <c r="KEQ22" s="3507"/>
      <c r="KER22" s="3507"/>
      <c r="KES22" s="3507"/>
      <c r="KET22" s="3507"/>
      <c r="KEU22" s="3507"/>
      <c r="KEV22" s="3507"/>
      <c r="KEW22" s="3507"/>
      <c r="KEX22" s="3507"/>
      <c r="KEY22" s="3507"/>
      <c r="KEZ22" s="3507"/>
      <c r="KFA22" s="3507"/>
      <c r="KFB22" s="3507"/>
      <c r="KFC22" s="3507"/>
      <c r="KFD22" s="3507"/>
      <c r="KFE22" s="3507"/>
      <c r="KFF22" s="3507"/>
      <c r="KFG22" s="3507"/>
      <c r="KFH22" s="3507"/>
      <c r="KFI22" s="3507"/>
      <c r="KFJ22" s="3507"/>
      <c r="KFK22" s="3507"/>
      <c r="KFL22" s="3507"/>
      <c r="KFM22" s="3507"/>
      <c r="KFN22" s="3507"/>
      <c r="KFO22" s="3507"/>
      <c r="KFP22" s="3507"/>
      <c r="KFQ22" s="3507"/>
      <c r="KFR22" s="3507"/>
      <c r="KFS22" s="3507"/>
      <c r="KFT22" s="3507"/>
      <c r="KFU22" s="3507"/>
      <c r="KFV22" s="3507"/>
      <c r="KFW22" s="3507"/>
      <c r="KFX22" s="3507"/>
      <c r="KFY22" s="3507"/>
      <c r="KFZ22" s="3507"/>
      <c r="KGA22" s="3507"/>
      <c r="KGB22" s="3507"/>
      <c r="KGC22" s="3507"/>
      <c r="KGD22" s="3507"/>
      <c r="KGE22" s="3507"/>
      <c r="KGF22" s="3507"/>
      <c r="KGG22" s="3507"/>
      <c r="KGH22" s="3507"/>
      <c r="KGI22" s="3507"/>
      <c r="KGJ22" s="3507"/>
      <c r="KGK22" s="3507"/>
      <c r="KGL22" s="3507"/>
      <c r="KGM22" s="3507"/>
      <c r="KGN22" s="3507"/>
      <c r="KGO22" s="3507"/>
      <c r="KGP22" s="3507"/>
      <c r="KGQ22" s="3507"/>
      <c r="KGR22" s="3507"/>
      <c r="KGS22" s="3507"/>
      <c r="KGT22" s="3507"/>
      <c r="KGU22" s="3507"/>
      <c r="KGV22" s="3507"/>
      <c r="KGW22" s="3507"/>
      <c r="KGX22" s="3507"/>
      <c r="KGY22" s="3507"/>
      <c r="KGZ22" s="3507"/>
      <c r="KHA22" s="3507"/>
      <c r="KHB22" s="3507"/>
      <c r="KHC22" s="3507"/>
      <c r="KHD22" s="3507"/>
      <c r="KHE22" s="3507"/>
      <c r="KHF22" s="3507"/>
      <c r="KHG22" s="3507"/>
      <c r="KHH22" s="3507"/>
      <c r="KHI22" s="3507"/>
      <c r="KHJ22" s="3507"/>
      <c r="KHK22" s="3507"/>
      <c r="KHL22" s="3507"/>
      <c r="KHM22" s="3507"/>
      <c r="KHN22" s="3507"/>
      <c r="KHO22" s="3507"/>
      <c r="KHP22" s="3507"/>
      <c r="KHQ22" s="3507"/>
      <c r="KHR22" s="3507"/>
      <c r="KHS22" s="3507"/>
      <c r="KHT22" s="3507"/>
      <c r="KHU22" s="3507"/>
      <c r="KHV22" s="3507"/>
      <c r="KHW22" s="3507"/>
      <c r="KHX22" s="3507"/>
      <c r="KHY22" s="3507"/>
      <c r="KHZ22" s="3507"/>
      <c r="KIA22" s="3507"/>
      <c r="KIB22" s="3507"/>
      <c r="KIC22" s="3507"/>
      <c r="KID22" s="3507"/>
      <c r="KIE22" s="3507"/>
      <c r="KIF22" s="3507"/>
      <c r="KIG22" s="3507"/>
      <c r="KIH22" s="3507"/>
      <c r="KII22" s="3507"/>
      <c r="KIJ22" s="3507"/>
      <c r="KIK22" s="3507"/>
      <c r="KIL22" s="3507"/>
      <c r="KIM22" s="3507"/>
      <c r="KIN22" s="3507"/>
      <c r="KIO22" s="3507"/>
      <c r="KIP22" s="3507"/>
      <c r="KIQ22" s="3507"/>
      <c r="KIR22" s="3507"/>
      <c r="KIS22" s="3507"/>
      <c r="KIT22" s="3507"/>
      <c r="KIU22" s="3507"/>
      <c r="KIV22" s="3507"/>
      <c r="KIW22" s="3507"/>
      <c r="KIX22" s="3507"/>
      <c r="KIY22" s="3507"/>
      <c r="KIZ22" s="3507"/>
      <c r="KJA22" s="3507"/>
      <c r="KJB22" s="3507"/>
      <c r="KJC22" s="3507"/>
      <c r="KJD22" s="3507"/>
      <c r="KJE22" s="3507"/>
      <c r="KJF22" s="3507"/>
      <c r="KJG22" s="3507"/>
      <c r="KJH22" s="3507"/>
      <c r="KJI22" s="3507"/>
      <c r="KJJ22" s="3507"/>
      <c r="KJK22" s="3507"/>
      <c r="KJL22" s="3507"/>
      <c r="KJM22" s="3507"/>
      <c r="KJN22" s="3507"/>
      <c r="KJO22" s="3507"/>
      <c r="KJP22" s="3507"/>
      <c r="KJQ22" s="3507"/>
      <c r="KJR22" s="3507"/>
      <c r="KJS22" s="3507"/>
      <c r="KJT22" s="3507"/>
      <c r="KJU22" s="3507"/>
      <c r="KJV22" s="3507"/>
      <c r="KJW22" s="3507"/>
      <c r="KJX22" s="3507"/>
      <c r="KJY22" s="3507"/>
      <c r="KJZ22" s="3507"/>
      <c r="KKA22" s="3507"/>
      <c r="KKB22" s="3507"/>
      <c r="KKC22" s="3507"/>
      <c r="KKD22" s="3507"/>
      <c r="KKE22" s="3507"/>
      <c r="KKF22" s="3507"/>
      <c r="KKG22" s="3507"/>
      <c r="KKH22" s="3507"/>
      <c r="KKI22" s="3507"/>
      <c r="KKJ22" s="3507"/>
      <c r="KKK22" s="3507"/>
      <c r="KKL22" s="3507"/>
      <c r="KKM22" s="3507"/>
      <c r="KKN22" s="3507"/>
      <c r="KKO22" s="3507"/>
      <c r="KKP22" s="3507"/>
      <c r="KKQ22" s="3507"/>
      <c r="KKR22" s="3507"/>
      <c r="KKS22" s="3507"/>
      <c r="KKT22" s="3507"/>
      <c r="KKU22" s="3507"/>
      <c r="KKV22" s="3507"/>
      <c r="KKW22" s="3507"/>
      <c r="KKX22" s="3507"/>
      <c r="KKY22" s="3507"/>
      <c r="KKZ22" s="3507"/>
      <c r="KLA22" s="3507"/>
      <c r="KLB22" s="3507"/>
      <c r="KLC22" s="3507"/>
      <c r="KLD22" s="3507"/>
      <c r="KLE22" s="3507"/>
      <c r="KLF22" s="3507"/>
      <c r="KLG22" s="3507"/>
      <c r="KLH22" s="3507"/>
      <c r="KLI22" s="3507"/>
      <c r="KLJ22" s="3507"/>
      <c r="KLK22" s="3507"/>
      <c r="KLL22" s="3507"/>
      <c r="KLM22" s="3507"/>
      <c r="KLN22" s="3507"/>
      <c r="KLO22" s="3507"/>
      <c r="KLP22" s="3507"/>
      <c r="KLQ22" s="3507"/>
      <c r="KLR22" s="3507"/>
      <c r="KLS22" s="3507"/>
      <c r="KLT22" s="3507"/>
      <c r="KLU22" s="3507"/>
      <c r="KLV22" s="3507"/>
      <c r="KLW22" s="3507"/>
      <c r="KLX22" s="3507"/>
      <c r="KLY22" s="3507"/>
      <c r="KLZ22" s="3507"/>
      <c r="KMA22" s="3507"/>
      <c r="KMB22" s="3507"/>
      <c r="KMC22" s="3507"/>
      <c r="KMD22" s="3507"/>
      <c r="KME22" s="3507"/>
      <c r="KMF22" s="3507"/>
      <c r="KMG22" s="3507"/>
      <c r="KMH22" s="3507"/>
      <c r="KMI22" s="3507"/>
      <c r="KMJ22" s="3507"/>
      <c r="KMK22" s="3507"/>
      <c r="KML22" s="3507"/>
      <c r="KMM22" s="3507"/>
      <c r="KMN22" s="3507"/>
      <c r="KMO22" s="3507"/>
      <c r="KMP22" s="3507"/>
      <c r="KMQ22" s="3507"/>
      <c r="KMR22" s="3507"/>
      <c r="KMS22" s="3507"/>
      <c r="KMT22" s="3507"/>
      <c r="KMU22" s="3507"/>
      <c r="KMV22" s="3507"/>
      <c r="KMW22" s="3507"/>
      <c r="KMX22" s="3507"/>
      <c r="KMY22" s="3507"/>
      <c r="KMZ22" s="3507"/>
      <c r="KNA22" s="3507"/>
      <c r="KNB22" s="3507"/>
      <c r="KNC22" s="3507"/>
      <c r="KND22" s="3507"/>
      <c r="KNE22" s="3507"/>
      <c r="KNF22" s="3507"/>
      <c r="KNG22" s="3507"/>
      <c r="KNH22" s="3507"/>
      <c r="KNI22" s="3507"/>
      <c r="KNJ22" s="3507"/>
      <c r="KNK22" s="3507"/>
      <c r="KNL22" s="3507"/>
      <c r="KNM22" s="3507"/>
      <c r="KNN22" s="3507"/>
      <c r="KNO22" s="3507"/>
      <c r="KNP22" s="3507"/>
      <c r="KNQ22" s="3507"/>
      <c r="KNR22" s="3507"/>
      <c r="KNS22" s="3507"/>
      <c r="KNT22" s="3507"/>
      <c r="KNU22" s="3507"/>
      <c r="KNV22" s="3507"/>
      <c r="KNW22" s="3507"/>
      <c r="KNX22" s="3507"/>
      <c r="KNY22" s="3507"/>
      <c r="KNZ22" s="3507"/>
      <c r="KOA22" s="3507"/>
      <c r="KOB22" s="3507"/>
      <c r="KOC22" s="3507"/>
      <c r="KOD22" s="3507"/>
      <c r="KOE22" s="3507"/>
      <c r="KOF22" s="3507"/>
      <c r="KOG22" s="3507"/>
      <c r="KOH22" s="3507"/>
      <c r="KOI22" s="3507"/>
      <c r="KOJ22" s="3507"/>
      <c r="KOK22" s="3507"/>
      <c r="KOL22" s="3507"/>
      <c r="KOM22" s="3507"/>
      <c r="KON22" s="3507"/>
      <c r="KOO22" s="3507"/>
      <c r="KOP22" s="3507"/>
      <c r="KOQ22" s="3507"/>
      <c r="KOR22" s="3507"/>
      <c r="KOS22" s="3507"/>
      <c r="KOT22" s="3507"/>
      <c r="KOU22" s="3507"/>
      <c r="KOV22" s="3507"/>
      <c r="KOW22" s="3507"/>
      <c r="KOX22" s="3507"/>
      <c r="KOY22" s="3507"/>
      <c r="KOZ22" s="3507"/>
      <c r="KPA22" s="3507"/>
      <c r="KPB22" s="3507"/>
      <c r="KPC22" s="3507"/>
      <c r="KPD22" s="3507"/>
      <c r="KPE22" s="3507"/>
      <c r="KPF22" s="3507"/>
      <c r="KPG22" s="3507"/>
      <c r="KPH22" s="3507"/>
      <c r="KPI22" s="3507"/>
      <c r="KPJ22" s="3507"/>
      <c r="KPK22" s="3507"/>
      <c r="KPL22" s="3507"/>
      <c r="KPM22" s="3507"/>
      <c r="KPN22" s="3507"/>
      <c r="KPO22" s="3507"/>
      <c r="KPP22" s="3507"/>
      <c r="KPQ22" s="3507"/>
      <c r="KPR22" s="3507"/>
      <c r="KPS22" s="3507"/>
      <c r="KPT22" s="3507"/>
      <c r="KPU22" s="3507"/>
      <c r="KPV22" s="3507"/>
      <c r="KPW22" s="3507"/>
      <c r="KPX22" s="3507"/>
      <c r="KPY22" s="3507"/>
      <c r="KPZ22" s="3507"/>
      <c r="KQA22" s="3507"/>
      <c r="KQB22" s="3507"/>
      <c r="KQC22" s="3507"/>
      <c r="KQD22" s="3507"/>
      <c r="KQE22" s="3507"/>
      <c r="KQF22" s="3507"/>
      <c r="KQG22" s="3507"/>
      <c r="KQH22" s="3507"/>
      <c r="KQI22" s="3507"/>
      <c r="KQJ22" s="3507"/>
      <c r="KQK22" s="3507"/>
      <c r="KQL22" s="3507"/>
      <c r="KQM22" s="3507"/>
      <c r="KQN22" s="3507"/>
      <c r="KQO22" s="3507"/>
      <c r="KQP22" s="3507"/>
      <c r="KQQ22" s="3507"/>
      <c r="KQR22" s="3507"/>
      <c r="KQS22" s="3507"/>
      <c r="KQT22" s="3507"/>
      <c r="KQU22" s="3507"/>
      <c r="KQV22" s="3507"/>
      <c r="KQW22" s="3507"/>
      <c r="KQX22" s="3507"/>
      <c r="KQY22" s="3507"/>
      <c r="KQZ22" s="3507"/>
      <c r="KRA22" s="3507"/>
      <c r="KRB22" s="3507"/>
      <c r="KRC22" s="3507"/>
      <c r="KRD22" s="3507"/>
      <c r="KRE22" s="3507"/>
      <c r="KRF22" s="3507"/>
      <c r="KRG22" s="3507"/>
      <c r="KRH22" s="3507"/>
      <c r="KRI22" s="3507"/>
      <c r="KRJ22" s="3507"/>
      <c r="KRK22" s="3507"/>
      <c r="KRL22" s="3507"/>
      <c r="KRM22" s="3507"/>
      <c r="KRN22" s="3507"/>
      <c r="KRO22" s="3507"/>
      <c r="KRP22" s="3507"/>
      <c r="KRQ22" s="3507"/>
      <c r="KRR22" s="3507"/>
      <c r="KRS22" s="3507"/>
      <c r="KRT22" s="3507"/>
      <c r="KRU22" s="3507"/>
      <c r="KRV22" s="3507"/>
      <c r="KRW22" s="3507"/>
      <c r="KRX22" s="3507"/>
      <c r="KRY22" s="3507"/>
      <c r="KRZ22" s="3507"/>
      <c r="KSA22" s="3507"/>
      <c r="KSB22" s="3507"/>
      <c r="KSC22" s="3507"/>
      <c r="KSD22" s="3507"/>
      <c r="KSE22" s="3507"/>
      <c r="KSF22" s="3507"/>
      <c r="KSG22" s="3507"/>
      <c r="KSH22" s="3507"/>
      <c r="KSI22" s="3507"/>
      <c r="KSJ22" s="3507"/>
      <c r="KSK22" s="3507"/>
      <c r="KSL22" s="3507"/>
      <c r="KSM22" s="3507"/>
      <c r="KSN22" s="3507"/>
      <c r="KSO22" s="3507"/>
      <c r="KSP22" s="3507"/>
      <c r="KSQ22" s="3507"/>
      <c r="KSR22" s="3507"/>
      <c r="KSS22" s="3507"/>
      <c r="KST22" s="3507"/>
      <c r="KSU22" s="3507"/>
      <c r="KSV22" s="3507"/>
      <c r="KSW22" s="3507"/>
      <c r="KSX22" s="3507"/>
      <c r="KSY22" s="3507"/>
      <c r="KSZ22" s="3507"/>
      <c r="KTA22" s="3507"/>
      <c r="KTB22" s="3507"/>
      <c r="KTC22" s="3507"/>
      <c r="KTD22" s="3507"/>
      <c r="KTE22" s="3507"/>
      <c r="KTF22" s="3507"/>
      <c r="KTG22" s="3507"/>
      <c r="KTH22" s="3507"/>
      <c r="KTI22" s="3507"/>
      <c r="KTJ22" s="3507"/>
      <c r="KTK22" s="3507"/>
      <c r="KTL22" s="3507"/>
      <c r="KTM22" s="3507"/>
      <c r="KTN22" s="3507"/>
      <c r="KTO22" s="3507"/>
      <c r="KTP22" s="3507"/>
      <c r="KTQ22" s="3507"/>
      <c r="KTR22" s="3507"/>
      <c r="KTS22" s="3507"/>
      <c r="KTT22" s="3507"/>
      <c r="KTU22" s="3507"/>
      <c r="KTV22" s="3507"/>
      <c r="KTW22" s="3507"/>
      <c r="KTX22" s="3507"/>
      <c r="KTY22" s="3507"/>
      <c r="KTZ22" s="3507"/>
      <c r="KUA22" s="3507"/>
      <c r="KUB22" s="3507"/>
      <c r="KUC22" s="3507"/>
      <c r="KUD22" s="3507"/>
      <c r="KUE22" s="3507"/>
      <c r="KUF22" s="3507"/>
      <c r="KUG22" s="3507"/>
      <c r="KUH22" s="3507"/>
      <c r="KUI22" s="3507"/>
      <c r="KUJ22" s="3507"/>
      <c r="KUK22" s="3507"/>
      <c r="KUL22" s="3507"/>
      <c r="KUM22" s="3507"/>
      <c r="KUN22" s="3507"/>
      <c r="KUO22" s="3507"/>
      <c r="KUP22" s="3507"/>
      <c r="KUQ22" s="3507"/>
      <c r="KUR22" s="3507"/>
      <c r="KUS22" s="3507"/>
      <c r="KUT22" s="3507"/>
      <c r="KUU22" s="3507"/>
      <c r="KUV22" s="3507"/>
      <c r="KUW22" s="3507"/>
      <c r="KUX22" s="3507"/>
      <c r="KUY22" s="3507"/>
      <c r="KUZ22" s="3507"/>
      <c r="KVA22" s="3507"/>
      <c r="KVB22" s="3507"/>
      <c r="KVC22" s="3507"/>
      <c r="KVD22" s="3507"/>
      <c r="KVE22" s="3507"/>
      <c r="KVF22" s="3507"/>
      <c r="KVG22" s="3507"/>
      <c r="KVH22" s="3507"/>
      <c r="KVI22" s="3507"/>
      <c r="KVJ22" s="3507"/>
      <c r="KVK22" s="3507"/>
      <c r="KVL22" s="3507"/>
      <c r="KVM22" s="3507"/>
      <c r="KVN22" s="3507"/>
      <c r="KVO22" s="3507"/>
      <c r="KVP22" s="3507"/>
      <c r="KVQ22" s="3507"/>
      <c r="KVR22" s="3507"/>
      <c r="KVS22" s="3507"/>
      <c r="KVT22" s="3507"/>
      <c r="KVU22" s="3507"/>
      <c r="KVV22" s="3507"/>
      <c r="KVW22" s="3507"/>
      <c r="KVX22" s="3507"/>
      <c r="KVY22" s="3507"/>
      <c r="KVZ22" s="3507"/>
      <c r="KWA22" s="3507"/>
      <c r="KWB22" s="3507"/>
      <c r="KWC22" s="3507"/>
      <c r="KWD22" s="3507"/>
      <c r="KWE22" s="3507"/>
      <c r="KWF22" s="3507"/>
      <c r="KWG22" s="3507"/>
      <c r="KWH22" s="3507"/>
      <c r="KWI22" s="3507"/>
      <c r="KWJ22" s="3507"/>
      <c r="KWK22" s="3507"/>
      <c r="KWL22" s="3507"/>
      <c r="KWM22" s="3507"/>
      <c r="KWN22" s="3507"/>
      <c r="KWO22" s="3507"/>
      <c r="KWP22" s="3507"/>
      <c r="KWQ22" s="3507"/>
      <c r="KWR22" s="3507"/>
      <c r="KWS22" s="3507"/>
      <c r="KWT22" s="3507"/>
      <c r="KWU22" s="3507"/>
      <c r="KWV22" s="3507"/>
      <c r="KWW22" s="3507"/>
      <c r="KWX22" s="3507"/>
      <c r="KWY22" s="3507"/>
      <c r="KWZ22" s="3507"/>
      <c r="KXA22" s="3507"/>
      <c r="KXB22" s="3507"/>
      <c r="KXC22" s="3507"/>
      <c r="KXD22" s="3507"/>
      <c r="KXE22" s="3507"/>
      <c r="KXF22" s="3507"/>
      <c r="KXG22" s="3507"/>
      <c r="KXH22" s="3507"/>
      <c r="KXI22" s="3507"/>
      <c r="KXJ22" s="3507"/>
      <c r="KXK22" s="3507"/>
      <c r="KXL22" s="3507"/>
      <c r="KXM22" s="3507"/>
      <c r="KXN22" s="3507"/>
      <c r="KXO22" s="3507"/>
      <c r="KXP22" s="3507"/>
      <c r="KXQ22" s="3507"/>
      <c r="KXR22" s="3507"/>
      <c r="KXS22" s="3507"/>
      <c r="KXT22" s="3507"/>
      <c r="KXU22" s="3507"/>
      <c r="KXV22" s="3507"/>
      <c r="KXW22" s="3507"/>
      <c r="KXX22" s="3507"/>
      <c r="KXY22" s="3507"/>
      <c r="KXZ22" s="3507"/>
      <c r="KYA22" s="3507"/>
      <c r="KYB22" s="3507"/>
      <c r="KYC22" s="3507"/>
      <c r="KYD22" s="3507"/>
      <c r="KYE22" s="3507"/>
      <c r="KYF22" s="3507"/>
      <c r="KYG22" s="3507"/>
      <c r="KYH22" s="3507"/>
      <c r="KYI22" s="3507"/>
      <c r="KYJ22" s="3507"/>
      <c r="KYK22" s="3507"/>
      <c r="KYL22" s="3507"/>
      <c r="KYM22" s="3507"/>
      <c r="KYN22" s="3507"/>
      <c r="KYO22" s="3507"/>
      <c r="KYP22" s="3507"/>
      <c r="KYQ22" s="3507"/>
      <c r="KYR22" s="3507"/>
      <c r="KYS22" s="3507"/>
      <c r="KYT22" s="3507"/>
      <c r="KYU22" s="3507"/>
      <c r="KYV22" s="3507"/>
      <c r="KYW22" s="3507"/>
      <c r="KYX22" s="3507"/>
      <c r="KYY22" s="3507"/>
      <c r="KYZ22" s="3507"/>
      <c r="KZA22" s="3507"/>
      <c r="KZB22" s="3507"/>
      <c r="KZC22" s="3507"/>
      <c r="KZD22" s="3507"/>
      <c r="KZE22" s="3507"/>
      <c r="KZF22" s="3507"/>
      <c r="KZG22" s="3507"/>
      <c r="KZH22" s="3507"/>
      <c r="KZI22" s="3507"/>
      <c r="KZJ22" s="3507"/>
      <c r="KZK22" s="3507"/>
      <c r="KZL22" s="3507"/>
      <c r="KZM22" s="3507"/>
      <c r="KZN22" s="3507"/>
      <c r="KZO22" s="3507"/>
      <c r="KZP22" s="3507"/>
      <c r="KZQ22" s="3507"/>
      <c r="KZR22" s="3507"/>
      <c r="KZS22" s="3507"/>
      <c r="KZT22" s="3507"/>
      <c r="KZU22" s="3507"/>
      <c r="KZV22" s="3507"/>
      <c r="KZW22" s="3507"/>
      <c r="KZX22" s="3507"/>
      <c r="KZY22" s="3507"/>
      <c r="KZZ22" s="3507"/>
      <c r="LAA22" s="3507"/>
      <c r="LAB22" s="3507"/>
      <c r="LAC22" s="3507"/>
      <c r="LAD22" s="3507"/>
      <c r="LAE22" s="3507"/>
      <c r="LAF22" s="3507"/>
      <c r="LAG22" s="3507"/>
      <c r="LAH22" s="3507"/>
      <c r="LAI22" s="3507"/>
      <c r="LAJ22" s="3507"/>
      <c r="LAK22" s="3507"/>
      <c r="LAL22" s="3507"/>
      <c r="LAM22" s="3507"/>
      <c r="LAN22" s="3507"/>
      <c r="LAO22" s="3507"/>
      <c r="LAP22" s="3507"/>
      <c r="LAQ22" s="3507"/>
      <c r="LAR22" s="3507"/>
      <c r="LAS22" s="3507"/>
      <c r="LAT22" s="3507"/>
      <c r="LAU22" s="3507"/>
      <c r="LAV22" s="3507"/>
      <c r="LAW22" s="3507"/>
      <c r="LAX22" s="3507"/>
      <c r="LAY22" s="3507"/>
      <c r="LAZ22" s="3507"/>
      <c r="LBA22" s="3507"/>
      <c r="LBB22" s="3507"/>
      <c r="LBC22" s="3507"/>
      <c r="LBD22" s="3507"/>
      <c r="LBE22" s="3507"/>
      <c r="LBF22" s="3507"/>
      <c r="LBG22" s="3507"/>
      <c r="LBH22" s="3507"/>
      <c r="LBI22" s="3507"/>
      <c r="LBJ22" s="3507"/>
      <c r="LBK22" s="3507"/>
      <c r="LBL22" s="3507"/>
      <c r="LBM22" s="3507"/>
      <c r="LBN22" s="3507"/>
      <c r="LBO22" s="3507"/>
      <c r="LBP22" s="3507"/>
      <c r="LBQ22" s="3507"/>
      <c r="LBR22" s="3507"/>
      <c r="LBS22" s="3507"/>
      <c r="LBT22" s="3507"/>
      <c r="LBU22" s="3507"/>
      <c r="LBV22" s="3507"/>
      <c r="LBW22" s="3507"/>
      <c r="LBX22" s="3507"/>
      <c r="LBY22" s="3507"/>
      <c r="LBZ22" s="3507"/>
      <c r="LCA22" s="3507"/>
      <c r="LCB22" s="3507"/>
      <c r="LCC22" s="3507"/>
      <c r="LCD22" s="3507"/>
      <c r="LCE22" s="3507"/>
      <c r="LCF22" s="3507"/>
      <c r="LCG22" s="3507"/>
      <c r="LCH22" s="3507"/>
      <c r="LCI22" s="3507"/>
      <c r="LCJ22" s="3507"/>
      <c r="LCK22" s="3507"/>
      <c r="LCL22" s="3507"/>
      <c r="LCM22" s="3507"/>
      <c r="LCN22" s="3507"/>
      <c r="LCO22" s="3507"/>
      <c r="LCP22" s="3507"/>
      <c r="LCQ22" s="3507"/>
      <c r="LCR22" s="3507"/>
      <c r="LCS22" s="3507"/>
      <c r="LCT22" s="3507"/>
      <c r="LCU22" s="3507"/>
      <c r="LCV22" s="3507"/>
      <c r="LCW22" s="3507"/>
      <c r="LCX22" s="3507"/>
      <c r="LCY22" s="3507"/>
      <c r="LCZ22" s="3507"/>
      <c r="LDA22" s="3507"/>
      <c r="LDB22" s="3507"/>
      <c r="LDC22" s="3507"/>
      <c r="LDD22" s="3507"/>
      <c r="LDE22" s="3507"/>
      <c r="LDF22" s="3507"/>
      <c r="LDG22" s="3507"/>
      <c r="LDH22" s="3507"/>
      <c r="LDI22" s="3507"/>
      <c r="LDJ22" s="3507"/>
      <c r="LDK22" s="3507"/>
      <c r="LDL22" s="3507"/>
      <c r="LDM22" s="3507"/>
      <c r="LDN22" s="3507"/>
      <c r="LDO22" s="3507"/>
      <c r="LDP22" s="3507"/>
      <c r="LDQ22" s="3507"/>
      <c r="LDR22" s="3507"/>
      <c r="LDS22" s="3507"/>
      <c r="LDT22" s="3507"/>
      <c r="LDU22" s="3507"/>
      <c r="LDV22" s="3507"/>
      <c r="LDW22" s="3507"/>
      <c r="LDX22" s="3507"/>
      <c r="LDY22" s="3507"/>
      <c r="LDZ22" s="3507"/>
      <c r="LEA22" s="3507"/>
      <c r="LEB22" s="3507"/>
      <c r="LEC22" s="3507"/>
      <c r="LED22" s="3507"/>
      <c r="LEE22" s="3507"/>
      <c r="LEF22" s="3507"/>
      <c r="LEG22" s="3507"/>
      <c r="LEH22" s="3507"/>
      <c r="LEI22" s="3507"/>
      <c r="LEJ22" s="3507"/>
      <c r="LEK22" s="3507"/>
      <c r="LEL22" s="3507"/>
      <c r="LEM22" s="3507"/>
      <c r="LEN22" s="3507"/>
      <c r="LEO22" s="3507"/>
      <c r="LEP22" s="3507"/>
      <c r="LEQ22" s="3507"/>
      <c r="LER22" s="3507"/>
      <c r="LES22" s="3507"/>
      <c r="LET22" s="3507"/>
      <c r="LEU22" s="3507"/>
      <c r="LEV22" s="3507"/>
      <c r="LEW22" s="3507"/>
      <c r="LEX22" s="3507"/>
      <c r="LEY22" s="3507"/>
      <c r="LEZ22" s="3507"/>
      <c r="LFA22" s="3507"/>
      <c r="LFB22" s="3507"/>
      <c r="LFC22" s="3507"/>
      <c r="LFD22" s="3507"/>
      <c r="LFE22" s="3507"/>
      <c r="LFF22" s="3507"/>
      <c r="LFG22" s="3507"/>
      <c r="LFH22" s="3507"/>
      <c r="LFI22" s="3507"/>
      <c r="LFJ22" s="3507"/>
      <c r="LFK22" s="3507"/>
      <c r="LFL22" s="3507"/>
      <c r="LFM22" s="3507"/>
      <c r="LFN22" s="3507"/>
      <c r="LFO22" s="3507"/>
      <c r="LFP22" s="3507"/>
      <c r="LFQ22" s="3507"/>
      <c r="LFR22" s="3507"/>
      <c r="LFS22" s="3507"/>
      <c r="LFT22" s="3507"/>
      <c r="LFU22" s="3507"/>
      <c r="LFV22" s="3507"/>
      <c r="LFW22" s="3507"/>
      <c r="LFX22" s="3507"/>
      <c r="LFY22" s="3507"/>
      <c r="LFZ22" s="3507"/>
      <c r="LGA22" s="3507"/>
      <c r="LGB22" s="3507"/>
      <c r="LGC22" s="3507"/>
      <c r="LGD22" s="3507"/>
      <c r="LGE22" s="3507"/>
      <c r="LGF22" s="3507"/>
      <c r="LGG22" s="3507"/>
      <c r="LGH22" s="3507"/>
      <c r="LGI22" s="3507"/>
      <c r="LGJ22" s="3507"/>
      <c r="LGK22" s="3507"/>
      <c r="LGL22" s="3507"/>
      <c r="LGM22" s="3507"/>
      <c r="LGN22" s="3507"/>
      <c r="LGO22" s="3507"/>
      <c r="LGP22" s="3507"/>
      <c r="LGQ22" s="3507"/>
      <c r="LGR22" s="3507"/>
      <c r="LGS22" s="3507"/>
      <c r="LGT22" s="3507"/>
      <c r="LGU22" s="3507"/>
      <c r="LGV22" s="3507"/>
      <c r="LGW22" s="3507"/>
      <c r="LGX22" s="3507"/>
      <c r="LGY22" s="3507"/>
      <c r="LGZ22" s="3507"/>
      <c r="LHA22" s="3507"/>
      <c r="LHB22" s="3507"/>
      <c r="LHC22" s="3507"/>
      <c r="LHD22" s="3507"/>
      <c r="LHE22" s="3507"/>
      <c r="LHF22" s="3507"/>
      <c r="LHG22" s="3507"/>
      <c r="LHH22" s="3507"/>
      <c r="LHI22" s="3507"/>
      <c r="LHJ22" s="3507"/>
      <c r="LHK22" s="3507"/>
      <c r="LHL22" s="3507"/>
      <c r="LHM22" s="3507"/>
      <c r="LHN22" s="3507"/>
      <c r="LHO22" s="3507"/>
      <c r="LHP22" s="3507"/>
      <c r="LHQ22" s="3507"/>
      <c r="LHR22" s="3507"/>
      <c r="LHS22" s="3507"/>
      <c r="LHT22" s="3507"/>
      <c r="LHU22" s="3507"/>
      <c r="LHV22" s="3507"/>
      <c r="LHW22" s="3507"/>
      <c r="LHX22" s="3507"/>
      <c r="LHY22" s="3507"/>
      <c r="LHZ22" s="3507"/>
      <c r="LIA22" s="3507"/>
      <c r="LIB22" s="3507"/>
      <c r="LIC22" s="3507"/>
      <c r="LID22" s="3507"/>
      <c r="LIE22" s="3507"/>
      <c r="LIF22" s="3507"/>
      <c r="LIG22" s="3507"/>
      <c r="LIH22" s="3507"/>
      <c r="LII22" s="3507"/>
      <c r="LIJ22" s="3507"/>
      <c r="LIK22" s="3507"/>
      <c r="LIL22" s="3507"/>
      <c r="LIM22" s="3507"/>
      <c r="LIN22" s="3507"/>
      <c r="LIO22" s="3507"/>
      <c r="LIP22" s="3507"/>
      <c r="LIQ22" s="3507"/>
      <c r="LIR22" s="3507"/>
      <c r="LIS22" s="3507"/>
      <c r="LIT22" s="3507"/>
      <c r="LIU22" s="3507"/>
      <c r="LIV22" s="3507"/>
      <c r="LIW22" s="3507"/>
      <c r="LIX22" s="3507"/>
      <c r="LIY22" s="3507"/>
      <c r="LIZ22" s="3507"/>
      <c r="LJA22" s="3507"/>
      <c r="LJB22" s="3507"/>
      <c r="LJC22" s="3507"/>
      <c r="LJD22" s="3507"/>
      <c r="LJE22" s="3507"/>
      <c r="LJF22" s="3507"/>
      <c r="LJG22" s="3507"/>
      <c r="LJH22" s="3507"/>
      <c r="LJI22" s="3507"/>
      <c r="LJJ22" s="3507"/>
      <c r="LJK22" s="3507"/>
      <c r="LJL22" s="3507"/>
      <c r="LJM22" s="3507"/>
      <c r="LJN22" s="3507"/>
      <c r="LJO22" s="3507"/>
      <c r="LJP22" s="3507"/>
      <c r="LJQ22" s="3507"/>
      <c r="LJR22" s="3507"/>
      <c r="LJS22" s="3507"/>
      <c r="LJT22" s="3507"/>
      <c r="LJU22" s="3507"/>
      <c r="LJV22" s="3507"/>
      <c r="LJW22" s="3507"/>
      <c r="LJX22" s="3507"/>
      <c r="LJY22" s="3507"/>
      <c r="LJZ22" s="3507"/>
      <c r="LKA22" s="3507"/>
      <c r="LKB22" s="3507"/>
      <c r="LKC22" s="3507"/>
      <c r="LKD22" s="3507"/>
      <c r="LKE22" s="3507"/>
      <c r="LKF22" s="3507"/>
      <c r="LKG22" s="3507"/>
      <c r="LKH22" s="3507"/>
      <c r="LKI22" s="3507"/>
      <c r="LKJ22" s="3507"/>
      <c r="LKK22" s="3507"/>
      <c r="LKL22" s="3507"/>
      <c r="LKM22" s="3507"/>
      <c r="LKN22" s="3507"/>
      <c r="LKO22" s="3507"/>
      <c r="LKP22" s="3507"/>
      <c r="LKQ22" s="3507"/>
      <c r="LKR22" s="3507"/>
      <c r="LKS22" s="3507"/>
      <c r="LKT22" s="3507"/>
      <c r="LKU22" s="3507"/>
      <c r="LKV22" s="3507"/>
      <c r="LKW22" s="3507"/>
      <c r="LKX22" s="3507"/>
      <c r="LKY22" s="3507"/>
      <c r="LKZ22" s="3507"/>
      <c r="LLA22" s="3507"/>
      <c r="LLB22" s="3507"/>
      <c r="LLC22" s="3507"/>
      <c r="LLD22" s="3507"/>
      <c r="LLE22" s="3507"/>
      <c r="LLF22" s="3507"/>
      <c r="LLG22" s="3507"/>
      <c r="LLH22" s="3507"/>
      <c r="LLI22" s="3507"/>
      <c r="LLJ22" s="3507"/>
      <c r="LLK22" s="3507"/>
      <c r="LLL22" s="3507"/>
      <c r="LLM22" s="3507"/>
      <c r="LLN22" s="3507"/>
      <c r="LLO22" s="3507"/>
      <c r="LLP22" s="3507"/>
      <c r="LLQ22" s="3507"/>
      <c r="LLR22" s="3507"/>
      <c r="LLS22" s="3507"/>
      <c r="LLT22" s="3507"/>
      <c r="LLU22" s="3507"/>
      <c r="LLV22" s="3507"/>
      <c r="LLW22" s="3507"/>
      <c r="LLX22" s="3507"/>
      <c r="LLY22" s="3507"/>
      <c r="LLZ22" s="3507"/>
      <c r="LMA22" s="3507"/>
      <c r="LMB22" s="3507"/>
      <c r="LMC22" s="3507"/>
      <c r="LMD22" s="3507"/>
      <c r="LME22" s="3507"/>
      <c r="LMF22" s="3507"/>
      <c r="LMG22" s="3507"/>
      <c r="LMH22" s="3507"/>
      <c r="LMI22" s="3507"/>
      <c r="LMJ22" s="3507"/>
      <c r="LMK22" s="3507"/>
      <c r="LML22" s="3507"/>
      <c r="LMM22" s="3507"/>
      <c r="LMN22" s="3507"/>
      <c r="LMO22" s="3507"/>
      <c r="LMP22" s="3507"/>
      <c r="LMQ22" s="3507"/>
      <c r="LMR22" s="3507"/>
      <c r="LMS22" s="3507"/>
      <c r="LMT22" s="3507"/>
      <c r="LMU22" s="3507"/>
      <c r="LMV22" s="3507"/>
      <c r="LMW22" s="3507"/>
      <c r="LMX22" s="3507"/>
      <c r="LMY22" s="3507"/>
      <c r="LMZ22" s="3507"/>
      <c r="LNA22" s="3507"/>
      <c r="LNB22" s="3507"/>
      <c r="LNC22" s="3507"/>
      <c r="LND22" s="3507"/>
      <c r="LNE22" s="3507"/>
      <c r="LNF22" s="3507"/>
      <c r="LNG22" s="3507"/>
      <c r="LNH22" s="3507"/>
      <c r="LNI22" s="3507"/>
      <c r="LNJ22" s="3507"/>
      <c r="LNK22" s="3507"/>
      <c r="LNL22" s="3507"/>
      <c r="LNM22" s="3507"/>
      <c r="LNN22" s="3507"/>
      <c r="LNO22" s="3507"/>
      <c r="LNP22" s="3507"/>
      <c r="LNQ22" s="3507"/>
      <c r="LNR22" s="3507"/>
      <c r="LNS22" s="3507"/>
      <c r="LNT22" s="3507"/>
      <c r="LNU22" s="3507"/>
      <c r="LNV22" s="3507"/>
      <c r="LNW22" s="3507"/>
      <c r="LNX22" s="3507"/>
      <c r="LNY22" s="3507"/>
      <c r="LNZ22" s="3507"/>
      <c r="LOA22" s="3507"/>
      <c r="LOB22" s="3507"/>
      <c r="LOC22" s="3507"/>
      <c r="LOD22" s="3507"/>
      <c r="LOE22" s="3507"/>
      <c r="LOF22" s="3507"/>
      <c r="LOG22" s="3507"/>
      <c r="LOH22" s="3507"/>
      <c r="LOI22" s="3507"/>
      <c r="LOJ22" s="3507"/>
      <c r="LOK22" s="3507"/>
      <c r="LOL22" s="3507"/>
      <c r="LOM22" s="3507"/>
      <c r="LON22" s="3507"/>
      <c r="LOO22" s="3507"/>
      <c r="LOP22" s="3507"/>
      <c r="LOQ22" s="3507"/>
      <c r="LOR22" s="3507"/>
      <c r="LOS22" s="3507"/>
      <c r="LOT22" s="3507"/>
      <c r="LOU22" s="3507"/>
      <c r="LOV22" s="3507"/>
      <c r="LOW22" s="3507"/>
      <c r="LOX22" s="3507"/>
      <c r="LOY22" s="3507"/>
      <c r="LOZ22" s="3507"/>
      <c r="LPA22" s="3507"/>
      <c r="LPB22" s="3507"/>
      <c r="LPC22" s="3507"/>
      <c r="LPD22" s="3507"/>
      <c r="LPE22" s="3507"/>
      <c r="LPF22" s="3507"/>
      <c r="LPG22" s="3507"/>
      <c r="LPH22" s="3507"/>
      <c r="LPI22" s="3507"/>
      <c r="LPJ22" s="3507"/>
      <c r="LPK22" s="3507"/>
      <c r="LPL22" s="3507"/>
      <c r="LPM22" s="3507"/>
      <c r="LPN22" s="3507"/>
      <c r="LPO22" s="3507"/>
      <c r="LPP22" s="3507"/>
      <c r="LPQ22" s="3507"/>
      <c r="LPR22" s="3507"/>
      <c r="LPS22" s="3507"/>
      <c r="LPT22" s="3507"/>
      <c r="LPU22" s="3507"/>
      <c r="LPV22" s="3507"/>
      <c r="LPW22" s="3507"/>
      <c r="LPX22" s="3507"/>
      <c r="LPY22" s="3507"/>
      <c r="LPZ22" s="3507"/>
      <c r="LQA22" s="3507"/>
      <c r="LQB22" s="3507"/>
      <c r="LQC22" s="3507"/>
      <c r="LQD22" s="3507"/>
      <c r="LQE22" s="3507"/>
      <c r="LQF22" s="3507"/>
      <c r="LQG22" s="3507"/>
      <c r="LQH22" s="3507"/>
      <c r="LQI22" s="3507"/>
      <c r="LQJ22" s="3507"/>
      <c r="LQK22" s="3507"/>
      <c r="LQL22" s="3507"/>
      <c r="LQM22" s="3507"/>
      <c r="LQN22" s="3507"/>
      <c r="LQO22" s="3507"/>
      <c r="LQP22" s="3507"/>
      <c r="LQQ22" s="3507"/>
      <c r="LQR22" s="3507"/>
      <c r="LQS22" s="3507"/>
      <c r="LQT22" s="3507"/>
      <c r="LQU22" s="3507"/>
      <c r="LQV22" s="3507"/>
      <c r="LQW22" s="3507"/>
      <c r="LQX22" s="3507"/>
      <c r="LQY22" s="3507"/>
      <c r="LQZ22" s="3507"/>
      <c r="LRA22" s="3507"/>
      <c r="LRB22" s="3507"/>
      <c r="LRC22" s="3507"/>
      <c r="LRD22" s="3507"/>
      <c r="LRE22" s="3507"/>
      <c r="LRF22" s="3507"/>
      <c r="LRG22" s="3507"/>
      <c r="LRH22" s="3507"/>
      <c r="LRI22" s="3507"/>
      <c r="LRJ22" s="3507"/>
      <c r="LRK22" s="3507"/>
      <c r="LRL22" s="3507"/>
      <c r="LRM22" s="3507"/>
      <c r="LRN22" s="3507"/>
      <c r="LRO22" s="3507"/>
      <c r="LRP22" s="3507"/>
      <c r="LRQ22" s="3507"/>
      <c r="LRR22" s="3507"/>
      <c r="LRS22" s="3507"/>
      <c r="LRT22" s="3507"/>
      <c r="LRU22" s="3507"/>
      <c r="LRV22" s="3507"/>
      <c r="LRW22" s="3507"/>
      <c r="LRX22" s="3507"/>
      <c r="LRY22" s="3507"/>
      <c r="LRZ22" s="3507"/>
      <c r="LSA22" s="3507"/>
      <c r="LSB22" s="3507"/>
      <c r="LSC22" s="3507"/>
      <c r="LSD22" s="3507"/>
      <c r="LSE22" s="3507"/>
      <c r="LSF22" s="3507"/>
      <c r="LSG22" s="3507"/>
      <c r="LSH22" s="3507"/>
      <c r="LSI22" s="3507"/>
      <c r="LSJ22" s="3507"/>
      <c r="LSK22" s="3507"/>
      <c r="LSL22" s="3507"/>
      <c r="LSM22" s="3507"/>
      <c r="LSN22" s="3507"/>
      <c r="LSO22" s="3507"/>
      <c r="LSP22" s="3507"/>
      <c r="LSQ22" s="3507"/>
      <c r="LSR22" s="3507"/>
      <c r="LSS22" s="3507"/>
      <c r="LST22" s="3507"/>
      <c r="LSU22" s="3507"/>
      <c r="LSV22" s="3507"/>
      <c r="LSW22" s="3507"/>
      <c r="LSX22" s="3507"/>
      <c r="LSY22" s="3507"/>
      <c r="LSZ22" s="3507"/>
      <c r="LTA22" s="3507"/>
      <c r="LTB22" s="3507"/>
      <c r="LTC22" s="3507"/>
      <c r="LTD22" s="3507"/>
      <c r="LTE22" s="3507"/>
      <c r="LTF22" s="3507"/>
      <c r="LTG22" s="3507"/>
      <c r="LTH22" s="3507"/>
      <c r="LTI22" s="3507"/>
      <c r="LTJ22" s="3507"/>
      <c r="LTK22" s="3507"/>
      <c r="LTL22" s="3507"/>
      <c r="LTM22" s="3507"/>
      <c r="LTN22" s="3507"/>
      <c r="LTO22" s="3507"/>
      <c r="LTP22" s="3507"/>
      <c r="LTQ22" s="3507"/>
      <c r="LTR22" s="3507"/>
      <c r="LTS22" s="3507"/>
      <c r="LTT22" s="3507"/>
      <c r="LTU22" s="3507"/>
      <c r="LTV22" s="3507"/>
      <c r="LTW22" s="3507"/>
      <c r="LTX22" s="3507"/>
      <c r="LTY22" s="3507"/>
      <c r="LTZ22" s="3507"/>
      <c r="LUA22" s="3507"/>
      <c r="LUB22" s="3507"/>
      <c r="LUC22" s="3507"/>
      <c r="LUD22" s="3507"/>
      <c r="LUE22" s="3507"/>
      <c r="LUF22" s="3507"/>
      <c r="LUG22" s="3507"/>
      <c r="LUH22" s="3507"/>
      <c r="LUI22" s="3507"/>
      <c r="LUJ22" s="3507"/>
      <c r="LUK22" s="3507"/>
      <c r="LUL22" s="3507"/>
      <c r="LUM22" s="3507"/>
      <c r="LUN22" s="3507"/>
      <c r="LUO22" s="3507"/>
      <c r="LUP22" s="3507"/>
      <c r="LUQ22" s="3507"/>
      <c r="LUR22" s="3507"/>
      <c r="LUS22" s="3507"/>
      <c r="LUT22" s="3507"/>
      <c r="LUU22" s="3507"/>
      <c r="LUV22" s="3507"/>
      <c r="LUW22" s="3507"/>
      <c r="LUX22" s="3507"/>
      <c r="LUY22" s="3507"/>
      <c r="LUZ22" s="3507"/>
      <c r="LVA22" s="3507"/>
      <c r="LVB22" s="3507"/>
      <c r="LVC22" s="3507"/>
      <c r="LVD22" s="3507"/>
      <c r="LVE22" s="3507"/>
      <c r="LVF22" s="3507"/>
      <c r="LVG22" s="3507"/>
      <c r="LVH22" s="3507"/>
      <c r="LVI22" s="3507"/>
      <c r="LVJ22" s="3507"/>
      <c r="LVK22" s="3507"/>
      <c r="LVL22" s="3507"/>
      <c r="LVM22" s="3507"/>
      <c r="LVN22" s="3507"/>
      <c r="LVO22" s="3507"/>
      <c r="LVP22" s="3507"/>
      <c r="LVQ22" s="3507"/>
      <c r="LVR22" s="3507"/>
      <c r="LVS22" s="3507"/>
      <c r="LVT22" s="3507"/>
      <c r="LVU22" s="3507"/>
      <c r="LVV22" s="3507"/>
      <c r="LVW22" s="3507"/>
      <c r="LVX22" s="3507"/>
      <c r="LVY22" s="3507"/>
      <c r="LVZ22" s="3507"/>
      <c r="LWA22" s="3507"/>
      <c r="LWB22" s="3507"/>
      <c r="LWC22" s="3507"/>
      <c r="LWD22" s="3507"/>
      <c r="LWE22" s="3507"/>
      <c r="LWF22" s="3507"/>
      <c r="LWG22" s="3507"/>
      <c r="LWH22" s="3507"/>
      <c r="LWI22" s="3507"/>
      <c r="LWJ22" s="3507"/>
      <c r="LWK22" s="3507"/>
      <c r="LWL22" s="3507"/>
      <c r="LWM22" s="3507"/>
      <c r="LWN22" s="3507"/>
      <c r="LWO22" s="3507"/>
      <c r="LWP22" s="3507"/>
      <c r="LWQ22" s="3507"/>
      <c r="LWR22" s="3507"/>
      <c r="LWS22" s="3507"/>
      <c r="LWT22" s="3507"/>
      <c r="LWU22" s="3507"/>
      <c r="LWV22" s="3507"/>
      <c r="LWW22" s="3507"/>
      <c r="LWX22" s="3507"/>
      <c r="LWY22" s="3507"/>
      <c r="LWZ22" s="3507"/>
      <c r="LXA22" s="3507"/>
      <c r="LXB22" s="3507"/>
      <c r="LXC22" s="3507"/>
      <c r="LXD22" s="3507"/>
      <c r="LXE22" s="3507"/>
      <c r="LXF22" s="3507"/>
      <c r="LXG22" s="3507"/>
      <c r="LXH22" s="3507"/>
      <c r="LXI22" s="3507"/>
      <c r="LXJ22" s="3507"/>
      <c r="LXK22" s="3507"/>
      <c r="LXL22" s="3507"/>
      <c r="LXM22" s="3507"/>
      <c r="LXN22" s="3507"/>
      <c r="LXO22" s="3507"/>
      <c r="LXP22" s="3507"/>
      <c r="LXQ22" s="3507"/>
      <c r="LXR22" s="3507"/>
      <c r="LXS22" s="3507"/>
      <c r="LXT22" s="3507"/>
      <c r="LXU22" s="3507"/>
      <c r="LXV22" s="3507"/>
      <c r="LXW22" s="3507"/>
      <c r="LXX22" s="3507"/>
      <c r="LXY22" s="3507"/>
      <c r="LXZ22" s="3507"/>
      <c r="LYA22" s="3507"/>
      <c r="LYB22" s="3507"/>
      <c r="LYC22" s="3507"/>
      <c r="LYD22" s="3507"/>
      <c r="LYE22" s="3507"/>
      <c r="LYF22" s="3507"/>
      <c r="LYG22" s="3507"/>
      <c r="LYH22" s="3507"/>
      <c r="LYI22" s="3507"/>
      <c r="LYJ22" s="3507"/>
      <c r="LYK22" s="3507"/>
      <c r="LYL22" s="3507"/>
      <c r="LYM22" s="3507"/>
      <c r="LYN22" s="3507"/>
      <c r="LYO22" s="3507"/>
      <c r="LYP22" s="3507"/>
      <c r="LYQ22" s="3507"/>
      <c r="LYR22" s="3507"/>
      <c r="LYS22" s="3507"/>
      <c r="LYT22" s="3507"/>
      <c r="LYU22" s="3507"/>
      <c r="LYV22" s="3507"/>
      <c r="LYW22" s="3507"/>
      <c r="LYX22" s="3507"/>
      <c r="LYY22" s="3507"/>
      <c r="LYZ22" s="3507"/>
      <c r="LZA22" s="3507"/>
      <c r="LZB22" s="3507"/>
      <c r="LZC22" s="3507"/>
      <c r="LZD22" s="3507"/>
      <c r="LZE22" s="3507"/>
      <c r="LZF22" s="3507"/>
      <c r="LZG22" s="3507"/>
      <c r="LZH22" s="3507"/>
      <c r="LZI22" s="3507"/>
      <c r="LZJ22" s="3507"/>
      <c r="LZK22" s="3507"/>
      <c r="LZL22" s="3507"/>
      <c r="LZM22" s="3507"/>
      <c r="LZN22" s="3507"/>
      <c r="LZO22" s="3507"/>
      <c r="LZP22" s="3507"/>
      <c r="LZQ22" s="3507"/>
      <c r="LZR22" s="3507"/>
      <c r="LZS22" s="3507"/>
      <c r="LZT22" s="3507"/>
      <c r="LZU22" s="3507"/>
      <c r="LZV22" s="3507"/>
      <c r="LZW22" s="3507"/>
      <c r="LZX22" s="3507"/>
      <c r="LZY22" s="3507"/>
      <c r="LZZ22" s="3507"/>
      <c r="MAA22" s="3507"/>
      <c r="MAB22" s="3507"/>
      <c r="MAC22" s="3507"/>
      <c r="MAD22" s="3507"/>
      <c r="MAE22" s="3507"/>
      <c r="MAF22" s="3507"/>
      <c r="MAG22" s="3507"/>
      <c r="MAH22" s="3507"/>
      <c r="MAI22" s="3507"/>
      <c r="MAJ22" s="3507"/>
      <c r="MAK22" s="3507"/>
      <c r="MAL22" s="3507"/>
      <c r="MAM22" s="3507"/>
      <c r="MAN22" s="3507"/>
      <c r="MAO22" s="3507"/>
      <c r="MAP22" s="3507"/>
      <c r="MAQ22" s="3507"/>
      <c r="MAR22" s="3507"/>
      <c r="MAS22" s="3507"/>
      <c r="MAT22" s="3507"/>
      <c r="MAU22" s="3507"/>
      <c r="MAV22" s="3507"/>
      <c r="MAW22" s="3507"/>
      <c r="MAX22" s="3507"/>
      <c r="MAY22" s="3507"/>
      <c r="MAZ22" s="3507"/>
      <c r="MBA22" s="3507"/>
      <c r="MBB22" s="3507"/>
      <c r="MBC22" s="3507"/>
      <c r="MBD22" s="3507"/>
      <c r="MBE22" s="3507"/>
      <c r="MBF22" s="3507"/>
      <c r="MBG22" s="3507"/>
      <c r="MBH22" s="3507"/>
      <c r="MBI22" s="3507"/>
      <c r="MBJ22" s="3507"/>
      <c r="MBK22" s="3507"/>
      <c r="MBL22" s="3507"/>
      <c r="MBM22" s="3507"/>
      <c r="MBN22" s="3507"/>
      <c r="MBO22" s="3507"/>
      <c r="MBP22" s="3507"/>
      <c r="MBQ22" s="3507"/>
      <c r="MBR22" s="3507"/>
      <c r="MBS22" s="3507"/>
      <c r="MBT22" s="3507"/>
      <c r="MBU22" s="3507"/>
      <c r="MBV22" s="3507"/>
      <c r="MBW22" s="3507"/>
      <c r="MBX22" s="3507"/>
      <c r="MBY22" s="3507"/>
      <c r="MBZ22" s="3507"/>
      <c r="MCA22" s="3507"/>
      <c r="MCB22" s="3507"/>
      <c r="MCC22" s="3507"/>
      <c r="MCD22" s="3507"/>
      <c r="MCE22" s="3507"/>
      <c r="MCF22" s="3507"/>
      <c r="MCG22" s="3507"/>
      <c r="MCH22" s="3507"/>
      <c r="MCI22" s="3507"/>
      <c r="MCJ22" s="3507"/>
      <c r="MCK22" s="3507"/>
      <c r="MCL22" s="3507"/>
      <c r="MCM22" s="3507"/>
      <c r="MCN22" s="3507"/>
      <c r="MCO22" s="3507"/>
      <c r="MCP22" s="3507"/>
      <c r="MCQ22" s="3507"/>
      <c r="MCR22" s="3507"/>
      <c r="MCS22" s="3507"/>
      <c r="MCT22" s="3507"/>
      <c r="MCU22" s="3507"/>
      <c r="MCV22" s="3507"/>
      <c r="MCW22" s="3507"/>
      <c r="MCX22" s="3507"/>
      <c r="MCY22" s="3507"/>
      <c r="MCZ22" s="3507"/>
      <c r="MDA22" s="3507"/>
      <c r="MDB22" s="3507"/>
      <c r="MDC22" s="3507"/>
      <c r="MDD22" s="3507"/>
      <c r="MDE22" s="3507"/>
      <c r="MDF22" s="3507"/>
      <c r="MDG22" s="3507"/>
      <c r="MDH22" s="3507"/>
      <c r="MDI22" s="3507"/>
      <c r="MDJ22" s="3507"/>
      <c r="MDK22" s="3507"/>
      <c r="MDL22" s="3507"/>
      <c r="MDM22" s="3507"/>
      <c r="MDN22" s="3507"/>
      <c r="MDO22" s="3507"/>
      <c r="MDP22" s="3507"/>
      <c r="MDQ22" s="3507"/>
      <c r="MDR22" s="3507"/>
      <c r="MDS22" s="3507"/>
      <c r="MDT22" s="3507"/>
      <c r="MDU22" s="3507"/>
      <c r="MDV22" s="3507"/>
      <c r="MDW22" s="3507"/>
      <c r="MDX22" s="3507"/>
      <c r="MDY22" s="3507"/>
      <c r="MDZ22" s="3507"/>
      <c r="MEA22" s="3507"/>
      <c r="MEB22" s="3507"/>
      <c r="MEC22" s="3507"/>
      <c r="MED22" s="3507"/>
      <c r="MEE22" s="3507"/>
      <c r="MEF22" s="3507"/>
      <c r="MEG22" s="3507"/>
      <c r="MEH22" s="3507"/>
      <c r="MEI22" s="3507"/>
      <c r="MEJ22" s="3507"/>
      <c r="MEK22" s="3507"/>
      <c r="MEL22" s="3507"/>
      <c r="MEM22" s="3507"/>
      <c r="MEN22" s="3507"/>
      <c r="MEO22" s="3507"/>
      <c r="MEP22" s="3507"/>
      <c r="MEQ22" s="3507"/>
      <c r="MER22" s="3507"/>
      <c r="MES22" s="3507"/>
      <c r="MET22" s="3507"/>
      <c r="MEU22" s="3507"/>
      <c r="MEV22" s="3507"/>
      <c r="MEW22" s="3507"/>
      <c r="MEX22" s="3507"/>
      <c r="MEY22" s="3507"/>
      <c r="MEZ22" s="3507"/>
      <c r="MFA22" s="3507"/>
      <c r="MFB22" s="3507"/>
      <c r="MFC22" s="3507"/>
      <c r="MFD22" s="3507"/>
      <c r="MFE22" s="3507"/>
      <c r="MFF22" s="3507"/>
      <c r="MFG22" s="3507"/>
      <c r="MFH22" s="3507"/>
      <c r="MFI22" s="3507"/>
      <c r="MFJ22" s="3507"/>
      <c r="MFK22" s="3507"/>
      <c r="MFL22" s="3507"/>
      <c r="MFM22" s="3507"/>
      <c r="MFN22" s="3507"/>
      <c r="MFO22" s="3507"/>
      <c r="MFP22" s="3507"/>
      <c r="MFQ22" s="3507"/>
      <c r="MFR22" s="3507"/>
      <c r="MFS22" s="3507"/>
      <c r="MFT22" s="3507"/>
      <c r="MFU22" s="3507"/>
      <c r="MFV22" s="3507"/>
      <c r="MFW22" s="3507"/>
      <c r="MFX22" s="3507"/>
      <c r="MFY22" s="3507"/>
      <c r="MFZ22" s="3507"/>
      <c r="MGA22" s="3507"/>
      <c r="MGB22" s="3507"/>
      <c r="MGC22" s="3507"/>
      <c r="MGD22" s="3507"/>
      <c r="MGE22" s="3507"/>
      <c r="MGF22" s="3507"/>
      <c r="MGG22" s="3507"/>
      <c r="MGH22" s="3507"/>
      <c r="MGI22" s="3507"/>
      <c r="MGJ22" s="3507"/>
      <c r="MGK22" s="3507"/>
      <c r="MGL22" s="3507"/>
      <c r="MGM22" s="3507"/>
      <c r="MGN22" s="3507"/>
      <c r="MGO22" s="3507"/>
      <c r="MGP22" s="3507"/>
      <c r="MGQ22" s="3507"/>
      <c r="MGR22" s="3507"/>
      <c r="MGS22" s="3507"/>
      <c r="MGT22" s="3507"/>
      <c r="MGU22" s="3507"/>
      <c r="MGV22" s="3507"/>
      <c r="MGW22" s="3507"/>
      <c r="MGX22" s="3507"/>
      <c r="MGY22" s="3507"/>
      <c r="MGZ22" s="3507"/>
      <c r="MHA22" s="3507"/>
      <c r="MHB22" s="3507"/>
      <c r="MHC22" s="3507"/>
      <c r="MHD22" s="3507"/>
      <c r="MHE22" s="3507"/>
      <c r="MHF22" s="3507"/>
      <c r="MHG22" s="3507"/>
      <c r="MHH22" s="3507"/>
      <c r="MHI22" s="3507"/>
      <c r="MHJ22" s="3507"/>
      <c r="MHK22" s="3507"/>
      <c r="MHL22" s="3507"/>
      <c r="MHM22" s="3507"/>
      <c r="MHN22" s="3507"/>
      <c r="MHO22" s="3507"/>
      <c r="MHP22" s="3507"/>
      <c r="MHQ22" s="3507"/>
      <c r="MHR22" s="3507"/>
      <c r="MHS22" s="3507"/>
      <c r="MHT22" s="3507"/>
      <c r="MHU22" s="3507"/>
      <c r="MHV22" s="3507"/>
      <c r="MHW22" s="3507"/>
      <c r="MHX22" s="3507"/>
      <c r="MHY22" s="3507"/>
      <c r="MHZ22" s="3507"/>
      <c r="MIA22" s="3507"/>
      <c r="MIB22" s="3507"/>
      <c r="MIC22" s="3507"/>
      <c r="MID22" s="3507"/>
      <c r="MIE22" s="3507"/>
      <c r="MIF22" s="3507"/>
      <c r="MIG22" s="3507"/>
      <c r="MIH22" s="3507"/>
      <c r="MII22" s="3507"/>
      <c r="MIJ22" s="3507"/>
      <c r="MIK22" s="3507"/>
      <c r="MIL22" s="3507"/>
      <c r="MIM22" s="3507"/>
      <c r="MIN22" s="3507"/>
      <c r="MIO22" s="3507"/>
      <c r="MIP22" s="3507"/>
      <c r="MIQ22" s="3507"/>
      <c r="MIR22" s="3507"/>
      <c r="MIS22" s="3507"/>
      <c r="MIT22" s="3507"/>
      <c r="MIU22" s="3507"/>
      <c r="MIV22" s="3507"/>
      <c r="MIW22" s="3507"/>
      <c r="MIX22" s="3507"/>
      <c r="MIY22" s="3507"/>
      <c r="MIZ22" s="3507"/>
      <c r="MJA22" s="3507"/>
      <c r="MJB22" s="3507"/>
      <c r="MJC22" s="3507"/>
      <c r="MJD22" s="3507"/>
      <c r="MJE22" s="3507"/>
      <c r="MJF22" s="3507"/>
      <c r="MJG22" s="3507"/>
      <c r="MJH22" s="3507"/>
      <c r="MJI22" s="3507"/>
      <c r="MJJ22" s="3507"/>
      <c r="MJK22" s="3507"/>
      <c r="MJL22" s="3507"/>
      <c r="MJM22" s="3507"/>
      <c r="MJN22" s="3507"/>
      <c r="MJO22" s="3507"/>
      <c r="MJP22" s="3507"/>
      <c r="MJQ22" s="3507"/>
      <c r="MJR22" s="3507"/>
      <c r="MJS22" s="3507"/>
      <c r="MJT22" s="3507"/>
      <c r="MJU22" s="3507"/>
      <c r="MJV22" s="3507"/>
      <c r="MJW22" s="3507"/>
      <c r="MJX22" s="3507"/>
      <c r="MJY22" s="3507"/>
      <c r="MJZ22" s="3507"/>
      <c r="MKA22" s="3507"/>
      <c r="MKB22" s="3507"/>
      <c r="MKC22" s="3507"/>
      <c r="MKD22" s="3507"/>
      <c r="MKE22" s="3507"/>
      <c r="MKF22" s="3507"/>
      <c r="MKG22" s="3507"/>
      <c r="MKH22" s="3507"/>
      <c r="MKI22" s="3507"/>
      <c r="MKJ22" s="3507"/>
      <c r="MKK22" s="3507"/>
      <c r="MKL22" s="3507"/>
      <c r="MKM22" s="3507"/>
      <c r="MKN22" s="3507"/>
      <c r="MKO22" s="3507"/>
      <c r="MKP22" s="3507"/>
      <c r="MKQ22" s="3507"/>
      <c r="MKR22" s="3507"/>
      <c r="MKS22" s="3507"/>
      <c r="MKT22" s="3507"/>
      <c r="MKU22" s="3507"/>
      <c r="MKV22" s="3507"/>
      <c r="MKW22" s="3507"/>
      <c r="MKX22" s="3507"/>
      <c r="MKY22" s="3507"/>
      <c r="MKZ22" s="3507"/>
      <c r="MLA22" s="3507"/>
      <c r="MLB22" s="3507"/>
      <c r="MLC22" s="3507"/>
      <c r="MLD22" s="3507"/>
      <c r="MLE22" s="3507"/>
      <c r="MLF22" s="3507"/>
      <c r="MLG22" s="3507"/>
      <c r="MLH22" s="3507"/>
      <c r="MLI22" s="3507"/>
      <c r="MLJ22" s="3507"/>
      <c r="MLK22" s="3507"/>
      <c r="MLL22" s="3507"/>
      <c r="MLM22" s="3507"/>
      <c r="MLN22" s="3507"/>
      <c r="MLO22" s="3507"/>
      <c r="MLP22" s="3507"/>
      <c r="MLQ22" s="3507"/>
      <c r="MLR22" s="3507"/>
      <c r="MLS22" s="3507"/>
      <c r="MLT22" s="3507"/>
      <c r="MLU22" s="3507"/>
      <c r="MLV22" s="3507"/>
      <c r="MLW22" s="3507"/>
      <c r="MLX22" s="3507"/>
      <c r="MLY22" s="3507"/>
      <c r="MLZ22" s="3507"/>
      <c r="MMA22" s="3507"/>
      <c r="MMB22" s="3507"/>
      <c r="MMC22" s="3507"/>
      <c r="MMD22" s="3507"/>
      <c r="MME22" s="3507"/>
      <c r="MMF22" s="3507"/>
      <c r="MMG22" s="3507"/>
      <c r="MMH22" s="3507"/>
      <c r="MMI22" s="3507"/>
      <c r="MMJ22" s="3507"/>
      <c r="MMK22" s="3507"/>
      <c r="MML22" s="3507"/>
      <c r="MMM22" s="3507"/>
      <c r="MMN22" s="3507"/>
      <c r="MMO22" s="3507"/>
      <c r="MMP22" s="3507"/>
      <c r="MMQ22" s="3507"/>
      <c r="MMR22" s="3507"/>
      <c r="MMS22" s="3507"/>
      <c r="MMT22" s="3507"/>
      <c r="MMU22" s="3507"/>
      <c r="MMV22" s="3507"/>
      <c r="MMW22" s="3507"/>
      <c r="MMX22" s="3507"/>
      <c r="MMY22" s="3507"/>
      <c r="MMZ22" s="3507"/>
      <c r="MNA22" s="3507"/>
      <c r="MNB22" s="3507"/>
      <c r="MNC22" s="3507"/>
      <c r="MND22" s="3507"/>
      <c r="MNE22" s="3507"/>
      <c r="MNF22" s="3507"/>
      <c r="MNG22" s="3507"/>
      <c r="MNH22" s="3507"/>
      <c r="MNI22" s="3507"/>
      <c r="MNJ22" s="3507"/>
      <c r="MNK22" s="3507"/>
      <c r="MNL22" s="3507"/>
      <c r="MNM22" s="3507"/>
      <c r="MNN22" s="3507"/>
      <c r="MNO22" s="3507"/>
      <c r="MNP22" s="3507"/>
      <c r="MNQ22" s="3507"/>
      <c r="MNR22" s="3507"/>
      <c r="MNS22" s="3507"/>
      <c r="MNT22" s="3507"/>
      <c r="MNU22" s="3507"/>
      <c r="MNV22" s="3507"/>
      <c r="MNW22" s="3507"/>
      <c r="MNX22" s="3507"/>
      <c r="MNY22" s="3507"/>
      <c r="MNZ22" s="3507"/>
      <c r="MOA22" s="3507"/>
      <c r="MOB22" s="3507"/>
      <c r="MOC22" s="3507"/>
      <c r="MOD22" s="3507"/>
      <c r="MOE22" s="3507"/>
      <c r="MOF22" s="3507"/>
      <c r="MOG22" s="3507"/>
      <c r="MOH22" s="3507"/>
      <c r="MOI22" s="3507"/>
      <c r="MOJ22" s="3507"/>
      <c r="MOK22" s="3507"/>
      <c r="MOL22" s="3507"/>
      <c r="MOM22" s="3507"/>
      <c r="MON22" s="3507"/>
      <c r="MOO22" s="3507"/>
      <c r="MOP22" s="3507"/>
      <c r="MOQ22" s="3507"/>
      <c r="MOR22" s="3507"/>
      <c r="MOS22" s="3507"/>
      <c r="MOT22" s="3507"/>
      <c r="MOU22" s="3507"/>
      <c r="MOV22" s="3507"/>
      <c r="MOW22" s="3507"/>
      <c r="MOX22" s="3507"/>
      <c r="MOY22" s="3507"/>
      <c r="MOZ22" s="3507"/>
      <c r="MPA22" s="3507"/>
      <c r="MPB22" s="3507"/>
      <c r="MPC22" s="3507"/>
      <c r="MPD22" s="3507"/>
      <c r="MPE22" s="3507"/>
      <c r="MPF22" s="3507"/>
      <c r="MPG22" s="3507"/>
      <c r="MPH22" s="3507"/>
      <c r="MPI22" s="3507"/>
      <c r="MPJ22" s="3507"/>
      <c r="MPK22" s="3507"/>
      <c r="MPL22" s="3507"/>
      <c r="MPM22" s="3507"/>
      <c r="MPN22" s="3507"/>
      <c r="MPO22" s="3507"/>
      <c r="MPP22" s="3507"/>
      <c r="MPQ22" s="3507"/>
      <c r="MPR22" s="3507"/>
      <c r="MPS22" s="3507"/>
      <c r="MPT22" s="3507"/>
      <c r="MPU22" s="3507"/>
      <c r="MPV22" s="3507"/>
      <c r="MPW22" s="3507"/>
      <c r="MPX22" s="3507"/>
      <c r="MPY22" s="3507"/>
      <c r="MPZ22" s="3507"/>
      <c r="MQA22" s="3507"/>
      <c r="MQB22" s="3507"/>
      <c r="MQC22" s="3507"/>
      <c r="MQD22" s="3507"/>
      <c r="MQE22" s="3507"/>
      <c r="MQF22" s="3507"/>
      <c r="MQG22" s="3507"/>
      <c r="MQH22" s="3507"/>
      <c r="MQI22" s="3507"/>
      <c r="MQJ22" s="3507"/>
      <c r="MQK22" s="3507"/>
      <c r="MQL22" s="3507"/>
      <c r="MQM22" s="3507"/>
      <c r="MQN22" s="3507"/>
      <c r="MQO22" s="3507"/>
      <c r="MQP22" s="3507"/>
      <c r="MQQ22" s="3507"/>
      <c r="MQR22" s="3507"/>
      <c r="MQS22" s="3507"/>
      <c r="MQT22" s="3507"/>
      <c r="MQU22" s="3507"/>
      <c r="MQV22" s="3507"/>
      <c r="MQW22" s="3507"/>
      <c r="MQX22" s="3507"/>
      <c r="MQY22" s="3507"/>
      <c r="MQZ22" s="3507"/>
      <c r="MRA22" s="3507"/>
      <c r="MRB22" s="3507"/>
      <c r="MRC22" s="3507"/>
      <c r="MRD22" s="3507"/>
      <c r="MRE22" s="3507"/>
      <c r="MRF22" s="3507"/>
      <c r="MRG22" s="3507"/>
      <c r="MRH22" s="3507"/>
      <c r="MRI22" s="3507"/>
      <c r="MRJ22" s="3507"/>
      <c r="MRK22" s="3507"/>
      <c r="MRL22" s="3507"/>
      <c r="MRM22" s="3507"/>
      <c r="MRN22" s="3507"/>
      <c r="MRO22" s="3507"/>
      <c r="MRP22" s="3507"/>
      <c r="MRQ22" s="3507"/>
      <c r="MRR22" s="3507"/>
      <c r="MRS22" s="3507"/>
      <c r="MRT22" s="3507"/>
      <c r="MRU22" s="3507"/>
      <c r="MRV22" s="3507"/>
      <c r="MRW22" s="3507"/>
      <c r="MRX22" s="3507"/>
      <c r="MRY22" s="3507"/>
      <c r="MRZ22" s="3507"/>
      <c r="MSA22" s="3507"/>
      <c r="MSB22" s="3507"/>
      <c r="MSC22" s="3507"/>
      <c r="MSD22" s="3507"/>
      <c r="MSE22" s="3507"/>
      <c r="MSF22" s="3507"/>
      <c r="MSG22" s="3507"/>
      <c r="MSH22" s="3507"/>
      <c r="MSI22" s="3507"/>
      <c r="MSJ22" s="3507"/>
      <c r="MSK22" s="3507"/>
      <c r="MSL22" s="3507"/>
      <c r="MSM22" s="3507"/>
      <c r="MSN22" s="3507"/>
      <c r="MSO22" s="3507"/>
      <c r="MSP22" s="3507"/>
      <c r="MSQ22" s="3507"/>
      <c r="MSR22" s="3507"/>
      <c r="MSS22" s="3507"/>
      <c r="MST22" s="3507"/>
      <c r="MSU22" s="3507"/>
      <c r="MSV22" s="3507"/>
      <c r="MSW22" s="3507"/>
      <c r="MSX22" s="3507"/>
      <c r="MSY22" s="3507"/>
      <c r="MSZ22" s="3507"/>
      <c r="MTA22" s="3507"/>
      <c r="MTB22" s="3507"/>
      <c r="MTC22" s="3507"/>
      <c r="MTD22" s="3507"/>
      <c r="MTE22" s="3507"/>
      <c r="MTF22" s="3507"/>
      <c r="MTG22" s="3507"/>
      <c r="MTH22" s="3507"/>
      <c r="MTI22" s="3507"/>
      <c r="MTJ22" s="3507"/>
      <c r="MTK22" s="3507"/>
      <c r="MTL22" s="3507"/>
      <c r="MTM22" s="3507"/>
      <c r="MTN22" s="3507"/>
      <c r="MTO22" s="3507"/>
      <c r="MTP22" s="3507"/>
      <c r="MTQ22" s="3507"/>
      <c r="MTR22" s="3507"/>
      <c r="MTS22" s="3507"/>
      <c r="MTT22" s="3507"/>
      <c r="MTU22" s="3507"/>
      <c r="MTV22" s="3507"/>
      <c r="MTW22" s="3507"/>
      <c r="MTX22" s="3507"/>
      <c r="MTY22" s="3507"/>
      <c r="MTZ22" s="3507"/>
      <c r="MUA22" s="3507"/>
      <c r="MUB22" s="3507"/>
      <c r="MUC22" s="3507"/>
      <c r="MUD22" s="3507"/>
      <c r="MUE22" s="3507"/>
      <c r="MUF22" s="3507"/>
      <c r="MUG22" s="3507"/>
      <c r="MUH22" s="3507"/>
      <c r="MUI22" s="3507"/>
      <c r="MUJ22" s="3507"/>
      <c r="MUK22" s="3507"/>
      <c r="MUL22" s="3507"/>
      <c r="MUM22" s="3507"/>
      <c r="MUN22" s="3507"/>
      <c r="MUO22" s="3507"/>
      <c r="MUP22" s="3507"/>
      <c r="MUQ22" s="3507"/>
      <c r="MUR22" s="3507"/>
      <c r="MUS22" s="3507"/>
      <c r="MUT22" s="3507"/>
      <c r="MUU22" s="3507"/>
      <c r="MUV22" s="3507"/>
      <c r="MUW22" s="3507"/>
      <c r="MUX22" s="3507"/>
      <c r="MUY22" s="3507"/>
      <c r="MUZ22" s="3507"/>
      <c r="MVA22" s="3507"/>
      <c r="MVB22" s="3507"/>
      <c r="MVC22" s="3507"/>
      <c r="MVD22" s="3507"/>
      <c r="MVE22" s="3507"/>
      <c r="MVF22" s="3507"/>
      <c r="MVG22" s="3507"/>
      <c r="MVH22" s="3507"/>
      <c r="MVI22" s="3507"/>
      <c r="MVJ22" s="3507"/>
      <c r="MVK22" s="3507"/>
      <c r="MVL22" s="3507"/>
      <c r="MVM22" s="3507"/>
      <c r="MVN22" s="3507"/>
      <c r="MVO22" s="3507"/>
      <c r="MVP22" s="3507"/>
      <c r="MVQ22" s="3507"/>
      <c r="MVR22" s="3507"/>
      <c r="MVS22" s="3507"/>
      <c r="MVT22" s="3507"/>
      <c r="MVU22" s="3507"/>
      <c r="MVV22" s="3507"/>
      <c r="MVW22" s="3507"/>
      <c r="MVX22" s="3507"/>
      <c r="MVY22" s="3507"/>
      <c r="MVZ22" s="3507"/>
      <c r="MWA22" s="3507"/>
      <c r="MWB22" s="3507"/>
      <c r="MWC22" s="3507"/>
      <c r="MWD22" s="3507"/>
      <c r="MWE22" s="3507"/>
      <c r="MWF22" s="3507"/>
      <c r="MWG22" s="3507"/>
      <c r="MWH22" s="3507"/>
      <c r="MWI22" s="3507"/>
      <c r="MWJ22" s="3507"/>
      <c r="MWK22" s="3507"/>
      <c r="MWL22" s="3507"/>
      <c r="MWM22" s="3507"/>
      <c r="MWN22" s="3507"/>
      <c r="MWO22" s="3507"/>
      <c r="MWP22" s="3507"/>
      <c r="MWQ22" s="3507"/>
      <c r="MWR22" s="3507"/>
      <c r="MWS22" s="3507"/>
      <c r="MWT22" s="3507"/>
      <c r="MWU22" s="3507"/>
      <c r="MWV22" s="3507"/>
      <c r="MWW22" s="3507"/>
      <c r="MWX22" s="3507"/>
      <c r="MWY22" s="3507"/>
      <c r="MWZ22" s="3507"/>
      <c r="MXA22" s="3507"/>
      <c r="MXB22" s="3507"/>
      <c r="MXC22" s="3507"/>
      <c r="MXD22" s="3507"/>
      <c r="MXE22" s="3507"/>
      <c r="MXF22" s="3507"/>
      <c r="MXG22" s="3507"/>
      <c r="MXH22" s="3507"/>
      <c r="MXI22" s="3507"/>
      <c r="MXJ22" s="3507"/>
      <c r="MXK22" s="3507"/>
      <c r="MXL22" s="3507"/>
      <c r="MXM22" s="3507"/>
      <c r="MXN22" s="3507"/>
      <c r="MXO22" s="3507"/>
      <c r="MXP22" s="3507"/>
      <c r="MXQ22" s="3507"/>
      <c r="MXR22" s="3507"/>
      <c r="MXS22" s="3507"/>
      <c r="MXT22" s="3507"/>
      <c r="MXU22" s="3507"/>
      <c r="MXV22" s="3507"/>
      <c r="MXW22" s="3507"/>
      <c r="MXX22" s="3507"/>
      <c r="MXY22" s="3507"/>
      <c r="MXZ22" s="3507"/>
      <c r="MYA22" s="3507"/>
      <c r="MYB22" s="3507"/>
      <c r="MYC22" s="3507"/>
      <c r="MYD22" s="3507"/>
      <c r="MYE22" s="3507"/>
      <c r="MYF22" s="3507"/>
      <c r="MYG22" s="3507"/>
      <c r="MYH22" s="3507"/>
      <c r="MYI22" s="3507"/>
      <c r="MYJ22" s="3507"/>
      <c r="MYK22" s="3507"/>
      <c r="MYL22" s="3507"/>
      <c r="MYM22" s="3507"/>
      <c r="MYN22" s="3507"/>
      <c r="MYO22" s="3507"/>
      <c r="MYP22" s="3507"/>
      <c r="MYQ22" s="3507"/>
      <c r="MYR22" s="3507"/>
      <c r="MYS22" s="3507"/>
      <c r="MYT22" s="3507"/>
      <c r="MYU22" s="3507"/>
      <c r="MYV22" s="3507"/>
      <c r="MYW22" s="3507"/>
      <c r="MYX22" s="3507"/>
      <c r="MYY22" s="3507"/>
      <c r="MYZ22" s="3507"/>
      <c r="MZA22" s="3507"/>
      <c r="MZB22" s="3507"/>
      <c r="MZC22" s="3507"/>
      <c r="MZD22" s="3507"/>
      <c r="MZE22" s="3507"/>
      <c r="MZF22" s="3507"/>
      <c r="MZG22" s="3507"/>
      <c r="MZH22" s="3507"/>
      <c r="MZI22" s="3507"/>
      <c r="MZJ22" s="3507"/>
      <c r="MZK22" s="3507"/>
      <c r="MZL22" s="3507"/>
      <c r="MZM22" s="3507"/>
      <c r="MZN22" s="3507"/>
      <c r="MZO22" s="3507"/>
      <c r="MZP22" s="3507"/>
      <c r="MZQ22" s="3507"/>
      <c r="MZR22" s="3507"/>
      <c r="MZS22" s="3507"/>
      <c r="MZT22" s="3507"/>
      <c r="MZU22" s="3507"/>
      <c r="MZV22" s="3507"/>
      <c r="MZW22" s="3507"/>
      <c r="MZX22" s="3507"/>
      <c r="MZY22" s="3507"/>
      <c r="MZZ22" s="3507"/>
      <c r="NAA22" s="3507"/>
      <c r="NAB22" s="3507"/>
      <c r="NAC22" s="3507"/>
      <c r="NAD22" s="3507"/>
      <c r="NAE22" s="3507"/>
      <c r="NAF22" s="3507"/>
      <c r="NAG22" s="3507"/>
      <c r="NAH22" s="3507"/>
      <c r="NAI22" s="3507"/>
      <c r="NAJ22" s="3507"/>
      <c r="NAK22" s="3507"/>
      <c r="NAL22" s="3507"/>
      <c r="NAM22" s="3507"/>
      <c r="NAN22" s="3507"/>
      <c r="NAO22" s="3507"/>
      <c r="NAP22" s="3507"/>
      <c r="NAQ22" s="3507"/>
      <c r="NAR22" s="3507"/>
      <c r="NAS22" s="3507"/>
      <c r="NAT22" s="3507"/>
      <c r="NAU22" s="3507"/>
      <c r="NAV22" s="3507"/>
      <c r="NAW22" s="3507"/>
      <c r="NAX22" s="3507"/>
      <c r="NAY22" s="3507"/>
      <c r="NAZ22" s="3507"/>
      <c r="NBA22" s="3507"/>
      <c r="NBB22" s="3507"/>
      <c r="NBC22" s="3507"/>
      <c r="NBD22" s="3507"/>
      <c r="NBE22" s="3507"/>
      <c r="NBF22" s="3507"/>
      <c r="NBG22" s="3507"/>
      <c r="NBH22" s="3507"/>
      <c r="NBI22" s="3507"/>
      <c r="NBJ22" s="3507"/>
      <c r="NBK22" s="3507"/>
      <c r="NBL22" s="3507"/>
      <c r="NBM22" s="3507"/>
      <c r="NBN22" s="3507"/>
      <c r="NBO22" s="3507"/>
      <c r="NBP22" s="3507"/>
      <c r="NBQ22" s="3507"/>
      <c r="NBR22" s="3507"/>
      <c r="NBS22" s="3507"/>
      <c r="NBT22" s="3507"/>
      <c r="NBU22" s="3507"/>
      <c r="NBV22" s="3507"/>
      <c r="NBW22" s="3507"/>
      <c r="NBX22" s="3507"/>
      <c r="NBY22" s="3507"/>
      <c r="NBZ22" s="3507"/>
      <c r="NCA22" s="3507"/>
      <c r="NCB22" s="3507"/>
      <c r="NCC22" s="3507"/>
      <c r="NCD22" s="3507"/>
      <c r="NCE22" s="3507"/>
      <c r="NCF22" s="3507"/>
      <c r="NCG22" s="3507"/>
      <c r="NCH22" s="3507"/>
      <c r="NCI22" s="3507"/>
      <c r="NCJ22" s="3507"/>
      <c r="NCK22" s="3507"/>
      <c r="NCL22" s="3507"/>
      <c r="NCM22" s="3507"/>
      <c r="NCN22" s="3507"/>
      <c r="NCO22" s="3507"/>
      <c r="NCP22" s="3507"/>
      <c r="NCQ22" s="3507"/>
      <c r="NCR22" s="3507"/>
      <c r="NCS22" s="3507"/>
      <c r="NCT22" s="3507"/>
      <c r="NCU22" s="3507"/>
      <c r="NCV22" s="3507"/>
      <c r="NCW22" s="3507"/>
      <c r="NCX22" s="3507"/>
      <c r="NCY22" s="3507"/>
      <c r="NCZ22" s="3507"/>
      <c r="NDA22" s="3507"/>
      <c r="NDB22" s="3507"/>
      <c r="NDC22" s="3507"/>
      <c r="NDD22" s="3507"/>
      <c r="NDE22" s="3507"/>
      <c r="NDF22" s="3507"/>
      <c r="NDG22" s="3507"/>
      <c r="NDH22" s="3507"/>
      <c r="NDI22" s="3507"/>
      <c r="NDJ22" s="3507"/>
      <c r="NDK22" s="3507"/>
      <c r="NDL22" s="3507"/>
      <c r="NDM22" s="3507"/>
      <c r="NDN22" s="3507"/>
      <c r="NDO22" s="3507"/>
      <c r="NDP22" s="3507"/>
      <c r="NDQ22" s="3507"/>
      <c r="NDR22" s="3507"/>
      <c r="NDS22" s="3507"/>
      <c r="NDT22" s="3507"/>
      <c r="NDU22" s="3507"/>
      <c r="NDV22" s="3507"/>
      <c r="NDW22" s="3507"/>
      <c r="NDX22" s="3507"/>
      <c r="NDY22" s="3507"/>
      <c r="NDZ22" s="3507"/>
      <c r="NEA22" s="3507"/>
      <c r="NEB22" s="3507"/>
      <c r="NEC22" s="3507"/>
      <c r="NED22" s="3507"/>
      <c r="NEE22" s="3507"/>
      <c r="NEF22" s="3507"/>
      <c r="NEG22" s="3507"/>
      <c r="NEH22" s="3507"/>
      <c r="NEI22" s="3507"/>
      <c r="NEJ22" s="3507"/>
      <c r="NEK22" s="3507"/>
      <c r="NEL22" s="3507"/>
      <c r="NEM22" s="3507"/>
      <c r="NEN22" s="3507"/>
      <c r="NEO22" s="3507"/>
      <c r="NEP22" s="3507"/>
      <c r="NEQ22" s="3507"/>
      <c r="NER22" s="3507"/>
      <c r="NES22" s="3507"/>
      <c r="NET22" s="3507"/>
      <c r="NEU22" s="3507"/>
      <c r="NEV22" s="3507"/>
      <c r="NEW22" s="3507"/>
      <c r="NEX22" s="3507"/>
      <c r="NEY22" s="3507"/>
      <c r="NEZ22" s="3507"/>
      <c r="NFA22" s="3507"/>
      <c r="NFB22" s="3507"/>
      <c r="NFC22" s="3507"/>
      <c r="NFD22" s="3507"/>
      <c r="NFE22" s="3507"/>
      <c r="NFF22" s="3507"/>
      <c r="NFG22" s="3507"/>
      <c r="NFH22" s="3507"/>
      <c r="NFI22" s="3507"/>
      <c r="NFJ22" s="3507"/>
      <c r="NFK22" s="3507"/>
      <c r="NFL22" s="3507"/>
      <c r="NFM22" s="3507"/>
      <c r="NFN22" s="3507"/>
      <c r="NFO22" s="3507"/>
      <c r="NFP22" s="3507"/>
      <c r="NFQ22" s="3507"/>
      <c r="NFR22" s="3507"/>
      <c r="NFS22" s="3507"/>
      <c r="NFT22" s="3507"/>
      <c r="NFU22" s="3507"/>
      <c r="NFV22" s="3507"/>
      <c r="NFW22" s="3507"/>
      <c r="NFX22" s="3507"/>
      <c r="NFY22" s="3507"/>
      <c r="NFZ22" s="3507"/>
      <c r="NGA22" s="3507"/>
      <c r="NGB22" s="3507"/>
      <c r="NGC22" s="3507"/>
      <c r="NGD22" s="3507"/>
      <c r="NGE22" s="3507"/>
      <c r="NGF22" s="3507"/>
      <c r="NGG22" s="3507"/>
      <c r="NGH22" s="3507"/>
      <c r="NGI22" s="3507"/>
      <c r="NGJ22" s="3507"/>
      <c r="NGK22" s="3507"/>
      <c r="NGL22" s="3507"/>
      <c r="NGM22" s="3507"/>
      <c r="NGN22" s="3507"/>
      <c r="NGO22" s="3507"/>
      <c r="NGP22" s="3507"/>
      <c r="NGQ22" s="3507"/>
      <c r="NGR22" s="3507"/>
      <c r="NGS22" s="3507"/>
      <c r="NGT22" s="3507"/>
      <c r="NGU22" s="3507"/>
      <c r="NGV22" s="3507"/>
      <c r="NGW22" s="3507"/>
      <c r="NGX22" s="3507"/>
      <c r="NGY22" s="3507"/>
      <c r="NGZ22" s="3507"/>
      <c r="NHA22" s="3507"/>
      <c r="NHB22" s="3507"/>
      <c r="NHC22" s="3507"/>
      <c r="NHD22" s="3507"/>
      <c r="NHE22" s="3507"/>
      <c r="NHF22" s="3507"/>
      <c r="NHG22" s="3507"/>
      <c r="NHH22" s="3507"/>
      <c r="NHI22" s="3507"/>
      <c r="NHJ22" s="3507"/>
      <c r="NHK22" s="3507"/>
      <c r="NHL22" s="3507"/>
      <c r="NHM22" s="3507"/>
      <c r="NHN22" s="3507"/>
      <c r="NHO22" s="3507"/>
      <c r="NHP22" s="3507"/>
      <c r="NHQ22" s="3507"/>
      <c r="NHR22" s="3507"/>
      <c r="NHS22" s="3507"/>
      <c r="NHT22" s="3507"/>
      <c r="NHU22" s="3507"/>
      <c r="NHV22" s="3507"/>
      <c r="NHW22" s="3507"/>
      <c r="NHX22" s="3507"/>
      <c r="NHY22" s="3507"/>
      <c r="NHZ22" s="3507"/>
      <c r="NIA22" s="3507"/>
      <c r="NIB22" s="3507"/>
      <c r="NIC22" s="3507"/>
      <c r="NID22" s="3507"/>
      <c r="NIE22" s="3507"/>
      <c r="NIF22" s="3507"/>
      <c r="NIG22" s="3507"/>
      <c r="NIH22" s="3507"/>
      <c r="NII22" s="3507"/>
      <c r="NIJ22" s="3507"/>
      <c r="NIK22" s="3507"/>
      <c r="NIL22" s="3507"/>
      <c r="NIM22" s="3507"/>
      <c r="NIN22" s="3507"/>
      <c r="NIO22" s="3507"/>
      <c r="NIP22" s="3507"/>
      <c r="NIQ22" s="3507"/>
      <c r="NIR22" s="3507"/>
      <c r="NIS22" s="3507"/>
      <c r="NIT22" s="3507"/>
      <c r="NIU22" s="3507"/>
      <c r="NIV22" s="3507"/>
      <c r="NIW22" s="3507"/>
      <c r="NIX22" s="3507"/>
      <c r="NIY22" s="3507"/>
      <c r="NIZ22" s="3507"/>
      <c r="NJA22" s="3507"/>
      <c r="NJB22" s="3507"/>
      <c r="NJC22" s="3507"/>
      <c r="NJD22" s="3507"/>
      <c r="NJE22" s="3507"/>
      <c r="NJF22" s="3507"/>
      <c r="NJG22" s="3507"/>
      <c r="NJH22" s="3507"/>
      <c r="NJI22" s="3507"/>
      <c r="NJJ22" s="3507"/>
      <c r="NJK22" s="3507"/>
      <c r="NJL22" s="3507"/>
      <c r="NJM22" s="3507"/>
      <c r="NJN22" s="3507"/>
      <c r="NJO22" s="3507"/>
      <c r="NJP22" s="3507"/>
      <c r="NJQ22" s="3507"/>
      <c r="NJR22" s="3507"/>
      <c r="NJS22" s="3507"/>
      <c r="NJT22" s="3507"/>
      <c r="NJU22" s="3507"/>
      <c r="NJV22" s="3507"/>
      <c r="NJW22" s="3507"/>
      <c r="NJX22" s="3507"/>
      <c r="NJY22" s="3507"/>
      <c r="NJZ22" s="3507"/>
      <c r="NKA22" s="3507"/>
      <c r="NKB22" s="3507"/>
      <c r="NKC22" s="3507"/>
      <c r="NKD22" s="3507"/>
      <c r="NKE22" s="3507"/>
      <c r="NKF22" s="3507"/>
      <c r="NKG22" s="3507"/>
      <c r="NKH22" s="3507"/>
      <c r="NKI22" s="3507"/>
      <c r="NKJ22" s="3507"/>
      <c r="NKK22" s="3507"/>
      <c r="NKL22" s="3507"/>
      <c r="NKM22" s="3507"/>
      <c r="NKN22" s="3507"/>
      <c r="NKO22" s="3507"/>
      <c r="NKP22" s="3507"/>
      <c r="NKQ22" s="3507"/>
      <c r="NKR22" s="3507"/>
      <c r="NKS22" s="3507"/>
      <c r="NKT22" s="3507"/>
      <c r="NKU22" s="3507"/>
      <c r="NKV22" s="3507"/>
      <c r="NKW22" s="3507"/>
      <c r="NKX22" s="3507"/>
      <c r="NKY22" s="3507"/>
      <c r="NKZ22" s="3507"/>
      <c r="NLA22" s="3507"/>
      <c r="NLB22" s="3507"/>
      <c r="NLC22" s="3507"/>
      <c r="NLD22" s="3507"/>
      <c r="NLE22" s="3507"/>
      <c r="NLF22" s="3507"/>
      <c r="NLG22" s="3507"/>
      <c r="NLH22" s="3507"/>
      <c r="NLI22" s="3507"/>
      <c r="NLJ22" s="3507"/>
      <c r="NLK22" s="3507"/>
      <c r="NLL22" s="3507"/>
      <c r="NLM22" s="3507"/>
      <c r="NLN22" s="3507"/>
      <c r="NLO22" s="3507"/>
      <c r="NLP22" s="3507"/>
      <c r="NLQ22" s="3507"/>
      <c r="NLR22" s="3507"/>
      <c r="NLS22" s="3507"/>
      <c r="NLT22" s="3507"/>
      <c r="NLU22" s="3507"/>
      <c r="NLV22" s="3507"/>
      <c r="NLW22" s="3507"/>
      <c r="NLX22" s="3507"/>
      <c r="NLY22" s="3507"/>
      <c r="NLZ22" s="3507"/>
      <c r="NMA22" s="3507"/>
      <c r="NMB22" s="3507"/>
      <c r="NMC22" s="3507"/>
      <c r="NMD22" s="3507"/>
      <c r="NME22" s="3507"/>
      <c r="NMF22" s="3507"/>
      <c r="NMG22" s="3507"/>
      <c r="NMH22" s="3507"/>
      <c r="NMI22" s="3507"/>
      <c r="NMJ22" s="3507"/>
      <c r="NMK22" s="3507"/>
      <c r="NML22" s="3507"/>
      <c r="NMM22" s="3507"/>
      <c r="NMN22" s="3507"/>
      <c r="NMO22" s="3507"/>
      <c r="NMP22" s="3507"/>
      <c r="NMQ22" s="3507"/>
      <c r="NMR22" s="3507"/>
      <c r="NMS22" s="3507"/>
      <c r="NMT22" s="3507"/>
      <c r="NMU22" s="3507"/>
      <c r="NMV22" s="3507"/>
      <c r="NMW22" s="3507"/>
      <c r="NMX22" s="3507"/>
      <c r="NMY22" s="3507"/>
      <c r="NMZ22" s="3507"/>
      <c r="NNA22" s="3507"/>
      <c r="NNB22" s="3507"/>
      <c r="NNC22" s="3507"/>
      <c r="NND22" s="3507"/>
      <c r="NNE22" s="3507"/>
      <c r="NNF22" s="3507"/>
      <c r="NNG22" s="3507"/>
      <c r="NNH22" s="3507"/>
      <c r="NNI22" s="3507"/>
      <c r="NNJ22" s="3507"/>
      <c r="NNK22" s="3507"/>
      <c r="NNL22" s="3507"/>
      <c r="NNM22" s="3507"/>
      <c r="NNN22" s="3507"/>
      <c r="NNO22" s="3507"/>
      <c r="NNP22" s="3507"/>
      <c r="NNQ22" s="3507"/>
      <c r="NNR22" s="3507"/>
      <c r="NNS22" s="3507"/>
      <c r="NNT22" s="3507"/>
      <c r="NNU22" s="3507"/>
      <c r="NNV22" s="3507"/>
      <c r="NNW22" s="3507"/>
      <c r="NNX22" s="3507"/>
      <c r="NNY22" s="3507"/>
      <c r="NNZ22" s="3507"/>
      <c r="NOA22" s="3507"/>
      <c r="NOB22" s="3507"/>
      <c r="NOC22" s="3507"/>
      <c r="NOD22" s="3507"/>
      <c r="NOE22" s="3507"/>
      <c r="NOF22" s="3507"/>
      <c r="NOG22" s="3507"/>
      <c r="NOH22" s="3507"/>
      <c r="NOI22" s="3507"/>
      <c r="NOJ22" s="3507"/>
      <c r="NOK22" s="3507"/>
      <c r="NOL22" s="3507"/>
      <c r="NOM22" s="3507"/>
      <c r="NON22" s="3507"/>
      <c r="NOO22" s="3507"/>
      <c r="NOP22" s="3507"/>
      <c r="NOQ22" s="3507"/>
      <c r="NOR22" s="3507"/>
      <c r="NOS22" s="3507"/>
      <c r="NOT22" s="3507"/>
      <c r="NOU22" s="3507"/>
      <c r="NOV22" s="3507"/>
      <c r="NOW22" s="3507"/>
      <c r="NOX22" s="3507"/>
      <c r="NOY22" s="3507"/>
      <c r="NOZ22" s="3507"/>
      <c r="NPA22" s="3507"/>
      <c r="NPB22" s="3507"/>
      <c r="NPC22" s="3507"/>
      <c r="NPD22" s="3507"/>
      <c r="NPE22" s="3507"/>
      <c r="NPF22" s="3507"/>
      <c r="NPG22" s="3507"/>
      <c r="NPH22" s="3507"/>
      <c r="NPI22" s="3507"/>
      <c r="NPJ22" s="3507"/>
      <c r="NPK22" s="3507"/>
      <c r="NPL22" s="3507"/>
      <c r="NPM22" s="3507"/>
      <c r="NPN22" s="3507"/>
      <c r="NPO22" s="3507"/>
      <c r="NPP22" s="3507"/>
      <c r="NPQ22" s="3507"/>
      <c r="NPR22" s="3507"/>
      <c r="NPS22" s="3507"/>
      <c r="NPT22" s="3507"/>
      <c r="NPU22" s="3507"/>
      <c r="NPV22" s="3507"/>
      <c r="NPW22" s="3507"/>
      <c r="NPX22" s="3507"/>
      <c r="NPY22" s="3507"/>
      <c r="NPZ22" s="3507"/>
      <c r="NQA22" s="3507"/>
      <c r="NQB22" s="3507"/>
      <c r="NQC22" s="3507"/>
      <c r="NQD22" s="3507"/>
      <c r="NQE22" s="3507"/>
      <c r="NQF22" s="3507"/>
      <c r="NQG22" s="3507"/>
      <c r="NQH22" s="3507"/>
      <c r="NQI22" s="3507"/>
      <c r="NQJ22" s="3507"/>
      <c r="NQK22" s="3507"/>
      <c r="NQL22" s="3507"/>
      <c r="NQM22" s="3507"/>
      <c r="NQN22" s="3507"/>
      <c r="NQO22" s="3507"/>
      <c r="NQP22" s="3507"/>
      <c r="NQQ22" s="3507"/>
      <c r="NQR22" s="3507"/>
      <c r="NQS22" s="3507"/>
      <c r="NQT22" s="3507"/>
      <c r="NQU22" s="3507"/>
      <c r="NQV22" s="3507"/>
      <c r="NQW22" s="3507"/>
      <c r="NQX22" s="3507"/>
      <c r="NQY22" s="3507"/>
      <c r="NQZ22" s="3507"/>
      <c r="NRA22" s="3507"/>
      <c r="NRB22" s="3507"/>
      <c r="NRC22" s="3507"/>
      <c r="NRD22" s="3507"/>
      <c r="NRE22" s="3507"/>
      <c r="NRF22" s="3507"/>
      <c r="NRG22" s="3507"/>
      <c r="NRH22" s="3507"/>
      <c r="NRI22" s="3507"/>
      <c r="NRJ22" s="3507"/>
      <c r="NRK22" s="3507"/>
      <c r="NRL22" s="3507"/>
      <c r="NRM22" s="3507"/>
      <c r="NRN22" s="3507"/>
      <c r="NRO22" s="3507"/>
      <c r="NRP22" s="3507"/>
      <c r="NRQ22" s="3507"/>
      <c r="NRR22" s="3507"/>
      <c r="NRS22" s="3507"/>
      <c r="NRT22" s="3507"/>
      <c r="NRU22" s="3507"/>
      <c r="NRV22" s="3507"/>
      <c r="NRW22" s="3507"/>
      <c r="NRX22" s="3507"/>
      <c r="NRY22" s="3507"/>
      <c r="NRZ22" s="3507"/>
      <c r="NSA22" s="3507"/>
      <c r="NSB22" s="3507"/>
      <c r="NSC22" s="3507"/>
      <c r="NSD22" s="3507"/>
      <c r="NSE22" s="3507"/>
      <c r="NSF22" s="3507"/>
      <c r="NSG22" s="3507"/>
      <c r="NSH22" s="3507"/>
      <c r="NSI22" s="3507"/>
      <c r="NSJ22" s="3507"/>
      <c r="NSK22" s="3507"/>
      <c r="NSL22" s="3507"/>
      <c r="NSM22" s="3507"/>
      <c r="NSN22" s="3507"/>
      <c r="NSO22" s="3507"/>
      <c r="NSP22" s="3507"/>
      <c r="NSQ22" s="3507"/>
      <c r="NSR22" s="3507"/>
      <c r="NSS22" s="3507"/>
      <c r="NST22" s="3507"/>
      <c r="NSU22" s="3507"/>
      <c r="NSV22" s="3507"/>
      <c r="NSW22" s="3507"/>
      <c r="NSX22" s="3507"/>
      <c r="NSY22" s="3507"/>
      <c r="NSZ22" s="3507"/>
      <c r="NTA22" s="3507"/>
      <c r="NTB22" s="3507"/>
      <c r="NTC22" s="3507"/>
      <c r="NTD22" s="3507"/>
      <c r="NTE22" s="3507"/>
      <c r="NTF22" s="3507"/>
      <c r="NTG22" s="3507"/>
      <c r="NTH22" s="3507"/>
      <c r="NTI22" s="3507"/>
      <c r="NTJ22" s="3507"/>
      <c r="NTK22" s="3507"/>
      <c r="NTL22" s="3507"/>
      <c r="NTM22" s="3507"/>
      <c r="NTN22" s="3507"/>
      <c r="NTO22" s="3507"/>
      <c r="NTP22" s="3507"/>
      <c r="NTQ22" s="3507"/>
      <c r="NTR22" s="3507"/>
      <c r="NTS22" s="3507"/>
      <c r="NTT22" s="3507"/>
      <c r="NTU22" s="3507"/>
      <c r="NTV22" s="3507"/>
      <c r="NTW22" s="3507"/>
      <c r="NTX22" s="3507"/>
      <c r="NTY22" s="3507"/>
      <c r="NTZ22" s="3507"/>
      <c r="NUA22" s="3507"/>
      <c r="NUB22" s="3507"/>
      <c r="NUC22" s="3507"/>
      <c r="NUD22" s="3507"/>
      <c r="NUE22" s="3507"/>
      <c r="NUF22" s="3507"/>
      <c r="NUG22" s="3507"/>
      <c r="NUH22" s="3507"/>
      <c r="NUI22" s="3507"/>
      <c r="NUJ22" s="3507"/>
      <c r="NUK22" s="3507"/>
      <c r="NUL22" s="3507"/>
      <c r="NUM22" s="3507"/>
      <c r="NUN22" s="3507"/>
      <c r="NUO22" s="3507"/>
      <c r="NUP22" s="3507"/>
      <c r="NUQ22" s="3507"/>
      <c r="NUR22" s="3507"/>
      <c r="NUS22" s="3507"/>
      <c r="NUT22" s="3507"/>
      <c r="NUU22" s="3507"/>
      <c r="NUV22" s="3507"/>
      <c r="NUW22" s="3507"/>
      <c r="NUX22" s="3507"/>
      <c r="NUY22" s="3507"/>
      <c r="NUZ22" s="3507"/>
      <c r="NVA22" s="3507"/>
      <c r="NVB22" s="3507"/>
      <c r="NVC22" s="3507"/>
      <c r="NVD22" s="3507"/>
      <c r="NVE22" s="3507"/>
      <c r="NVF22" s="3507"/>
      <c r="NVG22" s="3507"/>
      <c r="NVH22" s="3507"/>
      <c r="NVI22" s="3507"/>
      <c r="NVJ22" s="3507"/>
      <c r="NVK22" s="3507"/>
      <c r="NVL22" s="3507"/>
      <c r="NVM22" s="3507"/>
      <c r="NVN22" s="3507"/>
      <c r="NVO22" s="3507"/>
      <c r="NVP22" s="3507"/>
      <c r="NVQ22" s="3507"/>
      <c r="NVR22" s="3507"/>
      <c r="NVS22" s="3507"/>
      <c r="NVT22" s="3507"/>
      <c r="NVU22" s="3507"/>
      <c r="NVV22" s="3507"/>
      <c r="NVW22" s="3507"/>
      <c r="NVX22" s="3507"/>
      <c r="NVY22" s="3507"/>
      <c r="NVZ22" s="3507"/>
      <c r="NWA22" s="3507"/>
      <c r="NWB22" s="3507"/>
      <c r="NWC22" s="3507"/>
      <c r="NWD22" s="3507"/>
      <c r="NWE22" s="3507"/>
      <c r="NWF22" s="3507"/>
      <c r="NWG22" s="3507"/>
      <c r="NWH22" s="3507"/>
      <c r="NWI22" s="3507"/>
      <c r="NWJ22" s="3507"/>
      <c r="NWK22" s="3507"/>
      <c r="NWL22" s="3507"/>
      <c r="NWM22" s="3507"/>
      <c r="NWN22" s="3507"/>
      <c r="NWO22" s="3507"/>
      <c r="NWP22" s="3507"/>
      <c r="NWQ22" s="3507"/>
      <c r="NWR22" s="3507"/>
      <c r="NWS22" s="3507"/>
      <c r="NWT22" s="3507"/>
      <c r="NWU22" s="3507"/>
      <c r="NWV22" s="3507"/>
      <c r="NWW22" s="3507"/>
      <c r="NWX22" s="3507"/>
      <c r="NWY22" s="3507"/>
      <c r="NWZ22" s="3507"/>
      <c r="NXA22" s="3507"/>
      <c r="NXB22" s="3507"/>
      <c r="NXC22" s="3507"/>
      <c r="NXD22" s="3507"/>
      <c r="NXE22" s="3507"/>
      <c r="NXF22" s="3507"/>
      <c r="NXG22" s="3507"/>
      <c r="NXH22" s="3507"/>
      <c r="NXI22" s="3507"/>
      <c r="NXJ22" s="3507"/>
      <c r="NXK22" s="3507"/>
      <c r="NXL22" s="3507"/>
      <c r="NXM22" s="3507"/>
      <c r="NXN22" s="3507"/>
      <c r="NXO22" s="3507"/>
      <c r="NXP22" s="3507"/>
      <c r="NXQ22" s="3507"/>
      <c r="NXR22" s="3507"/>
      <c r="NXS22" s="3507"/>
      <c r="NXT22" s="3507"/>
      <c r="NXU22" s="3507"/>
      <c r="NXV22" s="3507"/>
      <c r="NXW22" s="3507"/>
      <c r="NXX22" s="3507"/>
      <c r="NXY22" s="3507"/>
      <c r="NXZ22" s="3507"/>
      <c r="NYA22" s="3507"/>
      <c r="NYB22" s="3507"/>
      <c r="NYC22" s="3507"/>
      <c r="NYD22" s="3507"/>
      <c r="NYE22" s="3507"/>
      <c r="NYF22" s="3507"/>
      <c r="NYG22" s="3507"/>
      <c r="NYH22" s="3507"/>
      <c r="NYI22" s="3507"/>
      <c r="NYJ22" s="3507"/>
      <c r="NYK22" s="3507"/>
      <c r="NYL22" s="3507"/>
      <c r="NYM22" s="3507"/>
      <c r="NYN22" s="3507"/>
      <c r="NYO22" s="3507"/>
      <c r="NYP22" s="3507"/>
      <c r="NYQ22" s="3507"/>
      <c r="NYR22" s="3507"/>
      <c r="NYS22" s="3507"/>
      <c r="NYT22" s="3507"/>
      <c r="NYU22" s="3507"/>
      <c r="NYV22" s="3507"/>
      <c r="NYW22" s="3507"/>
      <c r="NYX22" s="3507"/>
      <c r="NYY22" s="3507"/>
      <c r="NYZ22" s="3507"/>
      <c r="NZA22" s="3507"/>
      <c r="NZB22" s="3507"/>
      <c r="NZC22" s="3507"/>
      <c r="NZD22" s="3507"/>
      <c r="NZE22" s="3507"/>
      <c r="NZF22" s="3507"/>
      <c r="NZG22" s="3507"/>
      <c r="NZH22" s="3507"/>
      <c r="NZI22" s="3507"/>
      <c r="NZJ22" s="3507"/>
      <c r="NZK22" s="3507"/>
      <c r="NZL22" s="3507"/>
      <c r="NZM22" s="3507"/>
      <c r="NZN22" s="3507"/>
      <c r="NZO22" s="3507"/>
      <c r="NZP22" s="3507"/>
      <c r="NZQ22" s="3507"/>
      <c r="NZR22" s="3507"/>
      <c r="NZS22" s="3507"/>
      <c r="NZT22" s="3507"/>
      <c r="NZU22" s="3507"/>
      <c r="NZV22" s="3507"/>
      <c r="NZW22" s="3507"/>
      <c r="NZX22" s="3507"/>
      <c r="NZY22" s="3507"/>
      <c r="NZZ22" s="3507"/>
      <c r="OAA22" s="3507"/>
      <c r="OAB22" s="3507"/>
      <c r="OAC22" s="3507"/>
      <c r="OAD22" s="3507"/>
      <c r="OAE22" s="3507"/>
      <c r="OAF22" s="3507"/>
      <c r="OAG22" s="3507"/>
      <c r="OAH22" s="3507"/>
      <c r="OAI22" s="3507"/>
      <c r="OAJ22" s="3507"/>
      <c r="OAK22" s="3507"/>
      <c r="OAL22" s="3507"/>
      <c r="OAM22" s="3507"/>
      <c r="OAN22" s="3507"/>
      <c r="OAO22" s="3507"/>
      <c r="OAP22" s="3507"/>
      <c r="OAQ22" s="3507"/>
      <c r="OAR22" s="3507"/>
      <c r="OAS22" s="3507"/>
      <c r="OAT22" s="3507"/>
      <c r="OAU22" s="3507"/>
      <c r="OAV22" s="3507"/>
      <c r="OAW22" s="3507"/>
      <c r="OAX22" s="3507"/>
      <c r="OAY22" s="3507"/>
      <c r="OAZ22" s="3507"/>
      <c r="OBA22" s="3507"/>
      <c r="OBB22" s="3507"/>
      <c r="OBC22" s="3507"/>
      <c r="OBD22" s="3507"/>
      <c r="OBE22" s="3507"/>
      <c r="OBF22" s="3507"/>
      <c r="OBG22" s="3507"/>
      <c r="OBH22" s="3507"/>
      <c r="OBI22" s="3507"/>
      <c r="OBJ22" s="3507"/>
      <c r="OBK22" s="3507"/>
      <c r="OBL22" s="3507"/>
      <c r="OBM22" s="3507"/>
      <c r="OBN22" s="3507"/>
      <c r="OBO22" s="3507"/>
      <c r="OBP22" s="3507"/>
      <c r="OBQ22" s="3507"/>
      <c r="OBR22" s="3507"/>
      <c r="OBS22" s="3507"/>
      <c r="OBT22" s="3507"/>
      <c r="OBU22" s="3507"/>
      <c r="OBV22" s="3507"/>
      <c r="OBW22" s="3507"/>
      <c r="OBX22" s="3507"/>
      <c r="OBY22" s="3507"/>
      <c r="OBZ22" s="3507"/>
      <c r="OCA22" s="3507"/>
      <c r="OCB22" s="3507"/>
      <c r="OCC22" s="3507"/>
      <c r="OCD22" s="3507"/>
      <c r="OCE22" s="3507"/>
      <c r="OCF22" s="3507"/>
      <c r="OCG22" s="3507"/>
      <c r="OCH22" s="3507"/>
      <c r="OCI22" s="3507"/>
      <c r="OCJ22" s="3507"/>
      <c r="OCK22" s="3507"/>
      <c r="OCL22" s="3507"/>
      <c r="OCM22" s="3507"/>
      <c r="OCN22" s="3507"/>
      <c r="OCO22" s="3507"/>
      <c r="OCP22" s="3507"/>
      <c r="OCQ22" s="3507"/>
      <c r="OCR22" s="3507"/>
      <c r="OCS22" s="3507"/>
      <c r="OCT22" s="3507"/>
      <c r="OCU22" s="3507"/>
      <c r="OCV22" s="3507"/>
      <c r="OCW22" s="3507"/>
      <c r="OCX22" s="3507"/>
      <c r="OCY22" s="3507"/>
      <c r="OCZ22" s="3507"/>
      <c r="ODA22" s="3507"/>
      <c r="ODB22" s="3507"/>
      <c r="ODC22" s="3507"/>
      <c r="ODD22" s="3507"/>
      <c r="ODE22" s="3507"/>
      <c r="ODF22" s="3507"/>
      <c r="ODG22" s="3507"/>
      <c r="ODH22" s="3507"/>
      <c r="ODI22" s="3507"/>
      <c r="ODJ22" s="3507"/>
      <c r="ODK22" s="3507"/>
      <c r="ODL22" s="3507"/>
      <c r="ODM22" s="3507"/>
      <c r="ODN22" s="3507"/>
      <c r="ODO22" s="3507"/>
      <c r="ODP22" s="3507"/>
      <c r="ODQ22" s="3507"/>
      <c r="ODR22" s="3507"/>
      <c r="ODS22" s="3507"/>
      <c r="ODT22" s="3507"/>
      <c r="ODU22" s="3507"/>
      <c r="ODV22" s="3507"/>
      <c r="ODW22" s="3507"/>
      <c r="ODX22" s="3507"/>
      <c r="ODY22" s="3507"/>
      <c r="ODZ22" s="3507"/>
      <c r="OEA22" s="3507"/>
      <c r="OEB22" s="3507"/>
      <c r="OEC22" s="3507"/>
      <c r="OED22" s="3507"/>
      <c r="OEE22" s="3507"/>
      <c r="OEF22" s="3507"/>
      <c r="OEG22" s="3507"/>
      <c r="OEH22" s="3507"/>
      <c r="OEI22" s="3507"/>
      <c r="OEJ22" s="3507"/>
      <c r="OEK22" s="3507"/>
      <c r="OEL22" s="3507"/>
      <c r="OEM22" s="3507"/>
      <c r="OEN22" s="3507"/>
      <c r="OEO22" s="3507"/>
      <c r="OEP22" s="3507"/>
      <c r="OEQ22" s="3507"/>
      <c r="OER22" s="3507"/>
      <c r="OES22" s="3507"/>
      <c r="OET22" s="3507"/>
      <c r="OEU22" s="3507"/>
      <c r="OEV22" s="3507"/>
      <c r="OEW22" s="3507"/>
      <c r="OEX22" s="3507"/>
      <c r="OEY22" s="3507"/>
      <c r="OEZ22" s="3507"/>
      <c r="OFA22" s="3507"/>
      <c r="OFB22" s="3507"/>
      <c r="OFC22" s="3507"/>
      <c r="OFD22" s="3507"/>
      <c r="OFE22" s="3507"/>
      <c r="OFF22" s="3507"/>
      <c r="OFG22" s="3507"/>
      <c r="OFH22" s="3507"/>
      <c r="OFI22" s="3507"/>
      <c r="OFJ22" s="3507"/>
      <c r="OFK22" s="3507"/>
      <c r="OFL22" s="3507"/>
      <c r="OFM22" s="3507"/>
      <c r="OFN22" s="3507"/>
      <c r="OFO22" s="3507"/>
      <c r="OFP22" s="3507"/>
      <c r="OFQ22" s="3507"/>
      <c r="OFR22" s="3507"/>
      <c r="OFS22" s="3507"/>
      <c r="OFT22" s="3507"/>
      <c r="OFU22" s="3507"/>
      <c r="OFV22" s="3507"/>
      <c r="OFW22" s="3507"/>
      <c r="OFX22" s="3507"/>
      <c r="OFY22" s="3507"/>
      <c r="OFZ22" s="3507"/>
      <c r="OGA22" s="3507"/>
      <c r="OGB22" s="3507"/>
      <c r="OGC22" s="3507"/>
      <c r="OGD22" s="3507"/>
      <c r="OGE22" s="3507"/>
      <c r="OGF22" s="3507"/>
      <c r="OGG22" s="3507"/>
      <c r="OGH22" s="3507"/>
      <c r="OGI22" s="3507"/>
      <c r="OGJ22" s="3507"/>
      <c r="OGK22" s="3507"/>
      <c r="OGL22" s="3507"/>
      <c r="OGM22" s="3507"/>
      <c r="OGN22" s="3507"/>
      <c r="OGO22" s="3507"/>
      <c r="OGP22" s="3507"/>
      <c r="OGQ22" s="3507"/>
      <c r="OGR22" s="3507"/>
      <c r="OGS22" s="3507"/>
      <c r="OGT22" s="3507"/>
      <c r="OGU22" s="3507"/>
      <c r="OGV22" s="3507"/>
      <c r="OGW22" s="3507"/>
      <c r="OGX22" s="3507"/>
      <c r="OGY22" s="3507"/>
      <c r="OGZ22" s="3507"/>
      <c r="OHA22" s="3507"/>
      <c r="OHB22" s="3507"/>
      <c r="OHC22" s="3507"/>
      <c r="OHD22" s="3507"/>
      <c r="OHE22" s="3507"/>
      <c r="OHF22" s="3507"/>
      <c r="OHG22" s="3507"/>
      <c r="OHH22" s="3507"/>
      <c r="OHI22" s="3507"/>
      <c r="OHJ22" s="3507"/>
      <c r="OHK22" s="3507"/>
      <c r="OHL22" s="3507"/>
      <c r="OHM22" s="3507"/>
      <c r="OHN22" s="3507"/>
      <c r="OHO22" s="3507"/>
      <c r="OHP22" s="3507"/>
      <c r="OHQ22" s="3507"/>
      <c r="OHR22" s="3507"/>
      <c r="OHS22" s="3507"/>
      <c r="OHT22" s="3507"/>
      <c r="OHU22" s="3507"/>
      <c r="OHV22" s="3507"/>
      <c r="OHW22" s="3507"/>
      <c r="OHX22" s="3507"/>
      <c r="OHY22" s="3507"/>
      <c r="OHZ22" s="3507"/>
      <c r="OIA22" s="3507"/>
      <c r="OIB22" s="3507"/>
      <c r="OIC22" s="3507"/>
      <c r="OID22" s="3507"/>
      <c r="OIE22" s="3507"/>
      <c r="OIF22" s="3507"/>
      <c r="OIG22" s="3507"/>
      <c r="OIH22" s="3507"/>
      <c r="OII22" s="3507"/>
      <c r="OIJ22" s="3507"/>
      <c r="OIK22" s="3507"/>
      <c r="OIL22" s="3507"/>
      <c r="OIM22" s="3507"/>
      <c r="OIN22" s="3507"/>
      <c r="OIO22" s="3507"/>
      <c r="OIP22" s="3507"/>
      <c r="OIQ22" s="3507"/>
      <c r="OIR22" s="3507"/>
      <c r="OIS22" s="3507"/>
      <c r="OIT22" s="3507"/>
      <c r="OIU22" s="3507"/>
      <c r="OIV22" s="3507"/>
      <c r="OIW22" s="3507"/>
      <c r="OIX22" s="3507"/>
      <c r="OIY22" s="3507"/>
      <c r="OIZ22" s="3507"/>
      <c r="OJA22" s="3507"/>
      <c r="OJB22" s="3507"/>
      <c r="OJC22" s="3507"/>
      <c r="OJD22" s="3507"/>
      <c r="OJE22" s="3507"/>
      <c r="OJF22" s="3507"/>
      <c r="OJG22" s="3507"/>
      <c r="OJH22" s="3507"/>
      <c r="OJI22" s="3507"/>
      <c r="OJJ22" s="3507"/>
      <c r="OJK22" s="3507"/>
      <c r="OJL22" s="3507"/>
      <c r="OJM22" s="3507"/>
      <c r="OJN22" s="3507"/>
      <c r="OJO22" s="3507"/>
      <c r="OJP22" s="3507"/>
      <c r="OJQ22" s="3507"/>
      <c r="OJR22" s="3507"/>
      <c r="OJS22" s="3507"/>
      <c r="OJT22" s="3507"/>
      <c r="OJU22" s="3507"/>
      <c r="OJV22" s="3507"/>
      <c r="OJW22" s="3507"/>
      <c r="OJX22" s="3507"/>
      <c r="OJY22" s="3507"/>
      <c r="OJZ22" s="3507"/>
      <c r="OKA22" s="3507"/>
      <c r="OKB22" s="3507"/>
      <c r="OKC22" s="3507"/>
      <c r="OKD22" s="3507"/>
      <c r="OKE22" s="3507"/>
      <c r="OKF22" s="3507"/>
      <c r="OKG22" s="3507"/>
      <c r="OKH22" s="3507"/>
      <c r="OKI22" s="3507"/>
      <c r="OKJ22" s="3507"/>
      <c r="OKK22" s="3507"/>
      <c r="OKL22" s="3507"/>
      <c r="OKM22" s="3507"/>
      <c r="OKN22" s="3507"/>
      <c r="OKO22" s="3507"/>
      <c r="OKP22" s="3507"/>
      <c r="OKQ22" s="3507"/>
      <c r="OKR22" s="3507"/>
      <c r="OKS22" s="3507"/>
      <c r="OKT22" s="3507"/>
      <c r="OKU22" s="3507"/>
      <c r="OKV22" s="3507"/>
      <c r="OKW22" s="3507"/>
      <c r="OKX22" s="3507"/>
      <c r="OKY22" s="3507"/>
      <c r="OKZ22" s="3507"/>
      <c r="OLA22" s="3507"/>
      <c r="OLB22" s="3507"/>
      <c r="OLC22" s="3507"/>
      <c r="OLD22" s="3507"/>
      <c r="OLE22" s="3507"/>
      <c r="OLF22" s="3507"/>
      <c r="OLG22" s="3507"/>
      <c r="OLH22" s="3507"/>
      <c r="OLI22" s="3507"/>
      <c r="OLJ22" s="3507"/>
      <c r="OLK22" s="3507"/>
      <c r="OLL22" s="3507"/>
      <c r="OLM22" s="3507"/>
      <c r="OLN22" s="3507"/>
      <c r="OLO22" s="3507"/>
      <c r="OLP22" s="3507"/>
      <c r="OLQ22" s="3507"/>
      <c r="OLR22" s="3507"/>
      <c r="OLS22" s="3507"/>
      <c r="OLT22" s="3507"/>
      <c r="OLU22" s="3507"/>
      <c r="OLV22" s="3507"/>
      <c r="OLW22" s="3507"/>
      <c r="OLX22" s="3507"/>
      <c r="OLY22" s="3507"/>
      <c r="OLZ22" s="3507"/>
      <c r="OMA22" s="3507"/>
      <c r="OMB22" s="3507"/>
      <c r="OMC22" s="3507"/>
      <c r="OMD22" s="3507"/>
      <c r="OME22" s="3507"/>
      <c r="OMF22" s="3507"/>
      <c r="OMG22" s="3507"/>
      <c r="OMH22" s="3507"/>
      <c r="OMI22" s="3507"/>
      <c r="OMJ22" s="3507"/>
      <c r="OMK22" s="3507"/>
      <c r="OML22" s="3507"/>
      <c r="OMM22" s="3507"/>
      <c r="OMN22" s="3507"/>
      <c r="OMO22" s="3507"/>
      <c r="OMP22" s="3507"/>
      <c r="OMQ22" s="3507"/>
      <c r="OMR22" s="3507"/>
      <c r="OMS22" s="3507"/>
      <c r="OMT22" s="3507"/>
      <c r="OMU22" s="3507"/>
      <c r="OMV22" s="3507"/>
      <c r="OMW22" s="3507"/>
      <c r="OMX22" s="3507"/>
      <c r="OMY22" s="3507"/>
      <c r="OMZ22" s="3507"/>
      <c r="ONA22" s="3507"/>
      <c r="ONB22" s="3507"/>
      <c r="ONC22" s="3507"/>
      <c r="OND22" s="3507"/>
      <c r="ONE22" s="3507"/>
      <c r="ONF22" s="3507"/>
      <c r="ONG22" s="3507"/>
      <c r="ONH22" s="3507"/>
      <c r="ONI22" s="3507"/>
      <c r="ONJ22" s="3507"/>
      <c r="ONK22" s="3507"/>
      <c r="ONL22" s="3507"/>
      <c r="ONM22" s="3507"/>
      <c r="ONN22" s="3507"/>
      <c r="ONO22" s="3507"/>
      <c r="ONP22" s="3507"/>
      <c r="ONQ22" s="3507"/>
      <c r="ONR22" s="3507"/>
      <c r="ONS22" s="3507"/>
      <c r="ONT22" s="3507"/>
      <c r="ONU22" s="3507"/>
      <c r="ONV22" s="3507"/>
      <c r="ONW22" s="3507"/>
      <c r="ONX22" s="3507"/>
      <c r="ONY22" s="3507"/>
      <c r="ONZ22" s="3507"/>
      <c r="OOA22" s="3507"/>
      <c r="OOB22" s="3507"/>
      <c r="OOC22" s="3507"/>
      <c r="OOD22" s="3507"/>
      <c r="OOE22" s="3507"/>
      <c r="OOF22" s="3507"/>
      <c r="OOG22" s="3507"/>
      <c r="OOH22" s="3507"/>
      <c r="OOI22" s="3507"/>
      <c r="OOJ22" s="3507"/>
      <c r="OOK22" s="3507"/>
      <c r="OOL22" s="3507"/>
      <c r="OOM22" s="3507"/>
      <c r="OON22" s="3507"/>
      <c r="OOO22" s="3507"/>
      <c r="OOP22" s="3507"/>
      <c r="OOQ22" s="3507"/>
      <c r="OOR22" s="3507"/>
      <c r="OOS22" s="3507"/>
      <c r="OOT22" s="3507"/>
      <c r="OOU22" s="3507"/>
      <c r="OOV22" s="3507"/>
      <c r="OOW22" s="3507"/>
      <c r="OOX22" s="3507"/>
      <c r="OOY22" s="3507"/>
      <c r="OOZ22" s="3507"/>
      <c r="OPA22" s="3507"/>
      <c r="OPB22" s="3507"/>
      <c r="OPC22" s="3507"/>
      <c r="OPD22" s="3507"/>
      <c r="OPE22" s="3507"/>
      <c r="OPF22" s="3507"/>
      <c r="OPG22" s="3507"/>
      <c r="OPH22" s="3507"/>
      <c r="OPI22" s="3507"/>
      <c r="OPJ22" s="3507"/>
      <c r="OPK22" s="3507"/>
      <c r="OPL22" s="3507"/>
      <c r="OPM22" s="3507"/>
      <c r="OPN22" s="3507"/>
      <c r="OPO22" s="3507"/>
      <c r="OPP22" s="3507"/>
      <c r="OPQ22" s="3507"/>
      <c r="OPR22" s="3507"/>
      <c r="OPS22" s="3507"/>
      <c r="OPT22" s="3507"/>
      <c r="OPU22" s="3507"/>
      <c r="OPV22" s="3507"/>
      <c r="OPW22" s="3507"/>
      <c r="OPX22" s="3507"/>
      <c r="OPY22" s="3507"/>
      <c r="OPZ22" s="3507"/>
      <c r="OQA22" s="3507"/>
      <c r="OQB22" s="3507"/>
      <c r="OQC22" s="3507"/>
      <c r="OQD22" s="3507"/>
      <c r="OQE22" s="3507"/>
      <c r="OQF22" s="3507"/>
      <c r="OQG22" s="3507"/>
      <c r="OQH22" s="3507"/>
      <c r="OQI22" s="3507"/>
      <c r="OQJ22" s="3507"/>
      <c r="OQK22" s="3507"/>
      <c r="OQL22" s="3507"/>
      <c r="OQM22" s="3507"/>
      <c r="OQN22" s="3507"/>
      <c r="OQO22" s="3507"/>
      <c r="OQP22" s="3507"/>
      <c r="OQQ22" s="3507"/>
      <c r="OQR22" s="3507"/>
      <c r="OQS22" s="3507"/>
      <c r="OQT22" s="3507"/>
      <c r="OQU22" s="3507"/>
      <c r="OQV22" s="3507"/>
      <c r="OQW22" s="3507"/>
      <c r="OQX22" s="3507"/>
      <c r="OQY22" s="3507"/>
      <c r="OQZ22" s="3507"/>
      <c r="ORA22" s="3507"/>
      <c r="ORB22" s="3507"/>
      <c r="ORC22" s="3507"/>
      <c r="ORD22" s="3507"/>
      <c r="ORE22" s="3507"/>
      <c r="ORF22" s="3507"/>
      <c r="ORG22" s="3507"/>
      <c r="ORH22" s="3507"/>
      <c r="ORI22" s="3507"/>
      <c r="ORJ22" s="3507"/>
      <c r="ORK22" s="3507"/>
      <c r="ORL22" s="3507"/>
      <c r="ORM22" s="3507"/>
      <c r="ORN22" s="3507"/>
      <c r="ORO22" s="3507"/>
      <c r="ORP22" s="3507"/>
      <c r="ORQ22" s="3507"/>
      <c r="ORR22" s="3507"/>
      <c r="ORS22" s="3507"/>
      <c r="ORT22" s="3507"/>
      <c r="ORU22" s="3507"/>
      <c r="ORV22" s="3507"/>
      <c r="ORW22" s="3507"/>
      <c r="ORX22" s="3507"/>
      <c r="ORY22" s="3507"/>
      <c r="ORZ22" s="3507"/>
      <c r="OSA22" s="3507"/>
      <c r="OSB22" s="3507"/>
      <c r="OSC22" s="3507"/>
      <c r="OSD22" s="3507"/>
      <c r="OSE22" s="3507"/>
      <c r="OSF22" s="3507"/>
      <c r="OSG22" s="3507"/>
      <c r="OSH22" s="3507"/>
      <c r="OSI22" s="3507"/>
      <c r="OSJ22" s="3507"/>
      <c r="OSK22" s="3507"/>
      <c r="OSL22" s="3507"/>
      <c r="OSM22" s="3507"/>
      <c r="OSN22" s="3507"/>
      <c r="OSO22" s="3507"/>
      <c r="OSP22" s="3507"/>
      <c r="OSQ22" s="3507"/>
      <c r="OSR22" s="3507"/>
      <c r="OSS22" s="3507"/>
      <c r="OST22" s="3507"/>
      <c r="OSU22" s="3507"/>
      <c r="OSV22" s="3507"/>
      <c r="OSW22" s="3507"/>
      <c r="OSX22" s="3507"/>
      <c r="OSY22" s="3507"/>
      <c r="OSZ22" s="3507"/>
      <c r="OTA22" s="3507"/>
      <c r="OTB22" s="3507"/>
      <c r="OTC22" s="3507"/>
      <c r="OTD22" s="3507"/>
      <c r="OTE22" s="3507"/>
      <c r="OTF22" s="3507"/>
      <c r="OTG22" s="3507"/>
      <c r="OTH22" s="3507"/>
      <c r="OTI22" s="3507"/>
      <c r="OTJ22" s="3507"/>
      <c r="OTK22" s="3507"/>
      <c r="OTL22" s="3507"/>
      <c r="OTM22" s="3507"/>
      <c r="OTN22" s="3507"/>
      <c r="OTO22" s="3507"/>
      <c r="OTP22" s="3507"/>
      <c r="OTQ22" s="3507"/>
      <c r="OTR22" s="3507"/>
      <c r="OTS22" s="3507"/>
      <c r="OTT22" s="3507"/>
      <c r="OTU22" s="3507"/>
      <c r="OTV22" s="3507"/>
      <c r="OTW22" s="3507"/>
      <c r="OTX22" s="3507"/>
      <c r="OTY22" s="3507"/>
      <c r="OTZ22" s="3507"/>
      <c r="OUA22" s="3507"/>
      <c r="OUB22" s="3507"/>
      <c r="OUC22" s="3507"/>
      <c r="OUD22" s="3507"/>
      <c r="OUE22" s="3507"/>
      <c r="OUF22" s="3507"/>
      <c r="OUG22" s="3507"/>
      <c r="OUH22" s="3507"/>
      <c r="OUI22" s="3507"/>
      <c r="OUJ22" s="3507"/>
      <c r="OUK22" s="3507"/>
      <c r="OUL22" s="3507"/>
      <c r="OUM22" s="3507"/>
      <c r="OUN22" s="3507"/>
      <c r="OUO22" s="3507"/>
      <c r="OUP22" s="3507"/>
      <c r="OUQ22" s="3507"/>
      <c r="OUR22" s="3507"/>
      <c r="OUS22" s="3507"/>
      <c r="OUT22" s="3507"/>
      <c r="OUU22" s="3507"/>
      <c r="OUV22" s="3507"/>
      <c r="OUW22" s="3507"/>
      <c r="OUX22" s="3507"/>
      <c r="OUY22" s="3507"/>
      <c r="OUZ22" s="3507"/>
      <c r="OVA22" s="3507"/>
      <c r="OVB22" s="3507"/>
      <c r="OVC22" s="3507"/>
      <c r="OVD22" s="3507"/>
      <c r="OVE22" s="3507"/>
      <c r="OVF22" s="3507"/>
      <c r="OVG22" s="3507"/>
      <c r="OVH22" s="3507"/>
      <c r="OVI22" s="3507"/>
      <c r="OVJ22" s="3507"/>
      <c r="OVK22" s="3507"/>
      <c r="OVL22" s="3507"/>
      <c r="OVM22" s="3507"/>
      <c r="OVN22" s="3507"/>
      <c r="OVO22" s="3507"/>
      <c r="OVP22" s="3507"/>
      <c r="OVQ22" s="3507"/>
      <c r="OVR22" s="3507"/>
      <c r="OVS22" s="3507"/>
      <c r="OVT22" s="3507"/>
      <c r="OVU22" s="3507"/>
      <c r="OVV22" s="3507"/>
      <c r="OVW22" s="3507"/>
      <c r="OVX22" s="3507"/>
      <c r="OVY22" s="3507"/>
      <c r="OVZ22" s="3507"/>
      <c r="OWA22" s="3507"/>
      <c r="OWB22" s="3507"/>
      <c r="OWC22" s="3507"/>
      <c r="OWD22" s="3507"/>
      <c r="OWE22" s="3507"/>
      <c r="OWF22" s="3507"/>
      <c r="OWG22" s="3507"/>
      <c r="OWH22" s="3507"/>
      <c r="OWI22" s="3507"/>
      <c r="OWJ22" s="3507"/>
      <c r="OWK22" s="3507"/>
      <c r="OWL22" s="3507"/>
      <c r="OWM22" s="3507"/>
      <c r="OWN22" s="3507"/>
      <c r="OWO22" s="3507"/>
      <c r="OWP22" s="3507"/>
      <c r="OWQ22" s="3507"/>
      <c r="OWR22" s="3507"/>
      <c r="OWS22" s="3507"/>
      <c r="OWT22" s="3507"/>
      <c r="OWU22" s="3507"/>
      <c r="OWV22" s="3507"/>
      <c r="OWW22" s="3507"/>
      <c r="OWX22" s="3507"/>
      <c r="OWY22" s="3507"/>
      <c r="OWZ22" s="3507"/>
      <c r="OXA22" s="3507"/>
      <c r="OXB22" s="3507"/>
      <c r="OXC22" s="3507"/>
      <c r="OXD22" s="3507"/>
      <c r="OXE22" s="3507"/>
      <c r="OXF22" s="3507"/>
      <c r="OXG22" s="3507"/>
      <c r="OXH22" s="3507"/>
      <c r="OXI22" s="3507"/>
      <c r="OXJ22" s="3507"/>
      <c r="OXK22" s="3507"/>
      <c r="OXL22" s="3507"/>
      <c r="OXM22" s="3507"/>
      <c r="OXN22" s="3507"/>
      <c r="OXO22" s="3507"/>
      <c r="OXP22" s="3507"/>
      <c r="OXQ22" s="3507"/>
      <c r="OXR22" s="3507"/>
      <c r="OXS22" s="3507"/>
      <c r="OXT22" s="3507"/>
      <c r="OXU22" s="3507"/>
      <c r="OXV22" s="3507"/>
      <c r="OXW22" s="3507"/>
      <c r="OXX22" s="3507"/>
      <c r="OXY22" s="3507"/>
      <c r="OXZ22" s="3507"/>
      <c r="OYA22" s="3507"/>
      <c r="OYB22" s="3507"/>
      <c r="OYC22" s="3507"/>
      <c r="OYD22" s="3507"/>
      <c r="OYE22" s="3507"/>
      <c r="OYF22" s="3507"/>
      <c r="OYG22" s="3507"/>
      <c r="OYH22" s="3507"/>
      <c r="OYI22" s="3507"/>
      <c r="OYJ22" s="3507"/>
      <c r="OYK22" s="3507"/>
      <c r="OYL22" s="3507"/>
      <c r="OYM22" s="3507"/>
      <c r="OYN22" s="3507"/>
      <c r="OYO22" s="3507"/>
      <c r="OYP22" s="3507"/>
      <c r="OYQ22" s="3507"/>
      <c r="OYR22" s="3507"/>
      <c r="OYS22" s="3507"/>
      <c r="OYT22" s="3507"/>
      <c r="OYU22" s="3507"/>
      <c r="OYV22" s="3507"/>
      <c r="OYW22" s="3507"/>
      <c r="OYX22" s="3507"/>
      <c r="OYY22" s="3507"/>
      <c r="OYZ22" s="3507"/>
      <c r="OZA22" s="3507"/>
      <c r="OZB22" s="3507"/>
      <c r="OZC22" s="3507"/>
      <c r="OZD22" s="3507"/>
      <c r="OZE22" s="3507"/>
      <c r="OZF22" s="3507"/>
      <c r="OZG22" s="3507"/>
      <c r="OZH22" s="3507"/>
      <c r="OZI22" s="3507"/>
      <c r="OZJ22" s="3507"/>
      <c r="OZK22" s="3507"/>
      <c r="OZL22" s="3507"/>
      <c r="OZM22" s="3507"/>
      <c r="OZN22" s="3507"/>
      <c r="OZO22" s="3507"/>
      <c r="OZP22" s="3507"/>
      <c r="OZQ22" s="3507"/>
      <c r="OZR22" s="3507"/>
      <c r="OZS22" s="3507"/>
      <c r="OZT22" s="3507"/>
      <c r="OZU22" s="3507"/>
      <c r="OZV22" s="3507"/>
      <c r="OZW22" s="3507"/>
      <c r="OZX22" s="3507"/>
      <c r="OZY22" s="3507"/>
      <c r="OZZ22" s="3507"/>
      <c r="PAA22" s="3507"/>
      <c r="PAB22" s="3507"/>
      <c r="PAC22" s="3507"/>
      <c r="PAD22" s="3507"/>
      <c r="PAE22" s="3507"/>
      <c r="PAF22" s="3507"/>
      <c r="PAG22" s="3507"/>
      <c r="PAH22" s="3507"/>
      <c r="PAI22" s="3507"/>
      <c r="PAJ22" s="3507"/>
      <c r="PAK22" s="3507"/>
      <c r="PAL22" s="3507"/>
      <c r="PAM22" s="3507"/>
      <c r="PAN22" s="3507"/>
      <c r="PAO22" s="3507"/>
      <c r="PAP22" s="3507"/>
      <c r="PAQ22" s="3507"/>
      <c r="PAR22" s="3507"/>
      <c r="PAS22" s="3507"/>
      <c r="PAT22" s="3507"/>
      <c r="PAU22" s="3507"/>
      <c r="PAV22" s="3507"/>
      <c r="PAW22" s="3507"/>
      <c r="PAX22" s="3507"/>
      <c r="PAY22" s="3507"/>
      <c r="PAZ22" s="3507"/>
      <c r="PBA22" s="3507"/>
      <c r="PBB22" s="3507"/>
      <c r="PBC22" s="3507"/>
      <c r="PBD22" s="3507"/>
      <c r="PBE22" s="3507"/>
      <c r="PBF22" s="3507"/>
      <c r="PBG22" s="3507"/>
      <c r="PBH22" s="3507"/>
      <c r="PBI22" s="3507"/>
      <c r="PBJ22" s="3507"/>
      <c r="PBK22" s="3507"/>
      <c r="PBL22" s="3507"/>
      <c r="PBM22" s="3507"/>
      <c r="PBN22" s="3507"/>
      <c r="PBO22" s="3507"/>
      <c r="PBP22" s="3507"/>
      <c r="PBQ22" s="3507"/>
      <c r="PBR22" s="3507"/>
      <c r="PBS22" s="3507"/>
      <c r="PBT22" s="3507"/>
      <c r="PBU22" s="3507"/>
      <c r="PBV22" s="3507"/>
      <c r="PBW22" s="3507"/>
      <c r="PBX22" s="3507"/>
      <c r="PBY22" s="3507"/>
      <c r="PBZ22" s="3507"/>
      <c r="PCA22" s="3507"/>
      <c r="PCB22" s="3507"/>
      <c r="PCC22" s="3507"/>
      <c r="PCD22" s="3507"/>
      <c r="PCE22" s="3507"/>
      <c r="PCF22" s="3507"/>
      <c r="PCG22" s="3507"/>
      <c r="PCH22" s="3507"/>
      <c r="PCI22" s="3507"/>
      <c r="PCJ22" s="3507"/>
      <c r="PCK22" s="3507"/>
      <c r="PCL22" s="3507"/>
      <c r="PCM22" s="3507"/>
      <c r="PCN22" s="3507"/>
      <c r="PCO22" s="3507"/>
      <c r="PCP22" s="3507"/>
      <c r="PCQ22" s="3507"/>
      <c r="PCR22" s="3507"/>
      <c r="PCS22" s="3507"/>
      <c r="PCT22" s="3507"/>
      <c r="PCU22" s="3507"/>
      <c r="PCV22" s="3507"/>
      <c r="PCW22" s="3507"/>
      <c r="PCX22" s="3507"/>
      <c r="PCY22" s="3507"/>
      <c r="PCZ22" s="3507"/>
      <c r="PDA22" s="3507"/>
      <c r="PDB22" s="3507"/>
      <c r="PDC22" s="3507"/>
      <c r="PDD22" s="3507"/>
      <c r="PDE22" s="3507"/>
      <c r="PDF22" s="3507"/>
      <c r="PDG22" s="3507"/>
      <c r="PDH22" s="3507"/>
      <c r="PDI22" s="3507"/>
      <c r="PDJ22" s="3507"/>
      <c r="PDK22" s="3507"/>
      <c r="PDL22" s="3507"/>
      <c r="PDM22" s="3507"/>
      <c r="PDN22" s="3507"/>
      <c r="PDO22" s="3507"/>
      <c r="PDP22" s="3507"/>
      <c r="PDQ22" s="3507"/>
      <c r="PDR22" s="3507"/>
      <c r="PDS22" s="3507"/>
      <c r="PDT22" s="3507"/>
      <c r="PDU22" s="3507"/>
      <c r="PDV22" s="3507"/>
      <c r="PDW22" s="3507"/>
      <c r="PDX22" s="3507"/>
      <c r="PDY22" s="3507"/>
      <c r="PDZ22" s="3507"/>
      <c r="PEA22" s="3507"/>
      <c r="PEB22" s="3507"/>
      <c r="PEC22" s="3507"/>
      <c r="PED22" s="3507"/>
      <c r="PEE22" s="3507"/>
      <c r="PEF22" s="3507"/>
      <c r="PEG22" s="3507"/>
      <c r="PEH22" s="3507"/>
      <c r="PEI22" s="3507"/>
      <c r="PEJ22" s="3507"/>
      <c r="PEK22" s="3507"/>
      <c r="PEL22" s="3507"/>
      <c r="PEM22" s="3507"/>
      <c r="PEN22" s="3507"/>
      <c r="PEO22" s="3507"/>
      <c r="PEP22" s="3507"/>
      <c r="PEQ22" s="3507"/>
      <c r="PER22" s="3507"/>
      <c r="PES22" s="3507"/>
      <c r="PET22" s="3507"/>
      <c r="PEU22" s="3507"/>
      <c r="PEV22" s="3507"/>
      <c r="PEW22" s="3507"/>
      <c r="PEX22" s="3507"/>
      <c r="PEY22" s="3507"/>
      <c r="PEZ22" s="3507"/>
      <c r="PFA22" s="3507"/>
      <c r="PFB22" s="3507"/>
      <c r="PFC22" s="3507"/>
      <c r="PFD22" s="3507"/>
      <c r="PFE22" s="3507"/>
      <c r="PFF22" s="3507"/>
      <c r="PFG22" s="3507"/>
      <c r="PFH22" s="3507"/>
      <c r="PFI22" s="3507"/>
      <c r="PFJ22" s="3507"/>
      <c r="PFK22" s="3507"/>
      <c r="PFL22" s="3507"/>
      <c r="PFM22" s="3507"/>
      <c r="PFN22" s="3507"/>
      <c r="PFO22" s="3507"/>
      <c r="PFP22" s="3507"/>
      <c r="PFQ22" s="3507"/>
      <c r="PFR22" s="3507"/>
      <c r="PFS22" s="3507"/>
      <c r="PFT22" s="3507"/>
      <c r="PFU22" s="3507"/>
      <c r="PFV22" s="3507"/>
      <c r="PFW22" s="3507"/>
      <c r="PFX22" s="3507"/>
      <c r="PFY22" s="3507"/>
      <c r="PFZ22" s="3507"/>
      <c r="PGA22" s="3507"/>
      <c r="PGB22" s="3507"/>
      <c r="PGC22" s="3507"/>
      <c r="PGD22" s="3507"/>
      <c r="PGE22" s="3507"/>
      <c r="PGF22" s="3507"/>
      <c r="PGG22" s="3507"/>
      <c r="PGH22" s="3507"/>
      <c r="PGI22" s="3507"/>
      <c r="PGJ22" s="3507"/>
      <c r="PGK22" s="3507"/>
      <c r="PGL22" s="3507"/>
      <c r="PGM22" s="3507"/>
      <c r="PGN22" s="3507"/>
      <c r="PGO22" s="3507"/>
      <c r="PGP22" s="3507"/>
      <c r="PGQ22" s="3507"/>
      <c r="PGR22" s="3507"/>
      <c r="PGS22" s="3507"/>
      <c r="PGT22" s="3507"/>
      <c r="PGU22" s="3507"/>
      <c r="PGV22" s="3507"/>
      <c r="PGW22" s="3507"/>
      <c r="PGX22" s="3507"/>
      <c r="PGY22" s="3507"/>
      <c r="PGZ22" s="3507"/>
      <c r="PHA22" s="3507"/>
      <c r="PHB22" s="3507"/>
      <c r="PHC22" s="3507"/>
      <c r="PHD22" s="3507"/>
      <c r="PHE22" s="3507"/>
      <c r="PHF22" s="3507"/>
      <c r="PHG22" s="3507"/>
      <c r="PHH22" s="3507"/>
      <c r="PHI22" s="3507"/>
      <c r="PHJ22" s="3507"/>
      <c r="PHK22" s="3507"/>
      <c r="PHL22" s="3507"/>
      <c r="PHM22" s="3507"/>
      <c r="PHN22" s="3507"/>
      <c r="PHO22" s="3507"/>
      <c r="PHP22" s="3507"/>
      <c r="PHQ22" s="3507"/>
      <c r="PHR22" s="3507"/>
      <c r="PHS22" s="3507"/>
      <c r="PHT22" s="3507"/>
      <c r="PHU22" s="3507"/>
      <c r="PHV22" s="3507"/>
      <c r="PHW22" s="3507"/>
      <c r="PHX22" s="3507"/>
      <c r="PHY22" s="3507"/>
      <c r="PHZ22" s="3507"/>
      <c r="PIA22" s="3507"/>
      <c r="PIB22" s="3507"/>
      <c r="PIC22" s="3507"/>
      <c r="PID22" s="3507"/>
      <c r="PIE22" s="3507"/>
      <c r="PIF22" s="3507"/>
      <c r="PIG22" s="3507"/>
      <c r="PIH22" s="3507"/>
      <c r="PII22" s="3507"/>
      <c r="PIJ22" s="3507"/>
      <c r="PIK22" s="3507"/>
      <c r="PIL22" s="3507"/>
      <c r="PIM22" s="3507"/>
      <c r="PIN22" s="3507"/>
      <c r="PIO22" s="3507"/>
      <c r="PIP22" s="3507"/>
      <c r="PIQ22" s="3507"/>
      <c r="PIR22" s="3507"/>
      <c r="PIS22" s="3507"/>
      <c r="PIT22" s="3507"/>
      <c r="PIU22" s="3507"/>
      <c r="PIV22" s="3507"/>
      <c r="PIW22" s="3507"/>
      <c r="PIX22" s="3507"/>
      <c r="PIY22" s="3507"/>
      <c r="PIZ22" s="3507"/>
      <c r="PJA22" s="3507"/>
      <c r="PJB22" s="3507"/>
      <c r="PJC22" s="3507"/>
      <c r="PJD22" s="3507"/>
      <c r="PJE22" s="3507"/>
      <c r="PJF22" s="3507"/>
      <c r="PJG22" s="3507"/>
      <c r="PJH22" s="3507"/>
      <c r="PJI22" s="3507"/>
      <c r="PJJ22" s="3507"/>
      <c r="PJK22" s="3507"/>
      <c r="PJL22" s="3507"/>
      <c r="PJM22" s="3507"/>
      <c r="PJN22" s="3507"/>
      <c r="PJO22" s="3507"/>
      <c r="PJP22" s="3507"/>
      <c r="PJQ22" s="3507"/>
      <c r="PJR22" s="3507"/>
      <c r="PJS22" s="3507"/>
      <c r="PJT22" s="3507"/>
      <c r="PJU22" s="3507"/>
      <c r="PJV22" s="3507"/>
      <c r="PJW22" s="3507"/>
      <c r="PJX22" s="3507"/>
      <c r="PJY22" s="3507"/>
      <c r="PJZ22" s="3507"/>
      <c r="PKA22" s="3507"/>
      <c r="PKB22" s="3507"/>
      <c r="PKC22" s="3507"/>
      <c r="PKD22" s="3507"/>
      <c r="PKE22" s="3507"/>
      <c r="PKF22" s="3507"/>
      <c r="PKG22" s="3507"/>
      <c r="PKH22" s="3507"/>
      <c r="PKI22" s="3507"/>
      <c r="PKJ22" s="3507"/>
      <c r="PKK22" s="3507"/>
      <c r="PKL22" s="3507"/>
      <c r="PKM22" s="3507"/>
      <c r="PKN22" s="3507"/>
      <c r="PKO22" s="3507"/>
      <c r="PKP22" s="3507"/>
      <c r="PKQ22" s="3507"/>
      <c r="PKR22" s="3507"/>
      <c r="PKS22" s="3507"/>
      <c r="PKT22" s="3507"/>
      <c r="PKU22" s="3507"/>
      <c r="PKV22" s="3507"/>
      <c r="PKW22" s="3507"/>
      <c r="PKX22" s="3507"/>
      <c r="PKY22" s="3507"/>
      <c r="PKZ22" s="3507"/>
      <c r="PLA22" s="3507"/>
      <c r="PLB22" s="3507"/>
      <c r="PLC22" s="3507"/>
      <c r="PLD22" s="3507"/>
      <c r="PLE22" s="3507"/>
      <c r="PLF22" s="3507"/>
      <c r="PLG22" s="3507"/>
      <c r="PLH22" s="3507"/>
      <c r="PLI22" s="3507"/>
      <c r="PLJ22" s="3507"/>
      <c r="PLK22" s="3507"/>
      <c r="PLL22" s="3507"/>
      <c r="PLM22" s="3507"/>
      <c r="PLN22" s="3507"/>
      <c r="PLO22" s="3507"/>
      <c r="PLP22" s="3507"/>
      <c r="PLQ22" s="3507"/>
      <c r="PLR22" s="3507"/>
      <c r="PLS22" s="3507"/>
      <c r="PLT22" s="3507"/>
      <c r="PLU22" s="3507"/>
      <c r="PLV22" s="3507"/>
      <c r="PLW22" s="3507"/>
      <c r="PLX22" s="3507"/>
      <c r="PLY22" s="3507"/>
      <c r="PLZ22" s="3507"/>
      <c r="PMA22" s="3507"/>
      <c r="PMB22" s="3507"/>
      <c r="PMC22" s="3507"/>
      <c r="PMD22" s="3507"/>
      <c r="PME22" s="3507"/>
      <c r="PMF22" s="3507"/>
      <c r="PMG22" s="3507"/>
      <c r="PMH22" s="3507"/>
      <c r="PMI22" s="3507"/>
      <c r="PMJ22" s="3507"/>
      <c r="PMK22" s="3507"/>
      <c r="PML22" s="3507"/>
      <c r="PMM22" s="3507"/>
      <c r="PMN22" s="3507"/>
      <c r="PMO22" s="3507"/>
      <c r="PMP22" s="3507"/>
      <c r="PMQ22" s="3507"/>
      <c r="PMR22" s="3507"/>
      <c r="PMS22" s="3507"/>
      <c r="PMT22" s="3507"/>
      <c r="PMU22" s="3507"/>
      <c r="PMV22" s="3507"/>
      <c r="PMW22" s="3507"/>
      <c r="PMX22" s="3507"/>
      <c r="PMY22" s="3507"/>
      <c r="PMZ22" s="3507"/>
      <c r="PNA22" s="3507"/>
      <c r="PNB22" s="3507"/>
      <c r="PNC22" s="3507"/>
      <c r="PND22" s="3507"/>
      <c r="PNE22" s="3507"/>
      <c r="PNF22" s="3507"/>
      <c r="PNG22" s="3507"/>
      <c r="PNH22" s="3507"/>
      <c r="PNI22" s="3507"/>
      <c r="PNJ22" s="3507"/>
      <c r="PNK22" s="3507"/>
      <c r="PNL22" s="3507"/>
      <c r="PNM22" s="3507"/>
      <c r="PNN22" s="3507"/>
      <c r="PNO22" s="3507"/>
      <c r="PNP22" s="3507"/>
      <c r="PNQ22" s="3507"/>
      <c r="PNR22" s="3507"/>
      <c r="PNS22" s="3507"/>
      <c r="PNT22" s="3507"/>
      <c r="PNU22" s="3507"/>
      <c r="PNV22" s="3507"/>
      <c r="PNW22" s="3507"/>
      <c r="PNX22" s="3507"/>
      <c r="PNY22" s="3507"/>
      <c r="PNZ22" s="3507"/>
      <c r="POA22" s="3507"/>
      <c r="POB22" s="3507"/>
      <c r="POC22" s="3507"/>
      <c r="POD22" s="3507"/>
      <c r="POE22" s="3507"/>
      <c r="POF22" s="3507"/>
      <c r="POG22" s="3507"/>
      <c r="POH22" s="3507"/>
      <c r="POI22" s="3507"/>
      <c r="POJ22" s="3507"/>
      <c r="POK22" s="3507"/>
      <c r="POL22" s="3507"/>
      <c r="POM22" s="3507"/>
      <c r="PON22" s="3507"/>
      <c r="POO22" s="3507"/>
      <c r="POP22" s="3507"/>
      <c r="POQ22" s="3507"/>
      <c r="POR22" s="3507"/>
      <c r="POS22" s="3507"/>
      <c r="POT22" s="3507"/>
      <c r="POU22" s="3507"/>
      <c r="POV22" s="3507"/>
      <c r="POW22" s="3507"/>
      <c r="POX22" s="3507"/>
      <c r="POY22" s="3507"/>
      <c r="POZ22" s="3507"/>
      <c r="PPA22" s="3507"/>
      <c r="PPB22" s="3507"/>
      <c r="PPC22" s="3507"/>
      <c r="PPD22" s="3507"/>
      <c r="PPE22" s="3507"/>
      <c r="PPF22" s="3507"/>
      <c r="PPG22" s="3507"/>
      <c r="PPH22" s="3507"/>
      <c r="PPI22" s="3507"/>
      <c r="PPJ22" s="3507"/>
      <c r="PPK22" s="3507"/>
      <c r="PPL22" s="3507"/>
      <c r="PPM22" s="3507"/>
      <c r="PPN22" s="3507"/>
      <c r="PPO22" s="3507"/>
      <c r="PPP22" s="3507"/>
      <c r="PPQ22" s="3507"/>
      <c r="PPR22" s="3507"/>
      <c r="PPS22" s="3507"/>
      <c r="PPT22" s="3507"/>
      <c r="PPU22" s="3507"/>
      <c r="PPV22" s="3507"/>
      <c r="PPW22" s="3507"/>
      <c r="PPX22" s="3507"/>
      <c r="PPY22" s="3507"/>
      <c r="PPZ22" s="3507"/>
      <c r="PQA22" s="3507"/>
      <c r="PQB22" s="3507"/>
      <c r="PQC22" s="3507"/>
      <c r="PQD22" s="3507"/>
      <c r="PQE22" s="3507"/>
      <c r="PQF22" s="3507"/>
      <c r="PQG22" s="3507"/>
      <c r="PQH22" s="3507"/>
      <c r="PQI22" s="3507"/>
      <c r="PQJ22" s="3507"/>
      <c r="PQK22" s="3507"/>
      <c r="PQL22" s="3507"/>
      <c r="PQM22" s="3507"/>
      <c r="PQN22" s="3507"/>
      <c r="PQO22" s="3507"/>
      <c r="PQP22" s="3507"/>
      <c r="PQQ22" s="3507"/>
      <c r="PQR22" s="3507"/>
      <c r="PQS22" s="3507"/>
      <c r="PQT22" s="3507"/>
      <c r="PQU22" s="3507"/>
      <c r="PQV22" s="3507"/>
      <c r="PQW22" s="3507"/>
      <c r="PQX22" s="3507"/>
      <c r="PQY22" s="3507"/>
      <c r="PQZ22" s="3507"/>
      <c r="PRA22" s="3507"/>
      <c r="PRB22" s="3507"/>
      <c r="PRC22" s="3507"/>
      <c r="PRD22" s="3507"/>
      <c r="PRE22" s="3507"/>
      <c r="PRF22" s="3507"/>
      <c r="PRG22" s="3507"/>
      <c r="PRH22" s="3507"/>
      <c r="PRI22" s="3507"/>
      <c r="PRJ22" s="3507"/>
      <c r="PRK22" s="3507"/>
      <c r="PRL22" s="3507"/>
      <c r="PRM22" s="3507"/>
      <c r="PRN22" s="3507"/>
      <c r="PRO22" s="3507"/>
      <c r="PRP22" s="3507"/>
      <c r="PRQ22" s="3507"/>
      <c r="PRR22" s="3507"/>
      <c r="PRS22" s="3507"/>
      <c r="PRT22" s="3507"/>
      <c r="PRU22" s="3507"/>
      <c r="PRV22" s="3507"/>
      <c r="PRW22" s="3507"/>
      <c r="PRX22" s="3507"/>
      <c r="PRY22" s="3507"/>
      <c r="PRZ22" s="3507"/>
      <c r="PSA22" s="3507"/>
      <c r="PSB22" s="3507"/>
      <c r="PSC22" s="3507"/>
      <c r="PSD22" s="3507"/>
      <c r="PSE22" s="3507"/>
      <c r="PSF22" s="3507"/>
      <c r="PSG22" s="3507"/>
      <c r="PSH22" s="3507"/>
      <c r="PSI22" s="3507"/>
      <c r="PSJ22" s="3507"/>
      <c r="PSK22" s="3507"/>
      <c r="PSL22" s="3507"/>
      <c r="PSM22" s="3507"/>
      <c r="PSN22" s="3507"/>
      <c r="PSO22" s="3507"/>
      <c r="PSP22" s="3507"/>
      <c r="PSQ22" s="3507"/>
      <c r="PSR22" s="3507"/>
      <c r="PSS22" s="3507"/>
      <c r="PST22" s="3507"/>
      <c r="PSU22" s="3507"/>
      <c r="PSV22" s="3507"/>
      <c r="PSW22" s="3507"/>
      <c r="PSX22" s="3507"/>
      <c r="PSY22" s="3507"/>
      <c r="PSZ22" s="3507"/>
      <c r="PTA22" s="3507"/>
      <c r="PTB22" s="3507"/>
      <c r="PTC22" s="3507"/>
      <c r="PTD22" s="3507"/>
      <c r="PTE22" s="3507"/>
      <c r="PTF22" s="3507"/>
      <c r="PTG22" s="3507"/>
      <c r="PTH22" s="3507"/>
      <c r="PTI22" s="3507"/>
      <c r="PTJ22" s="3507"/>
      <c r="PTK22" s="3507"/>
      <c r="PTL22" s="3507"/>
      <c r="PTM22" s="3507"/>
      <c r="PTN22" s="3507"/>
      <c r="PTO22" s="3507"/>
      <c r="PTP22" s="3507"/>
      <c r="PTQ22" s="3507"/>
      <c r="PTR22" s="3507"/>
      <c r="PTS22" s="3507"/>
      <c r="PTT22" s="3507"/>
      <c r="PTU22" s="3507"/>
      <c r="PTV22" s="3507"/>
      <c r="PTW22" s="3507"/>
      <c r="PTX22" s="3507"/>
      <c r="PTY22" s="3507"/>
      <c r="PTZ22" s="3507"/>
      <c r="PUA22" s="3507"/>
      <c r="PUB22" s="3507"/>
      <c r="PUC22" s="3507"/>
      <c r="PUD22" s="3507"/>
      <c r="PUE22" s="3507"/>
      <c r="PUF22" s="3507"/>
      <c r="PUG22" s="3507"/>
      <c r="PUH22" s="3507"/>
      <c r="PUI22" s="3507"/>
      <c r="PUJ22" s="3507"/>
      <c r="PUK22" s="3507"/>
      <c r="PUL22" s="3507"/>
      <c r="PUM22" s="3507"/>
      <c r="PUN22" s="3507"/>
      <c r="PUO22" s="3507"/>
      <c r="PUP22" s="3507"/>
      <c r="PUQ22" s="3507"/>
      <c r="PUR22" s="3507"/>
      <c r="PUS22" s="3507"/>
      <c r="PUT22" s="3507"/>
      <c r="PUU22" s="3507"/>
      <c r="PUV22" s="3507"/>
      <c r="PUW22" s="3507"/>
      <c r="PUX22" s="3507"/>
      <c r="PUY22" s="3507"/>
      <c r="PUZ22" s="3507"/>
      <c r="PVA22" s="3507"/>
      <c r="PVB22" s="3507"/>
      <c r="PVC22" s="3507"/>
      <c r="PVD22" s="3507"/>
      <c r="PVE22" s="3507"/>
      <c r="PVF22" s="3507"/>
      <c r="PVG22" s="3507"/>
      <c r="PVH22" s="3507"/>
      <c r="PVI22" s="3507"/>
      <c r="PVJ22" s="3507"/>
      <c r="PVK22" s="3507"/>
      <c r="PVL22" s="3507"/>
      <c r="PVM22" s="3507"/>
      <c r="PVN22" s="3507"/>
      <c r="PVO22" s="3507"/>
      <c r="PVP22" s="3507"/>
      <c r="PVQ22" s="3507"/>
      <c r="PVR22" s="3507"/>
      <c r="PVS22" s="3507"/>
      <c r="PVT22" s="3507"/>
      <c r="PVU22" s="3507"/>
      <c r="PVV22" s="3507"/>
      <c r="PVW22" s="3507"/>
      <c r="PVX22" s="3507"/>
      <c r="PVY22" s="3507"/>
      <c r="PVZ22" s="3507"/>
      <c r="PWA22" s="3507"/>
      <c r="PWB22" s="3507"/>
      <c r="PWC22" s="3507"/>
      <c r="PWD22" s="3507"/>
      <c r="PWE22" s="3507"/>
      <c r="PWF22" s="3507"/>
      <c r="PWG22" s="3507"/>
      <c r="PWH22" s="3507"/>
      <c r="PWI22" s="3507"/>
      <c r="PWJ22" s="3507"/>
      <c r="PWK22" s="3507"/>
      <c r="PWL22" s="3507"/>
      <c r="PWM22" s="3507"/>
      <c r="PWN22" s="3507"/>
      <c r="PWO22" s="3507"/>
      <c r="PWP22" s="3507"/>
      <c r="PWQ22" s="3507"/>
      <c r="PWR22" s="3507"/>
      <c r="PWS22" s="3507"/>
      <c r="PWT22" s="3507"/>
      <c r="PWU22" s="3507"/>
      <c r="PWV22" s="3507"/>
      <c r="PWW22" s="3507"/>
      <c r="PWX22" s="3507"/>
      <c r="PWY22" s="3507"/>
      <c r="PWZ22" s="3507"/>
      <c r="PXA22" s="3507"/>
      <c r="PXB22" s="3507"/>
      <c r="PXC22" s="3507"/>
      <c r="PXD22" s="3507"/>
      <c r="PXE22" s="3507"/>
      <c r="PXF22" s="3507"/>
      <c r="PXG22" s="3507"/>
      <c r="PXH22" s="3507"/>
      <c r="PXI22" s="3507"/>
      <c r="PXJ22" s="3507"/>
      <c r="PXK22" s="3507"/>
      <c r="PXL22" s="3507"/>
      <c r="PXM22" s="3507"/>
      <c r="PXN22" s="3507"/>
      <c r="PXO22" s="3507"/>
      <c r="PXP22" s="3507"/>
      <c r="PXQ22" s="3507"/>
      <c r="PXR22" s="3507"/>
      <c r="PXS22" s="3507"/>
      <c r="PXT22" s="3507"/>
      <c r="PXU22" s="3507"/>
      <c r="PXV22" s="3507"/>
      <c r="PXW22" s="3507"/>
      <c r="PXX22" s="3507"/>
      <c r="PXY22" s="3507"/>
      <c r="PXZ22" s="3507"/>
      <c r="PYA22" s="3507"/>
      <c r="PYB22" s="3507"/>
      <c r="PYC22" s="3507"/>
      <c r="PYD22" s="3507"/>
      <c r="PYE22" s="3507"/>
      <c r="PYF22" s="3507"/>
      <c r="PYG22" s="3507"/>
      <c r="PYH22" s="3507"/>
      <c r="PYI22" s="3507"/>
      <c r="PYJ22" s="3507"/>
      <c r="PYK22" s="3507"/>
      <c r="PYL22" s="3507"/>
      <c r="PYM22" s="3507"/>
      <c r="PYN22" s="3507"/>
      <c r="PYO22" s="3507"/>
      <c r="PYP22" s="3507"/>
      <c r="PYQ22" s="3507"/>
      <c r="PYR22" s="3507"/>
      <c r="PYS22" s="3507"/>
      <c r="PYT22" s="3507"/>
      <c r="PYU22" s="3507"/>
      <c r="PYV22" s="3507"/>
      <c r="PYW22" s="3507"/>
      <c r="PYX22" s="3507"/>
      <c r="PYY22" s="3507"/>
      <c r="PYZ22" s="3507"/>
      <c r="PZA22" s="3507"/>
      <c r="PZB22" s="3507"/>
      <c r="PZC22" s="3507"/>
      <c r="PZD22" s="3507"/>
      <c r="PZE22" s="3507"/>
      <c r="PZF22" s="3507"/>
      <c r="PZG22" s="3507"/>
      <c r="PZH22" s="3507"/>
      <c r="PZI22" s="3507"/>
      <c r="PZJ22" s="3507"/>
      <c r="PZK22" s="3507"/>
      <c r="PZL22" s="3507"/>
      <c r="PZM22" s="3507"/>
      <c r="PZN22" s="3507"/>
      <c r="PZO22" s="3507"/>
      <c r="PZP22" s="3507"/>
      <c r="PZQ22" s="3507"/>
      <c r="PZR22" s="3507"/>
      <c r="PZS22" s="3507"/>
      <c r="PZT22" s="3507"/>
      <c r="PZU22" s="3507"/>
      <c r="PZV22" s="3507"/>
      <c r="PZW22" s="3507"/>
      <c r="PZX22" s="3507"/>
      <c r="PZY22" s="3507"/>
      <c r="PZZ22" s="3507"/>
      <c r="QAA22" s="3507"/>
      <c r="QAB22" s="3507"/>
      <c r="QAC22" s="3507"/>
      <c r="QAD22" s="3507"/>
      <c r="QAE22" s="3507"/>
      <c r="QAF22" s="3507"/>
      <c r="QAG22" s="3507"/>
      <c r="QAH22" s="3507"/>
      <c r="QAI22" s="3507"/>
      <c r="QAJ22" s="3507"/>
      <c r="QAK22" s="3507"/>
      <c r="QAL22" s="3507"/>
      <c r="QAM22" s="3507"/>
      <c r="QAN22" s="3507"/>
      <c r="QAO22" s="3507"/>
      <c r="QAP22" s="3507"/>
      <c r="QAQ22" s="3507"/>
      <c r="QAR22" s="3507"/>
      <c r="QAS22" s="3507"/>
      <c r="QAT22" s="3507"/>
      <c r="QAU22" s="3507"/>
      <c r="QAV22" s="3507"/>
      <c r="QAW22" s="3507"/>
      <c r="QAX22" s="3507"/>
      <c r="QAY22" s="3507"/>
      <c r="QAZ22" s="3507"/>
      <c r="QBA22" s="3507"/>
      <c r="QBB22" s="3507"/>
      <c r="QBC22" s="3507"/>
      <c r="QBD22" s="3507"/>
      <c r="QBE22" s="3507"/>
      <c r="QBF22" s="3507"/>
      <c r="QBG22" s="3507"/>
      <c r="QBH22" s="3507"/>
      <c r="QBI22" s="3507"/>
      <c r="QBJ22" s="3507"/>
      <c r="QBK22" s="3507"/>
      <c r="QBL22" s="3507"/>
      <c r="QBM22" s="3507"/>
      <c r="QBN22" s="3507"/>
      <c r="QBO22" s="3507"/>
      <c r="QBP22" s="3507"/>
      <c r="QBQ22" s="3507"/>
      <c r="QBR22" s="3507"/>
      <c r="QBS22" s="3507"/>
      <c r="QBT22" s="3507"/>
      <c r="QBU22" s="3507"/>
      <c r="QBV22" s="3507"/>
      <c r="QBW22" s="3507"/>
      <c r="QBX22" s="3507"/>
      <c r="QBY22" s="3507"/>
      <c r="QBZ22" s="3507"/>
      <c r="QCA22" s="3507"/>
      <c r="QCB22" s="3507"/>
      <c r="QCC22" s="3507"/>
      <c r="QCD22" s="3507"/>
      <c r="QCE22" s="3507"/>
      <c r="QCF22" s="3507"/>
      <c r="QCG22" s="3507"/>
      <c r="QCH22" s="3507"/>
      <c r="QCI22" s="3507"/>
      <c r="QCJ22" s="3507"/>
      <c r="QCK22" s="3507"/>
      <c r="QCL22" s="3507"/>
      <c r="QCM22" s="3507"/>
      <c r="QCN22" s="3507"/>
      <c r="QCO22" s="3507"/>
      <c r="QCP22" s="3507"/>
      <c r="QCQ22" s="3507"/>
      <c r="QCR22" s="3507"/>
      <c r="QCS22" s="3507"/>
      <c r="QCT22" s="3507"/>
      <c r="QCU22" s="3507"/>
      <c r="QCV22" s="3507"/>
      <c r="QCW22" s="3507"/>
      <c r="QCX22" s="3507"/>
      <c r="QCY22" s="3507"/>
      <c r="QCZ22" s="3507"/>
      <c r="QDA22" s="3507"/>
      <c r="QDB22" s="3507"/>
      <c r="QDC22" s="3507"/>
      <c r="QDD22" s="3507"/>
      <c r="QDE22" s="3507"/>
      <c r="QDF22" s="3507"/>
      <c r="QDG22" s="3507"/>
      <c r="QDH22" s="3507"/>
      <c r="QDI22" s="3507"/>
      <c r="QDJ22" s="3507"/>
      <c r="QDK22" s="3507"/>
      <c r="QDL22" s="3507"/>
      <c r="QDM22" s="3507"/>
      <c r="QDN22" s="3507"/>
      <c r="QDO22" s="3507"/>
      <c r="QDP22" s="3507"/>
      <c r="QDQ22" s="3507"/>
      <c r="QDR22" s="3507"/>
      <c r="QDS22" s="3507"/>
      <c r="QDT22" s="3507"/>
      <c r="QDU22" s="3507"/>
      <c r="QDV22" s="3507"/>
      <c r="QDW22" s="3507"/>
      <c r="QDX22" s="3507"/>
      <c r="QDY22" s="3507"/>
      <c r="QDZ22" s="3507"/>
      <c r="QEA22" s="3507"/>
      <c r="QEB22" s="3507"/>
      <c r="QEC22" s="3507"/>
      <c r="QED22" s="3507"/>
      <c r="QEE22" s="3507"/>
      <c r="QEF22" s="3507"/>
      <c r="QEG22" s="3507"/>
      <c r="QEH22" s="3507"/>
      <c r="QEI22" s="3507"/>
      <c r="QEJ22" s="3507"/>
      <c r="QEK22" s="3507"/>
      <c r="QEL22" s="3507"/>
      <c r="QEM22" s="3507"/>
      <c r="QEN22" s="3507"/>
      <c r="QEO22" s="3507"/>
      <c r="QEP22" s="3507"/>
      <c r="QEQ22" s="3507"/>
      <c r="QER22" s="3507"/>
      <c r="QES22" s="3507"/>
      <c r="QET22" s="3507"/>
      <c r="QEU22" s="3507"/>
      <c r="QEV22" s="3507"/>
      <c r="QEW22" s="3507"/>
      <c r="QEX22" s="3507"/>
      <c r="QEY22" s="3507"/>
      <c r="QEZ22" s="3507"/>
      <c r="QFA22" s="3507"/>
      <c r="QFB22" s="3507"/>
      <c r="QFC22" s="3507"/>
      <c r="QFD22" s="3507"/>
      <c r="QFE22" s="3507"/>
      <c r="QFF22" s="3507"/>
      <c r="QFG22" s="3507"/>
      <c r="QFH22" s="3507"/>
      <c r="QFI22" s="3507"/>
      <c r="QFJ22" s="3507"/>
      <c r="QFK22" s="3507"/>
      <c r="QFL22" s="3507"/>
      <c r="QFM22" s="3507"/>
      <c r="QFN22" s="3507"/>
      <c r="QFO22" s="3507"/>
      <c r="QFP22" s="3507"/>
      <c r="QFQ22" s="3507"/>
      <c r="QFR22" s="3507"/>
      <c r="QFS22" s="3507"/>
      <c r="QFT22" s="3507"/>
      <c r="QFU22" s="3507"/>
      <c r="QFV22" s="3507"/>
      <c r="QFW22" s="3507"/>
      <c r="QFX22" s="3507"/>
      <c r="QFY22" s="3507"/>
      <c r="QFZ22" s="3507"/>
      <c r="QGA22" s="3507"/>
      <c r="QGB22" s="3507"/>
      <c r="QGC22" s="3507"/>
      <c r="QGD22" s="3507"/>
      <c r="QGE22" s="3507"/>
      <c r="QGF22" s="3507"/>
      <c r="QGG22" s="3507"/>
      <c r="QGH22" s="3507"/>
      <c r="QGI22" s="3507"/>
      <c r="QGJ22" s="3507"/>
      <c r="QGK22" s="3507"/>
      <c r="QGL22" s="3507"/>
      <c r="QGM22" s="3507"/>
      <c r="QGN22" s="3507"/>
      <c r="QGO22" s="3507"/>
      <c r="QGP22" s="3507"/>
      <c r="QGQ22" s="3507"/>
      <c r="QGR22" s="3507"/>
      <c r="QGS22" s="3507"/>
      <c r="QGT22" s="3507"/>
      <c r="QGU22" s="3507"/>
      <c r="QGV22" s="3507"/>
      <c r="QGW22" s="3507"/>
      <c r="QGX22" s="3507"/>
      <c r="QGY22" s="3507"/>
      <c r="QGZ22" s="3507"/>
      <c r="QHA22" s="3507"/>
      <c r="QHB22" s="3507"/>
      <c r="QHC22" s="3507"/>
      <c r="QHD22" s="3507"/>
      <c r="QHE22" s="3507"/>
      <c r="QHF22" s="3507"/>
      <c r="QHG22" s="3507"/>
      <c r="QHH22" s="3507"/>
      <c r="QHI22" s="3507"/>
      <c r="QHJ22" s="3507"/>
      <c r="QHK22" s="3507"/>
      <c r="QHL22" s="3507"/>
      <c r="QHM22" s="3507"/>
      <c r="QHN22" s="3507"/>
      <c r="QHO22" s="3507"/>
      <c r="QHP22" s="3507"/>
      <c r="QHQ22" s="3507"/>
      <c r="QHR22" s="3507"/>
      <c r="QHS22" s="3507"/>
      <c r="QHT22" s="3507"/>
      <c r="QHU22" s="3507"/>
      <c r="QHV22" s="3507"/>
      <c r="QHW22" s="3507"/>
      <c r="QHX22" s="3507"/>
      <c r="QHY22" s="3507"/>
      <c r="QHZ22" s="3507"/>
      <c r="QIA22" s="3507"/>
      <c r="QIB22" s="3507"/>
      <c r="QIC22" s="3507"/>
      <c r="QID22" s="3507"/>
      <c r="QIE22" s="3507"/>
      <c r="QIF22" s="3507"/>
      <c r="QIG22" s="3507"/>
      <c r="QIH22" s="3507"/>
      <c r="QII22" s="3507"/>
      <c r="QIJ22" s="3507"/>
      <c r="QIK22" s="3507"/>
      <c r="QIL22" s="3507"/>
      <c r="QIM22" s="3507"/>
      <c r="QIN22" s="3507"/>
      <c r="QIO22" s="3507"/>
      <c r="QIP22" s="3507"/>
      <c r="QIQ22" s="3507"/>
      <c r="QIR22" s="3507"/>
      <c r="QIS22" s="3507"/>
      <c r="QIT22" s="3507"/>
      <c r="QIU22" s="3507"/>
      <c r="QIV22" s="3507"/>
      <c r="QIW22" s="3507"/>
      <c r="QIX22" s="3507"/>
      <c r="QIY22" s="3507"/>
      <c r="QIZ22" s="3507"/>
      <c r="QJA22" s="3507"/>
      <c r="QJB22" s="3507"/>
      <c r="QJC22" s="3507"/>
      <c r="QJD22" s="3507"/>
      <c r="QJE22" s="3507"/>
      <c r="QJF22" s="3507"/>
      <c r="QJG22" s="3507"/>
      <c r="QJH22" s="3507"/>
      <c r="QJI22" s="3507"/>
      <c r="QJJ22" s="3507"/>
      <c r="QJK22" s="3507"/>
      <c r="QJL22" s="3507"/>
      <c r="QJM22" s="3507"/>
      <c r="QJN22" s="3507"/>
      <c r="QJO22" s="3507"/>
      <c r="QJP22" s="3507"/>
      <c r="QJQ22" s="3507"/>
      <c r="QJR22" s="3507"/>
      <c r="QJS22" s="3507"/>
      <c r="QJT22" s="3507"/>
      <c r="QJU22" s="3507"/>
      <c r="QJV22" s="3507"/>
      <c r="QJW22" s="3507"/>
      <c r="QJX22" s="3507"/>
      <c r="QJY22" s="3507"/>
      <c r="QJZ22" s="3507"/>
      <c r="QKA22" s="3507"/>
      <c r="QKB22" s="3507"/>
      <c r="QKC22" s="3507"/>
      <c r="QKD22" s="3507"/>
      <c r="QKE22" s="3507"/>
      <c r="QKF22" s="3507"/>
      <c r="QKG22" s="3507"/>
      <c r="QKH22" s="3507"/>
      <c r="QKI22" s="3507"/>
      <c r="QKJ22" s="3507"/>
      <c r="QKK22" s="3507"/>
      <c r="QKL22" s="3507"/>
      <c r="QKM22" s="3507"/>
      <c r="QKN22" s="3507"/>
      <c r="QKO22" s="3507"/>
      <c r="QKP22" s="3507"/>
      <c r="QKQ22" s="3507"/>
      <c r="QKR22" s="3507"/>
      <c r="QKS22" s="3507"/>
      <c r="QKT22" s="3507"/>
      <c r="QKU22" s="3507"/>
      <c r="QKV22" s="3507"/>
      <c r="QKW22" s="3507"/>
      <c r="QKX22" s="3507"/>
      <c r="QKY22" s="3507"/>
      <c r="QKZ22" s="3507"/>
      <c r="QLA22" s="3507"/>
      <c r="QLB22" s="3507"/>
      <c r="QLC22" s="3507"/>
      <c r="QLD22" s="3507"/>
      <c r="QLE22" s="3507"/>
      <c r="QLF22" s="3507"/>
      <c r="QLG22" s="3507"/>
      <c r="QLH22" s="3507"/>
      <c r="QLI22" s="3507"/>
      <c r="QLJ22" s="3507"/>
      <c r="QLK22" s="3507"/>
      <c r="QLL22" s="3507"/>
      <c r="QLM22" s="3507"/>
      <c r="QLN22" s="3507"/>
      <c r="QLO22" s="3507"/>
      <c r="QLP22" s="3507"/>
      <c r="QLQ22" s="3507"/>
      <c r="QLR22" s="3507"/>
      <c r="QLS22" s="3507"/>
      <c r="QLT22" s="3507"/>
      <c r="QLU22" s="3507"/>
      <c r="QLV22" s="3507"/>
      <c r="QLW22" s="3507"/>
      <c r="QLX22" s="3507"/>
      <c r="QLY22" s="3507"/>
      <c r="QLZ22" s="3507"/>
      <c r="QMA22" s="3507"/>
      <c r="QMB22" s="3507"/>
      <c r="QMC22" s="3507"/>
      <c r="QMD22" s="3507"/>
      <c r="QME22" s="3507"/>
      <c r="QMF22" s="3507"/>
      <c r="QMG22" s="3507"/>
      <c r="QMH22" s="3507"/>
      <c r="QMI22" s="3507"/>
      <c r="QMJ22" s="3507"/>
      <c r="QMK22" s="3507"/>
      <c r="QML22" s="3507"/>
      <c r="QMM22" s="3507"/>
      <c r="QMN22" s="3507"/>
      <c r="QMO22" s="3507"/>
      <c r="QMP22" s="3507"/>
      <c r="QMQ22" s="3507"/>
      <c r="QMR22" s="3507"/>
      <c r="QMS22" s="3507"/>
      <c r="QMT22" s="3507"/>
      <c r="QMU22" s="3507"/>
      <c r="QMV22" s="3507"/>
      <c r="QMW22" s="3507"/>
      <c r="QMX22" s="3507"/>
      <c r="QMY22" s="3507"/>
      <c r="QMZ22" s="3507"/>
      <c r="QNA22" s="3507"/>
      <c r="QNB22" s="3507"/>
      <c r="QNC22" s="3507"/>
      <c r="QND22" s="3507"/>
      <c r="QNE22" s="3507"/>
      <c r="QNF22" s="3507"/>
      <c r="QNG22" s="3507"/>
      <c r="QNH22" s="3507"/>
      <c r="QNI22" s="3507"/>
      <c r="QNJ22" s="3507"/>
      <c r="QNK22" s="3507"/>
      <c r="QNL22" s="3507"/>
      <c r="QNM22" s="3507"/>
      <c r="QNN22" s="3507"/>
      <c r="QNO22" s="3507"/>
      <c r="QNP22" s="3507"/>
      <c r="QNQ22" s="3507"/>
      <c r="QNR22" s="3507"/>
      <c r="QNS22" s="3507"/>
      <c r="QNT22" s="3507"/>
      <c r="QNU22" s="3507"/>
      <c r="QNV22" s="3507"/>
      <c r="QNW22" s="3507"/>
      <c r="QNX22" s="3507"/>
      <c r="QNY22" s="3507"/>
      <c r="QNZ22" s="3507"/>
      <c r="QOA22" s="3507"/>
      <c r="QOB22" s="3507"/>
      <c r="QOC22" s="3507"/>
      <c r="QOD22" s="3507"/>
      <c r="QOE22" s="3507"/>
      <c r="QOF22" s="3507"/>
      <c r="QOG22" s="3507"/>
      <c r="QOH22" s="3507"/>
      <c r="QOI22" s="3507"/>
      <c r="QOJ22" s="3507"/>
      <c r="QOK22" s="3507"/>
      <c r="QOL22" s="3507"/>
      <c r="QOM22" s="3507"/>
      <c r="QON22" s="3507"/>
      <c r="QOO22" s="3507"/>
      <c r="QOP22" s="3507"/>
      <c r="QOQ22" s="3507"/>
      <c r="QOR22" s="3507"/>
      <c r="QOS22" s="3507"/>
      <c r="QOT22" s="3507"/>
      <c r="QOU22" s="3507"/>
      <c r="QOV22" s="3507"/>
      <c r="QOW22" s="3507"/>
      <c r="QOX22" s="3507"/>
      <c r="QOY22" s="3507"/>
      <c r="QOZ22" s="3507"/>
      <c r="QPA22" s="3507"/>
      <c r="QPB22" s="3507"/>
      <c r="QPC22" s="3507"/>
      <c r="QPD22" s="3507"/>
      <c r="QPE22" s="3507"/>
      <c r="QPF22" s="3507"/>
      <c r="QPG22" s="3507"/>
      <c r="QPH22" s="3507"/>
      <c r="QPI22" s="3507"/>
      <c r="QPJ22" s="3507"/>
      <c r="QPK22" s="3507"/>
      <c r="QPL22" s="3507"/>
      <c r="QPM22" s="3507"/>
      <c r="QPN22" s="3507"/>
      <c r="QPO22" s="3507"/>
      <c r="QPP22" s="3507"/>
      <c r="QPQ22" s="3507"/>
      <c r="QPR22" s="3507"/>
      <c r="QPS22" s="3507"/>
      <c r="QPT22" s="3507"/>
      <c r="QPU22" s="3507"/>
      <c r="QPV22" s="3507"/>
      <c r="QPW22" s="3507"/>
      <c r="QPX22" s="3507"/>
      <c r="QPY22" s="3507"/>
      <c r="QPZ22" s="3507"/>
      <c r="QQA22" s="3507"/>
      <c r="QQB22" s="3507"/>
      <c r="QQC22" s="3507"/>
      <c r="QQD22" s="3507"/>
      <c r="QQE22" s="3507"/>
      <c r="QQF22" s="3507"/>
      <c r="QQG22" s="3507"/>
      <c r="QQH22" s="3507"/>
      <c r="QQI22" s="3507"/>
      <c r="QQJ22" s="3507"/>
      <c r="QQK22" s="3507"/>
      <c r="QQL22" s="3507"/>
      <c r="QQM22" s="3507"/>
      <c r="QQN22" s="3507"/>
      <c r="QQO22" s="3507"/>
      <c r="QQP22" s="3507"/>
      <c r="QQQ22" s="3507"/>
      <c r="QQR22" s="3507"/>
      <c r="QQS22" s="3507"/>
      <c r="QQT22" s="3507"/>
      <c r="QQU22" s="3507"/>
      <c r="QQV22" s="3507"/>
      <c r="QQW22" s="3507"/>
      <c r="QQX22" s="3507"/>
      <c r="QQY22" s="3507"/>
      <c r="QQZ22" s="3507"/>
      <c r="QRA22" s="3507"/>
      <c r="QRB22" s="3507"/>
      <c r="QRC22" s="3507"/>
      <c r="QRD22" s="3507"/>
      <c r="QRE22" s="3507"/>
      <c r="QRF22" s="3507"/>
      <c r="QRG22" s="3507"/>
      <c r="QRH22" s="3507"/>
      <c r="QRI22" s="3507"/>
      <c r="QRJ22" s="3507"/>
      <c r="QRK22" s="3507"/>
      <c r="QRL22" s="3507"/>
      <c r="QRM22" s="3507"/>
      <c r="QRN22" s="3507"/>
      <c r="QRO22" s="3507"/>
      <c r="QRP22" s="3507"/>
      <c r="QRQ22" s="3507"/>
      <c r="QRR22" s="3507"/>
      <c r="QRS22" s="3507"/>
      <c r="QRT22" s="3507"/>
      <c r="QRU22" s="3507"/>
      <c r="QRV22" s="3507"/>
      <c r="QRW22" s="3507"/>
      <c r="QRX22" s="3507"/>
      <c r="QRY22" s="3507"/>
      <c r="QRZ22" s="3507"/>
      <c r="QSA22" s="3507"/>
      <c r="QSB22" s="3507"/>
      <c r="QSC22" s="3507"/>
      <c r="QSD22" s="3507"/>
      <c r="QSE22" s="3507"/>
      <c r="QSF22" s="3507"/>
      <c r="QSG22" s="3507"/>
      <c r="QSH22" s="3507"/>
      <c r="QSI22" s="3507"/>
      <c r="QSJ22" s="3507"/>
      <c r="QSK22" s="3507"/>
      <c r="QSL22" s="3507"/>
      <c r="QSM22" s="3507"/>
      <c r="QSN22" s="3507"/>
      <c r="QSO22" s="3507"/>
      <c r="QSP22" s="3507"/>
      <c r="QSQ22" s="3507"/>
      <c r="QSR22" s="3507"/>
      <c r="QSS22" s="3507"/>
      <c r="QST22" s="3507"/>
      <c r="QSU22" s="3507"/>
      <c r="QSV22" s="3507"/>
      <c r="QSW22" s="3507"/>
      <c r="QSX22" s="3507"/>
      <c r="QSY22" s="3507"/>
      <c r="QSZ22" s="3507"/>
      <c r="QTA22" s="3507"/>
      <c r="QTB22" s="3507"/>
      <c r="QTC22" s="3507"/>
      <c r="QTD22" s="3507"/>
      <c r="QTE22" s="3507"/>
      <c r="QTF22" s="3507"/>
      <c r="QTG22" s="3507"/>
      <c r="QTH22" s="3507"/>
      <c r="QTI22" s="3507"/>
      <c r="QTJ22" s="3507"/>
      <c r="QTK22" s="3507"/>
      <c r="QTL22" s="3507"/>
      <c r="QTM22" s="3507"/>
      <c r="QTN22" s="3507"/>
      <c r="QTO22" s="3507"/>
      <c r="QTP22" s="3507"/>
      <c r="QTQ22" s="3507"/>
      <c r="QTR22" s="3507"/>
      <c r="QTS22" s="3507"/>
      <c r="QTT22" s="3507"/>
      <c r="QTU22" s="3507"/>
      <c r="QTV22" s="3507"/>
      <c r="QTW22" s="3507"/>
      <c r="QTX22" s="3507"/>
      <c r="QTY22" s="3507"/>
      <c r="QTZ22" s="3507"/>
      <c r="QUA22" s="3507"/>
      <c r="QUB22" s="3507"/>
      <c r="QUC22" s="3507"/>
      <c r="QUD22" s="3507"/>
      <c r="QUE22" s="3507"/>
      <c r="QUF22" s="3507"/>
      <c r="QUG22" s="3507"/>
      <c r="QUH22" s="3507"/>
      <c r="QUI22" s="3507"/>
      <c r="QUJ22" s="3507"/>
      <c r="QUK22" s="3507"/>
      <c r="QUL22" s="3507"/>
      <c r="QUM22" s="3507"/>
      <c r="QUN22" s="3507"/>
      <c r="QUO22" s="3507"/>
      <c r="QUP22" s="3507"/>
      <c r="QUQ22" s="3507"/>
      <c r="QUR22" s="3507"/>
      <c r="QUS22" s="3507"/>
      <c r="QUT22" s="3507"/>
      <c r="QUU22" s="3507"/>
      <c r="QUV22" s="3507"/>
      <c r="QUW22" s="3507"/>
      <c r="QUX22" s="3507"/>
      <c r="QUY22" s="3507"/>
      <c r="QUZ22" s="3507"/>
      <c r="QVA22" s="3507"/>
      <c r="QVB22" s="3507"/>
      <c r="QVC22" s="3507"/>
      <c r="QVD22" s="3507"/>
      <c r="QVE22" s="3507"/>
      <c r="QVF22" s="3507"/>
      <c r="QVG22" s="3507"/>
      <c r="QVH22" s="3507"/>
      <c r="QVI22" s="3507"/>
      <c r="QVJ22" s="3507"/>
      <c r="QVK22" s="3507"/>
      <c r="QVL22" s="3507"/>
      <c r="QVM22" s="3507"/>
      <c r="QVN22" s="3507"/>
      <c r="QVO22" s="3507"/>
      <c r="QVP22" s="3507"/>
      <c r="QVQ22" s="3507"/>
      <c r="QVR22" s="3507"/>
      <c r="QVS22" s="3507"/>
      <c r="QVT22" s="3507"/>
      <c r="QVU22" s="3507"/>
      <c r="QVV22" s="3507"/>
      <c r="QVW22" s="3507"/>
      <c r="QVX22" s="3507"/>
      <c r="QVY22" s="3507"/>
      <c r="QVZ22" s="3507"/>
      <c r="QWA22" s="3507"/>
      <c r="QWB22" s="3507"/>
      <c r="QWC22" s="3507"/>
      <c r="QWD22" s="3507"/>
      <c r="QWE22" s="3507"/>
      <c r="QWF22" s="3507"/>
      <c r="QWG22" s="3507"/>
      <c r="QWH22" s="3507"/>
      <c r="QWI22" s="3507"/>
      <c r="QWJ22" s="3507"/>
      <c r="QWK22" s="3507"/>
      <c r="QWL22" s="3507"/>
      <c r="QWM22" s="3507"/>
      <c r="QWN22" s="3507"/>
      <c r="QWO22" s="3507"/>
      <c r="QWP22" s="3507"/>
      <c r="QWQ22" s="3507"/>
      <c r="QWR22" s="3507"/>
      <c r="QWS22" s="3507"/>
      <c r="QWT22" s="3507"/>
      <c r="QWU22" s="3507"/>
      <c r="QWV22" s="3507"/>
      <c r="QWW22" s="3507"/>
      <c r="QWX22" s="3507"/>
      <c r="QWY22" s="3507"/>
      <c r="QWZ22" s="3507"/>
      <c r="QXA22" s="3507"/>
      <c r="QXB22" s="3507"/>
      <c r="QXC22" s="3507"/>
      <c r="QXD22" s="3507"/>
      <c r="QXE22" s="3507"/>
      <c r="QXF22" s="3507"/>
      <c r="QXG22" s="3507"/>
      <c r="QXH22" s="3507"/>
      <c r="QXI22" s="3507"/>
      <c r="QXJ22" s="3507"/>
      <c r="QXK22" s="3507"/>
      <c r="QXL22" s="3507"/>
      <c r="QXM22" s="3507"/>
      <c r="QXN22" s="3507"/>
      <c r="QXO22" s="3507"/>
      <c r="QXP22" s="3507"/>
      <c r="QXQ22" s="3507"/>
      <c r="QXR22" s="3507"/>
      <c r="QXS22" s="3507"/>
      <c r="QXT22" s="3507"/>
      <c r="QXU22" s="3507"/>
      <c r="QXV22" s="3507"/>
      <c r="QXW22" s="3507"/>
      <c r="QXX22" s="3507"/>
      <c r="QXY22" s="3507"/>
      <c r="QXZ22" s="3507"/>
      <c r="QYA22" s="3507"/>
      <c r="QYB22" s="3507"/>
      <c r="QYC22" s="3507"/>
      <c r="QYD22" s="3507"/>
      <c r="QYE22" s="3507"/>
      <c r="QYF22" s="3507"/>
      <c r="QYG22" s="3507"/>
      <c r="QYH22" s="3507"/>
      <c r="QYI22" s="3507"/>
      <c r="QYJ22" s="3507"/>
      <c r="QYK22" s="3507"/>
      <c r="QYL22" s="3507"/>
      <c r="QYM22" s="3507"/>
      <c r="QYN22" s="3507"/>
      <c r="QYO22" s="3507"/>
      <c r="QYP22" s="3507"/>
      <c r="QYQ22" s="3507"/>
      <c r="QYR22" s="3507"/>
      <c r="QYS22" s="3507"/>
      <c r="QYT22" s="3507"/>
      <c r="QYU22" s="3507"/>
      <c r="QYV22" s="3507"/>
      <c r="QYW22" s="3507"/>
      <c r="QYX22" s="3507"/>
      <c r="QYY22" s="3507"/>
      <c r="QYZ22" s="3507"/>
      <c r="QZA22" s="3507"/>
      <c r="QZB22" s="3507"/>
      <c r="QZC22" s="3507"/>
      <c r="QZD22" s="3507"/>
      <c r="QZE22" s="3507"/>
      <c r="QZF22" s="3507"/>
      <c r="QZG22" s="3507"/>
      <c r="QZH22" s="3507"/>
      <c r="QZI22" s="3507"/>
      <c r="QZJ22" s="3507"/>
      <c r="QZK22" s="3507"/>
      <c r="QZL22" s="3507"/>
      <c r="QZM22" s="3507"/>
      <c r="QZN22" s="3507"/>
      <c r="QZO22" s="3507"/>
      <c r="QZP22" s="3507"/>
      <c r="QZQ22" s="3507"/>
      <c r="QZR22" s="3507"/>
      <c r="QZS22" s="3507"/>
      <c r="QZT22" s="3507"/>
      <c r="QZU22" s="3507"/>
      <c r="QZV22" s="3507"/>
      <c r="QZW22" s="3507"/>
      <c r="QZX22" s="3507"/>
      <c r="QZY22" s="3507"/>
      <c r="QZZ22" s="3507"/>
      <c r="RAA22" s="3507"/>
      <c r="RAB22" s="3507"/>
      <c r="RAC22" s="3507"/>
      <c r="RAD22" s="3507"/>
      <c r="RAE22" s="3507"/>
      <c r="RAF22" s="3507"/>
      <c r="RAG22" s="3507"/>
      <c r="RAH22" s="3507"/>
      <c r="RAI22" s="3507"/>
      <c r="RAJ22" s="3507"/>
      <c r="RAK22" s="3507"/>
      <c r="RAL22" s="3507"/>
      <c r="RAM22" s="3507"/>
      <c r="RAN22" s="3507"/>
      <c r="RAO22" s="3507"/>
      <c r="RAP22" s="3507"/>
      <c r="RAQ22" s="3507"/>
      <c r="RAR22" s="3507"/>
      <c r="RAS22" s="3507"/>
      <c r="RAT22" s="3507"/>
      <c r="RAU22" s="3507"/>
      <c r="RAV22" s="3507"/>
      <c r="RAW22" s="3507"/>
      <c r="RAX22" s="3507"/>
      <c r="RAY22" s="3507"/>
      <c r="RAZ22" s="3507"/>
      <c r="RBA22" s="3507"/>
      <c r="RBB22" s="3507"/>
      <c r="RBC22" s="3507"/>
      <c r="RBD22" s="3507"/>
      <c r="RBE22" s="3507"/>
      <c r="RBF22" s="3507"/>
      <c r="RBG22" s="3507"/>
      <c r="RBH22" s="3507"/>
      <c r="RBI22" s="3507"/>
      <c r="RBJ22" s="3507"/>
      <c r="RBK22" s="3507"/>
      <c r="RBL22" s="3507"/>
      <c r="RBM22" s="3507"/>
      <c r="RBN22" s="3507"/>
      <c r="RBO22" s="3507"/>
      <c r="RBP22" s="3507"/>
      <c r="RBQ22" s="3507"/>
      <c r="RBR22" s="3507"/>
      <c r="RBS22" s="3507"/>
      <c r="RBT22" s="3507"/>
      <c r="RBU22" s="3507"/>
      <c r="RBV22" s="3507"/>
      <c r="RBW22" s="3507"/>
      <c r="RBX22" s="3507"/>
      <c r="RBY22" s="3507"/>
      <c r="RBZ22" s="3507"/>
      <c r="RCA22" s="3507"/>
      <c r="RCB22" s="3507"/>
      <c r="RCC22" s="3507"/>
      <c r="RCD22" s="3507"/>
      <c r="RCE22" s="3507"/>
      <c r="RCF22" s="3507"/>
      <c r="RCG22" s="3507"/>
      <c r="RCH22" s="3507"/>
      <c r="RCI22" s="3507"/>
      <c r="RCJ22" s="3507"/>
      <c r="RCK22" s="3507"/>
      <c r="RCL22" s="3507"/>
      <c r="RCM22" s="3507"/>
      <c r="RCN22" s="3507"/>
      <c r="RCO22" s="3507"/>
      <c r="RCP22" s="3507"/>
      <c r="RCQ22" s="3507"/>
      <c r="RCR22" s="3507"/>
      <c r="RCS22" s="3507"/>
      <c r="RCT22" s="3507"/>
      <c r="RCU22" s="3507"/>
      <c r="RCV22" s="3507"/>
      <c r="RCW22" s="3507"/>
      <c r="RCX22" s="3507"/>
      <c r="RCY22" s="3507"/>
      <c r="RCZ22" s="3507"/>
      <c r="RDA22" s="3507"/>
      <c r="RDB22" s="3507"/>
      <c r="RDC22" s="3507"/>
      <c r="RDD22" s="3507"/>
      <c r="RDE22" s="3507"/>
      <c r="RDF22" s="3507"/>
      <c r="RDG22" s="3507"/>
      <c r="RDH22" s="3507"/>
      <c r="RDI22" s="3507"/>
      <c r="RDJ22" s="3507"/>
      <c r="RDK22" s="3507"/>
      <c r="RDL22" s="3507"/>
      <c r="RDM22" s="3507"/>
      <c r="RDN22" s="3507"/>
      <c r="RDO22" s="3507"/>
      <c r="RDP22" s="3507"/>
      <c r="RDQ22" s="3507"/>
      <c r="RDR22" s="3507"/>
      <c r="RDS22" s="3507"/>
      <c r="RDT22" s="3507"/>
      <c r="RDU22" s="3507"/>
      <c r="RDV22" s="3507"/>
      <c r="RDW22" s="3507"/>
      <c r="RDX22" s="3507"/>
      <c r="RDY22" s="3507"/>
      <c r="RDZ22" s="3507"/>
      <c r="REA22" s="3507"/>
      <c r="REB22" s="3507"/>
      <c r="REC22" s="3507"/>
      <c r="RED22" s="3507"/>
      <c r="REE22" s="3507"/>
      <c r="REF22" s="3507"/>
      <c r="REG22" s="3507"/>
      <c r="REH22" s="3507"/>
      <c r="REI22" s="3507"/>
      <c r="REJ22" s="3507"/>
      <c r="REK22" s="3507"/>
      <c r="REL22" s="3507"/>
      <c r="REM22" s="3507"/>
      <c r="REN22" s="3507"/>
      <c r="REO22" s="3507"/>
      <c r="REP22" s="3507"/>
      <c r="REQ22" s="3507"/>
      <c r="RER22" s="3507"/>
      <c r="RES22" s="3507"/>
      <c r="RET22" s="3507"/>
      <c r="REU22" s="3507"/>
      <c r="REV22" s="3507"/>
      <c r="REW22" s="3507"/>
      <c r="REX22" s="3507"/>
      <c r="REY22" s="3507"/>
      <c r="REZ22" s="3507"/>
      <c r="RFA22" s="3507"/>
      <c r="RFB22" s="3507"/>
      <c r="RFC22" s="3507"/>
      <c r="RFD22" s="3507"/>
      <c r="RFE22" s="3507"/>
      <c r="RFF22" s="3507"/>
      <c r="RFG22" s="3507"/>
      <c r="RFH22" s="3507"/>
      <c r="RFI22" s="3507"/>
      <c r="RFJ22" s="3507"/>
      <c r="RFK22" s="3507"/>
      <c r="RFL22" s="3507"/>
      <c r="RFM22" s="3507"/>
      <c r="RFN22" s="3507"/>
      <c r="RFO22" s="3507"/>
      <c r="RFP22" s="3507"/>
      <c r="RFQ22" s="3507"/>
      <c r="RFR22" s="3507"/>
      <c r="RFS22" s="3507"/>
      <c r="RFT22" s="3507"/>
      <c r="RFU22" s="3507"/>
      <c r="RFV22" s="3507"/>
      <c r="RFW22" s="3507"/>
      <c r="RFX22" s="3507"/>
      <c r="RFY22" s="3507"/>
      <c r="RFZ22" s="3507"/>
      <c r="RGA22" s="3507"/>
      <c r="RGB22" s="3507"/>
      <c r="RGC22" s="3507"/>
      <c r="RGD22" s="3507"/>
      <c r="RGE22" s="3507"/>
      <c r="RGF22" s="3507"/>
      <c r="RGG22" s="3507"/>
      <c r="RGH22" s="3507"/>
      <c r="RGI22" s="3507"/>
      <c r="RGJ22" s="3507"/>
      <c r="RGK22" s="3507"/>
      <c r="RGL22" s="3507"/>
      <c r="RGM22" s="3507"/>
      <c r="RGN22" s="3507"/>
      <c r="RGO22" s="3507"/>
      <c r="RGP22" s="3507"/>
      <c r="RGQ22" s="3507"/>
      <c r="RGR22" s="3507"/>
      <c r="RGS22" s="3507"/>
      <c r="RGT22" s="3507"/>
      <c r="RGU22" s="3507"/>
      <c r="RGV22" s="3507"/>
      <c r="RGW22" s="3507"/>
      <c r="RGX22" s="3507"/>
      <c r="RGY22" s="3507"/>
      <c r="RGZ22" s="3507"/>
      <c r="RHA22" s="3507"/>
      <c r="RHB22" s="3507"/>
      <c r="RHC22" s="3507"/>
      <c r="RHD22" s="3507"/>
      <c r="RHE22" s="3507"/>
      <c r="RHF22" s="3507"/>
      <c r="RHG22" s="3507"/>
      <c r="RHH22" s="3507"/>
      <c r="RHI22" s="3507"/>
      <c r="RHJ22" s="3507"/>
      <c r="RHK22" s="3507"/>
      <c r="RHL22" s="3507"/>
      <c r="RHM22" s="3507"/>
      <c r="RHN22" s="3507"/>
      <c r="RHO22" s="3507"/>
      <c r="RHP22" s="3507"/>
      <c r="RHQ22" s="3507"/>
      <c r="RHR22" s="3507"/>
      <c r="RHS22" s="3507"/>
      <c r="RHT22" s="3507"/>
      <c r="RHU22" s="3507"/>
      <c r="RHV22" s="3507"/>
      <c r="RHW22" s="3507"/>
      <c r="RHX22" s="3507"/>
      <c r="RHY22" s="3507"/>
      <c r="RHZ22" s="3507"/>
      <c r="RIA22" s="3507"/>
      <c r="RIB22" s="3507"/>
      <c r="RIC22" s="3507"/>
      <c r="RID22" s="3507"/>
      <c r="RIE22" s="3507"/>
      <c r="RIF22" s="3507"/>
      <c r="RIG22" s="3507"/>
      <c r="RIH22" s="3507"/>
      <c r="RII22" s="3507"/>
      <c r="RIJ22" s="3507"/>
      <c r="RIK22" s="3507"/>
      <c r="RIL22" s="3507"/>
      <c r="RIM22" s="3507"/>
      <c r="RIN22" s="3507"/>
      <c r="RIO22" s="3507"/>
      <c r="RIP22" s="3507"/>
      <c r="RIQ22" s="3507"/>
      <c r="RIR22" s="3507"/>
      <c r="RIS22" s="3507"/>
      <c r="RIT22" s="3507"/>
      <c r="RIU22" s="3507"/>
      <c r="RIV22" s="3507"/>
      <c r="RIW22" s="3507"/>
      <c r="RIX22" s="3507"/>
      <c r="RIY22" s="3507"/>
      <c r="RIZ22" s="3507"/>
      <c r="RJA22" s="3507"/>
      <c r="RJB22" s="3507"/>
      <c r="RJC22" s="3507"/>
      <c r="RJD22" s="3507"/>
      <c r="RJE22" s="3507"/>
      <c r="RJF22" s="3507"/>
      <c r="RJG22" s="3507"/>
      <c r="RJH22" s="3507"/>
      <c r="RJI22" s="3507"/>
      <c r="RJJ22" s="3507"/>
      <c r="RJK22" s="3507"/>
      <c r="RJL22" s="3507"/>
      <c r="RJM22" s="3507"/>
      <c r="RJN22" s="3507"/>
      <c r="RJO22" s="3507"/>
      <c r="RJP22" s="3507"/>
      <c r="RJQ22" s="3507"/>
      <c r="RJR22" s="3507"/>
      <c r="RJS22" s="3507"/>
      <c r="RJT22" s="3507"/>
      <c r="RJU22" s="3507"/>
      <c r="RJV22" s="3507"/>
      <c r="RJW22" s="3507"/>
      <c r="RJX22" s="3507"/>
      <c r="RJY22" s="3507"/>
      <c r="RJZ22" s="3507"/>
      <c r="RKA22" s="3507"/>
      <c r="RKB22" s="3507"/>
      <c r="RKC22" s="3507"/>
      <c r="RKD22" s="3507"/>
      <c r="RKE22" s="3507"/>
      <c r="RKF22" s="3507"/>
      <c r="RKG22" s="3507"/>
      <c r="RKH22" s="3507"/>
      <c r="RKI22" s="3507"/>
      <c r="RKJ22" s="3507"/>
      <c r="RKK22" s="3507"/>
      <c r="RKL22" s="3507"/>
      <c r="RKM22" s="3507"/>
      <c r="RKN22" s="3507"/>
      <c r="RKO22" s="3507"/>
      <c r="RKP22" s="3507"/>
      <c r="RKQ22" s="3507"/>
      <c r="RKR22" s="3507"/>
      <c r="RKS22" s="3507"/>
      <c r="RKT22" s="3507"/>
      <c r="RKU22" s="3507"/>
      <c r="RKV22" s="3507"/>
      <c r="RKW22" s="3507"/>
      <c r="RKX22" s="3507"/>
      <c r="RKY22" s="3507"/>
      <c r="RKZ22" s="3507"/>
      <c r="RLA22" s="3507"/>
      <c r="RLB22" s="3507"/>
      <c r="RLC22" s="3507"/>
      <c r="RLD22" s="3507"/>
      <c r="RLE22" s="3507"/>
      <c r="RLF22" s="3507"/>
      <c r="RLG22" s="3507"/>
      <c r="RLH22" s="3507"/>
      <c r="RLI22" s="3507"/>
      <c r="RLJ22" s="3507"/>
      <c r="RLK22" s="3507"/>
      <c r="RLL22" s="3507"/>
      <c r="RLM22" s="3507"/>
      <c r="RLN22" s="3507"/>
      <c r="RLO22" s="3507"/>
      <c r="RLP22" s="3507"/>
      <c r="RLQ22" s="3507"/>
      <c r="RLR22" s="3507"/>
      <c r="RLS22" s="3507"/>
      <c r="RLT22" s="3507"/>
      <c r="RLU22" s="3507"/>
      <c r="RLV22" s="3507"/>
      <c r="RLW22" s="3507"/>
      <c r="RLX22" s="3507"/>
      <c r="RLY22" s="3507"/>
      <c r="RLZ22" s="3507"/>
      <c r="RMA22" s="3507"/>
      <c r="RMB22" s="3507"/>
      <c r="RMC22" s="3507"/>
      <c r="RMD22" s="3507"/>
      <c r="RME22" s="3507"/>
      <c r="RMF22" s="3507"/>
      <c r="RMG22" s="3507"/>
      <c r="RMH22" s="3507"/>
      <c r="RMI22" s="3507"/>
      <c r="RMJ22" s="3507"/>
      <c r="RMK22" s="3507"/>
      <c r="RML22" s="3507"/>
      <c r="RMM22" s="3507"/>
      <c r="RMN22" s="3507"/>
      <c r="RMO22" s="3507"/>
      <c r="RMP22" s="3507"/>
      <c r="RMQ22" s="3507"/>
      <c r="RMR22" s="3507"/>
      <c r="RMS22" s="3507"/>
      <c r="RMT22" s="3507"/>
      <c r="RMU22" s="3507"/>
      <c r="RMV22" s="3507"/>
      <c r="RMW22" s="3507"/>
      <c r="RMX22" s="3507"/>
      <c r="RMY22" s="3507"/>
      <c r="RMZ22" s="3507"/>
      <c r="RNA22" s="3507"/>
      <c r="RNB22" s="3507"/>
      <c r="RNC22" s="3507"/>
      <c r="RND22" s="3507"/>
      <c r="RNE22" s="3507"/>
      <c r="RNF22" s="3507"/>
      <c r="RNG22" s="3507"/>
      <c r="RNH22" s="3507"/>
      <c r="RNI22" s="3507"/>
      <c r="RNJ22" s="3507"/>
      <c r="RNK22" s="3507"/>
      <c r="RNL22" s="3507"/>
      <c r="RNM22" s="3507"/>
      <c r="RNN22" s="3507"/>
      <c r="RNO22" s="3507"/>
      <c r="RNP22" s="3507"/>
      <c r="RNQ22" s="3507"/>
      <c r="RNR22" s="3507"/>
      <c r="RNS22" s="3507"/>
      <c r="RNT22" s="3507"/>
      <c r="RNU22" s="3507"/>
      <c r="RNV22" s="3507"/>
      <c r="RNW22" s="3507"/>
      <c r="RNX22" s="3507"/>
      <c r="RNY22" s="3507"/>
      <c r="RNZ22" s="3507"/>
      <c r="ROA22" s="3507"/>
      <c r="ROB22" s="3507"/>
      <c r="ROC22" s="3507"/>
      <c r="ROD22" s="3507"/>
      <c r="ROE22" s="3507"/>
      <c r="ROF22" s="3507"/>
      <c r="ROG22" s="3507"/>
      <c r="ROH22" s="3507"/>
      <c r="ROI22" s="3507"/>
      <c r="ROJ22" s="3507"/>
      <c r="ROK22" s="3507"/>
      <c r="ROL22" s="3507"/>
      <c r="ROM22" s="3507"/>
      <c r="RON22" s="3507"/>
      <c r="ROO22" s="3507"/>
      <c r="ROP22" s="3507"/>
      <c r="ROQ22" s="3507"/>
      <c r="ROR22" s="3507"/>
      <c r="ROS22" s="3507"/>
      <c r="ROT22" s="3507"/>
      <c r="ROU22" s="3507"/>
      <c r="ROV22" s="3507"/>
      <c r="ROW22" s="3507"/>
      <c r="ROX22" s="3507"/>
      <c r="ROY22" s="3507"/>
      <c r="ROZ22" s="3507"/>
      <c r="RPA22" s="3507"/>
      <c r="RPB22" s="3507"/>
      <c r="RPC22" s="3507"/>
      <c r="RPD22" s="3507"/>
      <c r="RPE22" s="3507"/>
      <c r="RPF22" s="3507"/>
      <c r="RPG22" s="3507"/>
      <c r="RPH22" s="3507"/>
      <c r="RPI22" s="3507"/>
      <c r="RPJ22" s="3507"/>
      <c r="RPK22" s="3507"/>
      <c r="RPL22" s="3507"/>
      <c r="RPM22" s="3507"/>
      <c r="RPN22" s="3507"/>
      <c r="RPO22" s="3507"/>
      <c r="RPP22" s="3507"/>
      <c r="RPQ22" s="3507"/>
      <c r="RPR22" s="3507"/>
      <c r="RPS22" s="3507"/>
      <c r="RPT22" s="3507"/>
      <c r="RPU22" s="3507"/>
      <c r="RPV22" s="3507"/>
      <c r="RPW22" s="3507"/>
      <c r="RPX22" s="3507"/>
      <c r="RPY22" s="3507"/>
      <c r="RPZ22" s="3507"/>
      <c r="RQA22" s="3507"/>
      <c r="RQB22" s="3507"/>
      <c r="RQC22" s="3507"/>
      <c r="RQD22" s="3507"/>
      <c r="RQE22" s="3507"/>
      <c r="RQF22" s="3507"/>
      <c r="RQG22" s="3507"/>
      <c r="RQH22" s="3507"/>
      <c r="RQI22" s="3507"/>
      <c r="RQJ22" s="3507"/>
      <c r="RQK22" s="3507"/>
      <c r="RQL22" s="3507"/>
      <c r="RQM22" s="3507"/>
      <c r="RQN22" s="3507"/>
      <c r="RQO22" s="3507"/>
      <c r="RQP22" s="3507"/>
      <c r="RQQ22" s="3507"/>
      <c r="RQR22" s="3507"/>
      <c r="RQS22" s="3507"/>
      <c r="RQT22" s="3507"/>
      <c r="RQU22" s="3507"/>
      <c r="RQV22" s="3507"/>
      <c r="RQW22" s="3507"/>
      <c r="RQX22" s="3507"/>
      <c r="RQY22" s="3507"/>
      <c r="RQZ22" s="3507"/>
      <c r="RRA22" s="3507"/>
      <c r="RRB22" s="3507"/>
      <c r="RRC22" s="3507"/>
      <c r="RRD22" s="3507"/>
      <c r="RRE22" s="3507"/>
      <c r="RRF22" s="3507"/>
      <c r="RRG22" s="3507"/>
      <c r="RRH22" s="3507"/>
      <c r="RRI22" s="3507"/>
      <c r="RRJ22" s="3507"/>
      <c r="RRK22" s="3507"/>
      <c r="RRL22" s="3507"/>
      <c r="RRM22" s="3507"/>
      <c r="RRN22" s="3507"/>
      <c r="RRO22" s="3507"/>
      <c r="RRP22" s="3507"/>
      <c r="RRQ22" s="3507"/>
      <c r="RRR22" s="3507"/>
      <c r="RRS22" s="3507"/>
      <c r="RRT22" s="3507"/>
      <c r="RRU22" s="3507"/>
      <c r="RRV22" s="3507"/>
      <c r="RRW22" s="3507"/>
      <c r="RRX22" s="3507"/>
      <c r="RRY22" s="3507"/>
      <c r="RRZ22" s="3507"/>
      <c r="RSA22" s="3507"/>
      <c r="RSB22" s="3507"/>
      <c r="RSC22" s="3507"/>
      <c r="RSD22" s="3507"/>
      <c r="RSE22" s="3507"/>
      <c r="RSF22" s="3507"/>
      <c r="RSG22" s="3507"/>
      <c r="RSH22" s="3507"/>
      <c r="RSI22" s="3507"/>
      <c r="RSJ22" s="3507"/>
      <c r="RSK22" s="3507"/>
      <c r="RSL22" s="3507"/>
      <c r="RSM22" s="3507"/>
      <c r="RSN22" s="3507"/>
      <c r="RSO22" s="3507"/>
      <c r="RSP22" s="3507"/>
      <c r="RSQ22" s="3507"/>
      <c r="RSR22" s="3507"/>
      <c r="RSS22" s="3507"/>
      <c r="RST22" s="3507"/>
      <c r="RSU22" s="3507"/>
      <c r="RSV22" s="3507"/>
      <c r="RSW22" s="3507"/>
      <c r="RSX22" s="3507"/>
      <c r="RSY22" s="3507"/>
      <c r="RSZ22" s="3507"/>
      <c r="RTA22" s="3507"/>
      <c r="RTB22" s="3507"/>
      <c r="RTC22" s="3507"/>
      <c r="RTD22" s="3507"/>
      <c r="RTE22" s="3507"/>
      <c r="RTF22" s="3507"/>
      <c r="RTG22" s="3507"/>
      <c r="RTH22" s="3507"/>
      <c r="RTI22" s="3507"/>
      <c r="RTJ22" s="3507"/>
      <c r="RTK22" s="3507"/>
      <c r="RTL22" s="3507"/>
      <c r="RTM22" s="3507"/>
      <c r="RTN22" s="3507"/>
      <c r="RTO22" s="3507"/>
      <c r="RTP22" s="3507"/>
      <c r="RTQ22" s="3507"/>
      <c r="RTR22" s="3507"/>
      <c r="RTS22" s="3507"/>
      <c r="RTT22" s="3507"/>
      <c r="RTU22" s="3507"/>
      <c r="RTV22" s="3507"/>
      <c r="RTW22" s="3507"/>
      <c r="RTX22" s="3507"/>
      <c r="RTY22" s="3507"/>
      <c r="RTZ22" s="3507"/>
      <c r="RUA22" s="3507"/>
      <c r="RUB22" s="3507"/>
      <c r="RUC22" s="3507"/>
      <c r="RUD22" s="3507"/>
      <c r="RUE22" s="3507"/>
      <c r="RUF22" s="3507"/>
      <c r="RUG22" s="3507"/>
      <c r="RUH22" s="3507"/>
      <c r="RUI22" s="3507"/>
      <c r="RUJ22" s="3507"/>
      <c r="RUK22" s="3507"/>
      <c r="RUL22" s="3507"/>
      <c r="RUM22" s="3507"/>
      <c r="RUN22" s="3507"/>
      <c r="RUO22" s="3507"/>
      <c r="RUP22" s="3507"/>
      <c r="RUQ22" s="3507"/>
      <c r="RUR22" s="3507"/>
      <c r="RUS22" s="3507"/>
      <c r="RUT22" s="3507"/>
      <c r="RUU22" s="3507"/>
      <c r="RUV22" s="3507"/>
      <c r="RUW22" s="3507"/>
      <c r="RUX22" s="3507"/>
      <c r="RUY22" s="3507"/>
      <c r="RUZ22" s="3507"/>
      <c r="RVA22" s="3507"/>
      <c r="RVB22" s="3507"/>
      <c r="RVC22" s="3507"/>
      <c r="RVD22" s="3507"/>
      <c r="RVE22" s="3507"/>
      <c r="RVF22" s="3507"/>
      <c r="RVG22" s="3507"/>
      <c r="RVH22" s="3507"/>
      <c r="RVI22" s="3507"/>
      <c r="RVJ22" s="3507"/>
      <c r="RVK22" s="3507"/>
      <c r="RVL22" s="3507"/>
      <c r="RVM22" s="3507"/>
      <c r="RVN22" s="3507"/>
      <c r="RVO22" s="3507"/>
      <c r="RVP22" s="3507"/>
      <c r="RVQ22" s="3507"/>
      <c r="RVR22" s="3507"/>
      <c r="RVS22" s="3507"/>
      <c r="RVT22" s="3507"/>
      <c r="RVU22" s="3507"/>
      <c r="RVV22" s="3507"/>
      <c r="RVW22" s="3507"/>
      <c r="RVX22" s="3507"/>
      <c r="RVY22" s="3507"/>
      <c r="RVZ22" s="3507"/>
      <c r="RWA22" s="3507"/>
      <c r="RWB22" s="3507"/>
      <c r="RWC22" s="3507"/>
      <c r="RWD22" s="3507"/>
      <c r="RWE22" s="3507"/>
      <c r="RWF22" s="3507"/>
      <c r="RWG22" s="3507"/>
      <c r="RWH22" s="3507"/>
      <c r="RWI22" s="3507"/>
      <c r="RWJ22" s="3507"/>
      <c r="RWK22" s="3507"/>
      <c r="RWL22" s="3507"/>
      <c r="RWM22" s="3507"/>
      <c r="RWN22" s="3507"/>
      <c r="RWO22" s="3507"/>
      <c r="RWP22" s="3507"/>
      <c r="RWQ22" s="3507"/>
      <c r="RWR22" s="3507"/>
      <c r="RWS22" s="3507"/>
      <c r="RWT22" s="3507"/>
      <c r="RWU22" s="3507"/>
      <c r="RWV22" s="3507"/>
      <c r="RWW22" s="3507"/>
      <c r="RWX22" s="3507"/>
      <c r="RWY22" s="3507"/>
      <c r="RWZ22" s="3507"/>
      <c r="RXA22" s="3507"/>
      <c r="RXB22" s="3507"/>
      <c r="RXC22" s="3507"/>
      <c r="RXD22" s="3507"/>
      <c r="RXE22" s="3507"/>
      <c r="RXF22" s="3507"/>
      <c r="RXG22" s="3507"/>
      <c r="RXH22" s="3507"/>
      <c r="RXI22" s="3507"/>
      <c r="RXJ22" s="3507"/>
      <c r="RXK22" s="3507"/>
      <c r="RXL22" s="3507"/>
      <c r="RXM22" s="3507"/>
      <c r="RXN22" s="3507"/>
      <c r="RXO22" s="3507"/>
      <c r="RXP22" s="3507"/>
      <c r="RXQ22" s="3507"/>
      <c r="RXR22" s="3507"/>
      <c r="RXS22" s="3507"/>
      <c r="RXT22" s="3507"/>
      <c r="RXU22" s="3507"/>
      <c r="RXV22" s="3507"/>
      <c r="RXW22" s="3507"/>
      <c r="RXX22" s="3507"/>
      <c r="RXY22" s="3507"/>
      <c r="RXZ22" s="3507"/>
      <c r="RYA22" s="3507"/>
      <c r="RYB22" s="3507"/>
      <c r="RYC22" s="3507"/>
      <c r="RYD22" s="3507"/>
      <c r="RYE22" s="3507"/>
      <c r="RYF22" s="3507"/>
      <c r="RYG22" s="3507"/>
      <c r="RYH22" s="3507"/>
      <c r="RYI22" s="3507"/>
      <c r="RYJ22" s="3507"/>
      <c r="RYK22" s="3507"/>
      <c r="RYL22" s="3507"/>
      <c r="RYM22" s="3507"/>
      <c r="RYN22" s="3507"/>
      <c r="RYO22" s="3507"/>
      <c r="RYP22" s="3507"/>
      <c r="RYQ22" s="3507"/>
      <c r="RYR22" s="3507"/>
      <c r="RYS22" s="3507"/>
      <c r="RYT22" s="3507"/>
      <c r="RYU22" s="3507"/>
      <c r="RYV22" s="3507"/>
      <c r="RYW22" s="3507"/>
      <c r="RYX22" s="3507"/>
      <c r="RYY22" s="3507"/>
      <c r="RYZ22" s="3507"/>
      <c r="RZA22" s="3507"/>
      <c r="RZB22" s="3507"/>
      <c r="RZC22" s="3507"/>
      <c r="RZD22" s="3507"/>
      <c r="RZE22" s="3507"/>
      <c r="RZF22" s="3507"/>
      <c r="RZG22" s="3507"/>
      <c r="RZH22" s="3507"/>
      <c r="RZI22" s="3507"/>
      <c r="RZJ22" s="3507"/>
      <c r="RZK22" s="3507"/>
      <c r="RZL22" s="3507"/>
      <c r="RZM22" s="3507"/>
      <c r="RZN22" s="3507"/>
      <c r="RZO22" s="3507"/>
      <c r="RZP22" s="3507"/>
      <c r="RZQ22" s="3507"/>
      <c r="RZR22" s="3507"/>
      <c r="RZS22" s="3507"/>
      <c r="RZT22" s="3507"/>
      <c r="RZU22" s="3507"/>
      <c r="RZV22" s="3507"/>
      <c r="RZW22" s="3507"/>
      <c r="RZX22" s="3507"/>
      <c r="RZY22" s="3507"/>
      <c r="RZZ22" s="3507"/>
      <c r="SAA22" s="3507"/>
      <c r="SAB22" s="3507"/>
      <c r="SAC22" s="3507"/>
      <c r="SAD22" s="3507"/>
      <c r="SAE22" s="3507"/>
      <c r="SAF22" s="3507"/>
      <c r="SAG22" s="3507"/>
      <c r="SAH22" s="3507"/>
      <c r="SAI22" s="3507"/>
      <c r="SAJ22" s="3507"/>
      <c r="SAK22" s="3507"/>
      <c r="SAL22" s="3507"/>
      <c r="SAM22" s="3507"/>
      <c r="SAN22" s="3507"/>
      <c r="SAO22" s="3507"/>
      <c r="SAP22" s="3507"/>
      <c r="SAQ22" s="3507"/>
      <c r="SAR22" s="3507"/>
      <c r="SAS22" s="3507"/>
      <c r="SAT22" s="3507"/>
      <c r="SAU22" s="3507"/>
      <c r="SAV22" s="3507"/>
      <c r="SAW22" s="3507"/>
      <c r="SAX22" s="3507"/>
      <c r="SAY22" s="3507"/>
      <c r="SAZ22" s="3507"/>
      <c r="SBA22" s="3507"/>
      <c r="SBB22" s="3507"/>
      <c r="SBC22" s="3507"/>
      <c r="SBD22" s="3507"/>
      <c r="SBE22" s="3507"/>
      <c r="SBF22" s="3507"/>
      <c r="SBG22" s="3507"/>
      <c r="SBH22" s="3507"/>
      <c r="SBI22" s="3507"/>
      <c r="SBJ22" s="3507"/>
      <c r="SBK22" s="3507"/>
      <c r="SBL22" s="3507"/>
      <c r="SBM22" s="3507"/>
      <c r="SBN22" s="3507"/>
      <c r="SBO22" s="3507"/>
      <c r="SBP22" s="3507"/>
      <c r="SBQ22" s="3507"/>
      <c r="SBR22" s="3507"/>
      <c r="SBS22" s="3507"/>
      <c r="SBT22" s="3507"/>
      <c r="SBU22" s="3507"/>
      <c r="SBV22" s="3507"/>
      <c r="SBW22" s="3507"/>
      <c r="SBX22" s="3507"/>
      <c r="SBY22" s="3507"/>
      <c r="SBZ22" s="3507"/>
      <c r="SCA22" s="3507"/>
      <c r="SCB22" s="3507"/>
      <c r="SCC22" s="3507"/>
      <c r="SCD22" s="3507"/>
      <c r="SCE22" s="3507"/>
      <c r="SCF22" s="3507"/>
      <c r="SCG22" s="3507"/>
      <c r="SCH22" s="3507"/>
      <c r="SCI22" s="3507"/>
      <c r="SCJ22" s="3507"/>
      <c r="SCK22" s="3507"/>
      <c r="SCL22" s="3507"/>
      <c r="SCM22" s="3507"/>
      <c r="SCN22" s="3507"/>
      <c r="SCO22" s="3507"/>
      <c r="SCP22" s="3507"/>
      <c r="SCQ22" s="3507"/>
      <c r="SCR22" s="3507"/>
      <c r="SCS22" s="3507"/>
      <c r="SCT22" s="3507"/>
      <c r="SCU22" s="3507"/>
      <c r="SCV22" s="3507"/>
      <c r="SCW22" s="3507"/>
      <c r="SCX22" s="3507"/>
      <c r="SCY22" s="3507"/>
      <c r="SCZ22" s="3507"/>
      <c r="SDA22" s="3507"/>
      <c r="SDB22" s="3507"/>
      <c r="SDC22" s="3507"/>
      <c r="SDD22" s="3507"/>
      <c r="SDE22" s="3507"/>
      <c r="SDF22" s="3507"/>
      <c r="SDG22" s="3507"/>
      <c r="SDH22" s="3507"/>
      <c r="SDI22" s="3507"/>
      <c r="SDJ22" s="3507"/>
      <c r="SDK22" s="3507"/>
      <c r="SDL22" s="3507"/>
      <c r="SDM22" s="3507"/>
      <c r="SDN22" s="3507"/>
      <c r="SDO22" s="3507"/>
      <c r="SDP22" s="3507"/>
      <c r="SDQ22" s="3507"/>
      <c r="SDR22" s="3507"/>
      <c r="SDS22" s="3507"/>
      <c r="SDT22" s="3507"/>
      <c r="SDU22" s="3507"/>
      <c r="SDV22" s="3507"/>
      <c r="SDW22" s="3507"/>
      <c r="SDX22" s="3507"/>
      <c r="SDY22" s="3507"/>
      <c r="SDZ22" s="3507"/>
      <c r="SEA22" s="3507"/>
      <c r="SEB22" s="3507"/>
      <c r="SEC22" s="3507"/>
      <c r="SED22" s="3507"/>
      <c r="SEE22" s="3507"/>
      <c r="SEF22" s="3507"/>
      <c r="SEG22" s="3507"/>
      <c r="SEH22" s="3507"/>
      <c r="SEI22" s="3507"/>
      <c r="SEJ22" s="3507"/>
      <c r="SEK22" s="3507"/>
      <c r="SEL22" s="3507"/>
      <c r="SEM22" s="3507"/>
      <c r="SEN22" s="3507"/>
      <c r="SEO22" s="3507"/>
      <c r="SEP22" s="3507"/>
      <c r="SEQ22" s="3507"/>
      <c r="SER22" s="3507"/>
      <c r="SES22" s="3507"/>
      <c r="SET22" s="3507"/>
      <c r="SEU22" s="3507"/>
      <c r="SEV22" s="3507"/>
      <c r="SEW22" s="3507"/>
      <c r="SEX22" s="3507"/>
      <c r="SEY22" s="3507"/>
      <c r="SEZ22" s="3507"/>
      <c r="SFA22" s="3507"/>
      <c r="SFB22" s="3507"/>
      <c r="SFC22" s="3507"/>
      <c r="SFD22" s="3507"/>
      <c r="SFE22" s="3507"/>
      <c r="SFF22" s="3507"/>
      <c r="SFG22" s="3507"/>
      <c r="SFH22" s="3507"/>
      <c r="SFI22" s="3507"/>
      <c r="SFJ22" s="3507"/>
      <c r="SFK22" s="3507"/>
      <c r="SFL22" s="3507"/>
      <c r="SFM22" s="3507"/>
      <c r="SFN22" s="3507"/>
      <c r="SFO22" s="3507"/>
      <c r="SFP22" s="3507"/>
      <c r="SFQ22" s="3507"/>
      <c r="SFR22" s="3507"/>
      <c r="SFS22" s="3507"/>
      <c r="SFT22" s="3507"/>
      <c r="SFU22" s="3507"/>
      <c r="SFV22" s="3507"/>
      <c r="SFW22" s="3507"/>
      <c r="SFX22" s="3507"/>
      <c r="SFY22" s="3507"/>
      <c r="SFZ22" s="3507"/>
      <c r="SGA22" s="3507"/>
      <c r="SGB22" s="3507"/>
      <c r="SGC22" s="3507"/>
      <c r="SGD22" s="3507"/>
      <c r="SGE22" s="3507"/>
      <c r="SGF22" s="3507"/>
      <c r="SGG22" s="3507"/>
      <c r="SGH22" s="3507"/>
      <c r="SGI22" s="3507"/>
      <c r="SGJ22" s="3507"/>
      <c r="SGK22" s="3507"/>
      <c r="SGL22" s="3507"/>
      <c r="SGM22" s="3507"/>
      <c r="SGN22" s="3507"/>
      <c r="SGO22" s="3507"/>
      <c r="SGP22" s="3507"/>
      <c r="SGQ22" s="3507"/>
      <c r="SGR22" s="3507"/>
      <c r="SGS22" s="3507"/>
      <c r="SGT22" s="3507"/>
      <c r="SGU22" s="3507"/>
      <c r="SGV22" s="3507"/>
      <c r="SGW22" s="3507"/>
      <c r="SGX22" s="3507"/>
      <c r="SGY22" s="3507"/>
      <c r="SGZ22" s="3507"/>
      <c r="SHA22" s="3507"/>
      <c r="SHB22" s="3507"/>
      <c r="SHC22" s="3507"/>
      <c r="SHD22" s="3507"/>
      <c r="SHE22" s="3507"/>
      <c r="SHF22" s="3507"/>
      <c r="SHG22" s="3507"/>
      <c r="SHH22" s="3507"/>
      <c r="SHI22" s="3507"/>
      <c r="SHJ22" s="3507"/>
      <c r="SHK22" s="3507"/>
      <c r="SHL22" s="3507"/>
      <c r="SHM22" s="3507"/>
      <c r="SHN22" s="3507"/>
      <c r="SHO22" s="3507"/>
      <c r="SHP22" s="3507"/>
      <c r="SHQ22" s="3507"/>
      <c r="SHR22" s="3507"/>
      <c r="SHS22" s="3507"/>
      <c r="SHT22" s="3507"/>
      <c r="SHU22" s="3507"/>
      <c r="SHV22" s="3507"/>
      <c r="SHW22" s="3507"/>
      <c r="SHX22" s="3507"/>
      <c r="SHY22" s="3507"/>
      <c r="SHZ22" s="3507"/>
      <c r="SIA22" s="3507"/>
      <c r="SIB22" s="3507"/>
      <c r="SIC22" s="3507"/>
      <c r="SID22" s="3507"/>
      <c r="SIE22" s="3507"/>
      <c r="SIF22" s="3507"/>
      <c r="SIG22" s="3507"/>
      <c r="SIH22" s="3507"/>
      <c r="SII22" s="3507"/>
      <c r="SIJ22" s="3507"/>
      <c r="SIK22" s="3507"/>
      <c r="SIL22" s="3507"/>
      <c r="SIM22" s="3507"/>
      <c r="SIN22" s="3507"/>
      <c r="SIO22" s="3507"/>
      <c r="SIP22" s="3507"/>
      <c r="SIQ22" s="3507"/>
      <c r="SIR22" s="3507"/>
      <c r="SIS22" s="3507"/>
      <c r="SIT22" s="3507"/>
      <c r="SIU22" s="3507"/>
      <c r="SIV22" s="3507"/>
      <c r="SIW22" s="3507"/>
      <c r="SIX22" s="3507"/>
      <c r="SIY22" s="3507"/>
      <c r="SIZ22" s="3507"/>
      <c r="SJA22" s="3507"/>
      <c r="SJB22" s="3507"/>
      <c r="SJC22" s="3507"/>
      <c r="SJD22" s="3507"/>
      <c r="SJE22" s="3507"/>
      <c r="SJF22" s="3507"/>
      <c r="SJG22" s="3507"/>
      <c r="SJH22" s="3507"/>
      <c r="SJI22" s="3507"/>
      <c r="SJJ22" s="3507"/>
      <c r="SJK22" s="3507"/>
      <c r="SJL22" s="3507"/>
      <c r="SJM22" s="3507"/>
      <c r="SJN22" s="3507"/>
      <c r="SJO22" s="3507"/>
      <c r="SJP22" s="3507"/>
      <c r="SJQ22" s="3507"/>
      <c r="SJR22" s="3507"/>
      <c r="SJS22" s="3507"/>
      <c r="SJT22" s="3507"/>
      <c r="SJU22" s="3507"/>
      <c r="SJV22" s="3507"/>
      <c r="SJW22" s="3507"/>
      <c r="SJX22" s="3507"/>
      <c r="SJY22" s="3507"/>
      <c r="SJZ22" s="3507"/>
      <c r="SKA22" s="3507"/>
      <c r="SKB22" s="3507"/>
      <c r="SKC22" s="3507"/>
      <c r="SKD22" s="3507"/>
      <c r="SKE22" s="3507"/>
      <c r="SKF22" s="3507"/>
      <c r="SKG22" s="3507"/>
      <c r="SKH22" s="3507"/>
      <c r="SKI22" s="3507"/>
      <c r="SKJ22" s="3507"/>
      <c r="SKK22" s="3507"/>
      <c r="SKL22" s="3507"/>
      <c r="SKM22" s="3507"/>
      <c r="SKN22" s="3507"/>
      <c r="SKO22" s="3507"/>
      <c r="SKP22" s="3507"/>
      <c r="SKQ22" s="3507"/>
      <c r="SKR22" s="3507"/>
      <c r="SKS22" s="3507"/>
      <c r="SKT22" s="3507"/>
      <c r="SKU22" s="3507"/>
      <c r="SKV22" s="3507"/>
      <c r="SKW22" s="3507"/>
      <c r="SKX22" s="3507"/>
      <c r="SKY22" s="3507"/>
      <c r="SKZ22" s="3507"/>
      <c r="SLA22" s="3507"/>
      <c r="SLB22" s="3507"/>
      <c r="SLC22" s="3507"/>
      <c r="SLD22" s="3507"/>
      <c r="SLE22" s="3507"/>
      <c r="SLF22" s="3507"/>
      <c r="SLG22" s="3507"/>
      <c r="SLH22" s="3507"/>
      <c r="SLI22" s="3507"/>
      <c r="SLJ22" s="3507"/>
      <c r="SLK22" s="3507"/>
      <c r="SLL22" s="3507"/>
      <c r="SLM22" s="3507"/>
      <c r="SLN22" s="3507"/>
      <c r="SLO22" s="3507"/>
      <c r="SLP22" s="3507"/>
      <c r="SLQ22" s="3507"/>
      <c r="SLR22" s="3507"/>
      <c r="SLS22" s="3507"/>
      <c r="SLT22" s="3507"/>
      <c r="SLU22" s="3507"/>
      <c r="SLV22" s="3507"/>
      <c r="SLW22" s="3507"/>
      <c r="SLX22" s="3507"/>
      <c r="SLY22" s="3507"/>
      <c r="SLZ22" s="3507"/>
      <c r="SMA22" s="3507"/>
      <c r="SMB22" s="3507"/>
      <c r="SMC22" s="3507"/>
      <c r="SMD22" s="3507"/>
      <c r="SME22" s="3507"/>
      <c r="SMF22" s="3507"/>
      <c r="SMG22" s="3507"/>
      <c r="SMH22" s="3507"/>
      <c r="SMI22" s="3507"/>
      <c r="SMJ22" s="3507"/>
      <c r="SMK22" s="3507"/>
      <c r="SML22" s="3507"/>
      <c r="SMM22" s="3507"/>
      <c r="SMN22" s="3507"/>
      <c r="SMO22" s="3507"/>
      <c r="SMP22" s="3507"/>
      <c r="SMQ22" s="3507"/>
      <c r="SMR22" s="3507"/>
      <c r="SMS22" s="3507"/>
      <c r="SMT22" s="3507"/>
      <c r="SMU22" s="3507"/>
      <c r="SMV22" s="3507"/>
      <c r="SMW22" s="3507"/>
      <c r="SMX22" s="3507"/>
      <c r="SMY22" s="3507"/>
      <c r="SMZ22" s="3507"/>
      <c r="SNA22" s="3507"/>
      <c r="SNB22" s="3507"/>
      <c r="SNC22" s="3507"/>
      <c r="SND22" s="3507"/>
      <c r="SNE22" s="3507"/>
      <c r="SNF22" s="3507"/>
      <c r="SNG22" s="3507"/>
      <c r="SNH22" s="3507"/>
      <c r="SNI22" s="3507"/>
      <c r="SNJ22" s="3507"/>
      <c r="SNK22" s="3507"/>
      <c r="SNL22" s="3507"/>
      <c r="SNM22" s="3507"/>
      <c r="SNN22" s="3507"/>
      <c r="SNO22" s="3507"/>
      <c r="SNP22" s="3507"/>
      <c r="SNQ22" s="3507"/>
      <c r="SNR22" s="3507"/>
      <c r="SNS22" s="3507"/>
      <c r="SNT22" s="3507"/>
      <c r="SNU22" s="3507"/>
      <c r="SNV22" s="3507"/>
      <c r="SNW22" s="3507"/>
      <c r="SNX22" s="3507"/>
      <c r="SNY22" s="3507"/>
      <c r="SNZ22" s="3507"/>
      <c r="SOA22" s="3507"/>
      <c r="SOB22" s="3507"/>
      <c r="SOC22" s="3507"/>
      <c r="SOD22" s="3507"/>
      <c r="SOE22" s="3507"/>
      <c r="SOF22" s="3507"/>
      <c r="SOG22" s="3507"/>
      <c r="SOH22" s="3507"/>
      <c r="SOI22" s="3507"/>
      <c r="SOJ22" s="3507"/>
      <c r="SOK22" s="3507"/>
      <c r="SOL22" s="3507"/>
      <c r="SOM22" s="3507"/>
      <c r="SON22" s="3507"/>
      <c r="SOO22" s="3507"/>
      <c r="SOP22" s="3507"/>
      <c r="SOQ22" s="3507"/>
      <c r="SOR22" s="3507"/>
      <c r="SOS22" s="3507"/>
      <c r="SOT22" s="3507"/>
      <c r="SOU22" s="3507"/>
      <c r="SOV22" s="3507"/>
      <c r="SOW22" s="3507"/>
      <c r="SOX22" s="3507"/>
      <c r="SOY22" s="3507"/>
      <c r="SOZ22" s="3507"/>
      <c r="SPA22" s="3507"/>
      <c r="SPB22" s="3507"/>
      <c r="SPC22" s="3507"/>
      <c r="SPD22" s="3507"/>
      <c r="SPE22" s="3507"/>
      <c r="SPF22" s="3507"/>
      <c r="SPG22" s="3507"/>
      <c r="SPH22" s="3507"/>
      <c r="SPI22" s="3507"/>
      <c r="SPJ22" s="3507"/>
      <c r="SPK22" s="3507"/>
      <c r="SPL22" s="3507"/>
      <c r="SPM22" s="3507"/>
      <c r="SPN22" s="3507"/>
      <c r="SPO22" s="3507"/>
      <c r="SPP22" s="3507"/>
      <c r="SPQ22" s="3507"/>
      <c r="SPR22" s="3507"/>
      <c r="SPS22" s="3507"/>
      <c r="SPT22" s="3507"/>
      <c r="SPU22" s="3507"/>
      <c r="SPV22" s="3507"/>
      <c r="SPW22" s="3507"/>
      <c r="SPX22" s="3507"/>
      <c r="SPY22" s="3507"/>
      <c r="SPZ22" s="3507"/>
      <c r="SQA22" s="3507"/>
      <c r="SQB22" s="3507"/>
      <c r="SQC22" s="3507"/>
      <c r="SQD22" s="3507"/>
      <c r="SQE22" s="3507"/>
      <c r="SQF22" s="3507"/>
      <c r="SQG22" s="3507"/>
      <c r="SQH22" s="3507"/>
      <c r="SQI22" s="3507"/>
      <c r="SQJ22" s="3507"/>
      <c r="SQK22" s="3507"/>
      <c r="SQL22" s="3507"/>
      <c r="SQM22" s="3507"/>
      <c r="SQN22" s="3507"/>
      <c r="SQO22" s="3507"/>
      <c r="SQP22" s="3507"/>
      <c r="SQQ22" s="3507"/>
      <c r="SQR22" s="3507"/>
      <c r="SQS22" s="3507"/>
      <c r="SQT22" s="3507"/>
      <c r="SQU22" s="3507"/>
      <c r="SQV22" s="3507"/>
      <c r="SQW22" s="3507"/>
      <c r="SQX22" s="3507"/>
      <c r="SQY22" s="3507"/>
      <c r="SQZ22" s="3507"/>
      <c r="SRA22" s="3507"/>
      <c r="SRB22" s="3507"/>
      <c r="SRC22" s="3507"/>
      <c r="SRD22" s="3507"/>
      <c r="SRE22" s="3507"/>
      <c r="SRF22" s="3507"/>
      <c r="SRG22" s="3507"/>
      <c r="SRH22" s="3507"/>
      <c r="SRI22" s="3507"/>
      <c r="SRJ22" s="3507"/>
      <c r="SRK22" s="3507"/>
      <c r="SRL22" s="3507"/>
      <c r="SRM22" s="3507"/>
      <c r="SRN22" s="3507"/>
      <c r="SRO22" s="3507"/>
      <c r="SRP22" s="3507"/>
      <c r="SRQ22" s="3507"/>
      <c r="SRR22" s="3507"/>
      <c r="SRS22" s="3507"/>
      <c r="SRT22" s="3507"/>
      <c r="SRU22" s="3507"/>
      <c r="SRV22" s="3507"/>
      <c r="SRW22" s="3507"/>
      <c r="SRX22" s="3507"/>
      <c r="SRY22" s="3507"/>
      <c r="SRZ22" s="3507"/>
      <c r="SSA22" s="3507"/>
      <c r="SSB22" s="3507"/>
      <c r="SSC22" s="3507"/>
      <c r="SSD22" s="3507"/>
      <c r="SSE22" s="3507"/>
      <c r="SSF22" s="3507"/>
      <c r="SSG22" s="3507"/>
      <c r="SSH22" s="3507"/>
      <c r="SSI22" s="3507"/>
      <c r="SSJ22" s="3507"/>
      <c r="SSK22" s="3507"/>
      <c r="SSL22" s="3507"/>
      <c r="SSM22" s="3507"/>
      <c r="SSN22" s="3507"/>
      <c r="SSO22" s="3507"/>
      <c r="SSP22" s="3507"/>
      <c r="SSQ22" s="3507"/>
      <c r="SSR22" s="3507"/>
      <c r="SSS22" s="3507"/>
      <c r="SST22" s="3507"/>
      <c r="SSU22" s="3507"/>
      <c r="SSV22" s="3507"/>
      <c r="SSW22" s="3507"/>
      <c r="SSX22" s="3507"/>
      <c r="SSY22" s="3507"/>
      <c r="SSZ22" s="3507"/>
      <c r="STA22" s="3507"/>
      <c r="STB22" s="3507"/>
      <c r="STC22" s="3507"/>
      <c r="STD22" s="3507"/>
      <c r="STE22" s="3507"/>
      <c r="STF22" s="3507"/>
      <c r="STG22" s="3507"/>
      <c r="STH22" s="3507"/>
      <c r="STI22" s="3507"/>
      <c r="STJ22" s="3507"/>
      <c r="STK22" s="3507"/>
      <c r="STL22" s="3507"/>
      <c r="STM22" s="3507"/>
      <c r="STN22" s="3507"/>
      <c r="STO22" s="3507"/>
      <c r="STP22" s="3507"/>
      <c r="STQ22" s="3507"/>
      <c r="STR22" s="3507"/>
      <c r="STS22" s="3507"/>
      <c r="STT22" s="3507"/>
      <c r="STU22" s="3507"/>
      <c r="STV22" s="3507"/>
      <c r="STW22" s="3507"/>
      <c r="STX22" s="3507"/>
      <c r="STY22" s="3507"/>
      <c r="STZ22" s="3507"/>
      <c r="SUA22" s="3507"/>
      <c r="SUB22" s="3507"/>
      <c r="SUC22" s="3507"/>
      <c r="SUD22" s="3507"/>
      <c r="SUE22" s="3507"/>
      <c r="SUF22" s="3507"/>
      <c r="SUG22" s="3507"/>
      <c r="SUH22" s="3507"/>
      <c r="SUI22" s="3507"/>
      <c r="SUJ22" s="3507"/>
      <c r="SUK22" s="3507"/>
      <c r="SUL22" s="3507"/>
      <c r="SUM22" s="3507"/>
      <c r="SUN22" s="3507"/>
      <c r="SUO22" s="3507"/>
      <c r="SUP22" s="3507"/>
      <c r="SUQ22" s="3507"/>
      <c r="SUR22" s="3507"/>
      <c r="SUS22" s="3507"/>
      <c r="SUT22" s="3507"/>
      <c r="SUU22" s="3507"/>
      <c r="SUV22" s="3507"/>
      <c r="SUW22" s="3507"/>
      <c r="SUX22" s="3507"/>
      <c r="SUY22" s="3507"/>
      <c r="SUZ22" s="3507"/>
      <c r="SVA22" s="3507"/>
      <c r="SVB22" s="3507"/>
      <c r="SVC22" s="3507"/>
      <c r="SVD22" s="3507"/>
      <c r="SVE22" s="3507"/>
      <c r="SVF22" s="3507"/>
      <c r="SVG22" s="3507"/>
      <c r="SVH22" s="3507"/>
      <c r="SVI22" s="3507"/>
      <c r="SVJ22" s="3507"/>
      <c r="SVK22" s="3507"/>
      <c r="SVL22" s="3507"/>
      <c r="SVM22" s="3507"/>
      <c r="SVN22" s="3507"/>
      <c r="SVO22" s="3507"/>
      <c r="SVP22" s="3507"/>
      <c r="SVQ22" s="3507"/>
      <c r="SVR22" s="3507"/>
      <c r="SVS22" s="3507"/>
      <c r="SVT22" s="3507"/>
      <c r="SVU22" s="3507"/>
      <c r="SVV22" s="3507"/>
      <c r="SVW22" s="3507"/>
      <c r="SVX22" s="3507"/>
      <c r="SVY22" s="3507"/>
      <c r="SVZ22" s="3507"/>
      <c r="SWA22" s="3507"/>
      <c r="SWB22" s="3507"/>
      <c r="SWC22" s="3507"/>
      <c r="SWD22" s="3507"/>
      <c r="SWE22" s="3507"/>
      <c r="SWF22" s="3507"/>
      <c r="SWG22" s="3507"/>
      <c r="SWH22" s="3507"/>
      <c r="SWI22" s="3507"/>
      <c r="SWJ22" s="3507"/>
      <c r="SWK22" s="3507"/>
      <c r="SWL22" s="3507"/>
      <c r="SWM22" s="3507"/>
      <c r="SWN22" s="3507"/>
      <c r="SWO22" s="3507"/>
      <c r="SWP22" s="3507"/>
      <c r="SWQ22" s="3507"/>
      <c r="SWR22" s="3507"/>
      <c r="SWS22" s="3507"/>
      <c r="SWT22" s="3507"/>
      <c r="SWU22" s="3507"/>
      <c r="SWV22" s="3507"/>
      <c r="SWW22" s="3507"/>
      <c r="SWX22" s="3507"/>
      <c r="SWY22" s="3507"/>
      <c r="SWZ22" s="3507"/>
      <c r="SXA22" s="3507"/>
      <c r="SXB22" s="3507"/>
      <c r="SXC22" s="3507"/>
      <c r="SXD22" s="3507"/>
      <c r="SXE22" s="3507"/>
      <c r="SXF22" s="3507"/>
      <c r="SXG22" s="3507"/>
      <c r="SXH22" s="3507"/>
      <c r="SXI22" s="3507"/>
      <c r="SXJ22" s="3507"/>
      <c r="SXK22" s="3507"/>
      <c r="SXL22" s="3507"/>
      <c r="SXM22" s="3507"/>
      <c r="SXN22" s="3507"/>
      <c r="SXO22" s="3507"/>
      <c r="SXP22" s="3507"/>
      <c r="SXQ22" s="3507"/>
      <c r="SXR22" s="3507"/>
      <c r="SXS22" s="3507"/>
      <c r="SXT22" s="3507"/>
      <c r="SXU22" s="3507"/>
      <c r="SXV22" s="3507"/>
      <c r="SXW22" s="3507"/>
      <c r="SXX22" s="3507"/>
      <c r="SXY22" s="3507"/>
      <c r="SXZ22" s="3507"/>
      <c r="SYA22" s="3507"/>
      <c r="SYB22" s="3507"/>
      <c r="SYC22" s="3507"/>
      <c r="SYD22" s="3507"/>
      <c r="SYE22" s="3507"/>
      <c r="SYF22" s="3507"/>
      <c r="SYG22" s="3507"/>
      <c r="SYH22" s="3507"/>
      <c r="SYI22" s="3507"/>
      <c r="SYJ22" s="3507"/>
      <c r="SYK22" s="3507"/>
      <c r="SYL22" s="3507"/>
      <c r="SYM22" s="3507"/>
      <c r="SYN22" s="3507"/>
      <c r="SYO22" s="3507"/>
      <c r="SYP22" s="3507"/>
      <c r="SYQ22" s="3507"/>
      <c r="SYR22" s="3507"/>
      <c r="SYS22" s="3507"/>
      <c r="SYT22" s="3507"/>
      <c r="SYU22" s="3507"/>
      <c r="SYV22" s="3507"/>
      <c r="SYW22" s="3507"/>
      <c r="SYX22" s="3507"/>
      <c r="SYY22" s="3507"/>
      <c r="SYZ22" s="3507"/>
      <c r="SZA22" s="3507"/>
      <c r="SZB22" s="3507"/>
      <c r="SZC22" s="3507"/>
      <c r="SZD22" s="3507"/>
      <c r="SZE22" s="3507"/>
      <c r="SZF22" s="3507"/>
      <c r="SZG22" s="3507"/>
      <c r="SZH22" s="3507"/>
      <c r="SZI22" s="3507"/>
      <c r="SZJ22" s="3507"/>
      <c r="SZK22" s="3507"/>
      <c r="SZL22" s="3507"/>
      <c r="SZM22" s="3507"/>
      <c r="SZN22" s="3507"/>
      <c r="SZO22" s="3507"/>
      <c r="SZP22" s="3507"/>
      <c r="SZQ22" s="3507"/>
      <c r="SZR22" s="3507"/>
      <c r="SZS22" s="3507"/>
      <c r="SZT22" s="3507"/>
      <c r="SZU22" s="3507"/>
      <c r="SZV22" s="3507"/>
      <c r="SZW22" s="3507"/>
      <c r="SZX22" s="3507"/>
      <c r="SZY22" s="3507"/>
      <c r="SZZ22" s="3507"/>
      <c r="TAA22" s="3507"/>
      <c r="TAB22" s="3507"/>
      <c r="TAC22" s="3507"/>
      <c r="TAD22" s="3507"/>
      <c r="TAE22" s="3507"/>
      <c r="TAF22" s="3507"/>
      <c r="TAG22" s="3507"/>
      <c r="TAH22" s="3507"/>
      <c r="TAI22" s="3507"/>
      <c r="TAJ22" s="3507"/>
      <c r="TAK22" s="3507"/>
      <c r="TAL22" s="3507"/>
      <c r="TAM22" s="3507"/>
      <c r="TAN22" s="3507"/>
      <c r="TAO22" s="3507"/>
      <c r="TAP22" s="3507"/>
      <c r="TAQ22" s="3507"/>
      <c r="TAR22" s="3507"/>
      <c r="TAS22" s="3507"/>
      <c r="TAT22" s="3507"/>
      <c r="TAU22" s="3507"/>
      <c r="TAV22" s="3507"/>
      <c r="TAW22" s="3507"/>
      <c r="TAX22" s="3507"/>
      <c r="TAY22" s="3507"/>
      <c r="TAZ22" s="3507"/>
      <c r="TBA22" s="3507"/>
      <c r="TBB22" s="3507"/>
      <c r="TBC22" s="3507"/>
      <c r="TBD22" s="3507"/>
      <c r="TBE22" s="3507"/>
      <c r="TBF22" s="3507"/>
      <c r="TBG22" s="3507"/>
      <c r="TBH22" s="3507"/>
      <c r="TBI22" s="3507"/>
      <c r="TBJ22" s="3507"/>
      <c r="TBK22" s="3507"/>
      <c r="TBL22" s="3507"/>
      <c r="TBM22" s="3507"/>
      <c r="TBN22" s="3507"/>
      <c r="TBO22" s="3507"/>
      <c r="TBP22" s="3507"/>
      <c r="TBQ22" s="3507"/>
      <c r="TBR22" s="3507"/>
      <c r="TBS22" s="3507"/>
      <c r="TBT22" s="3507"/>
      <c r="TBU22" s="3507"/>
      <c r="TBV22" s="3507"/>
      <c r="TBW22" s="3507"/>
      <c r="TBX22" s="3507"/>
      <c r="TBY22" s="3507"/>
      <c r="TBZ22" s="3507"/>
      <c r="TCA22" s="3507"/>
      <c r="TCB22" s="3507"/>
      <c r="TCC22" s="3507"/>
      <c r="TCD22" s="3507"/>
      <c r="TCE22" s="3507"/>
      <c r="TCF22" s="3507"/>
      <c r="TCG22" s="3507"/>
      <c r="TCH22" s="3507"/>
      <c r="TCI22" s="3507"/>
      <c r="TCJ22" s="3507"/>
      <c r="TCK22" s="3507"/>
      <c r="TCL22" s="3507"/>
      <c r="TCM22" s="3507"/>
      <c r="TCN22" s="3507"/>
      <c r="TCO22" s="3507"/>
      <c r="TCP22" s="3507"/>
      <c r="TCQ22" s="3507"/>
      <c r="TCR22" s="3507"/>
      <c r="TCS22" s="3507"/>
      <c r="TCT22" s="3507"/>
      <c r="TCU22" s="3507"/>
      <c r="TCV22" s="3507"/>
      <c r="TCW22" s="3507"/>
      <c r="TCX22" s="3507"/>
      <c r="TCY22" s="3507"/>
      <c r="TCZ22" s="3507"/>
      <c r="TDA22" s="3507"/>
      <c r="TDB22" s="3507"/>
      <c r="TDC22" s="3507"/>
      <c r="TDD22" s="3507"/>
      <c r="TDE22" s="3507"/>
      <c r="TDF22" s="3507"/>
      <c r="TDG22" s="3507"/>
      <c r="TDH22" s="3507"/>
      <c r="TDI22" s="3507"/>
      <c r="TDJ22" s="3507"/>
      <c r="TDK22" s="3507"/>
      <c r="TDL22" s="3507"/>
      <c r="TDM22" s="3507"/>
      <c r="TDN22" s="3507"/>
      <c r="TDO22" s="3507"/>
      <c r="TDP22" s="3507"/>
      <c r="TDQ22" s="3507"/>
      <c r="TDR22" s="3507"/>
      <c r="TDS22" s="3507"/>
      <c r="TDT22" s="3507"/>
      <c r="TDU22" s="3507"/>
      <c r="TDV22" s="3507"/>
      <c r="TDW22" s="3507"/>
      <c r="TDX22" s="3507"/>
      <c r="TDY22" s="3507"/>
      <c r="TDZ22" s="3507"/>
      <c r="TEA22" s="3507"/>
      <c r="TEB22" s="3507"/>
      <c r="TEC22" s="3507"/>
      <c r="TED22" s="3507"/>
      <c r="TEE22" s="3507"/>
      <c r="TEF22" s="3507"/>
      <c r="TEG22" s="3507"/>
      <c r="TEH22" s="3507"/>
      <c r="TEI22" s="3507"/>
      <c r="TEJ22" s="3507"/>
      <c r="TEK22" s="3507"/>
      <c r="TEL22" s="3507"/>
      <c r="TEM22" s="3507"/>
      <c r="TEN22" s="3507"/>
      <c r="TEO22" s="3507"/>
      <c r="TEP22" s="3507"/>
      <c r="TEQ22" s="3507"/>
      <c r="TER22" s="3507"/>
      <c r="TES22" s="3507"/>
      <c r="TET22" s="3507"/>
      <c r="TEU22" s="3507"/>
      <c r="TEV22" s="3507"/>
      <c r="TEW22" s="3507"/>
      <c r="TEX22" s="3507"/>
      <c r="TEY22" s="3507"/>
      <c r="TEZ22" s="3507"/>
      <c r="TFA22" s="3507"/>
      <c r="TFB22" s="3507"/>
      <c r="TFC22" s="3507"/>
      <c r="TFD22" s="3507"/>
      <c r="TFE22" s="3507"/>
      <c r="TFF22" s="3507"/>
      <c r="TFG22" s="3507"/>
      <c r="TFH22" s="3507"/>
      <c r="TFI22" s="3507"/>
      <c r="TFJ22" s="3507"/>
      <c r="TFK22" s="3507"/>
      <c r="TFL22" s="3507"/>
      <c r="TFM22" s="3507"/>
      <c r="TFN22" s="3507"/>
      <c r="TFO22" s="3507"/>
      <c r="TFP22" s="3507"/>
      <c r="TFQ22" s="3507"/>
      <c r="TFR22" s="3507"/>
      <c r="TFS22" s="3507"/>
      <c r="TFT22" s="3507"/>
      <c r="TFU22" s="3507"/>
      <c r="TFV22" s="3507"/>
      <c r="TFW22" s="3507"/>
      <c r="TFX22" s="3507"/>
      <c r="TFY22" s="3507"/>
      <c r="TFZ22" s="3507"/>
      <c r="TGA22" s="3507"/>
      <c r="TGB22" s="3507"/>
      <c r="TGC22" s="3507"/>
      <c r="TGD22" s="3507"/>
      <c r="TGE22" s="3507"/>
      <c r="TGF22" s="3507"/>
      <c r="TGG22" s="3507"/>
      <c r="TGH22" s="3507"/>
      <c r="TGI22" s="3507"/>
      <c r="TGJ22" s="3507"/>
      <c r="TGK22" s="3507"/>
      <c r="TGL22" s="3507"/>
      <c r="TGM22" s="3507"/>
      <c r="TGN22" s="3507"/>
      <c r="TGO22" s="3507"/>
      <c r="TGP22" s="3507"/>
      <c r="TGQ22" s="3507"/>
      <c r="TGR22" s="3507"/>
      <c r="TGS22" s="3507"/>
      <c r="TGT22" s="3507"/>
      <c r="TGU22" s="3507"/>
      <c r="TGV22" s="3507"/>
      <c r="TGW22" s="3507"/>
      <c r="TGX22" s="3507"/>
      <c r="TGY22" s="3507"/>
      <c r="TGZ22" s="3507"/>
      <c r="THA22" s="3507"/>
      <c r="THB22" s="3507"/>
      <c r="THC22" s="3507"/>
      <c r="THD22" s="3507"/>
      <c r="THE22" s="3507"/>
      <c r="THF22" s="3507"/>
      <c r="THG22" s="3507"/>
      <c r="THH22" s="3507"/>
      <c r="THI22" s="3507"/>
      <c r="THJ22" s="3507"/>
      <c r="THK22" s="3507"/>
      <c r="THL22" s="3507"/>
      <c r="THM22" s="3507"/>
      <c r="THN22" s="3507"/>
      <c r="THO22" s="3507"/>
      <c r="THP22" s="3507"/>
      <c r="THQ22" s="3507"/>
      <c r="THR22" s="3507"/>
      <c r="THS22" s="3507"/>
      <c r="THT22" s="3507"/>
      <c r="THU22" s="3507"/>
      <c r="THV22" s="3507"/>
      <c r="THW22" s="3507"/>
      <c r="THX22" s="3507"/>
      <c r="THY22" s="3507"/>
      <c r="THZ22" s="3507"/>
      <c r="TIA22" s="3507"/>
      <c r="TIB22" s="3507"/>
      <c r="TIC22" s="3507"/>
      <c r="TID22" s="3507"/>
      <c r="TIE22" s="3507"/>
      <c r="TIF22" s="3507"/>
      <c r="TIG22" s="3507"/>
      <c r="TIH22" s="3507"/>
      <c r="TII22" s="3507"/>
      <c r="TIJ22" s="3507"/>
      <c r="TIK22" s="3507"/>
      <c r="TIL22" s="3507"/>
      <c r="TIM22" s="3507"/>
      <c r="TIN22" s="3507"/>
      <c r="TIO22" s="3507"/>
      <c r="TIP22" s="3507"/>
      <c r="TIQ22" s="3507"/>
      <c r="TIR22" s="3507"/>
      <c r="TIS22" s="3507"/>
      <c r="TIT22" s="3507"/>
      <c r="TIU22" s="3507"/>
      <c r="TIV22" s="3507"/>
      <c r="TIW22" s="3507"/>
      <c r="TIX22" s="3507"/>
      <c r="TIY22" s="3507"/>
      <c r="TIZ22" s="3507"/>
      <c r="TJA22" s="3507"/>
      <c r="TJB22" s="3507"/>
      <c r="TJC22" s="3507"/>
      <c r="TJD22" s="3507"/>
      <c r="TJE22" s="3507"/>
      <c r="TJF22" s="3507"/>
      <c r="TJG22" s="3507"/>
      <c r="TJH22" s="3507"/>
      <c r="TJI22" s="3507"/>
      <c r="TJJ22" s="3507"/>
      <c r="TJK22" s="3507"/>
      <c r="TJL22" s="3507"/>
      <c r="TJM22" s="3507"/>
      <c r="TJN22" s="3507"/>
      <c r="TJO22" s="3507"/>
      <c r="TJP22" s="3507"/>
      <c r="TJQ22" s="3507"/>
      <c r="TJR22" s="3507"/>
      <c r="TJS22" s="3507"/>
      <c r="TJT22" s="3507"/>
      <c r="TJU22" s="3507"/>
      <c r="TJV22" s="3507"/>
      <c r="TJW22" s="3507"/>
      <c r="TJX22" s="3507"/>
      <c r="TJY22" s="3507"/>
      <c r="TJZ22" s="3507"/>
      <c r="TKA22" s="3507"/>
      <c r="TKB22" s="3507"/>
      <c r="TKC22" s="3507"/>
      <c r="TKD22" s="3507"/>
      <c r="TKE22" s="3507"/>
      <c r="TKF22" s="3507"/>
      <c r="TKG22" s="3507"/>
      <c r="TKH22" s="3507"/>
      <c r="TKI22" s="3507"/>
      <c r="TKJ22" s="3507"/>
      <c r="TKK22" s="3507"/>
      <c r="TKL22" s="3507"/>
      <c r="TKM22" s="3507"/>
      <c r="TKN22" s="3507"/>
      <c r="TKO22" s="3507"/>
      <c r="TKP22" s="3507"/>
      <c r="TKQ22" s="3507"/>
      <c r="TKR22" s="3507"/>
      <c r="TKS22" s="3507"/>
      <c r="TKT22" s="3507"/>
      <c r="TKU22" s="3507"/>
      <c r="TKV22" s="3507"/>
      <c r="TKW22" s="3507"/>
      <c r="TKX22" s="3507"/>
      <c r="TKY22" s="3507"/>
      <c r="TKZ22" s="3507"/>
      <c r="TLA22" s="3507"/>
      <c r="TLB22" s="3507"/>
      <c r="TLC22" s="3507"/>
      <c r="TLD22" s="3507"/>
      <c r="TLE22" s="3507"/>
      <c r="TLF22" s="3507"/>
      <c r="TLG22" s="3507"/>
      <c r="TLH22" s="3507"/>
      <c r="TLI22" s="3507"/>
      <c r="TLJ22" s="3507"/>
      <c r="TLK22" s="3507"/>
      <c r="TLL22" s="3507"/>
      <c r="TLM22" s="3507"/>
      <c r="TLN22" s="3507"/>
      <c r="TLO22" s="3507"/>
      <c r="TLP22" s="3507"/>
      <c r="TLQ22" s="3507"/>
      <c r="TLR22" s="3507"/>
      <c r="TLS22" s="3507"/>
      <c r="TLT22" s="3507"/>
      <c r="TLU22" s="3507"/>
      <c r="TLV22" s="3507"/>
      <c r="TLW22" s="3507"/>
      <c r="TLX22" s="3507"/>
      <c r="TLY22" s="3507"/>
      <c r="TLZ22" s="3507"/>
      <c r="TMA22" s="3507"/>
      <c r="TMB22" s="3507"/>
      <c r="TMC22" s="3507"/>
      <c r="TMD22" s="3507"/>
      <c r="TME22" s="3507"/>
      <c r="TMF22" s="3507"/>
      <c r="TMG22" s="3507"/>
      <c r="TMH22" s="3507"/>
      <c r="TMI22" s="3507"/>
      <c r="TMJ22" s="3507"/>
      <c r="TMK22" s="3507"/>
      <c r="TML22" s="3507"/>
      <c r="TMM22" s="3507"/>
      <c r="TMN22" s="3507"/>
      <c r="TMO22" s="3507"/>
      <c r="TMP22" s="3507"/>
      <c r="TMQ22" s="3507"/>
      <c r="TMR22" s="3507"/>
      <c r="TMS22" s="3507"/>
      <c r="TMT22" s="3507"/>
      <c r="TMU22" s="3507"/>
      <c r="TMV22" s="3507"/>
      <c r="TMW22" s="3507"/>
      <c r="TMX22" s="3507"/>
      <c r="TMY22" s="3507"/>
      <c r="TMZ22" s="3507"/>
      <c r="TNA22" s="3507"/>
      <c r="TNB22" s="3507"/>
      <c r="TNC22" s="3507"/>
      <c r="TND22" s="3507"/>
      <c r="TNE22" s="3507"/>
      <c r="TNF22" s="3507"/>
      <c r="TNG22" s="3507"/>
      <c r="TNH22" s="3507"/>
      <c r="TNI22" s="3507"/>
      <c r="TNJ22" s="3507"/>
      <c r="TNK22" s="3507"/>
      <c r="TNL22" s="3507"/>
      <c r="TNM22" s="3507"/>
      <c r="TNN22" s="3507"/>
      <c r="TNO22" s="3507"/>
      <c r="TNP22" s="3507"/>
      <c r="TNQ22" s="3507"/>
      <c r="TNR22" s="3507"/>
      <c r="TNS22" s="3507"/>
      <c r="TNT22" s="3507"/>
      <c r="TNU22" s="3507"/>
      <c r="TNV22" s="3507"/>
      <c r="TNW22" s="3507"/>
      <c r="TNX22" s="3507"/>
      <c r="TNY22" s="3507"/>
      <c r="TNZ22" s="3507"/>
      <c r="TOA22" s="3507"/>
      <c r="TOB22" s="3507"/>
      <c r="TOC22" s="3507"/>
      <c r="TOD22" s="3507"/>
      <c r="TOE22" s="3507"/>
      <c r="TOF22" s="3507"/>
      <c r="TOG22" s="3507"/>
      <c r="TOH22" s="3507"/>
      <c r="TOI22" s="3507"/>
      <c r="TOJ22" s="3507"/>
      <c r="TOK22" s="3507"/>
      <c r="TOL22" s="3507"/>
      <c r="TOM22" s="3507"/>
      <c r="TON22" s="3507"/>
      <c r="TOO22" s="3507"/>
      <c r="TOP22" s="3507"/>
      <c r="TOQ22" s="3507"/>
      <c r="TOR22" s="3507"/>
      <c r="TOS22" s="3507"/>
      <c r="TOT22" s="3507"/>
      <c r="TOU22" s="3507"/>
      <c r="TOV22" s="3507"/>
      <c r="TOW22" s="3507"/>
      <c r="TOX22" s="3507"/>
      <c r="TOY22" s="3507"/>
      <c r="TOZ22" s="3507"/>
      <c r="TPA22" s="3507"/>
      <c r="TPB22" s="3507"/>
      <c r="TPC22" s="3507"/>
      <c r="TPD22" s="3507"/>
      <c r="TPE22" s="3507"/>
      <c r="TPF22" s="3507"/>
      <c r="TPG22" s="3507"/>
      <c r="TPH22" s="3507"/>
      <c r="TPI22" s="3507"/>
      <c r="TPJ22" s="3507"/>
      <c r="TPK22" s="3507"/>
      <c r="TPL22" s="3507"/>
      <c r="TPM22" s="3507"/>
      <c r="TPN22" s="3507"/>
      <c r="TPO22" s="3507"/>
      <c r="TPP22" s="3507"/>
      <c r="TPQ22" s="3507"/>
      <c r="TPR22" s="3507"/>
      <c r="TPS22" s="3507"/>
      <c r="TPT22" s="3507"/>
      <c r="TPU22" s="3507"/>
      <c r="TPV22" s="3507"/>
      <c r="TPW22" s="3507"/>
      <c r="TPX22" s="3507"/>
      <c r="TPY22" s="3507"/>
      <c r="TPZ22" s="3507"/>
      <c r="TQA22" s="3507"/>
      <c r="TQB22" s="3507"/>
      <c r="TQC22" s="3507"/>
      <c r="TQD22" s="3507"/>
      <c r="TQE22" s="3507"/>
      <c r="TQF22" s="3507"/>
      <c r="TQG22" s="3507"/>
      <c r="TQH22" s="3507"/>
      <c r="TQI22" s="3507"/>
      <c r="TQJ22" s="3507"/>
      <c r="TQK22" s="3507"/>
      <c r="TQL22" s="3507"/>
      <c r="TQM22" s="3507"/>
      <c r="TQN22" s="3507"/>
      <c r="TQO22" s="3507"/>
      <c r="TQP22" s="3507"/>
      <c r="TQQ22" s="3507"/>
      <c r="TQR22" s="3507"/>
      <c r="TQS22" s="3507"/>
      <c r="TQT22" s="3507"/>
      <c r="TQU22" s="3507"/>
      <c r="TQV22" s="3507"/>
      <c r="TQW22" s="3507"/>
      <c r="TQX22" s="3507"/>
      <c r="TQY22" s="3507"/>
      <c r="TQZ22" s="3507"/>
      <c r="TRA22" s="3507"/>
      <c r="TRB22" s="3507"/>
      <c r="TRC22" s="3507"/>
      <c r="TRD22" s="3507"/>
      <c r="TRE22" s="3507"/>
      <c r="TRF22" s="3507"/>
      <c r="TRG22" s="3507"/>
      <c r="TRH22" s="3507"/>
      <c r="TRI22" s="3507"/>
      <c r="TRJ22" s="3507"/>
      <c r="TRK22" s="3507"/>
      <c r="TRL22" s="3507"/>
      <c r="TRM22" s="3507"/>
      <c r="TRN22" s="3507"/>
      <c r="TRO22" s="3507"/>
      <c r="TRP22" s="3507"/>
      <c r="TRQ22" s="3507"/>
      <c r="TRR22" s="3507"/>
      <c r="TRS22" s="3507"/>
      <c r="TRT22" s="3507"/>
      <c r="TRU22" s="3507"/>
      <c r="TRV22" s="3507"/>
      <c r="TRW22" s="3507"/>
      <c r="TRX22" s="3507"/>
      <c r="TRY22" s="3507"/>
      <c r="TRZ22" s="3507"/>
      <c r="TSA22" s="3507"/>
      <c r="TSB22" s="3507"/>
      <c r="TSC22" s="3507"/>
      <c r="TSD22" s="3507"/>
      <c r="TSE22" s="3507"/>
      <c r="TSF22" s="3507"/>
      <c r="TSG22" s="3507"/>
      <c r="TSH22" s="3507"/>
      <c r="TSI22" s="3507"/>
      <c r="TSJ22" s="3507"/>
      <c r="TSK22" s="3507"/>
      <c r="TSL22" s="3507"/>
      <c r="TSM22" s="3507"/>
      <c r="TSN22" s="3507"/>
      <c r="TSO22" s="3507"/>
      <c r="TSP22" s="3507"/>
      <c r="TSQ22" s="3507"/>
      <c r="TSR22" s="3507"/>
      <c r="TSS22" s="3507"/>
      <c r="TST22" s="3507"/>
      <c r="TSU22" s="3507"/>
      <c r="TSV22" s="3507"/>
      <c r="TSW22" s="3507"/>
      <c r="TSX22" s="3507"/>
      <c r="TSY22" s="3507"/>
      <c r="TSZ22" s="3507"/>
      <c r="TTA22" s="3507"/>
      <c r="TTB22" s="3507"/>
      <c r="TTC22" s="3507"/>
      <c r="TTD22" s="3507"/>
      <c r="TTE22" s="3507"/>
      <c r="TTF22" s="3507"/>
      <c r="TTG22" s="3507"/>
      <c r="TTH22" s="3507"/>
      <c r="TTI22" s="3507"/>
      <c r="TTJ22" s="3507"/>
      <c r="TTK22" s="3507"/>
      <c r="TTL22" s="3507"/>
      <c r="TTM22" s="3507"/>
      <c r="TTN22" s="3507"/>
      <c r="TTO22" s="3507"/>
      <c r="TTP22" s="3507"/>
      <c r="TTQ22" s="3507"/>
      <c r="TTR22" s="3507"/>
      <c r="TTS22" s="3507"/>
      <c r="TTT22" s="3507"/>
      <c r="TTU22" s="3507"/>
      <c r="TTV22" s="3507"/>
      <c r="TTW22" s="3507"/>
      <c r="TTX22" s="3507"/>
      <c r="TTY22" s="3507"/>
      <c r="TTZ22" s="3507"/>
      <c r="TUA22" s="3507"/>
      <c r="TUB22" s="3507"/>
      <c r="TUC22" s="3507"/>
      <c r="TUD22" s="3507"/>
      <c r="TUE22" s="3507"/>
      <c r="TUF22" s="3507"/>
      <c r="TUG22" s="3507"/>
      <c r="TUH22" s="3507"/>
      <c r="TUI22" s="3507"/>
      <c r="TUJ22" s="3507"/>
      <c r="TUK22" s="3507"/>
      <c r="TUL22" s="3507"/>
      <c r="TUM22" s="3507"/>
      <c r="TUN22" s="3507"/>
      <c r="TUO22" s="3507"/>
      <c r="TUP22" s="3507"/>
      <c r="TUQ22" s="3507"/>
      <c r="TUR22" s="3507"/>
      <c r="TUS22" s="3507"/>
      <c r="TUT22" s="3507"/>
      <c r="TUU22" s="3507"/>
      <c r="TUV22" s="3507"/>
      <c r="TUW22" s="3507"/>
      <c r="TUX22" s="3507"/>
      <c r="TUY22" s="3507"/>
      <c r="TUZ22" s="3507"/>
      <c r="TVA22" s="3507"/>
      <c r="TVB22" s="3507"/>
      <c r="TVC22" s="3507"/>
      <c r="TVD22" s="3507"/>
      <c r="TVE22" s="3507"/>
      <c r="TVF22" s="3507"/>
      <c r="TVG22" s="3507"/>
      <c r="TVH22" s="3507"/>
      <c r="TVI22" s="3507"/>
      <c r="TVJ22" s="3507"/>
      <c r="TVK22" s="3507"/>
      <c r="TVL22" s="3507"/>
      <c r="TVM22" s="3507"/>
      <c r="TVN22" s="3507"/>
      <c r="TVO22" s="3507"/>
      <c r="TVP22" s="3507"/>
      <c r="TVQ22" s="3507"/>
      <c r="TVR22" s="3507"/>
      <c r="TVS22" s="3507"/>
      <c r="TVT22" s="3507"/>
      <c r="TVU22" s="3507"/>
      <c r="TVV22" s="3507"/>
      <c r="TVW22" s="3507"/>
      <c r="TVX22" s="3507"/>
      <c r="TVY22" s="3507"/>
      <c r="TVZ22" s="3507"/>
      <c r="TWA22" s="3507"/>
      <c r="TWB22" s="3507"/>
      <c r="TWC22" s="3507"/>
      <c r="TWD22" s="3507"/>
      <c r="TWE22" s="3507"/>
      <c r="TWF22" s="3507"/>
      <c r="TWG22" s="3507"/>
      <c r="TWH22" s="3507"/>
      <c r="TWI22" s="3507"/>
      <c r="TWJ22" s="3507"/>
      <c r="TWK22" s="3507"/>
      <c r="TWL22" s="3507"/>
      <c r="TWM22" s="3507"/>
      <c r="TWN22" s="3507"/>
      <c r="TWO22" s="3507"/>
      <c r="TWP22" s="3507"/>
      <c r="TWQ22" s="3507"/>
      <c r="TWR22" s="3507"/>
      <c r="TWS22" s="3507"/>
      <c r="TWT22" s="3507"/>
      <c r="TWU22" s="3507"/>
      <c r="TWV22" s="3507"/>
      <c r="TWW22" s="3507"/>
      <c r="TWX22" s="3507"/>
      <c r="TWY22" s="3507"/>
      <c r="TWZ22" s="3507"/>
      <c r="TXA22" s="3507"/>
      <c r="TXB22" s="3507"/>
      <c r="TXC22" s="3507"/>
      <c r="TXD22" s="3507"/>
      <c r="TXE22" s="3507"/>
      <c r="TXF22" s="3507"/>
      <c r="TXG22" s="3507"/>
      <c r="TXH22" s="3507"/>
      <c r="TXI22" s="3507"/>
      <c r="TXJ22" s="3507"/>
      <c r="TXK22" s="3507"/>
      <c r="TXL22" s="3507"/>
      <c r="TXM22" s="3507"/>
      <c r="TXN22" s="3507"/>
      <c r="TXO22" s="3507"/>
      <c r="TXP22" s="3507"/>
      <c r="TXQ22" s="3507"/>
      <c r="TXR22" s="3507"/>
      <c r="TXS22" s="3507"/>
      <c r="TXT22" s="3507"/>
      <c r="TXU22" s="3507"/>
      <c r="TXV22" s="3507"/>
      <c r="TXW22" s="3507"/>
      <c r="TXX22" s="3507"/>
      <c r="TXY22" s="3507"/>
      <c r="TXZ22" s="3507"/>
      <c r="TYA22" s="3507"/>
      <c r="TYB22" s="3507"/>
      <c r="TYC22" s="3507"/>
      <c r="TYD22" s="3507"/>
      <c r="TYE22" s="3507"/>
      <c r="TYF22" s="3507"/>
      <c r="TYG22" s="3507"/>
      <c r="TYH22" s="3507"/>
      <c r="TYI22" s="3507"/>
      <c r="TYJ22" s="3507"/>
      <c r="TYK22" s="3507"/>
      <c r="TYL22" s="3507"/>
      <c r="TYM22" s="3507"/>
      <c r="TYN22" s="3507"/>
      <c r="TYO22" s="3507"/>
      <c r="TYP22" s="3507"/>
      <c r="TYQ22" s="3507"/>
      <c r="TYR22" s="3507"/>
      <c r="TYS22" s="3507"/>
      <c r="TYT22" s="3507"/>
      <c r="TYU22" s="3507"/>
      <c r="TYV22" s="3507"/>
      <c r="TYW22" s="3507"/>
      <c r="TYX22" s="3507"/>
      <c r="TYY22" s="3507"/>
      <c r="TYZ22" s="3507"/>
      <c r="TZA22" s="3507"/>
      <c r="TZB22" s="3507"/>
      <c r="TZC22" s="3507"/>
      <c r="TZD22" s="3507"/>
      <c r="TZE22" s="3507"/>
      <c r="TZF22" s="3507"/>
      <c r="TZG22" s="3507"/>
      <c r="TZH22" s="3507"/>
      <c r="TZI22" s="3507"/>
      <c r="TZJ22" s="3507"/>
      <c r="TZK22" s="3507"/>
      <c r="TZL22" s="3507"/>
      <c r="TZM22" s="3507"/>
      <c r="TZN22" s="3507"/>
      <c r="TZO22" s="3507"/>
      <c r="TZP22" s="3507"/>
      <c r="TZQ22" s="3507"/>
      <c r="TZR22" s="3507"/>
      <c r="TZS22" s="3507"/>
      <c r="TZT22" s="3507"/>
      <c r="TZU22" s="3507"/>
      <c r="TZV22" s="3507"/>
      <c r="TZW22" s="3507"/>
      <c r="TZX22" s="3507"/>
      <c r="TZY22" s="3507"/>
      <c r="TZZ22" s="3507"/>
      <c r="UAA22" s="3507"/>
      <c r="UAB22" s="3507"/>
      <c r="UAC22" s="3507"/>
      <c r="UAD22" s="3507"/>
      <c r="UAE22" s="3507"/>
      <c r="UAF22" s="3507"/>
      <c r="UAG22" s="3507"/>
      <c r="UAH22" s="3507"/>
      <c r="UAI22" s="3507"/>
      <c r="UAJ22" s="3507"/>
      <c r="UAK22" s="3507"/>
      <c r="UAL22" s="3507"/>
      <c r="UAM22" s="3507"/>
      <c r="UAN22" s="3507"/>
      <c r="UAO22" s="3507"/>
      <c r="UAP22" s="3507"/>
      <c r="UAQ22" s="3507"/>
      <c r="UAR22" s="3507"/>
      <c r="UAS22" s="3507"/>
      <c r="UAT22" s="3507"/>
      <c r="UAU22" s="3507"/>
      <c r="UAV22" s="3507"/>
      <c r="UAW22" s="3507"/>
      <c r="UAX22" s="3507"/>
      <c r="UAY22" s="3507"/>
      <c r="UAZ22" s="3507"/>
      <c r="UBA22" s="3507"/>
      <c r="UBB22" s="3507"/>
      <c r="UBC22" s="3507"/>
      <c r="UBD22" s="3507"/>
      <c r="UBE22" s="3507"/>
      <c r="UBF22" s="3507"/>
      <c r="UBG22" s="3507"/>
      <c r="UBH22" s="3507"/>
      <c r="UBI22" s="3507"/>
      <c r="UBJ22" s="3507"/>
      <c r="UBK22" s="3507"/>
      <c r="UBL22" s="3507"/>
      <c r="UBM22" s="3507"/>
      <c r="UBN22" s="3507"/>
      <c r="UBO22" s="3507"/>
      <c r="UBP22" s="3507"/>
      <c r="UBQ22" s="3507"/>
      <c r="UBR22" s="3507"/>
      <c r="UBS22" s="3507"/>
      <c r="UBT22" s="3507"/>
      <c r="UBU22" s="3507"/>
      <c r="UBV22" s="3507"/>
      <c r="UBW22" s="3507"/>
      <c r="UBX22" s="3507"/>
      <c r="UBY22" s="3507"/>
      <c r="UBZ22" s="3507"/>
      <c r="UCA22" s="3507"/>
      <c r="UCB22" s="3507"/>
      <c r="UCC22" s="3507"/>
      <c r="UCD22" s="3507"/>
      <c r="UCE22" s="3507"/>
      <c r="UCF22" s="3507"/>
      <c r="UCG22" s="3507"/>
      <c r="UCH22" s="3507"/>
      <c r="UCI22" s="3507"/>
      <c r="UCJ22" s="3507"/>
      <c r="UCK22" s="3507"/>
      <c r="UCL22" s="3507"/>
      <c r="UCM22" s="3507"/>
      <c r="UCN22" s="3507"/>
      <c r="UCO22" s="3507"/>
      <c r="UCP22" s="3507"/>
      <c r="UCQ22" s="3507"/>
      <c r="UCR22" s="3507"/>
      <c r="UCS22" s="3507"/>
      <c r="UCT22" s="3507"/>
      <c r="UCU22" s="3507"/>
      <c r="UCV22" s="3507"/>
      <c r="UCW22" s="3507"/>
      <c r="UCX22" s="3507"/>
      <c r="UCY22" s="3507"/>
      <c r="UCZ22" s="3507"/>
      <c r="UDA22" s="3507"/>
      <c r="UDB22" s="3507"/>
      <c r="UDC22" s="3507"/>
      <c r="UDD22" s="3507"/>
      <c r="UDE22" s="3507"/>
      <c r="UDF22" s="3507"/>
      <c r="UDG22" s="3507"/>
      <c r="UDH22" s="3507"/>
      <c r="UDI22" s="3507"/>
      <c r="UDJ22" s="3507"/>
      <c r="UDK22" s="3507"/>
      <c r="UDL22" s="3507"/>
      <c r="UDM22" s="3507"/>
      <c r="UDN22" s="3507"/>
      <c r="UDO22" s="3507"/>
      <c r="UDP22" s="3507"/>
      <c r="UDQ22" s="3507"/>
      <c r="UDR22" s="3507"/>
      <c r="UDS22" s="3507"/>
      <c r="UDT22" s="3507"/>
      <c r="UDU22" s="3507"/>
      <c r="UDV22" s="3507"/>
      <c r="UDW22" s="3507"/>
      <c r="UDX22" s="3507"/>
      <c r="UDY22" s="3507"/>
      <c r="UDZ22" s="3507"/>
      <c r="UEA22" s="3507"/>
      <c r="UEB22" s="3507"/>
      <c r="UEC22" s="3507"/>
      <c r="UED22" s="3507"/>
      <c r="UEE22" s="3507"/>
      <c r="UEF22" s="3507"/>
      <c r="UEG22" s="3507"/>
      <c r="UEH22" s="3507"/>
      <c r="UEI22" s="3507"/>
      <c r="UEJ22" s="3507"/>
      <c r="UEK22" s="3507"/>
      <c r="UEL22" s="3507"/>
      <c r="UEM22" s="3507"/>
      <c r="UEN22" s="3507"/>
      <c r="UEO22" s="3507"/>
      <c r="UEP22" s="3507"/>
      <c r="UEQ22" s="3507"/>
      <c r="UER22" s="3507"/>
      <c r="UES22" s="3507"/>
      <c r="UET22" s="3507"/>
      <c r="UEU22" s="3507"/>
      <c r="UEV22" s="3507"/>
      <c r="UEW22" s="3507"/>
      <c r="UEX22" s="3507"/>
      <c r="UEY22" s="3507"/>
      <c r="UEZ22" s="3507"/>
      <c r="UFA22" s="3507"/>
      <c r="UFB22" s="3507"/>
      <c r="UFC22" s="3507"/>
      <c r="UFD22" s="3507"/>
      <c r="UFE22" s="3507"/>
      <c r="UFF22" s="3507"/>
      <c r="UFG22" s="3507"/>
      <c r="UFH22" s="3507"/>
      <c r="UFI22" s="3507"/>
      <c r="UFJ22" s="3507"/>
      <c r="UFK22" s="3507"/>
      <c r="UFL22" s="3507"/>
      <c r="UFM22" s="3507"/>
      <c r="UFN22" s="3507"/>
      <c r="UFO22" s="3507"/>
      <c r="UFP22" s="3507"/>
      <c r="UFQ22" s="3507"/>
      <c r="UFR22" s="3507"/>
      <c r="UFS22" s="3507"/>
      <c r="UFT22" s="3507"/>
      <c r="UFU22" s="3507"/>
      <c r="UFV22" s="3507"/>
      <c r="UFW22" s="3507"/>
      <c r="UFX22" s="3507"/>
      <c r="UFY22" s="3507"/>
      <c r="UFZ22" s="3507"/>
      <c r="UGA22" s="3507"/>
      <c r="UGB22" s="3507"/>
      <c r="UGC22" s="3507"/>
      <c r="UGD22" s="3507"/>
      <c r="UGE22" s="3507"/>
      <c r="UGF22" s="3507"/>
      <c r="UGG22" s="3507"/>
      <c r="UGH22" s="3507"/>
      <c r="UGI22" s="3507"/>
      <c r="UGJ22" s="3507"/>
      <c r="UGK22" s="3507"/>
      <c r="UGL22" s="3507"/>
      <c r="UGM22" s="3507"/>
      <c r="UGN22" s="3507"/>
      <c r="UGO22" s="3507"/>
      <c r="UGP22" s="3507"/>
      <c r="UGQ22" s="3507"/>
      <c r="UGR22" s="3507"/>
      <c r="UGS22" s="3507"/>
      <c r="UGT22" s="3507"/>
      <c r="UGU22" s="3507"/>
      <c r="UGV22" s="3507"/>
      <c r="UGW22" s="3507"/>
      <c r="UGX22" s="3507"/>
      <c r="UGY22" s="3507"/>
      <c r="UGZ22" s="3507"/>
      <c r="UHA22" s="3507"/>
      <c r="UHB22" s="3507"/>
      <c r="UHC22" s="3507"/>
      <c r="UHD22" s="3507"/>
      <c r="UHE22" s="3507"/>
      <c r="UHF22" s="3507"/>
      <c r="UHG22" s="3507"/>
      <c r="UHH22" s="3507"/>
      <c r="UHI22" s="3507"/>
      <c r="UHJ22" s="3507"/>
      <c r="UHK22" s="3507"/>
      <c r="UHL22" s="3507"/>
      <c r="UHM22" s="3507"/>
      <c r="UHN22" s="3507"/>
      <c r="UHO22" s="3507"/>
      <c r="UHP22" s="3507"/>
      <c r="UHQ22" s="3507"/>
      <c r="UHR22" s="3507"/>
      <c r="UHS22" s="3507"/>
      <c r="UHT22" s="3507"/>
      <c r="UHU22" s="3507"/>
      <c r="UHV22" s="3507"/>
      <c r="UHW22" s="3507"/>
      <c r="UHX22" s="3507"/>
      <c r="UHY22" s="3507"/>
      <c r="UHZ22" s="3507"/>
      <c r="UIA22" s="3507"/>
      <c r="UIB22" s="3507"/>
      <c r="UIC22" s="3507"/>
      <c r="UID22" s="3507"/>
      <c r="UIE22" s="3507"/>
      <c r="UIF22" s="3507"/>
      <c r="UIG22" s="3507"/>
      <c r="UIH22" s="3507"/>
      <c r="UII22" s="3507"/>
      <c r="UIJ22" s="3507"/>
      <c r="UIK22" s="3507"/>
      <c r="UIL22" s="3507"/>
      <c r="UIM22" s="3507"/>
      <c r="UIN22" s="3507"/>
      <c r="UIO22" s="3507"/>
      <c r="UIP22" s="3507"/>
      <c r="UIQ22" s="3507"/>
      <c r="UIR22" s="3507"/>
      <c r="UIS22" s="3507"/>
      <c r="UIT22" s="3507"/>
      <c r="UIU22" s="3507"/>
      <c r="UIV22" s="3507"/>
      <c r="UIW22" s="3507"/>
      <c r="UIX22" s="3507"/>
      <c r="UIY22" s="3507"/>
      <c r="UIZ22" s="3507"/>
      <c r="UJA22" s="3507"/>
      <c r="UJB22" s="3507"/>
      <c r="UJC22" s="3507"/>
      <c r="UJD22" s="3507"/>
      <c r="UJE22" s="3507"/>
      <c r="UJF22" s="3507"/>
      <c r="UJG22" s="3507"/>
      <c r="UJH22" s="3507"/>
      <c r="UJI22" s="3507"/>
      <c r="UJJ22" s="3507"/>
      <c r="UJK22" s="3507"/>
      <c r="UJL22" s="3507"/>
      <c r="UJM22" s="3507"/>
      <c r="UJN22" s="3507"/>
      <c r="UJO22" s="3507"/>
      <c r="UJP22" s="3507"/>
      <c r="UJQ22" s="3507"/>
      <c r="UJR22" s="3507"/>
      <c r="UJS22" s="3507"/>
      <c r="UJT22" s="3507"/>
      <c r="UJU22" s="3507"/>
      <c r="UJV22" s="3507"/>
      <c r="UJW22" s="3507"/>
      <c r="UJX22" s="3507"/>
      <c r="UJY22" s="3507"/>
      <c r="UJZ22" s="3507"/>
      <c r="UKA22" s="3507"/>
      <c r="UKB22" s="3507"/>
      <c r="UKC22" s="3507"/>
      <c r="UKD22" s="3507"/>
      <c r="UKE22" s="3507"/>
      <c r="UKF22" s="3507"/>
      <c r="UKG22" s="3507"/>
      <c r="UKH22" s="3507"/>
      <c r="UKI22" s="3507"/>
      <c r="UKJ22" s="3507"/>
      <c r="UKK22" s="3507"/>
      <c r="UKL22" s="3507"/>
      <c r="UKM22" s="3507"/>
      <c r="UKN22" s="3507"/>
      <c r="UKO22" s="3507"/>
      <c r="UKP22" s="3507"/>
      <c r="UKQ22" s="3507"/>
      <c r="UKR22" s="3507"/>
      <c r="UKS22" s="3507"/>
      <c r="UKT22" s="3507"/>
      <c r="UKU22" s="3507"/>
      <c r="UKV22" s="3507"/>
      <c r="UKW22" s="3507"/>
      <c r="UKX22" s="3507"/>
      <c r="UKY22" s="3507"/>
      <c r="UKZ22" s="3507"/>
      <c r="ULA22" s="3507"/>
      <c r="ULB22" s="3507"/>
      <c r="ULC22" s="3507"/>
      <c r="ULD22" s="3507"/>
      <c r="ULE22" s="3507"/>
      <c r="ULF22" s="3507"/>
      <c r="ULG22" s="3507"/>
      <c r="ULH22" s="3507"/>
      <c r="ULI22" s="3507"/>
      <c r="ULJ22" s="3507"/>
      <c r="ULK22" s="3507"/>
      <c r="ULL22" s="3507"/>
      <c r="ULM22" s="3507"/>
      <c r="ULN22" s="3507"/>
      <c r="ULO22" s="3507"/>
      <c r="ULP22" s="3507"/>
      <c r="ULQ22" s="3507"/>
      <c r="ULR22" s="3507"/>
      <c r="ULS22" s="3507"/>
      <c r="ULT22" s="3507"/>
      <c r="ULU22" s="3507"/>
      <c r="ULV22" s="3507"/>
      <c r="ULW22" s="3507"/>
      <c r="ULX22" s="3507"/>
      <c r="ULY22" s="3507"/>
      <c r="ULZ22" s="3507"/>
      <c r="UMA22" s="3507"/>
      <c r="UMB22" s="3507"/>
      <c r="UMC22" s="3507"/>
      <c r="UMD22" s="3507"/>
      <c r="UME22" s="3507"/>
      <c r="UMF22" s="3507"/>
      <c r="UMG22" s="3507"/>
      <c r="UMH22" s="3507"/>
      <c r="UMI22" s="3507"/>
      <c r="UMJ22" s="3507"/>
      <c r="UMK22" s="3507"/>
      <c r="UML22" s="3507"/>
      <c r="UMM22" s="3507"/>
      <c r="UMN22" s="3507"/>
      <c r="UMO22" s="3507"/>
      <c r="UMP22" s="3507"/>
      <c r="UMQ22" s="3507"/>
      <c r="UMR22" s="3507"/>
      <c r="UMS22" s="3507"/>
      <c r="UMT22" s="3507"/>
      <c r="UMU22" s="3507"/>
      <c r="UMV22" s="3507"/>
      <c r="UMW22" s="3507"/>
      <c r="UMX22" s="3507"/>
      <c r="UMY22" s="3507"/>
      <c r="UMZ22" s="3507"/>
      <c r="UNA22" s="3507"/>
      <c r="UNB22" s="3507"/>
      <c r="UNC22" s="3507"/>
      <c r="UND22" s="3507"/>
      <c r="UNE22" s="3507"/>
      <c r="UNF22" s="3507"/>
      <c r="UNG22" s="3507"/>
      <c r="UNH22" s="3507"/>
      <c r="UNI22" s="3507"/>
      <c r="UNJ22" s="3507"/>
      <c r="UNK22" s="3507"/>
      <c r="UNL22" s="3507"/>
      <c r="UNM22" s="3507"/>
      <c r="UNN22" s="3507"/>
      <c r="UNO22" s="3507"/>
      <c r="UNP22" s="3507"/>
      <c r="UNQ22" s="3507"/>
      <c r="UNR22" s="3507"/>
      <c r="UNS22" s="3507"/>
      <c r="UNT22" s="3507"/>
      <c r="UNU22" s="3507"/>
      <c r="UNV22" s="3507"/>
      <c r="UNW22" s="3507"/>
      <c r="UNX22" s="3507"/>
      <c r="UNY22" s="3507"/>
      <c r="UNZ22" s="3507"/>
      <c r="UOA22" s="3507"/>
      <c r="UOB22" s="3507"/>
      <c r="UOC22" s="3507"/>
      <c r="UOD22" s="3507"/>
      <c r="UOE22" s="3507"/>
      <c r="UOF22" s="3507"/>
      <c r="UOG22" s="3507"/>
      <c r="UOH22" s="3507"/>
      <c r="UOI22" s="3507"/>
      <c r="UOJ22" s="3507"/>
      <c r="UOK22" s="3507"/>
      <c r="UOL22" s="3507"/>
      <c r="UOM22" s="3507"/>
      <c r="UON22" s="3507"/>
      <c r="UOO22" s="3507"/>
      <c r="UOP22" s="3507"/>
      <c r="UOQ22" s="3507"/>
      <c r="UOR22" s="3507"/>
      <c r="UOS22" s="3507"/>
      <c r="UOT22" s="3507"/>
      <c r="UOU22" s="3507"/>
      <c r="UOV22" s="3507"/>
      <c r="UOW22" s="3507"/>
      <c r="UOX22" s="3507"/>
      <c r="UOY22" s="3507"/>
      <c r="UOZ22" s="3507"/>
      <c r="UPA22" s="3507"/>
      <c r="UPB22" s="3507"/>
      <c r="UPC22" s="3507"/>
      <c r="UPD22" s="3507"/>
      <c r="UPE22" s="3507"/>
      <c r="UPF22" s="3507"/>
      <c r="UPG22" s="3507"/>
      <c r="UPH22" s="3507"/>
      <c r="UPI22" s="3507"/>
      <c r="UPJ22" s="3507"/>
      <c r="UPK22" s="3507"/>
      <c r="UPL22" s="3507"/>
      <c r="UPM22" s="3507"/>
      <c r="UPN22" s="3507"/>
      <c r="UPO22" s="3507"/>
      <c r="UPP22" s="3507"/>
      <c r="UPQ22" s="3507"/>
      <c r="UPR22" s="3507"/>
      <c r="UPS22" s="3507"/>
      <c r="UPT22" s="3507"/>
      <c r="UPU22" s="3507"/>
      <c r="UPV22" s="3507"/>
      <c r="UPW22" s="3507"/>
      <c r="UPX22" s="3507"/>
      <c r="UPY22" s="3507"/>
      <c r="UPZ22" s="3507"/>
      <c r="UQA22" s="3507"/>
      <c r="UQB22" s="3507"/>
      <c r="UQC22" s="3507"/>
      <c r="UQD22" s="3507"/>
      <c r="UQE22" s="3507"/>
      <c r="UQF22" s="3507"/>
      <c r="UQG22" s="3507"/>
      <c r="UQH22" s="3507"/>
      <c r="UQI22" s="3507"/>
      <c r="UQJ22" s="3507"/>
      <c r="UQK22" s="3507"/>
      <c r="UQL22" s="3507"/>
      <c r="UQM22" s="3507"/>
      <c r="UQN22" s="3507"/>
      <c r="UQO22" s="3507"/>
      <c r="UQP22" s="3507"/>
      <c r="UQQ22" s="3507"/>
      <c r="UQR22" s="3507"/>
      <c r="UQS22" s="3507"/>
      <c r="UQT22" s="3507"/>
      <c r="UQU22" s="3507"/>
      <c r="UQV22" s="3507"/>
      <c r="UQW22" s="3507"/>
      <c r="UQX22" s="3507"/>
      <c r="UQY22" s="3507"/>
      <c r="UQZ22" s="3507"/>
      <c r="URA22" s="3507"/>
      <c r="URB22" s="3507"/>
      <c r="URC22" s="3507"/>
      <c r="URD22" s="3507"/>
      <c r="URE22" s="3507"/>
      <c r="URF22" s="3507"/>
      <c r="URG22" s="3507"/>
      <c r="URH22" s="3507"/>
      <c r="URI22" s="3507"/>
      <c r="URJ22" s="3507"/>
      <c r="URK22" s="3507"/>
      <c r="URL22" s="3507"/>
      <c r="URM22" s="3507"/>
      <c r="URN22" s="3507"/>
      <c r="URO22" s="3507"/>
      <c r="URP22" s="3507"/>
      <c r="URQ22" s="3507"/>
      <c r="URR22" s="3507"/>
      <c r="URS22" s="3507"/>
      <c r="URT22" s="3507"/>
      <c r="URU22" s="3507"/>
      <c r="URV22" s="3507"/>
      <c r="URW22" s="3507"/>
      <c r="URX22" s="3507"/>
      <c r="URY22" s="3507"/>
      <c r="URZ22" s="3507"/>
      <c r="USA22" s="3507"/>
      <c r="USB22" s="3507"/>
      <c r="USC22" s="3507"/>
      <c r="USD22" s="3507"/>
      <c r="USE22" s="3507"/>
      <c r="USF22" s="3507"/>
      <c r="USG22" s="3507"/>
      <c r="USH22" s="3507"/>
      <c r="USI22" s="3507"/>
      <c r="USJ22" s="3507"/>
      <c r="USK22" s="3507"/>
      <c r="USL22" s="3507"/>
      <c r="USM22" s="3507"/>
      <c r="USN22" s="3507"/>
      <c r="USO22" s="3507"/>
      <c r="USP22" s="3507"/>
      <c r="USQ22" s="3507"/>
      <c r="USR22" s="3507"/>
      <c r="USS22" s="3507"/>
      <c r="UST22" s="3507"/>
      <c r="USU22" s="3507"/>
      <c r="USV22" s="3507"/>
      <c r="USW22" s="3507"/>
      <c r="USX22" s="3507"/>
      <c r="USY22" s="3507"/>
      <c r="USZ22" s="3507"/>
      <c r="UTA22" s="3507"/>
      <c r="UTB22" s="3507"/>
      <c r="UTC22" s="3507"/>
      <c r="UTD22" s="3507"/>
      <c r="UTE22" s="3507"/>
      <c r="UTF22" s="3507"/>
      <c r="UTG22" s="3507"/>
      <c r="UTH22" s="3507"/>
      <c r="UTI22" s="3507"/>
      <c r="UTJ22" s="3507"/>
      <c r="UTK22" s="3507"/>
      <c r="UTL22" s="3507"/>
      <c r="UTM22" s="3507"/>
      <c r="UTN22" s="3507"/>
      <c r="UTO22" s="3507"/>
      <c r="UTP22" s="3507"/>
      <c r="UTQ22" s="3507"/>
      <c r="UTR22" s="3507"/>
      <c r="UTS22" s="3507"/>
      <c r="UTT22" s="3507"/>
      <c r="UTU22" s="3507"/>
      <c r="UTV22" s="3507"/>
      <c r="UTW22" s="3507"/>
      <c r="UTX22" s="3507"/>
      <c r="UTY22" s="3507"/>
      <c r="UTZ22" s="3507"/>
      <c r="UUA22" s="3507"/>
      <c r="UUB22" s="3507"/>
      <c r="UUC22" s="3507"/>
      <c r="UUD22" s="3507"/>
      <c r="UUE22" s="3507"/>
      <c r="UUF22" s="3507"/>
      <c r="UUG22" s="3507"/>
      <c r="UUH22" s="3507"/>
      <c r="UUI22" s="3507"/>
      <c r="UUJ22" s="3507"/>
      <c r="UUK22" s="3507"/>
      <c r="UUL22" s="3507"/>
      <c r="UUM22" s="3507"/>
      <c r="UUN22" s="3507"/>
      <c r="UUO22" s="3507"/>
      <c r="UUP22" s="3507"/>
      <c r="UUQ22" s="3507"/>
      <c r="UUR22" s="3507"/>
      <c r="UUS22" s="3507"/>
      <c r="UUT22" s="3507"/>
      <c r="UUU22" s="3507"/>
      <c r="UUV22" s="3507"/>
      <c r="UUW22" s="3507"/>
      <c r="UUX22" s="3507"/>
      <c r="UUY22" s="3507"/>
      <c r="UUZ22" s="3507"/>
      <c r="UVA22" s="3507"/>
      <c r="UVB22" s="3507"/>
      <c r="UVC22" s="3507"/>
      <c r="UVD22" s="3507"/>
      <c r="UVE22" s="3507"/>
      <c r="UVF22" s="3507"/>
      <c r="UVG22" s="3507"/>
      <c r="UVH22" s="3507"/>
      <c r="UVI22" s="3507"/>
      <c r="UVJ22" s="3507"/>
      <c r="UVK22" s="3507"/>
      <c r="UVL22" s="3507"/>
      <c r="UVM22" s="3507"/>
      <c r="UVN22" s="3507"/>
      <c r="UVO22" s="3507"/>
      <c r="UVP22" s="3507"/>
      <c r="UVQ22" s="3507"/>
      <c r="UVR22" s="3507"/>
      <c r="UVS22" s="3507"/>
      <c r="UVT22" s="3507"/>
      <c r="UVU22" s="3507"/>
      <c r="UVV22" s="3507"/>
      <c r="UVW22" s="3507"/>
      <c r="UVX22" s="3507"/>
      <c r="UVY22" s="3507"/>
      <c r="UVZ22" s="3507"/>
      <c r="UWA22" s="3507"/>
      <c r="UWB22" s="3507"/>
      <c r="UWC22" s="3507"/>
      <c r="UWD22" s="3507"/>
      <c r="UWE22" s="3507"/>
      <c r="UWF22" s="3507"/>
      <c r="UWG22" s="3507"/>
      <c r="UWH22" s="3507"/>
      <c r="UWI22" s="3507"/>
      <c r="UWJ22" s="3507"/>
      <c r="UWK22" s="3507"/>
      <c r="UWL22" s="3507"/>
      <c r="UWM22" s="3507"/>
      <c r="UWN22" s="3507"/>
      <c r="UWO22" s="3507"/>
      <c r="UWP22" s="3507"/>
      <c r="UWQ22" s="3507"/>
      <c r="UWR22" s="3507"/>
      <c r="UWS22" s="3507"/>
      <c r="UWT22" s="3507"/>
      <c r="UWU22" s="3507"/>
      <c r="UWV22" s="3507"/>
      <c r="UWW22" s="3507"/>
      <c r="UWX22" s="3507"/>
      <c r="UWY22" s="3507"/>
      <c r="UWZ22" s="3507"/>
      <c r="UXA22" s="3507"/>
      <c r="UXB22" s="3507"/>
      <c r="UXC22" s="3507"/>
      <c r="UXD22" s="3507"/>
      <c r="UXE22" s="3507"/>
      <c r="UXF22" s="3507"/>
      <c r="UXG22" s="3507"/>
      <c r="UXH22" s="3507"/>
      <c r="UXI22" s="3507"/>
      <c r="UXJ22" s="3507"/>
      <c r="UXK22" s="3507"/>
      <c r="UXL22" s="3507"/>
      <c r="UXM22" s="3507"/>
      <c r="UXN22" s="3507"/>
      <c r="UXO22" s="3507"/>
      <c r="UXP22" s="3507"/>
      <c r="UXQ22" s="3507"/>
      <c r="UXR22" s="3507"/>
      <c r="UXS22" s="3507"/>
      <c r="UXT22" s="3507"/>
      <c r="UXU22" s="3507"/>
      <c r="UXV22" s="3507"/>
      <c r="UXW22" s="3507"/>
      <c r="UXX22" s="3507"/>
      <c r="UXY22" s="3507"/>
      <c r="UXZ22" s="3507"/>
      <c r="UYA22" s="3507"/>
      <c r="UYB22" s="3507"/>
      <c r="UYC22" s="3507"/>
      <c r="UYD22" s="3507"/>
      <c r="UYE22" s="3507"/>
      <c r="UYF22" s="3507"/>
      <c r="UYG22" s="3507"/>
      <c r="UYH22" s="3507"/>
      <c r="UYI22" s="3507"/>
      <c r="UYJ22" s="3507"/>
      <c r="UYK22" s="3507"/>
      <c r="UYL22" s="3507"/>
      <c r="UYM22" s="3507"/>
      <c r="UYN22" s="3507"/>
      <c r="UYO22" s="3507"/>
      <c r="UYP22" s="3507"/>
      <c r="UYQ22" s="3507"/>
      <c r="UYR22" s="3507"/>
      <c r="UYS22" s="3507"/>
      <c r="UYT22" s="3507"/>
      <c r="UYU22" s="3507"/>
      <c r="UYV22" s="3507"/>
      <c r="UYW22" s="3507"/>
      <c r="UYX22" s="3507"/>
      <c r="UYY22" s="3507"/>
      <c r="UYZ22" s="3507"/>
      <c r="UZA22" s="3507"/>
      <c r="UZB22" s="3507"/>
      <c r="UZC22" s="3507"/>
      <c r="UZD22" s="3507"/>
      <c r="UZE22" s="3507"/>
      <c r="UZF22" s="3507"/>
      <c r="UZG22" s="3507"/>
      <c r="UZH22" s="3507"/>
      <c r="UZI22" s="3507"/>
      <c r="UZJ22" s="3507"/>
      <c r="UZK22" s="3507"/>
      <c r="UZL22" s="3507"/>
      <c r="UZM22" s="3507"/>
      <c r="UZN22" s="3507"/>
      <c r="UZO22" s="3507"/>
      <c r="UZP22" s="3507"/>
      <c r="UZQ22" s="3507"/>
      <c r="UZR22" s="3507"/>
      <c r="UZS22" s="3507"/>
      <c r="UZT22" s="3507"/>
      <c r="UZU22" s="3507"/>
      <c r="UZV22" s="3507"/>
      <c r="UZW22" s="3507"/>
      <c r="UZX22" s="3507"/>
      <c r="UZY22" s="3507"/>
      <c r="UZZ22" s="3507"/>
      <c r="VAA22" s="3507"/>
      <c r="VAB22" s="3507"/>
      <c r="VAC22" s="3507"/>
      <c r="VAD22" s="3507"/>
      <c r="VAE22" s="3507"/>
      <c r="VAF22" s="3507"/>
      <c r="VAG22" s="3507"/>
      <c r="VAH22" s="3507"/>
      <c r="VAI22" s="3507"/>
      <c r="VAJ22" s="3507"/>
      <c r="VAK22" s="3507"/>
      <c r="VAL22" s="3507"/>
      <c r="VAM22" s="3507"/>
      <c r="VAN22" s="3507"/>
      <c r="VAO22" s="3507"/>
      <c r="VAP22" s="3507"/>
      <c r="VAQ22" s="3507"/>
      <c r="VAR22" s="3507"/>
      <c r="VAS22" s="3507"/>
      <c r="VAT22" s="3507"/>
      <c r="VAU22" s="3507"/>
      <c r="VAV22" s="3507"/>
      <c r="VAW22" s="3507"/>
      <c r="VAX22" s="3507"/>
      <c r="VAY22" s="3507"/>
      <c r="VAZ22" s="3507"/>
      <c r="VBA22" s="3507"/>
      <c r="VBB22" s="3507"/>
      <c r="VBC22" s="3507"/>
      <c r="VBD22" s="3507"/>
      <c r="VBE22" s="3507"/>
      <c r="VBF22" s="3507"/>
      <c r="VBG22" s="3507"/>
      <c r="VBH22" s="3507"/>
      <c r="VBI22" s="3507"/>
      <c r="VBJ22" s="3507"/>
      <c r="VBK22" s="3507"/>
      <c r="VBL22" s="3507"/>
      <c r="VBM22" s="3507"/>
      <c r="VBN22" s="3507"/>
      <c r="VBO22" s="3507"/>
      <c r="VBP22" s="3507"/>
      <c r="VBQ22" s="3507"/>
      <c r="VBR22" s="3507"/>
      <c r="VBS22" s="3507"/>
      <c r="VBT22" s="3507"/>
      <c r="VBU22" s="3507"/>
      <c r="VBV22" s="3507"/>
      <c r="VBW22" s="3507"/>
      <c r="VBX22" s="3507"/>
      <c r="VBY22" s="3507"/>
      <c r="VBZ22" s="3507"/>
      <c r="VCA22" s="3507"/>
      <c r="VCB22" s="3507"/>
      <c r="VCC22" s="3507"/>
      <c r="VCD22" s="3507"/>
      <c r="VCE22" s="3507"/>
      <c r="VCF22" s="3507"/>
      <c r="VCG22" s="3507"/>
      <c r="VCH22" s="3507"/>
      <c r="VCI22" s="3507"/>
      <c r="VCJ22" s="3507"/>
      <c r="VCK22" s="3507"/>
      <c r="VCL22" s="3507"/>
      <c r="VCM22" s="3507"/>
      <c r="VCN22" s="3507"/>
      <c r="VCO22" s="3507"/>
      <c r="VCP22" s="3507"/>
      <c r="VCQ22" s="3507"/>
      <c r="VCR22" s="3507"/>
      <c r="VCS22" s="3507"/>
      <c r="VCT22" s="3507"/>
      <c r="VCU22" s="3507"/>
      <c r="VCV22" s="3507"/>
      <c r="VCW22" s="3507"/>
      <c r="VCX22" s="3507"/>
      <c r="VCY22" s="3507"/>
      <c r="VCZ22" s="3507"/>
      <c r="VDA22" s="3507"/>
      <c r="VDB22" s="3507"/>
      <c r="VDC22" s="3507"/>
      <c r="VDD22" s="3507"/>
      <c r="VDE22" s="3507"/>
      <c r="VDF22" s="3507"/>
      <c r="VDG22" s="3507"/>
      <c r="VDH22" s="3507"/>
      <c r="VDI22" s="3507"/>
      <c r="VDJ22" s="3507"/>
      <c r="VDK22" s="3507"/>
      <c r="VDL22" s="3507"/>
      <c r="VDM22" s="3507"/>
      <c r="VDN22" s="3507"/>
      <c r="VDO22" s="3507"/>
      <c r="VDP22" s="3507"/>
      <c r="VDQ22" s="3507"/>
      <c r="VDR22" s="3507"/>
      <c r="VDS22" s="3507"/>
      <c r="VDT22" s="3507"/>
      <c r="VDU22" s="3507"/>
      <c r="VDV22" s="3507"/>
      <c r="VDW22" s="3507"/>
      <c r="VDX22" s="3507"/>
      <c r="VDY22" s="3507"/>
      <c r="VDZ22" s="3507"/>
      <c r="VEA22" s="3507"/>
      <c r="VEB22" s="3507"/>
      <c r="VEC22" s="3507"/>
      <c r="VED22" s="3507"/>
      <c r="VEE22" s="3507"/>
      <c r="VEF22" s="3507"/>
      <c r="VEG22" s="3507"/>
      <c r="VEH22" s="3507"/>
      <c r="VEI22" s="3507"/>
      <c r="VEJ22" s="3507"/>
      <c r="VEK22" s="3507"/>
      <c r="VEL22" s="3507"/>
      <c r="VEM22" s="3507"/>
      <c r="VEN22" s="3507"/>
      <c r="VEO22" s="3507"/>
      <c r="VEP22" s="3507"/>
      <c r="VEQ22" s="3507"/>
      <c r="VER22" s="3507"/>
      <c r="VES22" s="3507"/>
      <c r="VET22" s="3507"/>
      <c r="VEU22" s="3507"/>
      <c r="VEV22" s="3507"/>
      <c r="VEW22" s="3507"/>
      <c r="VEX22" s="3507"/>
      <c r="VEY22" s="3507"/>
      <c r="VEZ22" s="3507"/>
      <c r="VFA22" s="3507"/>
      <c r="VFB22" s="3507"/>
      <c r="VFC22" s="3507"/>
      <c r="VFD22" s="3507"/>
      <c r="VFE22" s="3507"/>
      <c r="VFF22" s="3507"/>
      <c r="VFG22" s="3507"/>
      <c r="VFH22" s="3507"/>
      <c r="VFI22" s="3507"/>
      <c r="VFJ22" s="3507"/>
      <c r="VFK22" s="3507"/>
      <c r="VFL22" s="3507"/>
      <c r="VFM22" s="3507"/>
      <c r="VFN22" s="3507"/>
      <c r="VFO22" s="3507"/>
      <c r="VFP22" s="3507"/>
      <c r="VFQ22" s="3507"/>
      <c r="VFR22" s="3507"/>
      <c r="VFS22" s="3507"/>
      <c r="VFT22" s="3507"/>
      <c r="VFU22" s="3507"/>
      <c r="VFV22" s="3507"/>
      <c r="VFW22" s="3507"/>
      <c r="VFX22" s="3507"/>
      <c r="VFY22" s="3507"/>
      <c r="VFZ22" s="3507"/>
      <c r="VGA22" s="3507"/>
      <c r="VGB22" s="3507"/>
      <c r="VGC22" s="3507"/>
      <c r="VGD22" s="3507"/>
      <c r="VGE22" s="3507"/>
      <c r="VGF22" s="3507"/>
      <c r="VGG22" s="3507"/>
      <c r="VGH22" s="3507"/>
      <c r="VGI22" s="3507"/>
      <c r="VGJ22" s="3507"/>
      <c r="VGK22" s="3507"/>
      <c r="VGL22" s="3507"/>
      <c r="VGM22" s="3507"/>
      <c r="VGN22" s="3507"/>
      <c r="VGO22" s="3507"/>
      <c r="VGP22" s="3507"/>
      <c r="VGQ22" s="3507"/>
      <c r="VGR22" s="3507"/>
      <c r="VGS22" s="3507"/>
      <c r="VGT22" s="3507"/>
      <c r="VGU22" s="3507"/>
      <c r="VGV22" s="3507"/>
      <c r="VGW22" s="3507"/>
      <c r="VGX22" s="3507"/>
      <c r="VGY22" s="3507"/>
      <c r="VGZ22" s="3507"/>
      <c r="VHA22" s="3507"/>
      <c r="VHB22" s="3507"/>
      <c r="VHC22" s="3507"/>
      <c r="VHD22" s="3507"/>
      <c r="VHE22" s="3507"/>
      <c r="VHF22" s="3507"/>
      <c r="VHG22" s="3507"/>
      <c r="VHH22" s="3507"/>
      <c r="VHI22" s="3507"/>
      <c r="VHJ22" s="3507"/>
      <c r="VHK22" s="3507"/>
      <c r="VHL22" s="3507"/>
      <c r="VHM22" s="3507"/>
      <c r="VHN22" s="3507"/>
      <c r="VHO22" s="3507"/>
      <c r="VHP22" s="3507"/>
      <c r="VHQ22" s="3507"/>
      <c r="VHR22" s="3507"/>
      <c r="VHS22" s="3507"/>
      <c r="VHT22" s="3507"/>
      <c r="VHU22" s="3507"/>
      <c r="VHV22" s="3507"/>
      <c r="VHW22" s="3507"/>
      <c r="VHX22" s="3507"/>
      <c r="VHY22" s="3507"/>
      <c r="VHZ22" s="3507"/>
      <c r="VIA22" s="3507"/>
      <c r="VIB22" s="3507"/>
      <c r="VIC22" s="3507"/>
      <c r="VID22" s="3507"/>
      <c r="VIE22" s="3507"/>
      <c r="VIF22" s="3507"/>
      <c r="VIG22" s="3507"/>
      <c r="VIH22" s="3507"/>
      <c r="VII22" s="3507"/>
      <c r="VIJ22" s="3507"/>
      <c r="VIK22" s="3507"/>
      <c r="VIL22" s="3507"/>
      <c r="VIM22" s="3507"/>
      <c r="VIN22" s="3507"/>
      <c r="VIO22" s="3507"/>
      <c r="VIP22" s="3507"/>
      <c r="VIQ22" s="3507"/>
      <c r="VIR22" s="3507"/>
      <c r="VIS22" s="3507"/>
      <c r="VIT22" s="3507"/>
      <c r="VIU22" s="3507"/>
      <c r="VIV22" s="3507"/>
      <c r="VIW22" s="3507"/>
      <c r="VIX22" s="3507"/>
      <c r="VIY22" s="3507"/>
      <c r="VIZ22" s="3507"/>
      <c r="VJA22" s="3507"/>
      <c r="VJB22" s="3507"/>
      <c r="VJC22" s="3507"/>
      <c r="VJD22" s="3507"/>
      <c r="VJE22" s="3507"/>
      <c r="VJF22" s="3507"/>
      <c r="VJG22" s="3507"/>
      <c r="VJH22" s="3507"/>
      <c r="VJI22" s="3507"/>
      <c r="VJJ22" s="3507"/>
      <c r="VJK22" s="3507"/>
      <c r="VJL22" s="3507"/>
      <c r="VJM22" s="3507"/>
      <c r="VJN22" s="3507"/>
      <c r="VJO22" s="3507"/>
      <c r="VJP22" s="3507"/>
      <c r="VJQ22" s="3507"/>
      <c r="VJR22" s="3507"/>
      <c r="VJS22" s="3507"/>
      <c r="VJT22" s="3507"/>
      <c r="VJU22" s="3507"/>
      <c r="VJV22" s="3507"/>
      <c r="VJW22" s="3507"/>
      <c r="VJX22" s="3507"/>
      <c r="VJY22" s="3507"/>
      <c r="VJZ22" s="3507"/>
      <c r="VKA22" s="3507"/>
      <c r="VKB22" s="3507"/>
      <c r="VKC22" s="3507"/>
      <c r="VKD22" s="3507"/>
      <c r="VKE22" s="3507"/>
      <c r="VKF22" s="3507"/>
      <c r="VKG22" s="3507"/>
      <c r="VKH22" s="3507"/>
      <c r="VKI22" s="3507"/>
      <c r="VKJ22" s="3507"/>
      <c r="VKK22" s="3507"/>
      <c r="VKL22" s="3507"/>
      <c r="VKM22" s="3507"/>
      <c r="VKN22" s="3507"/>
      <c r="VKO22" s="3507"/>
      <c r="VKP22" s="3507"/>
      <c r="VKQ22" s="3507"/>
      <c r="VKR22" s="3507"/>
      <c r="VKS22" s="3507"/>
      <c r="VKT22" s="3507"/>
      <c r="VKU22" s="3507"/>
      <c r="VKV22" s="3507"/>
      <c r="VKW22" s="3507"/>
      <c r="VKX22" s="3507"/>
      <c r="VKY22" s="3507"/>
      <c r="VKZ22" s="3507"/>
      <c r="VLA22" s="3507"/>
      <c r="VLB22" s="3507"/>
      <c r="VLC22" s="3507"/>
      <c r="VLD22" s="3507"/>
      <c r="VLE22" s="3507"/>
      <c r="VLF22" s="3507"/>
      <c r="VLG22" s="3507"/>
      <c r="VLH22" s="3507"/>
      <c r="VLI22" s="3507"/>
      <c r="VLJ22" s="3507"/>
      <c r="VLK22" s="3507"/>
      <c r="VLL22" s="3507"/>
      <c r="VLM22" s="3507"/>
      <c r="VLN22" s="3507"/>
      <c r="VLO22" s="3507"/>
      <c r="VLP22" s="3507"/>
      <c r="VLQ22" s="3507"/>
      <c r="VLR22" s="3507"/>
      <c r="VLS22" s="3507"/>
      <c r="VLT22" s="3507"/>
      <c r="VLU22" s="3507"/>
      <c r="VLV22" s="3507"/>
      <c r="VLW22" s="3507"/>
      <c r="VLX22" s="3507"/>
      <c r="VLY22" s="3507"/>
      <c r="VLZ22" s="3507"/>
      <c r="VMA22" s="3507"/>
      <c r="VMB22" s="3507"/>
      <c r="VMC22" s="3507"/>
      <c r="VMD22" s="3507"/>
      <c r="VME22" s="3507"/>
      <c r="VMF22" s="3507"/>
      <c r="VMG22" s="3507"/>
      <c r="VMH22" s="3507"/>
      <c r="VMI22" s="3507"/>
      <c r="VMJ22" s="3507"/>
      <c r="VMK22" s="3507"/>
      <c r="VML22" s="3507"/>
      <c r="VMM22" s="3507"/>
      <c r="VMN22" s="3507"/>
      <c r="VMO22" s="3507"/>
      <c r="VMP22" s="3507"/>
      <c r="VMQ22" s="3507"/>
      <c r="VMR22" s="3507"/>
      <c r="VMS22" s="3507"/>
      <c r="VMT22" s="3507"/>
      <c r="VMU22" s="3507"/>
      <c r="VMV22" s="3507"/>
      <c r="VMW22" s="3507"/>
      <c r="VMX22" s="3507"/>
      <c r="VMY22" s="3507"/>
      <c r="VMZ22" s="3507"/>
      <c r="VNA22" s="3507"/>
      <c r="VNB22" s="3507"/>
      <c r="VNC22" s="3507"/>
      <c r="VND22" s="3507"/>
      <c r="VNE22" s="3507"/>
      <c r="VNF22" s="3507"/>
      <c r="VNG22" s="3507"/>
      <c r="VNH22" s="3507"/>
      <c r="VNI22" s="3507"/>
      <c r="VNJ22" s="3507"/>
      <c r="VNK22" s="3507"/>
      <c r="VNL22" s="3507"/>
      <c r="VNM22" s="3507"/>
      <c r="VNN22" s="3507"/>
      <c r="VNO22" s="3507"/>
      <c r="VNP22" s="3507"/>
      <c r="VNQ22" s="3507"/>
      <c r="VNR22" s="3507"/>
      <c r="VNS22" s="3507"/>
      <c r="VNT22" s="3507"/>
      <c r="VNU22" s="3507"/>
      <c r="VNV22" s="3507"/>
      <c r="VNW22" s="3507"/>
      <c r="VNX22" s="3507"/>
      <c r="VNY22" s="3507"/>
      <c r="VNZ22" s="3507"/>
      <c r="VOA22" s="3507"/>
      <c r="VOB22" s="3507"/>
      <c r="VOC22" s="3507"/>
      <c r="VOD22" s="3507"/>
      <c r="VOE22" s="3507"/>
      <c r="VOF22" s="3507"/>
      <c r="VOG22" s="3507"/>
      <c r="VOH22" s="3507"/>
      <c r="VOI22" s="3507"/>
      <c r="VOJ22" s="3507"/>
      <c r="VOK22" s="3507"/>
      <c r="VOL22" s="3507"/>
      <c r="VOM22" s="3507"/>
      <c r="VON22" s="3507"/>
      <c r="VOO22" s="3507"/>
      <c r="VOP22" s="3507"/>
      <c r="VOQ22" s="3507"/>
      <c r="VOR22" s="3507"/>
      <c r="VOS22" s="3507"/>
      <c r="VOT22" s="3507"/>
      <c r="VOU22" s="3507"/>
      <c r="VOV22" s="3507"/>
      <c r="VOW22" s="3507"/>
      <c r="VOX22" s="3507"/>
      <c r="VOY22" s="3507"/>
      <c r="VOZ22" s="3507"/>
      <c r="VPA22" s="3507"/>
      <c r="VPB22" s="3507"/>
      <c r="VPC22" s="3507"/>
      <c r="VPD22" s="3507"/>
      <c r="VPE22" s="3507"/>
      <c r="VPF22" s="3507"/>
      <c r="VPG22" s="3507"/>
      <c r="VPH22" s="3507"/>
      <c r="VPI22" s="3507"/>
      <c r="VPJ22" s="3507"/>
      <c r="VPK22" s="3507"/>
      <c r="VPL22" s="3507"/>
      <c r="VPM22" s="3507"/>
      <c r="VPN22" s="3507"/>
      <c r="VPO22" s="3507"/>
      <c r="VPP22" s="3507"/>
      <c r="VPQ22" s="3507"/>
      <c r="VPR22" s="3507"/>
      <c r="VPS22" s="3507"/>
      <c r="VPT22" s="3507"/>
      <c r="VPU22" s="3507"/>
      <c r="VPV22" s="3507"/>
      <c r="VPW22" s="3507"/>
      <c r="VPX22" s="3507"/>
      <c r="VPY22" s="3507"/>
      <c r="VPZ22" s="3507"/>
      <c r="VQA22" s="3507"/>
      <c r="VQB22" s="3507"/>
      <c r="VQC22" s="3507"/>
      <c r="VQD22" s="3507"/>
      <c r="VQE22" s="3507"/>
      <c r="VQF22" s="3507"/>
      <c r="VQG22" s="3507"/>
      <c r="VQH22" s="3507"/>
      <c r="VQI22" s="3507"/>
      <c r="VQJ22" s="3507"/>
      <c r="VQK22" s="3507"/>
      <c r="VQL22" s="3507"/>
      <c r="VQM22" s="3507"/>
      <c r="VQN22" s="3507"/>
      <c r="VQO22" s="3507"/>
      <c r="VQP22" s="3507"/>
      <c r="VQQ22" s="3507"/>
      <c r="VQR22" s="3507"/>
      <c r="VQS22" s="3507"/>
      <c r="VQT22" s="3507"/>
      <c r="VQU22" s="3507"/>
      <c r="VQV22" s="3507"/>
      <c r="VQW22" s="3507"/>
      <c r="VQX22" s="3507"/>
      <c r="VQY22" s="3507"/>
      <c r="VQZ22" s="3507"/>
      <c r="VRA22" s="3507"/>
      <c r="VRB22" s="3507"/>
      <c r="VRC22" s="3507"/>
      <c r="VRD22" s="3507"/>
      <c r="VRE22" s="3507"/>
      <c r="VRF22" s="3507"/>
      <c r="VRG22" s="3507"/>
      <c r="VRH22" s="3507"/>
      <c r="VRI22" s="3507"/>
      <c r="VRJ22" s="3507"/>
      <c r="VRK22" s="3507"/>
      <c r="VRL22" s="3507"/>
      <c r="VRM22" s="3507"/>
      <c r="VRN22" s="3507"/>
      <c r="VRO22" s="3507"/>
      <c r="VRP22" s="3507"/>
      <c r="VRQ22" s="3507"/>
      <c r="VRR22" s="3507"/>
      <c r="VRS22" s="3507"/>
      <c r="VRT22" s="3507"/>
      <c r="VRU22" s="3507"/>
      <c r="VRV22" s="3507"/>
      <c r="VRW22" s="3507"/>
      <c r="VRX22" s="3507"/>
      <c r="VRY22" s="3507"/>
      <c r="VRZ22" s="3507"/>
      <c r="VSA22" s="3507"/>
      <c r="VSB22" s="3507"/>
      <c r="VSC22" s="3507"/>
      <c r="VSD22" s="3507"/>
      <c r="VSE22" s="3507"/>
      <c r="VSF22" s="3507"/>
      <c r="VSG22" s="3507"/>
      <c r="VSH22" s="3507"/>
      <c r="VSI22" s="3507"/>
      <c r="VSJ22" s="3507"/>
      <c r="VSK22" s="3507"/>
      <c r="VSL22" s="3507"/>
      <c r="VSM22" s="3507"/>
      <c r="VSN22" s="3507"/>
      <c r="VSO22" s="3507"/>
      <c r="VSP22" s="3507"/>
      <c r="VSQ22" s="3507"/>
      <c r="VSR22" s="3507"/>
      <c r="VSS22" s="3507"/>
      <c r="VST22" s="3507"/>
      <c r="VSU22" s="3507"/>
      <c r="VSV22" s="3507"/>
      <c r="VSW22" s="3507"/>
      <c r="VSX22" s="3507"/>
      <c r="VSY22" s="3507"/>
      <c r="VSZ22" s="3507"/>
      <c r="VTA22" s="3507"/>
      <c r="VTB22" s="3507"/>
      <c r="VTC22" s="3507"/>
      <c r="VTD22" s="3507"/>
      <c r="VTE22" s="3507"/>
      <c r="VTF22" s="3507"/>
      <c r="VTG22" s="3507"/>
      <c r="VTH22" s="3507"/>
      <c r="VTI22" s="3507"/>
      <c r="VTJ22" s="3507"/>
      <c r="VTK22" s="3507"/>
      <c r="VTL22" s="3507"/>
      <c r="VTM22" s="3507"/>
      <c r="VTN22" s="3507"/>
      <c r="VTO22" s="3507"/>
      <c r="VTP22" s="3507"/>
      <c r="VTQ22" s="3507"/>
      <c r="VTR22" s="3507"/>
      <c r="VTS22" s="3507"/>
      <c r="VTT22" s="3507"/>
      <c r="VTU22" s="3507"/>
      <c r="VTV22" s="3507"/>
      <c r="VTW22" s="3507"/>
      <c r="VTX22" s="3507"/>
      <c r="VTY22" s="3507"/>
      <c r="VTZ22" s="3507"/>
      <c r="VUA22" s="3507"/>
      <c r="VUB22" s="3507"/>
      <c r="VUC22" s="3507"/>
      <c r="VUD22" s="3507"/>
      <c r="VUE22" s="3507"/>
      <c r="VUF22" s="3507"/>
      <c r="VUG22" s="3507"/>
      <c r="VUH22" s="3507"/>
      <c r="VUI22" s="3507"/>
      <c r="VUJ22" s="3507"/>
      <c r="VUK22" s="3507"/>
      <c r="VUL22" s="3507"/>
      <c r="VUM22" s="3507"/>
      <c r="VUN22" s="3507"/>
      <c r="VUO22" s="3507"/>
      <c r="VUP22" s="3507"/>
      <c r="VUQ22" s="3507"/>
      <c r="VUR22" s="3507"/>
      <c r="VUS22" s="3507"/>
      <c r="VUT22" s="3507"/>
      <c r="VUU22" s="3507"/>
      <c r="VUV22" s="3507"/>
      <c r="VUW22" s="3507"/>
      <c r="VUX22" s="3507"/>
      <c r="VUY22" s="3507"/>
      <c r="VUZ22" s="3507"/>
      <c r="VVA22" s="3507"/>
      <c r="VVB22" s="3507"/>
      <c r="VVC22" s="3507"/>
      <c r="VVD22" s="3507"/>
      <c r="VVE22" s="3507"/>
      <c r="VVF22" s="3507"/>
      <c r="VVG22" s="3507"/>
      <c r="VVH22" s="3507"/>
      <c r="VVI22" s="3507"/>
      <c r="VVJ22" s="3507"/>
      <c r="VVK22" s="3507"/>
      <c r="VVL22" s="3507"/>
      <c r="VVM22" s="3507"/>
      <c r="VVN22" s="3507"/>
      <c r="VVO22" s="3507"/>
      <c r="VVP22" s="3507"/>
      <c r="VVQ22" s="3507"/>
      <c r="VVR22" s="3507"/>
      <c r="VVS22" s="3507"/>
      <c r="VVT22" s="3507"/>
      <c r="VVU22" s="3507"/>
      <c r="VVV22" s="3507"/>
      <c r="VVW22" s="3507"/>
      <c r="VVX22" s="3507"/>
      <c r="VVY22" s="3507"/>
      <c r="VVZ22" s="3507"/>
      <c r="VWA22" s="3507"/>
      <c r="VWB22" s="3507"/>
      <c r="VWC22" s="3507"/>
      <c r="VWD22" s="3507"/>
      <c r="VWE22" s="3507"/>
      <c r="VWF22" s="3507"/>
      <c r="VWG22" s="3507"/>
      <c r="VWH22" s="3507"/>
      <c r="VWI22" s="3507"/>
      <c r="VWJ22" s="3507"/>
      <c r="VWK22" s="3507"/>
      <c r="VWL22" s="3507"/>
      <c r="VWM22" s="3507"/>
      <c r="VWN22" s="3507"/>
      <c r="VWO22" s="3507"/>
      <c r="VWP22" s="3507"/>
      <c r="VWQ22" s="3507"/>
      <c r="VWR22" s="3507"/>
      <c r="VWS22" s="3507"/>
      <c r="VWT22" s="3507"/>
      <c r="VWU22" s="3507"/>
      <c r="VWV22" s="3507"/>
      <c r="VWW22" s="3507"/>
      <c r="VWX22" s="3507"/>
      <c r="VWY22" s="3507"/>
      <c r="VWZ22" s="3507"/>
      <c r="VXA22" s="3507"/>
      <c r="VXB22" s="3507"/>
      <c r="VXC22" s="3507"/>
      <c r="VXD22" s="3507"/>
      <c r="VXE22" s="3507"/>
      <c r="VXF22" s="3507"/>
      <c r="VXG22" s="3507"/>
      <c r="VXH22" s="3507"/>
      <c r="VXI22" s="3507"/>
      <c r="VXJ22" s="3507"/>
      <c r="VXK22" s="3507"/>
      <c r="VXL22" s="3507"/>
      <c r="VXM22" s="3507"/>
      <c r="VXN22" s="3507"/>
      <c r="VXO22" s="3507"/>
      <c r="VXP22" s="3507"/>
      <c r="VXQ22" s="3507"/>
      <c r="VXR22" s="3507"/>
      <c r="VXS22" s="3507"/>
      <c r="VXT22" s="3507"/>
      <c r="VXU22" s="3507"/>
      <c r="VXV22" s="3507"/>
      <c r="VXW22" s="3507"/>
      <c r="VXX22" s="3507"/>
      <c r="VXY22" s="3507"/>
      <c r="VXZ22" s="3507"/>
      <c r="VYA22" s="3507"/>
      <c r="VYB22" s="3507"/>
      <c r="VYC22" s="3507"/>
      <c r="VYD22" s="3507"/>
      <c r="VYE22" s="3507"/>
      <c r="VYF22" s="3507"/>
      <c r="VYG22" s="3507"/>
      <c r="VYH22" s="3507"/>
      <c r="VYI22" s="3507"/>
      <c r="VYJ22" s="3507"/>
      <c r="VYK22" s="3507"/>
      <c r="VYL22" s="3507"/>
      <c r="VYM22" s="3507"/>
      <c r="VYN22" s="3507"/>
      <c r="VYO22" s="3507"/>
      <c r="VYP22" s="3507"/>
      <c r="VYQ22" s="3507"/>
      <c r="VYR22" s="3507"/>
      <c r="VYS22" s="3507"/>
      <c r="VYT22" s="3507"/>
      <c r="VYU22" s="3507"/>
      <c r="VYV22" s="3507"/>
      <c r="VYW22" s="3507"/>
      <c r="VYX22" s="3507"/>
      <c r="VYY22" s="3507"/>
      <c r="VYZ22" s="3507"/>
      <c r="VZA22" s="3507"/>
      <c r="VZB22" s="3507"/>
      <c r="VZC22" s="3507"/>
      <c r="VZD22" s="3507"/>
      <c r="VZE22" s="3507"/>
      <c r="VZF22" s="3507"/>
      <c r="VZG22" s="3507"/>
      <c r="VZH22" s="3507"/>
      <c r="VZI22" s="3507"/>
      <c r="VZJ22" s="3507"/>
      <c r="VZK22" s="3507"/>
      <c r="VZL22" s="3507"/>
      <c r="VZM22" s="3507"/>
      <c r="VZN22" s="3507"/>
      <c r="VZO22" s="3507"/>
      <c r="VZP22" s="3507"/>
      <c r="VZQ22" s="3507"/>
      <c r="VZR22" s="3507"/>
      <c r="VZS22" s="3507"/>
      <c r="VZT22" s="3507"/>
      <c r="VZU22" s="3507"/>
      <c r="VZV22" s="3507"/>
      <c r="VZW22" s="3507"/>
      <c r="VZX22" s="3507"/>
      <c r="VZY22" s="3507"/>
      <c r="VZZ22" s="3507"/>
      <c r="WAA22" s="3507"/>
      <c r="WAB22" s="3507"/>
      <c r="WAC22" s="3507"/>
      <c r="WAD22" s="3507"/>
      <c r="WAE22" s="3507"/>
      <c r="WAF22" s="3507"/>
      <c r="WAG22" s="3507"/>
      <c r="WAH22" s="3507"/>
      <c r="WAI22" s="3507"/>
      <c r="WAJ22" s="3507"/>
      <c r="WAK22" s="3507"/>
      <c r="WAL22" s="3507"/>
      <c r="WAM22" s="3507"/>
      <c r="WAN22" s="3507"/>
      <c r="WAO22" s="3507"/>
      <c r="WAP22" s="3507"/>
      <c r="WAQ22" s="3507"/>
      <c r="WAR22" s="3507"/>
      <c r="WAS22" s="3507"/>
      <c r="WAT22" s="3507"/>
      <c r="WAU22" s="3507"/>
      <c r="WAV22" s="3507"/>
      <c r="WAW22" s="3507"/>
      <c r="WAX22" s="3507"/>
      <c r="WAY22" s="3507"/>
      <c r="WAZ22" s="3507"/>
      <c r="WBA22" s="3507"/>
      <c r="WBB22" s="3507"/>
      <c r="WBC22" s="3507"/>
      <c r="WBD22" s="3507"/>
      <c r="WBE22" s="3507"/>
      <c r="WBF22" s="3507"/>
      <c r="WBG22" s="3507"/>
      <c r="WBH22" s="3507"/>
      <c r="WBI22" s="3507"/>
      <c r="WBJ22" s="3507"/>
      <c r="WBK22" s="3507"/>
      <c r="WBL22" s="3507"/>
      <c r="WBM22" s="3507"/>
      <c r="WBN22" s="3507"/>
      <c r="WBO22" s="3507"/>
      <c r="WBP22" s="3507"/>
      <c r="WBQ22" s="3507"/>
      <c r="WBR22" s="3507"/>
      <c r="WBS22" s="3507"/>
      <c r="WBT22" s="3507"/>
      <c r="WBU22" s="3507"/>
      <c r="WBV22" s="3507"/>
      <c r="WBW22" s="3507"/>
      <c r="WBX22" s="3507"/>
      <c r="WBY22" s="3507"/>
      <c r="WBZ22" s="3507"/>
      <c r="WCA22" s="3507"/>
      <c r="WCB22" s="3507"/>
      <c r="WCC22" s="3507"/>
      <c r="WCD22" s="3507"/>
      <c r="WCE22" s="3507"/>
      <c r="WCF22" s="3507"/>
      <c r="WCG22" s="3507"/>
      <c r="WCH22" s="3507"/>
      <c r="WCI22" s="3507"/>
      <c r="WCJ22" s="3507"/>
      <c r="WCK22" s="3507"/>
      <c r="WCL22" s="3507"/>
      <c r="WCM22" s="3507"/>
      <c r="WCN22" s="3507"/>
      <c r="WCO22" s="3507"/>
      <c r="WCP22" s="3507"/>
      <c r="WCQ22" s="3507"/>
      <c r="WCR22" s="3507"/>
      <c r="WCS22" s="3507"/>
      <c r="WCT22" s="3507"/>
      <c r="WCU22" s="3507"/>
      <c r="WCV22" s="3507"/>
      <c r="WCW22" s="3507"/>
      <c r="WCX22" s="3507"/>
      <c r="WCY22" s="3507"/>
      <c r="WCZ22" s="3507"/>
      <c r="WDA22" s="3507"/>
      <c r="WDB22" s="3507"/>
      <c r="WDC22" s="3507"/>
      <c r="WDD22" s="3507"/>
      <c r="WDE22" s="3507"/>
      <c r="WDF22" s="3507"/>
      <c r="WDG22" s="3507"/>
      <c r="WDH22" s="3507"/>
      <c r="WDI22" s="3507"/>
      <c r="WDJ22" s="3507"/>
      <c r="WDK22" s="3507"/>
      <c r="WDL22" s="3507"/>
      <c r="WDM22" s="3507"/>
      <c r="WDN22" s="3507"/>
      <c r="WDO22" s="3507"/>
      <c r="WDP22" s="3507"/>
      <c r="WDQ22" s="3507"/>
      <c r="WDR22" s="3507"/>
      <c r="WDS22" s="3507"/>
      <c r="WDT22" s="3507"/>
      <c r="WDU22" s="3507"/>
      <c r="WDV22" s="3507"/>
      <c r="WDW22" s="3507"/>
      <c r="WDX22" s="3507"/>
      <c r="WDY22" s="3507"/>
      <c r="WDZ22" s="3507"/>
      <c r="WEA22" s="3507"/>
      <c r="WEB22" s="3507"/>
      <c r="WEC22" s="3507"/>
      <c r="WED22" s="3507"/>
      <c r="WEE22" s="3507"/>
      <c r="WEF22" s="3507"/>
      <c r="WEG22" s="3507"/>
      <c r="WEH22" s="3507"/>
      <c r="WEI22" s="3507"/>
      <c r="WEJ22" s="3507"/>
      <c r="WEK22" s="3507"/>
      <c r="WEL22" s="3507"/>
      <c r="WEM22" s="3507"/>
      <c r="WEN22" s="3507"/>
      <c r="WEO22" s="3507"/>
      <c r="WEP22" s="3507"/>
      <c r="WEQ22" s="3507"/>
      <c r="WER22" s="3507"/>
      <c r="WES22" s="3507"/>
      <c r="WET22" s="3507"/>
      <c r="WEU22" s="3507"/>
      <c r="WEV22" s="3507"/>
      <c r="WEW22" s="3507"/>
      <c r="WEX22" s="3507"/>
      <c r="WEY22" s="3507"/>
      <c r="WEZ22" s="3507"/>
      <c r="WFA22" s="3507"/>
      <c r="WFB22" s="3507"/>
      <c r="WFC22" s="3507"/>
      <c r="WFD22" s="3507"/>
      <c r="WFE22" s="3507"/>
      <c r="WFF22" s="3507"/>
      <c r="WFG22" s="3507"/>
      <c r="WFH22" s="3507"/>
      <c r="WFI22" s="3507"/>
      <c r="WFJ22" s="3507"/>
      <c r="WFK22" s="3507"/>
      <c r="WFL22" s="3507"/>
      <c r="WFM22" s="3507"/>
      <c r="WFN22" s="3507"/>
      <c r="WFO22" s="3507"/>
      <c r="WFP22" s="3507"/>
      <c r="WFQ22" s="3507"/>
      <c r="WFR22" s="3507"/>
      <c r="WFS22" s="3507"/>
      <c r="WFT22" s="3507"/>
      <c r="WFU22" s="3507"/>
      <c r="WFV22" s="3507"/>
      <c r="WFW22" s="3507"/>
      <c r="WFX22" s="3507"/>
      <c r="WFY22" s="3507"/>
      <c r="WFZ22" s="3507"/>
      <c r="WGA22" s="3507"/>
      <c r="WGB22" s="3507"/>
      <c r="WGC22" s="3507"/>
      <c r="WGD22" s="3507"/>
      <c r="WGE22" s="3507"/>
      <c r="WGF22" s="3507"/>
      <c r="WGG22" s="3507"/>
      <c r="WGH22" s="3507"/>
      <c r="WGI22" s="3507"/>
      <c r="WGJ22" s="3507"/>
      <c r="WGK22" s="3507"/>
      <c r="WGL22" s="3507"/>
      <c r="WGM22" s="3507"/>
      <c r="WGN22" s="3507"/>
      <c r="WGO22" s="3507"/>
      <c r="WGP22" s="3507"/>
      <c r="WGQ22" s="3507"/>
      <c r="WGR22" s="3507"/>
      <c r="WGS22" s="3507"/>
      <c r="WGT22" s="3507"/>
      <c r="WGU22" s="3507"/>
      <c r="WGV22" s="3507"/>
      <c r="WGW22" s="3507"/>
      <c r="WGX22" s="3507"/>
      <c r="WGY22" s="3507"/>
      <c r="WGZ22" s="3507"/>
      <c r="WHA22" s="3507"/>
      <c r="WHB22" s="3507"/>
      <c r="WHC22" s="3507"/>
      <c r="WHD22" s="3507"/>
      <c r="WHE22" s="3507"/>
      <c r="WHF22" s="3507"/>
      <c r="WHG22" s="3507"/>
      <c r="WHH22" s="3507"/>
      <c r="WHI22" s="3507"/>
      <c r="WHJ22" s="3507"/>
      <c r="WHK22" s="3507"/>
      <c r="WHL22" s="3507"/>
      <c r="WHM22" s="3507"/>
      <c r="WHN22" s="3507"/>
      <c r="WHO22" s="3507"/>
      <c r="WHP22" s="3507"/>
      <c r="WHQ22" s="3507"/>
      <c r="WHR22" s="3507"/>
      <c r="WHS22" s="3507"/>
      <c r="WHT22" s="3507"/>
      <c r="WHU22" s="3507"/>
      <c r="WHV22" s="3507"/>
      <c r="WHW22" s="3507"/>
      <c r="WHX22" s="3507"/>
      <c r="WHY22" s="3507"/>
      <c r="WHZ22" s="3507"/>
      <c r="WIA22" s="3507"/>
      <c r="WIB22" s="3507"/>
      <c r="WIC22" s="3507"/>
      <c r="WID22" s="3507"/>
      <c r="WIE22" s="3507"/>
      <c r="WIF22" s="3507"/>
      <c r="WIG22" s="3507"/>
      <c r="WIH22" s="3507"/>
      <c r="WII22" s="3507"/>
      <c r="WIJ22" s="3507"/>
      <c r="WIK22" s="3507"/>
      <c r="WIL22" s="3507"/>
      <c r="WIM22" s="3507"/>
      <c r="WIN22" s="3507"/>
      <c r="WIO22" s="3507"/>
      <c r="WIP22" s="3507"/>
      <c r="WIQ22" s="3507"/>
      <c r="WIR22" s="3507"/>
      <c r="WIS22" s="3507"/>
      <c r="WIT22" s="3507"/>
      <c r="WIU22" s="3507"/>
      <c r="WIV22" s="3507"/>
      <c r="WIW22" s="3507"/>
      <c r="WIX22" s="3507"/>
      <c r="WIY22" s="3507"/>
      <c r="WIZ22" s="3507"/>
      <c r="WJA22" s="3507"/>
      <c r="WJB22" s="3507"/>
      <c r="WJC22" s="3507"/>
      <c r="WJD22" s="3507"/>
      <c r="WJE22" s="3507"/>
      <c r="WJF22" s="3507"/>
      <c r="WJG22" s="3507"/>
      <c r="WJH22" s="3507"/>
      <c r="WJI22" s="3507"/>
      <c r="WJJ22" s="3507"/>
      <c r="WJK22" s="3507"/>
      <c r="WJL22" s="3507"/>
      <c r="WJM22" s="3507"/>
      <c r="WJN22" s="3507"/>
      <c r="WJO22" s="3507"/>
      <c r="WJP22" s="3507"/>
      <c r="WJQ22" s="3507"/>
      <c r="WJR22" s="3507"/>
      <c r="WJS22" s="3507"/>
      <c r="WJT22" s="3507"/>
      <c r="WJU22" s="3507"/>
      <c r="WJV22" s="3507"/>
      <c r="WJW22" s="3507"/>
      <c r="WJX22" s="3507"/>
      <c r="WJY22" s="3507"/>
      <c r="WJZ22" s="3507"/>
      <c r="WKA22" s="3507"/>
      <c r="WKB22" s="3507"/>
      <c r="WKC22" s="3507"/>
      <c r="WKD22" s="3507"/>
      <c r="WKE22" s="3507"/>
      <c r="WKF22" s="3507"/>
      <c r="WKG22" s="3507"/>
      <c r="WKH22" s="3507"/>
      <c r="WKI22" s="3507"/>
      <c r="WKJ22" s="3507"/>
      <c r="WKK22" s="3507"/>
      <c r="WKL22" s="3507"/>
      <c r="WKM22" s="3507"/>
      <c r="WKN22" s="3507"/>
      <c r="WKO22" s="3507"/>
      <c r="WKP22" s="3507"/>
      <c r="WKQ22" s="3507"/>
      <c r="WKR22" s="3507"/>
      <c r="WKS22" s="3507"/>
      <c r="WKT22" s="3507"/>
      <c r="WKU22" s="3507"/>
      <c r="WKV22" s="3507"/>
      <c r="WKW22" s="3507"/>
      <c r="WKX22" s="3507"/>
      <c r="WKY22" s="3507"/>
      <c r="WKZ22" s="3507"/>
      <c r="WLA22" s="3507"/>
      <c r="WLB22" s="3507"/>
      <c r="WLC22" s="3507"/>
      <c r="WLD22" s="3507"/>
      <c r="WLE22" s="3507"/>
      <c r="WLF22" s="3507"/>
      <c r="WLG22" s="3507"/>
      <c r="WLH22" s="3507"/>
      <c r="WLI22" s="3507"/>
      <c r="WLJ22" s="3507"/>
      <c r="WLK22" s="3507"/>
      <c r="WLL22" s="3507"/>
      <c r="WLM22" s="3507"/>
      <c r="WLN22" s="3507"/>
      <c r="WLO22" s="3507"/>
      <c r="WLP22" s="3507"/>
      <c r="WLQ22" s="3507"/>
      <c r="WLR22" s="3507"/>
      <c r="WLS22" s="3507"/>
      <c r="WLT22" s="3507"/>
      <c r="WLU22" s="3507"/>
      <c r="WLV22" s="3507"/>
      <c r="WLW22" s="3507"/>
      <c r="WLX22" s="3507"/>
      <c r="WLY22" s="3507"/>
      <c r="WLZ22" s="3507"/>
      <c r="WMA22" s="3507"/>
      <c r="WMB22" s="3507"/>
      <c r="WMC22" s="3507"/>
      <c r="WMD22" s="3507"/>
      <c r="WME22" s="3507"/>
      <c r="WMF22" s="3507"/>
      <c r="WMG22" s="3507"/>
      <c r="WMH22" s="3507"/>
      <c r="WMI22" s="3507"/>
      <c r="WMJ22" s="3507"/>
      <c r="WMK22" s="3507"/>
      <c r="WML22" s="3507"/>
      <c r="WMM22" s="3507"/>
      <c r="WMN22" s="3507"/>
      <c r="WMO22" s="3507"/>
      <c r="WMP22" s="3507"/>
      <c r="WMQ22" s="3507"/>
      <c r="WMR22" s="3507"/>
      <c r="WMS22" s="3507"/>
      <c r="WMT22" s="3507"/>
      <c r="WMU22" s="3507"/>
      <c r="WMV22" s="3507"/>
      <c r="WMW22" s="3507"/>
      <c r="WMX22" s="3507"/>
      <c r="WMY22" s="3507"/>
      <c r="WMZ22" s="3507"/>
      <c r="WNA22" s="3507"/>
      <c r="WNB22" s="3507"/>
      <c r="WNC22" s="3507"/>
      <c r="WND22" s="3507"/>
      <c r="WNE22" s="3507"/>
      <c r="WNF22" s="3507"/>
      <c r="WNG22" s="3507"/>
      <c r="WNH22" s="3507"/>
      <c r="WNI22" s="3507"/>
      <c r="WNJ22" s="3507"/>
      <c r="WNK22" s="3507"/>
      <c r="WNL22" s="3507"/>
      <c r="WNM22" s="3507"/>
      <c r="WNN22" s="3507"/>
      <c r="WNO22" s="3507"/>
      <c r="WNP22" s="3507"/>
      <c r="WNQ22" s="3507"/>
      <c r="WNR22" s="3507"/>
      <c r="WNS22" s="3507"/>
      <c r="WNT22" s="3507"/>
      <c r="WNU22" s="3507"/>
      <c r="WNV22" s="3507"/>
      <c r="WNW22" s="3507"/>
      <c r="WNX22" s="3507"/>
      <c r="WNY22" s="3507"/>
      <c r="WNZ22" s="3507"/>
      <c r="WOA22" s="3507"/>
      <c r="WOB22" s="3507"/>
      <c r="WOC22" s="3507"/>
      <c r="WOD22" s="3507"/>
      <c r="WOE22" s="3507"/>
      <c r="WOF22" s="3507"/>
      <c r="WOG22" s="3507"/>
      <c r="WOH22" s="3507"/>
      <c r="WOI22" s="3507"/>
      <c r="WOJ22" s="3507"/>
      <c r="WOK22" s="3507"/>
      <c r="WOL22" s="3507"/>
      <c r="WOM22" s="3507"/>
      <c r="WON22" s="3507"/>
      <c r="WOO22" s="3507"/>
      <c r="WOP22" s="3507"/>
      <c r="WOQ22" s="3507"/>
      <c r="WOR22" s="3507"/>
      <c r="WOS22" s="3507"/>
      <c r="WOT22" s="3507"/>
      <c r="WOU22" s="3507"/>
      <c r="WOV22" s="3507"/>
      <c r="WOW22" s="3507"/>
      <c r="WOX22" s="3507"/>
      <c r="WOY22" s="3507"/>
      <c r="WOZ22" s="3507"/>
      <c r="WPA22" s="3507"/>
      <c r="WPB22" s="3507"/>
      <c r="WPC22" s="3507"/>
      <c r="WPD22" s="3507"/>
      <c r="WPE22" s="3507"/>
      <c r="WPF22" s="3507"/>
      <c r="WPG22" s="3507"/>
      <c r="WPH22" s="3507"/>
      <c r="WPI22" s="3507"/>
      <c r="WPJ22" s="3507"/>
      <c r="WPK22" s="3507"/>
      <c r="WPL22" s="3507"/>
      <c r="WPM22" s="3507"/>
      <c r="WPN22" s="3507"/>
      <c r="WPO22" s="3507"/>
      <c r="WPP22" s="3507"/>
      <c r="WPQ22" s="3507"/>
      <c r="WPR22" s="3507"/>
      <c r="WPS22" s="3507"/>
      <c r="WPT22" s="3507"/>
      <c r="WPU22" s="3507"/>
      <c r="WPV22" s="3507"/>
      <c r="WPW22" s="3507"/>
      <c r="WPX22" s="3507"/>
      <c r="WPY22" s="3507"/>
      <c r="WPZ22" s="3507"/>
      <c r="WQA22" s="3507"/>
      <c r="WQB22" s="3507"/>
      <c r="WQC22" s="3507"/>
      <c r="WQD22" s="3507"/>
      <c r="WQE22" s="3507"/>
      <c r="WQF22" s="3507"/>
      <c r="WQG22" s="3507"/>
      <c r="WQH22" s="3507"/>
      <c r="WQI22" s="3507"/>
      <c r="WQJ22" s="3507"/>
      <c r="WQK22" s="3507"/>
      <c r="WQL22" s="3507"/>
      <c r="WQM22" s="3507"/>
      <c r="WQN22" s="3507"/>
      <c r="WQO22" s="3507"/>
      <c r="WQP22" s="3507"/>
      <c r="WQQ22" s="3507"/>
      <c r="WQR22" s="3507"/>
      <c r="WQS22" s="3507"/>
      <c r="WQT22" s="3507"/>
      <c r="WQU22" s="3507"/>
      <c r="WQV22" s="3507"/>
      <c r="WQW22" s="3507"/>
      <c r="WQX22" s="3507"/>
      <c r="WQY22" s="3507"/>
      <c r="WQZ22" s="3507"/>
      <c r="WRA22" s="3507"/>
      <c r="WRB22" s="3507"/>
      <c r="WRC22" s="3507"/>
      <c r="WRD22" s="3507"/>
      <c r="WRE22" s="3507"/>
      <c r="WRF22" s="3507"/>
      <c r="WRG22" s="3507"/>
      <c r="WRH22" s="3507"/>
      <c r="WRI22" s="3507"/>
      <c r="WRJ22" s="3507"/>
      <c r="WRK22" s="3507"/>
      <c r="WRL22" s="3507"/>
      <c r="WRM22" s="3507"/>
      <c r="WRN22" s="3507"/>
      <c r="WRO22" s="3507"/>
      <c r="WRP22" s="3507"/>
      <c r="WRQ22" s="3507"/>
      <c r="WRR22" s="3507"/>
      <c r="WRS22" s="3507"/>
      <c r="WRT22" s="3507"/>
      <c r="WRU22" s="3507"/>
      <c r="WRV22" s="3507"/>
      <c r="WRW22" s="3507"/>
      <c r="WRX22" s="3507"/>
      <c r="WRY22" s="3507"/>
      <c r="WRZ22" s="3507"/>
      <c r="WSA22" s="3507"/>
      <c r="WSB22" s="3507"/>
      <c r="WSC22" s="3507"/>
      <c r="WSD22" s="3507"/>
      <c r="WSE22" s="3507"/>
      <c r="WSF22" s="3507"/>
      <c r="WSG22" s="3507"/>
      <c r="WSH22" s="3507"/>
      <c r="WSI22" s="3507"/>
      <c r="WSJ22" s="3507"/>
      <c r="WSK22" s="3507"/>
      <c r="WSL22" s="3507"/>
      <c r="WSM22" s="3507"/>
      <c r="WSN22" s="3507"/>
      <c r="WSO22" s="3507"/>
      <c r="WSP22" s="3507"/>
      <c r="WSQ22" s="3507"/>
      <c r="WSR22" s="3507"/>
      <c r="WSS22" s="3507"/>
      <c r="WST22" s="3507"/>
      <c r="WSU22" s="3507"/>
      <c r="WSV22" s="3507"/>
      <c r="WSW22" s="3507"/>
      <c r="WSX22" s="3507"/>
      <c r="WSY22" s="3507"/>
      <c r="WSZ22" s="3507"/>
      <c r="WTA22" s="3507"/>
      <c r="WTB22" s="3507"/>
      <c r="WTC22" s="3507"/>
      <c r="WTD22" s="3507"/>
      <c r="WTE22" s="3507"/>
      <c r="WTF22" s="3507"/>
      <c r="WTG22" s="3507"/>
      <c r="WTH22" s="3507"/>
      <c r="WTI22" s="3507"/>
      <c r="WTJ22" s="3507"/>
      <c r="WTK22" s="3507"/>
      <c r="WTL22" s="3507"/>
      <c r="WTM22" s="3507"/>
      <c r="WTN22" s="3507"/>
      <c r="WTO22" s="3507"/>
      <c r="WTP22" s="3507"/>
      <c r="WTQ22" s="3507"/>
      <c r="WTR22" s="3507"/>
      <c r="WTS22" s="3507"/>
      <c r="WTT22" s="3507"/>
      <c r="WTU22" s="3507"/>
      <c r="WTV22" s="3507"/>
      <c r="WTW22" s="3507"/>
      <c r="WTX22" s="3507"/>
      <c r="WTY22" s="3507"/>
      <c r="WTZ22" s="3507"/>
      <c r="WUA22" s="3507"/>
      <c r="WUB22" s="3507"/>
      <c r="WUC22" s="3507"/>
      <c r="WUD22" s="3507"/>
      <c r="WUE22" s="3507"/>
      <c r="WUF22" s="3507"/>
      <c r="WUG22" s="3507"/>
      <c r="WUH22" s="3507"/>
      <c r="WUI22" s="3507"/>
      <c r="WUJ22" s="3507"/>
      <c r="WUK22" s="3507"/>
      <c r="WUL22" s="3507"/>
      <c r="WUM22" s="3507"/>
      <c r="WUN22" s="3507"/>
      <c r="WUO22" s="3507"/>
      <c r="WUP22" s="3507"/>
      <c r="WUQ22" s="3507"/>
      <c r="WUR22" s="3507"/>
      <c r="WUS22" s="3507"/>
      <c r="WUT22" s="3507"/>
      <c r="WUU22" s="3507"/>
      <c r="WUV22" s="3507"/>
      <c r="WUW22" s="3507"/>
      <c r="WUX22" s="3507"/>
      <c r="WUY22" s="3507"/>
      <c r="WUZ22" s="3507"/>
      <c r="WVA22" s="3507"/>
      <c r="WVB22" s="3507"/>
      <c r="WVC22" s="3507"/>
      <c r="WVD22" s="3507"/>
      <c r="WVE22" s="3507"/>
      <c r="WVF22" s="3507"/>
      <c r="WVG22" s="3507"/>
      <c r="WVH22" s="3507"/>
      <c r="WVI22" s="3507"/>
      <c r="WVJ22" s="3507"/>
      <c r="WVK22" s="3507"/>
      <c r="WVL22" s="3507"/>
      <c r="WVM22" s="3507"/>
      <c r="WVN22" s="3507"/>
      <c r="WVO22" s="3507"/>
      <c r="WVP22" s="3507"/>
      <c r="WVQ22" s="3507"/>
      <c r="WVR22" s="3507"/>
      <c r="WVS22" s="3507"/>
      <c r="WVT22" s="3507"/>
      <c r="WVU22" s="3507"/>
      <c r="WVV22" s="3507"/>
      <c r="WVW22" s="3507"/>
      <c r="WVX22" s="3507"/>
      <c r="WVY22" s="3507"/>
      <c r="WVZ22" s="3507"/>
      <c r="WWA22" s="3507"/>
      <c r="WWB22" s="3507"/>
      <c r="WWC22" s="3507"/>
      <c r="WWD22" s="3507"/>
      <c r="WWE22" s="3507"/>
      <c r="WWF22" s="3507"/>
      <c r="WWG22" s="3507"/>
      <c r="WWH22" s="3507"/>
      <c r="WWI22" s="3507"/>
      <c r="WWJ22" s="3507"/>
      <c r="WWK22" s="3507"/>
      <c r="WWL22" s="3507"/>
      <c r="WWM22" s="3507"/>
      <c r="WWN22" s="3507"/>
      <c r="WWO22" s="3507"/>
      <c r="WWP22" s="3507"/>
      <c r="WWQ22" s="3507"/>
      <c r="WWR22" s="3507"/>
      <c r="WWS22" s="3507"/>
      <c r="WWT22" s="3507"/>
      <c r="WWU22" s="3507"/>
      <c r="WWV22" s="3507"/>
      <c r="WWW22" s="3507"/>
      <c r="WWX22" s="3507"/>
      <c r="WWY22" s="3507"/>
      <c r="WWZ22" s="3507"/>
      <c r="WXA22" s="3507"/>
      <c r="WXB22" s="3507"/>
      <c r="WXC22" s="3507"/>
      <c r="WXD22" s="3507"/>
      <c r="WXE22" s="3507"/>
      <c r="WXF22" s="3507"/>
      <c r="WXG22" s="3507"/>
      <c r="WXH22" s="3507"/>
      <c r="WXI22" s="3507"/>
      <c r="WXJ22" s="3507"/>
      <c r="WXK22" s="3507"/>
      <c r="WXL22" s="3507"/>
      <c r="WXM22" s="3507"/>
      <c r="WXN22" s="3507"/>
      <c r="WXO22" s="3507"/>
      <c r="WXP22" s="3507"/>
      <c r="WXQ22" s="3507"/>
      <c r="WXR22" s="3507"/>
      <c r="WXS22" s="3507"/>
      <c r="WXT22" s="3507"/>
      <c r="WXU22" s="3507"/>
      <c r="WXV22" s="3507"/>
      <c r="WXW22" s="3507"/>
      <c r="WXX22" s="3507"/>
      <c r="WXY22" s="3507"/>
      <c r="WXZ22" s="3507"/>
      <c r="WYA22" s="3507"/>
      <c r="WYB22" s="3507"/>
      <c r="WYC22" s="3507"/>
      <c r="WYD22" s="3507"/>
      <c r="WYE22" s="3507"/>
      <c r="WYF22" s="3507"/>
      <c r="WYG22" s="3507"/>
      <c r="WYH22" s="3507"/>
      <c r="WYI22" s="3507"/>
      <c r="WYJ22" s="3507"/>
      <c r="WYK22" s="3507"/>
      <c r="WYL22" s="3507"/>
      <c r="WYM22" s="3507"/>
      <c r="WYN22" s="3507"/>
      <c r="WYO22" s="3507"/>
      <c r="WYP22" s="3507"/>
      <c r="WYQ22" s="3507"/>
      <c r="WYR22" s="3507"/>
      <c r="WYS22" s="3507"/>
      <c r="WYT22" s="3507"/>
      <c r="WYU22" s="3507"/>
      <c r="WYV22" s="3507"/>
      <c r="WYW22" s="3507"/>
      <c r="WYX22" s="3507"/>
      <c r="WYY22" s="3507"/>
      <c r="WYZ22" s="3507"/>
      <c r="WZA22" s="3507"/>
      <c r="WZB22" s="3507"/>
      <c r="WZC22" s="3507"/>
      <c r="WZD22" s="3507"/>
      <c r="WZE22" s="3507"/>
      <c r="WZF22" s="3507"/>
      <c r="WZG22" s="3507"/>
      <c r="WZH22" s="3507"/>
      <c r="WZI22" s="3507"/>
      <c r="WZJ22" s="3507"/>
      <c r="WZK22" s="3507"/>
      <c r="WZL22" s="3507"/>
      <c r="WZM22" s="3507"/>
      <c r="WZN22" s="3507"/>
      <c r="WZO22" s="3507"/>
      <c r="WZP22" s="3507"/>
      <c r="WZQ22" s="3507"/>
      <c r="WZR22" s="3507"/>
      <c r="WZS22" s="3507"/>
      <c r="WZT22" s="3507"/>
      <c r="WZU22" s="3507"/>
      <c r="WZV22" s="3507"/>
      <c r="WZW22" s="3507"/>
      <c r="WZX22" s="3507"/>
      <c r="WZY22" s="3507"/>
      <c r="WZZ22" s="3507"/>
      <c r="XAA22" s="3507"/>
      <c r="XAB22" s="3507"/>
      <c r="XAC22" s="3507"/>
      <c r="XAD22" s="3507"/>
      <c r="XAE22" s="3507"/>
      <c r="XAF22" s="3507"/>
      <c r="XAG22" s="3507"/>
      <c r="XAH22" s="3507"/>
      <c r="XAI22" s="3507"/>
      <c r="XAJ22" s="3507"/>
      <c r="XAK22" s="3507"/>
      <c r="XAL22" s="3507"/>
      <c r="XAM22" s="3507"/>
      <c r="XAN22" s="3507"/>
      <c r="XAO22" s="3507"/>
      <c r="XAP22" s="3507"/>
      <c r="XAQ22" s="3507"/>
      <c r="XAR22" s="3507"/>
      <c r="XAS22" s="3507"/>
      <c r="XAT22" s="3507"/>
      <c r="XAU22" s="3507"/>
      <c r="XAV22" s="3507"/>
      <c r="XAW22" s="3507"/>
      <c r="XAX22" s="3507"/>
      <c r="XAY22" s="3507"/>
      <c r="XAZ22" s="3507"/>
      <c r="XBA22" s="3507"/>
      <c r="XBB22" s="3507"/>
      <c r="XBC22" s="3507"/>
      <c r="XBD22" s="3507"/>
      <c r="XBE22" s="3507"/>
      <c r="XBF22" s="3507"/>
      <c r="XBG22" s="3507"/>
      <c r="XBH22" s="3507"/>
      <c r="XBI22" s="3507"/>
      <c r="XBJ22" s="3507"/>
      <c r="XBK22" s="3507"/>
      <c r="XBL22" s="3507"/>
      <c r="XBM22" s="3507"/>
      <c r="XBN22" s="3507"/>
      <c r="XBO22" s="3507"/>
      <c r="XBP22" s="3507"/>
      <c r="XBQ22" s="3507"/>
      <c r="XBR22" s="3507"/>
      <c r="XBS22" s="3507"/>
      <c r="XBT22" s="3507"/>
      <c r="XBU22" s="3507"/>
      <c r="XBV22" s="3507"/>
      <c r="XBW22" s="3507"/>
      <c r="XBX22" s="3507"/>
      <c r="XBY22" s="3507"/>
      <c r="XBZ22" s="3507"/>
      <c r="XCA22" s="3507"/>
      <c r="XCB22" s="3507"/>
      <c r="XCC22" s="3507"/>
      <c r="XCD22" s="3507"/>
      <c r="XCE22" s="3507"/>
      <c r="XCF22" s="3507"/>
      <c r="XCG22" s="3507"/>
      <c r="XCH22" s="3507"/>
      <c r="XCI22" s="3507"/>
      <c r="XCJ22" s="3507"/>
      <c r="XCK22" s="3507"/>
      <c r="XCL22" s="3507"/>
      <c r="XCM22" s="3507"/>
      <c r="XCN22" s="3507"/>
      <c r="XCO22" s="3507"/>
      <c r="XCP22" s="3507"/>
      <c r="XCQ22" s="3507"/>
      <c r="XCR22" s="3507"/>
      <c r="XCS22" s="3507"/>
      <c r="XCT22" s="3507"/>
      <c r="XCU22" s="3507"/>
      <c r="XCV22" s="3507"/>
      <c r="XCW22" s="3507"/>
      <c r="XCX22" s="3507"/>
      <c r="XCY22" s="3507"/>
      <c r="XCZ22" s="3507"/>
      <c r="XDA22" s="3507"/>
      <c r="XDB22" s="3507"/>
      <c r="XDC22" s="3507"/>
      <c r="XDD22" s="3507"/>
      <c r="XDE22" s="3507"/>
      <c r="XDF22" s="3507"/>
      <c r="XDG22" s="3507"/>
      <c r="XDH22" s="3507"/>
      <c r="XDI22" s="3507"/>
      <c r="XDJ22" s="3507"/>
      <c r="XDK22" s="3507"/>
      <c r="XDL22" s="3507"/>
      <c r="XDM22" s="3507"/>
      <c r="XDN22" s="3507"/>
      <c r="XDO22" s="3507"/>
      <c r="XDP22" s="3507"/>
      <c r="XDQ22" s="3507"/>
      <c r="XDR22" s="3507"/>
      <c r="XDS22" s="3507"/>
      <c r="XDT22" s="3507"/>
      <c r="XDU22" s="3507"/>
      <c r="XDV22" s="3507"/>
      <c r="XDW22" s="3507"/>
      <c r="XDX22" s="3507"/>
      <c r="XDY22" s="3507"/>
      <c r="XDZ22" s="3507"/>
      <c r="XEA22" s="3507"/>
      <c r="XEB22" s="3507"/>
      <c r="XEC22" s="3507"/>
      <c r="XED22" s="3507"/>
      <c r="XEE22" s="3507"/>
      <c r="XEF22" s="3507"/>
      <c r="XEG22" s="3507"/>
      <c r="XEH22" s="3507"/>
      <c r="XEI22" s="3507"/>
      <c r="XEJ22" s="3507"/>
      <c r="XEK22" s="3507"/>
      <c r="XEL22" s="3507"/>
      <c r="XEM22" s="3507"/>
      <c r="XEN22" s="3507"/>
    </row>
    <row r="23" spans="1:16368" s="3516" customFormat="1" ht="17.100000000000001" customHeight="1">
      <c r="A23" s="3580"/>
      <c r="B23" s="3507"/>
      <c r="C23" s="3829" t="s">
        <v>5086</v>
      </c>
      <c r="D23" s="3508">
        <f>D4+D5+D6+D13+D14+D15+D16</f>
        <v>12269.369999999999</v>
      </c>
      <c r="G23" s="3508">
        <f>U4+U5+U6+U13+U14+U15+U16</f>
        <v>22938492.359999999</v>
      </c>
      <c r="H23" s="3517">
        <f>G23/D23/365</f>
        <v>5.1221199253054728</v>
      </c>
      <c r="I23" s="3508">
        <f>Y4+Y5+Y6+Y13+Y14+Y15+Y16</f>
        <v>3717005.76</v>
      </c>
      <c r="J23" s="3508">
        <f>I23/D23/365</f>
        <v>0.8300000264608155</v>
      </c>
      <c r="K23" s="3508"/>
      <c r="L23" s="3507"/>
      <c r="M23" s="3514"/>
      <c r="N23" s="3514"/>
      <c r="O23" s="3514"/>
      <c r="P23" s="3514"/>
      <c r="Q23" s="3514"/>
      <c r="R23" s="3514"/>
      <c r="S23" s="3514"/>
      <c r="T23" s="3832">
        <f>H23+J23</f>
        <v>5.9521199517662886</v>
      </c>
      <c r="U23" s="3514"/>
      <c r="V23" s="3514"/>
      <c r="W23" s="3514"/>
      <c r="X23" s="3514"/>
      <c r="Y23" s="3514"/>
      <c r="Z23" s="3514"/>
      <c r="AA23" s="3514"/>
      <c r="AB23" s="3514"/>
      <c r="AC23" s="3514"/>
      <c r="AD23" s="3514"/>
      <c r="AE23" s="3509"/>
      <c r="AF23" s="3510"/>
      <c r="AG23" s="3511"/>
      <c r="AH23" s="3509"/>
      <c r="AI23" s="3510"/>
      <c r="AJ23" s="3508"/>
      <c r="AK23" s="3508"/>
      <c r="AL23" s="3508"/>
      <c r="AM23" s="3508"/>
      <c r="AN23" s="3509"/>
      <c r="AO23" s="3510"/>
      <c r="AP23" s="3510"/>
      <c r="AQ23" s="3510"/>
      <c r="AR23" s="3510"/>
      <c r="AS23" s="3508"/>
      <c r="AT23" s="3508"/>
      <c r="AU23" s="3508"/>
      <c r="AV23" s="3509"/>
      <c r="AW23" s="3510"/>
      <c r="AX23" s="3508"/>
      <c r="AY23" s="3509"/>
      <c r="AZ23" s="3510"/>
      <c r="BA23" s="3508"/>
      <c r="BB23" s="3508"/>
      <c r="BE23" s="3512"/>
      <c r="BF23" s="3742"/>
      <c r="BG23" s="3742"/>
      <c r="BH23" s="3742"/>
      <c r="BI23" s="3742"/>
      <c r="BJ23" s="3508"/>
      <c r="BK23" s="3508"/>
      <c r="BL23" s="3509"/>
      <c r="BM23" s="3510"/>
      <c r="BN23" s="3511"/>
      <c r="BO23" s="3509"/>
      <c r="BP23" s="3510"/>
      <c r="BQ23" s="3511"/>
      <c r="BR23" s="3508"/>
      <c r="BS23" s="3508"/>
      <c r="BT23" s="3509"/>
      <c r="BU23" s="3510"/>
      <c r="BV23" s="3511"/>
      <c r="BW23" s="3509"/>
      <c r="BX23" s="3510"/>
      <c r="BY23" s="3511"/>
      <c r="BZ23" s="3508"/>
      <c r="CA23" s="3508"/>
      <c r="CB23" s="3509"/>
      <c r="CC23" s="3510"/>
      <c r="CD23" s="3508"/>
      <c r="CE23" s="3509"/>
      <c r="CF23" s="3510"/>
      <c r="CG23" s="3508"/>
      <c r="CH23" s="3508"/>
      <c r="CI23" s="3508"/>
      <c r="CJ23" s="3509"/>
      <c r="CK23" s="3510"/>
      <c r="CL23" s="3508"/>
      <c r="CM23" s="3508"/>
      <c r="CN23" s="3510"/>
      <c r="CO23" s="3508"/>
      <c r="CP23" s="3508"/>
      <c r="CQ23" s="3508"/>
      <c r="CR23" s="3509"/>
      <c r="CS23" s="3510"/>
      <c r="CT23" s="3508"/>
      <c r="CU23" s="3508"/>
      <c r="CV23" s="3510"/>
      <c r="CW23" s="3508"/>
      <c r="CX23" s="3508"/>
      <c r="CY23" s="3508"/>
      <c r="CZ23" s="3509"/>
      <c r="DA23" s="3510"/>
      <c r="DB23" s="3508"/>
      <c r="DC23" s="3509"/>
      <c r="DD23" s="3510"/>
      <c r="DE23" s="3508"/>
      <c r="DF23" s="3508"/>
      <c r="DG23" s="3508"/>
      <c r="DH23" s="3509"/>
      <c r="DI23" s="3510"/>
      <c r="DJ23" s="3508"/>
      <c r="DK23" s="3509"/>
      <c r="DL23" s="3510"/>
      <c r="DM23" s="3508"/>
      <c r="DN23" s="3513"/>
      <c r="DO23" s="3508"/>
      <c r="DP23" s="3509"/>
      <c r="DQ23" s="3510"/>
      <c r="DR23" s="3508"/>
      <c r="DS23" s="3509"/>
      <c r="DT23" s="3510"/>
      <c r="DU23" s="3508"/>
      <c r="DV23" s="3513"/>
      <c r="DW23" s="3508"/>
      <c r="DX23" s="3509"/>
      <c r="DY23" s="3510"/>
      <c r="DZ23" s="3508"/>
      <c r="EA23" s="3508"/>
      <c r="EB23" s="3510"/>
      <c r="EC23" s="3508"/>
      <c r="ED23" s="3508"/>
      <c r="EE23" s="3508"/>
      <c r="EF23" s="3508"/>
      <c r="EG23" s="3508"/>
      <c r="EH23" s="3508"/>
      <c r="EI23" s="3508"/>
      <c r="EJ23" s="3508"/>
      <c r="EK23" s="3509"/>
      <c r="EL23" s="3510"/>
      <c r="EM23" s="3510"/>
      <c r="EN23" s="3511"/>
      <c r="EO23" s="3509"/>
      <c r="EP23" s="3510"/>
      <c r="EQ23" s="3510"/>
      <c r="ER23" s="3508"/>
      <c r="ES23" s="3507"/>
      <c r="ET23" s="3507"/>
      <c r="EU23" s="3507"/>
      <c r="EV23" s="3822" t="s">
        <v>5075</v>
      </c>
      <c r="EW23" s="3823"/>
      <c r="EX23" s="3507"/>
      <c r="EY23" s="3507"/>
      <c r="EZ23" s="3822" t="s">
        <v>5076</v>
      </c>
      <c r="FA23" s="3716"/>
      <c r="FB23" s="3507"/>
      <c r="FC23" s="3507"/>
      <c r="FD23" s="3822" t="s">
        <v>5077</v>
      </c>
      <c r="FE23" s="3823"/>
      <c r="FF23" s="3507"/>
      <c r="FG23" s="3507"/>
      <c r="FH23" s="3822" t="s">
        <v>5078</v>
      </c>
      <c r="FI23" s="3511"/>
      <c r="FJ23" s="3509"/>
      <c r="FK23" s="3510"/>
      <c r="FL23" s="3822" t="s">
        <v>5079</v>
      </c>
      <c r="FM23" s="3823"/>
      <c r="FN23" s="3507"/>
      <c r="FO23" s="3507"/>
      <c r="FP23" s="3822" t="s">
        <v>5080</v>
      </c>
      <c r="FQ23" s="3511"/>
      <c r="FR23" s="3509"/>
      <c r="FS23" s="3510"/>
      <c r="FT23" s="3744" t="s">
        <v>4928</v>
      </c>
      <c r="FU23" s="3823"/>
      <c r="FV23" s="3507"/>
      <c r="FW23" s="3507"/>
      <c r="FX23" s="3744" t="s">
        <v>4929</v>
      </c>
      <c r="FY23" s="3511"/>
      <c r="FZ23" s="3509"/>
      <c r="GA23" s="3510"/>
      <c r="GB23" s="3744" t="s">
        <v>4930</v>
      </c>
      <c r="GC23" s="3823"/>
      <c r="GD23" s="3507"/>
      <c r="GE23" s="3507"/>
      <c r="GF23" s="3744" t="s">
        <v>4931</v>
      </c>
      <c r="GG23" s="3511"/>
      <c r="GH23" s="3509"/>
      <c r="GI23" s="3510"/>
      <c r="GJ23" s="3744" t="s">
        <v>4932</v>
      </c>
      <c r="GK23" s="3816"/>
      <c r="GL23" s="3507"/>
      <c r="GM23" s="3507"/>
      <c r="GN23" s="3744" t="s">
        <v>4933</v>
      </c>
      <c r="GO23" s="3511"/>
      <c r="GP23" s="3509"/>
      <c r="GQ23" s="3510"/>
      <c r="GR23" s="3744" t="s">
        <v>4934</v>
      </c>
      <c r="GS23" s="3823"/>
      <c r="GT23" s="3507"/>
      <c r="GU23" s="3507"/>
      <c r="GV23" s="3744" t="s">
        <v>4935</v>
      </c>
      <c r="GW23" s="3511"/>
      <c r="GX23" s="3509"/>
      <c r="GY23" s="3510"/>
      <c r="GZ23" s="3744" t="s">
        <v>4936</v>
      </c>
      <c r="HA23" s="3823"/>
      <c r="HB23" s="3507"/>
      <c r="HC23" s="3507"/>
      <c r="HD23" s="3744" t="s">
        <v>4937</v>
      </c>
      <c r="HE23" s="3511"/>
      <c r="HF23" s="3509"/>
      <c r="HG23" s="3510"/>
      <c r="HH23" s="3744" t="s">
        <v>4938</v>
      </c>
      <c r="HI23" s="3823"/>
      <c r="HJ23" s="3507"/>
      <c r="HK23" s="3507"/>
      <c r="HL23" s="3744" t="s">
        <v>4939</v>
      </c>
      <c r="HM23" s="3511"/>
      <c r="HN23" s="3509"/>
      <c r="HO23" s="3510"/>
      <c r="HP23" s="3744" t="s">
        <v>4940</v>
      </c>
      <c r="HQ23" s="3823"/>
      <c r="HR23" s="3507"/>
      <c r="HS23" s="3507"/>
      <c r="HT23" s="3744" t="s">
        <v>4941</v>
      </c>
      <c r="HU23" s="3511"/>
      <c r="HV23" s="3509"/>
      <c r="HW23" s="3510"/>
      <c r="HX23" s="3744" t="s">
        <v>4942</v>
      </c>
      <c r="HY23" s="3823"/>
      <c r="HZ23" s="3507"/>
      <c r="IA23" s="3507"/>
      <c r="IB23" s="3744" t="s">
        <v>4943</v>
      </c>
      <c r="IC23" s="3511"/>
      <c r="ID23" s="3509"/>
      <c r="IE23" s="3510"/>
      <c r="IF23" s="3744" t="s">
        <v>4944</v>
      </c>
      <c r="IG23" s="3823"/>
      <c r="IH23" s="3507"/>
      <c r="II23" s="3507"/>
      <c r="IJ23" s="3744" t="s">
        <v>4945</v>
      </c>
      <c r="IK23" s="3511"/>
      <c r="IL23" s="3507"/>
      <c r="IO23" s="3507"/>
      <c r="IP23" s="3515"/>
      <c r="IQ23" s="3515"/>
      <c r="IR23" s="3515"/>
      <c r="IS23" s="3515"/>
      <c r="IT23" s="3515"/>
      <c r="IU23" s="3515"/>
      <c r="IV23" s="3515"/>
      <c r="IW23" s="3515"/>
      <c r="IX23" s="3515"/>
      <c r="IY23" s="3515"/>
      <c r="IZ23" s="3515"/>
      <c r="JA23" s="3515"/>
      <c r="JB23" s="3515"/>
      <c r="JC23" s="3515"/>
      <c r="JD23" s="3515"/>
      <c r="JE23" s="3515"/>
      <c r="JF23" s="3515"/>
      <c r="JG23" s="3515"/>
      <c r="JH23" s="3515"/>
      <c r="JI23" s="3515"/>
      <c r="JJ23" s="3515"/>
      <c r="JK23" s="3515"/>
      <c r="JL23" s="3515"/>
      <c r="JM23" s="3515"/>
      <c r="JN23" s="3515"/>
      <c r="JO23" s="3515"/>
      <c r="JP23" s="3507"/>
      <c r="JS23" s="3507"/>
      <c r="JT23" s="3507"/>
      <c r="JU23" s="3507"/>
      <c r="JV23" s="3507"/>
      <c r="JW23" s="3507"/>
      <c r="JX23" s="3507"/>
      <c r="JY23" s="3507"/>
      <c r="KA23" s="3577"/>
      <c r="KB23" s="3577"/>
      <c r="KC23" s="3577"/>
      <c r="KD23" s="3577"/>
      <c r="KE23" s="3577"/>
      <c r="KF23" s="3577"/>
      <c r="KG23" s="3577"/>
      <c r="KH23" s="3577"/>
      <c r="KI23" s="3577"/>
      <c r="KJ23" s="3577"/>
      <c r="KK23" s="3577"/>
      <c r="KL23" s="3577"/>
      <c r="KM23" s="3577"/>
      <c r="KN23" s="3577"/>
      <c r="KO23" s="3577"/>
      <c r="KP23" s="3577"/>
      <c r="KS23" s="3507"/>
      <c r="KT23" s="3507"/>
      <c r="KU23" s="3507"/>
      <c r="KV23" s="3507"/>
      <c r="KW23" s="3507"/>
      <c r="KX23" s="3507"/>
      <c r="KY23" s="3507"/>
      <c r="KZ23" s="3507"/>
      <c r="LA23" s="3507"/>
      <c r="LB23" s="3507"/>
      <c r="LC23" s="3507"/>
      <c r="LD23" s="3507"/>
      <c r="LE23" s="3507"/>
      <c r="LF23" s="3507"/>
      <c r="LG23" s="3507"/>
      <c r="LH23" s="3507"/>
      <c r="LI23" s="3507"/>
      <c r="LJ23" s="3507"/>
      <c r="LK23" s="3507"/>
      <c r="LL23" s="3507"/>
      <c r="LM23" s="3507"/>
      <c r="LN23" s="3507"/>
      <c r="LO23" s="3507"/>
      <c r="LP23" s="3507"/>
      <c r="LQ23" s="3507"/>
      <c r="LR23" s="3507"/>
      <c r="LS23" s="3507"/>
      <c r="LT23" s="3507"/>
      <c r="LU23" s="3507"/>
      <c r="LV23" s="3507"/>
      <c r="LW23" s="3507"/>
      <c r="LX23" s="3507"/>
      <c r="LY23" s="3507"/>
      <c r="LZ23" s="3507"/>
      <c r="MA23" s="3507"/>
      <c r="MB23" s="3507"/>
      <c r="MC23" s="3507"/>
      <c r="MD23" s="3507"/>
      <c r="ME23" s="3507"/>
      <c r="MF23" s="3507"/>
      <c r="MG23" s="3507"/>
      <c r="MH23" s="3507"/>
      <c r="MI23" s="3507"/>
      <c r="MJ23" s="3507"/>
      <c r="MK23" s="3507"/>
      <c r="ML23" s="3507"/>
      <c r="MM23" s="3507"/>
      <c r="MN23" s="3507"/>
      <c r="MO23" s="3507"/>
      <c r="MP23" s="3507"/>
      <c r="MQ23" s="3507"/>
      <c r="MR23" s="3507"/>
      <c r="MS23" s="3507"/>
      <c r="MT23" s="3507"/>
      <c r="MU23" s="3507"/>
      <c r="MV23" s="3507"/>
      <c r="MW23" s="3507"/>
      <c r="MX23" s="3507"/>
      <c r="MY23" s="3507"/>
      <c r="MZ23" s="3507"/>
      <c r="NA23" s="3507"/>
      <c r="NB23" s="3507"/>
      <c r="NC23" s="3507"/>
      <c r="ND23" s="3507"/>
      <c r="NE23" s="3507"/>
      <c r="NF23" s="3507"/>
      <c r="NG23" s="3507"/>
      <c r="NH23" s="3507"/>
      <c r="NI23" s="3507"/>
      <c r="NJ23" s="3507"/>
      <c r="NK23" s="3507"/>
      <c r="NL23" s="3507"/>
      <c r="NM23" s="3507"/>
      <c r="NN23" s="3507"/>
      <c r="NO23" s="3507"/>
      <c r="NP23" s="3507"/>
      <c r="NQ23" s="3507"/>
      <c r="NR23" s="3507"/>
      <c r="NS23" s="3507"/>
      <c r="NT23" s="3507"/>
      <c r="NU23" s="3507"/>
      <c r="NV23" s="3507"/>
      <c r="NW23" s="3507"/>
      <c r="NX23" s="3507"/>
      <c r="NY23" s="3507"/>
      <c r="NZ23" s="3507"/>
      <c r="OA23" s="3507"/>
      <c r="OB23" s="3507"/>
      <c r="OC23" s="3507"/>
      <c r="OD23" s="3507"/>
      <c r="OE23" s="3507"/>
      <c r="OF23" s="3507"/>
      <c r="OG23" s="3507"/>
      <c r="OH23" s="3507"/>
      <c r="OI23" s="3507"/>
      <c r="OJ23" s="3507"/>
      <c r="OK23" s="3507"/>
      <c r="OL23" s="3507"/>
      <c r="OM23" s="3507"/>
      <c r="ON23" s="3507"/>
      <c r="OO23" s="3507"/>
      <c r="OP23" s="3507"/>
      <c r="OQ23" s="3507"/>
      <c r="OR23" s="3507"/>
      <c r="OS23" s="3507"/>
      <c r="OT23" s="3507"/>
      <c r="OU23" s="3507"/>
      <c r="OV23" s="3507"/>
      <c r="OW23" s="3507"/>
      <c r="OX23" s="3507"/>
      <c r="OY23" s="3507"/>
      <c r="OZ23" s="3507"/>
      <c r="PA23" s="3507"/>
      <c r="PB23" s="3507"/>
      <c r="PC23" s="3507"/>
      <c r="PD23" s="3507"/>
      <c r="PE23" s="3507"/>
      <c r="PF23" s="3507"/>
      <c r="PG23" s="3507"/>
      <c r="PH23" s="3507"/>
      <c r="PI23" s="3507"/>
      <c r="PJ23" s="3507"/>
      <c r="PK23" s="3507"/>
      <c r="PL23" s="3507"/>
      <c r="PM23" s="3507"/>
      <c r="PN23" s="3507"/>
      <c r="PO23" s="3507"/>
      <c r="PP23" s="3507"/>
      <c r="PQ23" s="3507"/>
      <c r="PR23" s="3507"/>
      <c r="PS23" s="3507"/>
      <c r="PT23" s="3507"/>
      <c r="PU23" s="3507"/>
      <c r="PV23" s="3507"/>
      <c r="PW23" s="3507"/>
      <c r="PX23" s="3507"/>
      <c r="PY23" s="3507"/>
      <c r="PZ23" s="3507"/>
      <c r="QA23" s="3507"/>
      <c r="QB23" s="3507"/>
      <c r="QC23" s="3507"/>
      <c r="QD23" s="3507"/>
      <c r="QE23" s="3507"/>
      <c r="QF23" s="3507"/>
      <c r="QG23" s="3507"/>
      <c r="QH23" s="3507"/>
      <c r="QI23" s="3507"/>
      <c r="QJ23" s="3507"/>
      <c r="QK23" s="3507"/>
      <c r="QL23" s="3507"/>
      <c r="QM23" s="3507"/>
      <c r="QN23" s="3507"/>
      <c r="QO23" s="3507"/>
      <c r="QP23" s="3507"/>
      <c r="QQ23" s="3507"/>
      <c r="QR23" s="3507"/>
      <c r="QS23" s="3507"/>
      <c r="QT23" s="3507"/>
      <c r="QU23" s="3507"/>
      <c r="QV23" s="3507"/>
      <c r="QW23" s="3507"/>
      <c r="QX23" s="3507"/>
      <c r="QY23" s="3507"/>
      <c r="QZ23" s="3507"/>
      <c r="RA23" s="3507"/>
      <c r="RB23" s="3507"/>
      <c r="RC23" s="3507"/>
      <c r="RD23" s="3507"/>
      <c r="RE23" s="3507"/>
      <c r="RF23" s="3507"/>
      <c r="RG23" s="3507"/>
      <c r="RH23" s="3507"/>
      <c r="RI23" s="3507"/>
      <c r="RJ23" s="3507"/>
      <c r="RK23" s="3507"/>
      <c r="RL23" s="3507"/>
      <c r="RM23" s="3507"/>
      <c r="RN23" s="3507"/>
      <c r="RO23" s="3507"/>
      <c r="RP23" s="3507"/>
      <c r="RQ23" s="3507"/>
      <c r="RR23" s="3507"/>
      <c r="RS23" s="3507"/>
      <c r="RT23" s="3507"/>
      <c r="RU23" s="3507"/>
      <c r="RV23" s="3507"/>
      <c r="RW23" s="3507"/>
      <c r="RX23" s="3507"/>
      <c r="RY23" s="3507"/>
      <c r="RZ23" s="3507"/>
      <c r="SA23" s="3507"/>
      <c r="SB23" s="3507"/>
      <c r="SC23" s="3507"/>
      <c r="SD23" s="3507"/>
      <c r="SE23" s="3507"/>
      <c r="SF23" s="3507"/>
      <c r="SG23" s="3507"/>
      <c r="SH23" s="3507"/>
      <c r="SI23" s="3507"/>
      <c r="SJ23" s="3507"/>
      <c r="SK23" s="3507"/>
      <c r="SL23" s="3507"/>
      <c r="SM23" s="3507"/>
      <c r="SN23" s="3507"/>
      <c r="SO23" s="3507"/>
      <c r="SP23" s="3507"/>
      <c r="SQ23" s="3507"/>
      <c r="SR23" s="3507"/>
      <c r="SS23" s="3507"/>
      <c r="ST23" s="3507"/>
      <c r="SU23" s="3507"/>
      <c r="SV23" s="3507"/>
      <c r="SW23" s="3507"/>
      <c r="SX23" s="3507"/>
      <c r="SY23" s="3507"/>
      <c r="SZ23" s="3507"/>
      <c r="TA23" s="3507"/>
      <c r="TB23" s="3507"/>
      <c r="TC23" s="3507"/>
      <c r="TD23" s="3507"/>
      <c r="TE23" s="3507"/>
      <c r="TF23" s="3507"/>
      <c r="TG23" s="3507"/>
      <c r="TH23" s="3507"/>
      <c r="TI23" s="3507"/>
      <c r="TJ23" s="3507"/>
      <c r="TK23" s="3507"/>
      <c r="TL23" s="3507"/>
      <c r="TM23" s="3507"/>
      <c r="TN23" s="3507"/>
      <c r="TO23" s="3507"/>
      <c r="TP23" s="3507"/>
      <c r="TQ23" s="3507"/>
      <c r="TR23" s="3507"/>
      <c r="TS23" s="3507"/>
      <c r="TT23" s="3507"/>
      <c r="TU23" s="3507"/>
      <c r="TV23" s="3507"/>
      <c r="TW23" s="3507"/>
      <c r="TX23" s="3507"/>
      <c r="TY23" s="3507"/>
      <c r="TZ23" s="3507"/>
      <c r="UA23" s="3507"/>
      <c r="UB23" s="3507"/>
      <c r="UC23" s="3507"/>
      <c r="UD23" s="3507"/>
      <c r="UE23" s="3507"/>
      <c r="UF23" s="3507"/>
      <c r="UG23" s="3507"/>
      <c r="UH23" s="3507"/>
      <c r="UI23" s="3507"/>
      <c r="UJ23" s="3507"/>
      <c r="UK23" s="3507"/>
      <c r="UL23" s="3507"/>
      <c r="UM23" s="3507"/>
      <c r="UN23" s="3507"/>
      <c r="UO23" s="3507"/>
      <c r="UP23" s="3507"/>
      <c r="UQ23" s="3507"/>
      <c r="UR23" s="3507"/>
      <c r="US23" s="3507"/>
      <c r="UT23" s="3507"/>
      <c r="UU23" s="3507"/>
      <c r="UV23" s="3507"/>
      <c r="UW23" s="3507"/>
      <c r="UX23" s="3507"/>
      <c r="UY23" s="3507"/>
      <c r="UZ23" s="3507"/>
      <c r="VA23" s="3507"/>
      <c r="VB23" s="3507"/>
      <c r="VC23" s="3507"/>
      <c r="VD23" s="3507"/>
      <c r="VE23" s="3507"/>
      <c r="VF23" s="3507"/>
      <c r="VG23" s="3507"/>
      <c r="VH23" s="3507"/>
      <c r="VI23" s="3507"/>
      <c r="VJ23" s="3507"/>
      <c r="VK23" s="3507"/>
      <c r="VL23" s="3507"/>
      <c r="VM23" s="3507"/>
      <c r="VN23" s="3507"/>
      <c r="VO23" s="3507"/>
      <c r="VP23" s="3507"/>
      <c r="VQ23" s="3507"/>
      <c r="VR23" s="3507"/>
      <c r="VS23" s="3507"/>
      <c r="VT23" s="3507"/>
      <c r="VU23" s="3507"/>
      <c r="VV23" s="3507"/>
      <c r="VW23" s="3507"/>
      <c r="VX23" s="3507"/>
      <c r="VY23" s="3507"/>
      <c r="VZ23" s="3507"/>
      <c r="WA23" s="3507"/>
      <c r="WB23" s="3507"/>
      <c r="WC23" s="3507"/>
      <c r="WD23" s="3507"/>
      <c r="WE23" s="3507"/>
      <c r="WF23" s="3507"/>
      <c r="WG23" s="3507"/>
      <c r="WH23" s="3507"/>
      <c r="WI23" s="3507"/>
      <c r="WJ23" s="3507"/>
      <c r="WK23" s="3507"/>
      <c r="WL23" s="3507"/>
      <c r="WM23" s="3507"/>
      <c r="WN23" s="3507"/>
      <c r="WO23" s="3507"/>
      <c r="WP23" s="3507"/>
      <c r="WQ23" s="3507"/>
      <c r="WR23" s="3507"/>
      <c r="WS23" s="3507"/>
      <c r="WT23" s="3507"/>
      <c r="WU23" s="3507"/>
      <c r="WV23" s="3507"/>
      <c r="WW23" s="3507"/>
      <c r="WX23" s="3507"/>
      <c r="WY23" s="3507"/>
      <c r="WZ23" s="3507"/>
      <c r="XA23" s="3507"/>
      <c r="XB23" s="3507"/>
      <c r="XC23" s="3507"/>
      <c r="XD23" s="3507"/>
      <c r="XE23" s="3507"/>
      <c r="XF23" s="3507"/>
      <c r="XG23" s="3507"/>
      <c r="XH23" s="3507"/>
      <c r="XI23" s="3507"/>
      <c r="XJ23" s="3507"/>
      <c r="XK23" s="3507"/>
      <c r="XL23" s="3507"/>
      <c r="XM23" s="3507"/>
      <c r="XN23" s="3507"/>
      <c r="XO23" s="3507"/>
      <c r="XP23" s="3507"/>
      <c r="XQ23" s="3507"/>
      <c r="XR23" s="3507"/>
      <c r="XS23" s="3507"/>
      <c r="XT23" s="3507"/>
      <c r="XU23" s="3507"/>
      <c r="XV23" s="3507"/>
      <c r="XW23" s="3507"/>
      <c r="XX23" s="3507"/>
      <c r="XY23" s="3507"/>
      <c r="XZ23" s="3507"/>
      <c r="YA23" s="3507"/>
      <c r="YB23" s="3507"/>
      <c r="YC23" s="3507"/>
      <c r="YD23" s="3507"/>
      <c r="YE23" s="3507"/>
      <c r="YF23" s="3507"/>
      <c r="YG23" s="3507"/>
      <c r="YH23" s="3507"/>
      <c r="YI23" s="3507"/>
      <c r="YJ23" s="3507"/>
      <c r="YK23" s="3507"/>
      <c r="YL23" s="3507"/>
      <c r="YM23" s="3507"/>
      <c r="YN23" s="3507"/>
      <c r="YO23" s="3507"/>
      <c r="YP23" s="3507"/>
      <c r="YQ23" s="3507"/>
      <c r="YR23" s="3507"/>
      <c r="YS23" s="3507"/>
      <c r="YT23" s="3507"/>
      <c r="YU23" s="3507"/>
      <c r="YV23" s="3507"/>
      <c r="YW23" s="3507"/>
      <c r="YX23" s="3507"/>
      <c r="YY23" s="3507"/>
      <c r="YZ23" s="3507"/>
      <c r="ZA23" s="3507"/>
      <c r="ZB23" s="3507"/>
      <c r="ZC23" s="3507"/>
      <c r="ZD23" s="3507"/>
      <c r="ZE23" s="3507"/>
      <c r="ZF23" s="3507"/>
      <c r="ZG23" s="3507"/>
      <c r="ZH23" s="3507"/>
      <c r="ZI23" s="3507"/>
      <c r="ZJ23" s="3507"/>
      <c r="ZK23" s="3507"/>
      <c r="ZL23" s="3507"/>
      <c r="ZM23" s="3507"/>
      <c r="ZN23" s="3507"/>
      <c r="ZO23" s="3507"/>
      <c r="ZP23" s="3507"/>
      <c r="ZQ23" s="3507"/>
      <c r="ZR23" s="3507"/>
      <c r="ZS23" s="3507"/>
      <c r="ZT23" s="3507"/>
      <c r="ZU23" s="3507"/>
      <c r="ZV23" s="3507"/>
      <c r="ZW23" s="3507"/>
      <c r="ZX23" s="3507"/>
      <c r="ZY23" s="3507"/>
      <c r="ZZ23" s="3507"/>
      <c r="AAA23" s="3507"/>
      <c r="AAB23" s="3507"/>
      <c r="AAC23" s="3507"/>
      <c r="AAD23" s="3507"/>
      <c r="AAE23" s="3507"/>
      <c r="AAF23" s="3507"/>
      <c r="AAG23" s="3507"/>
      <c r="AAH23" s="3507"/>
      <c r="AAI23" s="3507"/>
      <c r="AAJ23" s="3507"/>
      <c r="AAK23" s="3507"/>
      <c r="AAL23" s="3507"/>
      <c r="AAM23" s="3507"/>
      <c r="AAN23" s="3507"/>
      <c r="AAO23" s="3507"/>
      <c r="AAP23" s="3507"/>
      <c r="AAQ23" s="3507"/>
      <c r="AAR23" s="3507"/>
      <c r="AAS23" s="3507"/>
      <c r="AAT23" s="3507"/>
      <c r="AAU23" s="3507"/>
      <c r="AAV23" s="3507"/>
      <c r="AAW23" s="3507"/>
      <c r="AAX23" s="3507"/>
      <c r="AAY23" s="3507"/>
      <c r="AAZ23" s="3507"/>
      <c r="ABA23" s="3507"/>
      <c r="ABB23" s="3507"/>
      <c r="ABC23" s="3507"/>
      <c r="ABD23" s="3507"/>
      <c r="ABE23" s="3507"/>
      <c r="ABF23" s="3507"/>
      <c r="ABG23" s="3507"/>
      <c r="ABH23" s="3507"/>
      <c r="ABI23" s="3507"/>
      <c r="ABJ23" s="3507"/>
      <c r="ABK23" s="3507"/>
      <c r="ABL23" s="3507"/>
      <c r="ABM23" s="3507"/>
      <c r="ABN23" s="3507"/>
      <c r="ABO23" s="3507"/>
      <c r="ABP23" s="3507"/>
      <c r="ABQ23" s="3507"/>
      <c r="ABR23" s="3507"/>
      <c r="ABS23" s="3507"/>
      <c r="ABT23" s="3507"/>
      <c r="ABU23" s="3507"/>
      <c r="ABV23" s="3507"/>
      <c r="ABW23" s="3507"/>
      <c r="ABX23" s="3507"/>
      <c r="ABY23" s="3507"/>
      <c r="ABZ23" s="3507"/>
      <c r="ACA23" s="3507"/>
      <c r="ACB23" s="3507"/>
      <c r="ACC23" s="3507"/>
      <c r="ACD23" s="3507"/>
      <c r="ACE23" s="3507"/>
      <c r="ACF23" s="3507"/>
      <c r="ACG23" s="3507"/>
      <c r="ACH23" s="3507"/>
      <c r="ACI23" s="3507"/>
      <c r="ACJ23" s="3507"/>
      <c r="ACK23" s="3507"/>
      <c r="ACL23" s="3507"/>
      <c r="ACM23" s="3507"/>
      <c r="ACN23" s="3507"/>
      <c r="ACO23" s="3507"/>
      <c r="ACP23" s="3507"/>
      <c r="ACQ23" s="3507"/>
      <c r="ACR23" s="3507"/>
      <c r="ACS23" s="3507"/>
      <c r="ACT23" s="3507"/>
      <c r="ACU23" s="3507"/>
      <c r="ACV23" s="3507"/>
      <c r="ACW23" s="3507"/>
      <c r="ACX23" s="3507"/>
      <c r="ACY23" s="3507"/>
      <c r="ACZ23" s="3507"/>
      <c r="ADA23" s="3507"/>
      <c r="ADB23" s="3507"/>
      <c r="ADC23" s="3507"/>
      <c r="ADD23" s="3507"/>
      <c r="ADE23" s="3507"/>
      <c r="ADF23" s="3507"/>
      <c r="ADG23" s="3507"/>
      <c r="ADH23" s="3507"/>
      <c r="ADI23" s="3507"/>
      <c r="ADJ23" s="3507"/>
      <c r="ADK23" s="3507"/>
      <c r="ADL23" s="3507"/>
      <c r="ADM23" s="3507"/>
      <c r="ADN23" s="3507"/>
      <c r="ADO23" s="3507"/>
      <c r="ADP23" s="3507"/>
      <c r="ADQ23" s="3507"/>
      <c r="ADR23" s="3507"/>
      <c r="ADS23" s="3507"/>
      <c r="ADT23" s="3507"/>
      <c r="ADU23" s="3507"/>
      <c r="ADV23" s="3507"/>
      <c r="ADW23" s="3507"/>
      <c r="ADX23" s="3507"/>
      <c r="ADY23" s="3507"/>
      <c r="ADZ23" s="3507"/>
      <c r="AEA23" s="3507"/>
      <c r="AEB23" s="3507"/>
      <c r="AEC23" s="3507"/>
      <c r="AED23" s="3507"/>
      <c r="AEE23" s="3507"/>
      <c r="AEF23" s="3507"/>
      <c r="AEG23" s="3507"/>
      <c r="AEH23" s="3507"/>
      <c r="AEI23" s="3507"/>
      <c r="AEJ23" s="3507"/>
      <c r="AEK23" s="3507"/>
      <c r="AEL23" s="3507"/>
      <c r="AEM23" s="3507"/>
      <c r="AEN23" s="3507"/>
      <c r="AEO23" s="3507"/>
      <c r="AEP23" s="3507"/>
      <c r="AEQ23" s="3507"/>
      <c r="AER23" s="3507"/>
      <c r="AES23" s="3507"/>
      <c r="AET23" s="3507"/>
      <c r="AEU23" s="3507"/>
      <c r="AEV23" s="3507"/>
      <c r="AEW23" s="3507"/>
      <c r="AEX23" s="3507"/>
      <c r="AEY23" s="3507"/>
      <c r="AEZ23" s="3507"/>
      <c r="AFA23" s="3507"/>
      <c r="AFB23" s="3507"/>
      <c r="AFC23" s="3507"/>
      <c r="AFD23" s="3507"/>
      <c r="AFE23" s="3507"/>
      <c r="AFF23" s="3507"/>
      <c r="AFG23" s="3507"/>
      <c r="AFH23" s="3507"/>
      <c r="AFI23" s="3507"/>
      <c r="AFJ23" s="3507"/>
      <c r="AFK23" s="3507"/>
      <c r="AFL23" s="3507"/>
      <c r="AFM23" s="3507"/>
      <c r="AFN23" s="3507"/>
      <c r="AFO23" s="3507"/>
      <c r="AFP23" s="3507"/>
      <c r="AFQ23" s="3507"/>
      <c r="AFR23" s="3507"/>
      <c r="AFS23" s="3507"/>
      <c r="AFT23" s="3507"/>
      <c r="AFU23" s="3507"/>
      <c r="AFV23" s="3507"/>
      <c r="AFW23" s="3507"/>
      <c r="AFX23" s="3507"/>
      <c r="AFY23" s="3507"/>
      <c r="AFZ23" s="3507"/>
      <c r="AGA23" s="3507"/>
      <c r="AGB23" s="3507"/>
      <c r="AGC23" s="3507"/>
      <c r="AGD23" s="3507"/>
      <c r="AGE23" s="3507"/>
      <c r="AGF23" s="3507"/>
      <c r="AGG23" s="3507"/>
      <c r="AGH23" s="3507"/>
      <c r="AGI23" s="3507"/>
      <c r="AGJ23" s="3507"/>
      <c r="AGK23" s="3507"/>
      <c r="AGL23" s="3507"/>
      <c r="AGM23" s="3507"/>
      <c r="AGN23" s="3507"/>
      <c r="AGO23" s="3507"/>
      <c r="AGP23" s="3507"/>
      <c r="AGQ23" s="3507"/>
      <c r="AGR23" s="3507"/>
      <c r="AGS23" s="3507"/>
      <c r="AGT23" s="3507"/>
      <c r="AGU23" s="3507"/>
      <c r="AGV23" s="3507"/>
      <c r="AGW23" s="3507"/>
      <c r="AGX23" s="3507"/>
      <c r="AGY23" s="3507"/>
      <c r="AGZ23" s="3507"/>
      <c r="AHA23" s="3507"/>
      <c r="AHB23" s="3507"/>
      <c r="AHC23" s="3507"/>
      <c r="AHD23" s="3507"/>
      <c r="AHE23" s="3507"/>
      <c r="AHF23" s="3507"/>
      <c r="AHG23" s="3507"/>
      <c r="AHH23" s="3507"/>
      <c r="AHI23" s="3507"/>
      <c r="AHJ23" s="3507"/>
      <c r="AHK23" s="3507"/>
      <c r="AHL23" s="3507"/>
      <c r="AHM23" s="3507"/>
      <c r="AHN23" s="3507"/>
      <c r="AHO23" s="3507"/>
      <c r="AHP23" s="3507"/>
      <c r="AHQ23" s="3507"/>
      <c r="AHR23" s="3507"/>
      <c r="AHS23" s="3507"/>
      <c r="AHT23" s="3507"/>
      <c r="AHU23" s="3507"/>
      <c r="AHV23" s="3507"/>
      <c r="AHW23" s="3507"/>
      <c r="AHX23" s="3507"/>
      <c r="AHY23" s="3507"/>
      <c r="AHZ23" s="3507"/>
      <c r="AIA23" s="3507"/>
      <c r="AIB23" s="3507"/>
      <c r="AIC23" s="3507"/>
      <c r="AID23" s="3507"/>
      <c r="AIE23" s="3507"/>
      <c r="AIF23" s="3507"/>
      <c r="AIG23" s="3507"/>
      <c r="AIH23" s="3507"/>
      <c r="AII23" s="3507"/>
      <c r="AIJ23" s="3507"/>
      <c r="AIK23" s="3507"/>
      <c r="AIL23" s="3507"/>
      <c r="AIM23" s="3507"/>
      <c r="AIN23" s="3507"/>
      <c r="AIO23" s="3507"/>
      <c r="AIP23" s="3507"/>
      <c r="AIQ23" s="3507"/>
      <c r="AIR23" s="3507"/>
      <c r="AIS23" s="3507"/>
      <c r="AIT23" s="3507"/>
      <c r="AIU23" s="3507"/>
      <c r="AIV23" s="3507"/>
      <c r="AIW23" s="3507"/>
      <c r="AIX23" s="3507"/>
      <c r="AIY23" s="3507"/>
      <c r="AIZ23" s="3507"/>
      <c r="AJA23" s="3507"/>
      <c r="AJB23" s="3507"/>
      <c r="AJC23" s="3507"/>
      <c r="AJD23" s="3507"/>
      <c r="AJE23" s="3507"/>
      <c r="AJF23" s="3507"/>
      <c r="AJG23" s="3507"/>
      <c r="AJH23" s="3507"/>
      <c r="AJI23" s="3507"/>
      <c r="AJJ23" s="3507"/>
      <c r="AJK23" s="3507"/>
      <c r="AJL23" s="3507"/>
      <c r="AJM23" s="3507"/>
      <c r="AJN23" s="3507"/>
      <c r="AJO23" s="3507"/>
      <c r="AJP23" s="3507"/>
      <c r="AJQ23" s="3507"/>
      <c r="AJR23" s="3507"/>
      <c r="AJS23" s="3507"/>
      <c r="AJT23" s="3507"/>
      <c r="AJU23" s="3507"/>
      <c r="AJV23" s="3507"/>
      <c r="AJW23" s="3507"/>
      <c r="AJX23" s="3507"/>
      <c r="AJY23" s="3507"/>
      <c r="AJZ23" s="3507"/>
      <c r="AKA23" s="3507"/>
      <c r="AKB23" s="3507"/>
      <c r="AKC23" s="3507"/>
      <c r="AKD23" s="3507"/>
      <c r="AKE23" s="3507"/>
      <c r="AKF23" s="3507"/>
      <c r="AKG23" s="3507"/>
      <c r="AKH23" s="3507"/>
      <c r="AKI23" s="3507"/>
      <c r="AKJ23" s="3507"/>
      <c r="AKK23" s="3507"/>
      <c r="AKL23" s="3507"/>
      <c r="AKM23" s="3507"/>
      <c r="AKN23" s="3507"/>
      <c r="AKO23" s="3507"/>
      <c r="AKP23" s="3507"/>
      <c r="AKQ23" s="3507"/>
      <c r="AKR23" s="3507"/>
      <c r="AKS23" s="3507"/>
      <c r="AKT23" s="3507"/>
      <c r="AKU23" s="3507"/>
      <c r="AKV23" s="3507"/>
      <c r="AKW23" s="3507"/>
      <c r="AKX23" s="3507"/>
      <c r="AKY23" s="3507"/>
      <c r="AKZ23" s="3507"/>
      <c r="ALA23" s="3507"/>
      <c r="ALB23" s="3507"/>
      <c r="ALC23" s="3507"/>
      <c r="ALD23" s="3507"/>
      <c r="ALE23" s="3507"/>
      <c r="ALF23" s="3507"/>
      <c r="ALG23" s="3507"/>
      <c r="ALH23" s="3507"/>
      <c r="ALI23" s="3507"/>
      <c r="ALJ23" s="3507"/>
      <c r="ALK23" s="3507"/>
      <c r="ALL23" s="3507"/>
      <c r="ALM23" s="3507"/>
      <c r="ALN23" s="3507"/>
      <c r="ALO23" s="3507"/>
      <c r="ALP23" s="3507"/>
      <c r="ALQ23" s="3507"/>
      <c r="ALR23" s="3507"/>
      <c r="ALS23" s="3507"/>
      <c r="ALT23" s="3507"/>
      <c r="ALU23" s="3507"/>
      <c r="ALV23" s="3507"/>
      <c r="ALW23" s="3507"/>
      <c r="ALX23" s="3507"/>
      <c r="ALY23" s="3507"/>
      <c r="ALZ23" s="3507"/>
      <c r="AMA23" s="3507"/>
      <c r="AMB23" s="3507"/>
      <c r="AMC23" s="3507"/>
      <c r="AMD23" s="3507"/>
      <c r="AME23" s="3507"/>
      <c r="AMF23" s="3507"/>
      <c r="AMG23" s="3507"/>
      <c r="AMH23" s="3507"/>
      <c r="AMI23" s="3507"/>
      <c r="AMJ23" s="3507"/>
      <c r="AMK23" s="3507"/>
      <c r="AML23" s="3507"/>
      <c r="AMM23" s="3507"/>
      <c r="AMN23" s="3507"/>
      <c r="AMO23" s="3507"/>
      <c r="AMP23" s="3507"/>
      <c r="AMQ23" s="3507"/>
      <c r="AMR23" s="3507"/>
      <c r="AMS23" s="3507"/>
      <c r="AMT23" s="3507"/>
      <c r="AMU23" s="3507"/>
      <c r="AMV23" s="3507"/>
      <c r="AMW23" s="3507"/>
      <c r="AMX23" s="3507"/>
      <c r="AMY23" s="3507"/>
      <c r="AMZ23" s="3507"/>
      <c r="ANA23" s="3507"/>
      <c r="ANB23" s="3507"/>
      <c r="ANC23" s="3507"/>
      <c r="AND23" s="3507"/>
      <c r="ANE23" s="3507"/>
      <c r="ANF23" s="3507"/>
      <c r="ANG23" s="3507"/>
      <c r="ANH23" s="3507"/>
      <c r="ANI23" s="3507"/>
      <c r="ANJ23" s="3507"/>
      <c r="ANK23" s="3507"/>
      <c r="ANL23" s="3507"/>
      <c r="ANM23" s="3507"/>
      <c r="ANN23" s="3507"/>
      <c r="ANO23" s="3507"/>
      <c r="ANP23" s="3507"/>
      <c r="ANQ23" s="3507"/>
      <c r="ANR23" s="3507"/>
      <c r="ANS23" s="3507"/>
      <c r="ANT23" s="3507"/>
      <c r="ANU23" s="3507"/>
      <c r="ANV23" s="3507"/>
      <c r="ANW23" s="3507"/>
      <c r="ANX23" s="3507"/>
      <c r="ANY23" s="3507"/>
      <c r="ANZ23" s="3507"/>
      <c r="AOA23" s="3507"/>
      <c r="AOB23" s="3507"/>
      <c r="AOC23" s="3507"/>
      <c r="AOD23" s="3507"/>
      <c r="AOE23" s="3507"/>
      <c r="AOF23" s="3507"/>
      <c r="AOG23" s="3507"/>
      <c r="AOH23" s="3507"/>
      <c r="AOI23" s="3507"/>
      <c r="AOJ23" s="3507"/>
      <c r="AOK23" s="3507"/>
      <c r="AOL23" s="3507"/>
      <c r="AOM23" s="3507"/>
      <c r="AON23" s="3507"/>
      <c r="AOO23" s="3507"/>
      <c r="AOP23" s="3507"/>
      <c r="AOQ23" s="3507"/>
      <c r="AOR23" s="3507"/>
      <c r="AOS23" s="3507"/>
      <c r="AOT23" s="3507"/>
      <c r="AOU23" s="3507"/>
      <c r="AOV23" s="3507"/>
      <c r="AOW23" s="3507"/>
      <c r="AOX23" s="3507"/>
      <c r="AOY23" s="3507"/>
      <c r="AOZ23" s="3507"/>
      <c r="APA23" s="3507"/>
      <c r="APB23" s="3507"/>
      <c r="APC23" s="3507"/>
      <c r="APD23" s="3507"/>
      <c r="APE23" s="3507"/>
      <c r="APF23" s="3507"/>
      <c r="APG23" s="3507"/>
      <c r="APH23" s="3507"/>
      <c r="API23" s="3507"/>
      <c r="APJ23" s="3507"/>
      <c r="APK23" s="3507"/>
      <c r="APL23" s="3507"/>
      <c r="APM23" s="3507"/>
      <c r="APN23" s="3507"/>
      <c r="APO23" s="3507"/>
      <c r="APP23" s="3507"/>
      <c r="APQ23" s="3507"/>
      <c r="APR23" s="3507"/>
      <c r="APS23" s="3507"/>
      <c r="APT23" s="3507"/>
      <c r="APU23" s="3507"/>
      <c r="APV23" s="3507"/>
      <c r="APW23" s="3507"/>
      <c r="APX23" s="3507"/>
      <c r="APY23" s="3507"/>
      <c r="APZ23" s="3507"/>
      <c r="AQA23" s="3507"/>
      <c r="AQB23" s="3507"/>
      <c r="AQC23" s="3507"/>
      <c r="AQD23" s="3507"/>
      <c r="AQE23" s="3507"/>
      <c r="AQF23" s="3507"/>
      <c r="AQG23" s="3507"/>
      <c r="AQH23" s="3507"/>
      <c r="AQI23" s="3507"/>
      <c r="AQJ23" s="3507"/>
      <c r="AQK23" s="3507"/>
      <c r="AQL23" s="3507"/>
      <c r="AQM23" s="3507"/>
      <c r="AQN23" s="3507"/>
      <c r="AQO23" s="3507"/>
      <c r="AQP23" s="3507"/>
      <c r="AQQ23" s="3507"/>
      <c r="AQR23" s="3507"/>
      <c r="AQS23" s="3507"/>
      <c r="AQT23" s="3507"/>
      <c r="AQU23" s="3507"/>
      <c r="AQV23" s="3507"/>
      <c r="AQW23" s="3507"/>
      <c r="AQX23" s="3507"/>
      <c r="AQY23" s="3507"/>
      <c r="AQZ23" s="3507"/>
      <c r="ARA23" s="3507"/>
      <c r="ARB23" s="3507"/>
      <c r="ARC23" s="3507"/>
      <c r="ARD23" s="3507"/>
      <c r="ARE23" s="3507"/>
      <c r="ARF23" s="3507"/>
      <c r="ARG23" s="3507"/>
      <c r="ARH23" s="3507"/>
      <c r="ARI23" s="3507"/>
      <c r="ARJ23" s="3507"/>
      <c r="ARK23" s="3507"/>
      <c r="ARL23" s="3507"/>
      <c r="ARM23" s="3507"/>
      <c r="ARN23" s="3507"/>
      <c r="ARO23" s="3507"/>
      <c r="ARP23" s="3507"/>
      <c r="ARQ23" s="3507"/>
      <c r="ARR23" s="3507"/>
      <c r="ARS23" s="3507"/>
      <c r="ART23" s="3507"/>
      <c r="ARU23" s="3507"/>
      <c r="ARV23" s="3507"/>
      <c r="ARW23" s="3507"/>
      <c r="ARX23" s="3507"/>
      <c r="ARY23" s="3507"/>
      <c r="ARZ23" s="3507"/>
      <c r="ASA23" s="3507"/>
      <c r="ASB23" s="3507"/>
      <c r="ASC23" s="3507"/>
      <c r="ASD23" s="3507"/>
      <c r="ASE23" s="3507"/>
      <c r="ASF23" s="3507"/>
      <c r="ASG23" s="3507"/>
      <c r="ASH23" s="3507"/>
      <c r="ASI23" s="3507"/>
      <c r="ASJ23" s="3507"/>
      <c r="ASK23" s="3507"/>
      <c r="ASL23" s="3507"/>
      <c r="ASM23" s="3507"/>
      <c r="ASN23" s="3507"/>
      <c r="ASO23" s="3507"/>
      <c r="ASP23" s="3507"/>
      <c r="ASQ23" s="3507"/>
      <c r="ASR23" s="3507"/>
      <c r="ASS23" s="3507"/>
      <c r="AST23" s="3507"/>
      <c r="ASU23" s="3507"/>
      <c r="ASV23" s="3507"/>
      <c r="ASW23" s="3507"/>
      <c r="ASX23" s="3507"/>
      <c r="ASY23" s="3507"/>
      <c r="ASZ23" s="3507"/>
      <c r="ATA23" s="3507"/>
      <c r="ATB23" s="3507"/>
      <c r="ATC23" s="3507"/>
      <c r="ATD23" s="3507"/>
      <c r="ATE23" s="3507"/>
      <c r="ATF23" s="3507"/>
      <c r="ATG23" s="3507"/>
      <c r="ATH23" s="3507"/>
      <c r="ATI23" s="3507"/>
      <c r="ATJ23" s="3507"/>
      <c r="ATK23" s="3507"/>
      <c r="ATL23" s="3507"/>
      <c r="ATM23" s="3507"/>
      <c r="ATN23" s="3507"/>
      <c r="ATO23" s="3507"/>
      <c r="ATP23" s="3507"/>
      <c r="ATQ23" s="3507"/>
      <c r="ATR23" s="3507"/>
      <c r="ATS23" s="3507"/>
      <c r="ATT23" s="3507"/>
      <c r="ATU23" s="3507"/>
      <c r="ATV23" s="3507"/>
      <c r="ATW23" s="3507"/>
      <c r="ATX23" s="3507"/>
      <c r="ATY23" s="3507"/>
      <c r="ATZ23" s="3507"/>
      <c r="AUA23" s="3507"/>
      <c r="AUB23" s="3507"/>
      <c r="AUC23" s="3507"/>
      <c r="AUD23" s="3507"/>
      <c r="AUE23" s="3507"/>
      <c r="AUF23" s="3507"/>
      <c r="AUG23" s="3507"/>
      <c r="AUH23" s="3507"/>
      <c r="AUI23" s="3507"/>
      <c r="AUJ23" s="3507"/>
      <c r="AUK23" s="3507"/>
      <c r="AUL23" s="3507"/>
      <c r="AUM23" s="3507"/>
      <c r="AUN23" s="3507"/>
      <c r="AUO23" s="3507"/>
      <c r="AUP23" s="3507"/>
      <c r="AUQ23" s="3507"/>
      <c r="AUR23" s="3507"/>
      <c r="AUS23" s="3507"/>
      <c r="AUT23" s="3507"/>
      <c r="AUU23" s="3507"/>
      <c r="AUV23" s="3507"/>
      <c r="AUW23" s="3507"/>
      <c r="AUX23" s="3507"/>
      <c r="AUY23" s="3507"/>
      <c r="AUZ23" s="3507"/>
      <c r="AVA23" s="3507"/>
      <c r="AVB23" s="3507"/>
      <c r="AVC23" s="3507"/>
      <c r="AVD23" s="3507"/>
      <c r="AVE23" s="3507"/>
      <c r="AVF23" s="3507"/>
      <c r="AVG23" s="3507"/>
      <c r="AVH23" s="3507"/>
      <c r="AVI23" s="3507"/>
      <c r="AVJ23" s="3507"/>
      <c r="AVK23" s="3507"/>
      <c r="AVL23" s="3507"/>
      <c r="AVM23" s="3507"/>
      <c r="AVN23" s="3507"/>
      <c r="AVO23" s="3507"/>
      <c r="AVP23" s="3507"/>
      <c r="AVQ23" s="3507"/>
      <c r="AVR23" s="3507"/>
      <c r="AVS23" s="3507"/>
      <c r="AVT23" s="3507"/>
      <c r="AVU23" s="3507"/>
      <c r="AVV23" s="3507"/>
      <c r="AVW23" s="3507"/>
      <c r="AVX23" s="3507"/>
      <c r="AVY23" s="3507"/>
      <c r="AVZ23" s="3507"/>
      <c r="AWA23" s="3507"/>
      <c r="AWB23" s="3507"/>
      <c r="AWC23" s="3507"/>
      <c r="AWD23" s="3507"/>
      <c r="AWE23" s="3507"/>
      <c r="AWF23" s="3507"/>
      <c r="AWG23" s="3507"/>
      <c r="AWH23" s="3507"/>
      <c r="AWI23" s="3507"/>
      <c r="AWJ23" s="3507"/>
      <c r="AWK23" s="3507"/>
      <c r="AWL23" s="3507"/>
      <c r="AWM23" s="3507"/>
      <c r="AWN23" s="3507"/>
      <c r="AWO23" s="3507"/>
      <c r="AWP23" s="3507"/>
      <c r="AWQ23" s="3507"/>
      <c r="AWR23" s="3507"/>
      <c r="AWS23" s="3507"/>
      <c r="AWT23" s="3507"/>
      <c r="AWU23" s="3507"/>
      <c r="AWV23" s="3507"/>
      <c r="AWW23" s="3507"/>
      <c r="AWX23" s="3507"/>
      <c r="AWY23" s="3507"/>
      <c r="AWZ23" s="3507"/>
      <c r="AXA23" s="3507"/>
      <c r="AXB23" s="3507"/>
      <c r="AXC23" s="3507"/>
      <c r="AXD23" s="3507"/>
      <c r="AXE23" s="3507"/>
      <c r="AXF23" s="3507"/>
      <c r="AXG23" s="3507"/>
      <c r="AXH23" s="3507"/>
      <c r="AXI23" s="3507"/>
      <c r="AXJ23" s="3507"/>
      <c r="AXK23" s="3507"/>
      <c r="AXL23" s="3507"/>
      <c r="AXM23" s="3507"/>
      <c r="AXN23" s="3507"/>
      <c r="AXO23" s="3507"/>
      <c r="AXP23" s="3507"/>
      <c r="AXQ23" s="3507"/>
      <c r="AXR23" s="3507"/>
      <c r="AXS23" s="3507"/>
      <c r="AXT23" s="3507"/>
      <c r="AXU23" s="3507"/>
      <c r="AXV23" s="3507"/>
      <c r="AXW23" s="3507"/>
      <c r="AXX23" s="3507"/>
      <c r="AXY23" s="3507"/>
      <c r="AXZ23" s="3507"/>
      <c r="AYA23" s="3507"/>
      <c r="AYB23" s="3507"/>
      <c r="AYC23" s="3507"/>
      <c r="AYD23" s="3507"/>
      <c r="AYE23" s="3507"/>
      <c r="AYF23" s="3507"/>
      <c r="AYG23" s="3507"/>
      <c r="AYH23" s="3507"/>
      <c r="AYI23" s="3507"/>
      <c r="AYJ23" s="3507"/>
      <c r="AYK23" s="3507"/>
      <c r="AYL23" s="3507"/>
      <c r="AYM23" s="3507"/>
      <c r="AYN23" s="3507"/>
      <c r="AYO23" s="3507"/>
      <c r="AYP23" s="3507"/>
      <c r="AYQ23" s="3507"/>
      <c r="AYR23" s="3507"/>
      <c r="AYS23" s="3507"/>
      <c r="AYT23" s="3507"/>
      <c r="AYU23" s="3507"/>
      <c r="AYV23" s="3507"/>
      <c r="AYW23" s="3507"/>
      <c r="AYX23" s="3507"/>
      <c r="AYY23" s="3507"/>
      <c r="AYZ23" s="3507"/>
      <c r="AZA23" s="3507"/>
      <c r="AZB23" s="3507"/>
      <c r="AZC23" s="3507"/>
      <c r="AZD23" s="3507"/>
      <c r="AZE23" s="3507"/>
      <c r="AZF23" s="3507"/>
      <c r="AZG23" s="3507"/>
      <c r="AZH23" s="3507"/>
      <c r="AZI23" s="3507"/>
      <c r="AZJ23" s="3507"/>
      <c r="AZK23" s="3507"/>
      <c r="AZL23" s="3507"/>
      <c r="AZM23" s="3507"/>
      <c r="AZN23" s="3507"/>
      <c r="AZO23" s="3507"/>
      <c r="AZP23" s="3507"/>
      <c r="AZQ23" s="3507"/>
      <c r="AZR23" s="3507"/>
      <c r="AZS23" s="3507"/>
      <c r="AZT23" s="3507"/>
      <c r="AZU23" s="3507"/>
      <c r="AZV23" s="3507"/>
      <c r="AZW23" s="3507"/>
      <c r="AZX23" s="3507"/>
      <c r="AZY23" s="3507"/>
      <c r="AZZ23" s="3507"/>
      <c r="BAA23" s="3507"/>
      <c r="BAB23" s="3507"/>
      <c r="BAC23" s="3507"/>
      <c r="BAD23" s="3507"/>
      <c r="BAE23" s="3507"/>
      <c r="BAF23" s="3507"/>
      <c r="BAG23" s="3507"/>
      <c r="BAH23" s="3507"/>
      <c r="BAI23" s="3507"/>
      <c r="BAJ23" s="3507"/>
      <c r="BAK23" s="3507"/>
      <c r="BAL23" s="3507"/>
      <c r="BAM23" s="3507"/>
      <c r="BAN23" s="3507"/>
      <c r="BAO23" s="3507"/>
      <c r="BAP23" s="3507"/>
      <c r="BAQ23" s="3507"/>
      <c r="BAR23" s="3507"/>
      <c r="BAS23" s="3507"/>
      <c r="BAT23" s="3507"/>
      <c r="BAU23" s="3507"/>
      <c r="BAV23" s="3507"/>
      <c r="BAW23" s="3507"/>
      <c r="BAX23" s="3507"/>
      <c r="BAY23" s="3507"/>
      <c r="BAZ23" s="3507"/>
      <c r="BBA23" s="3507"/>
      <c r="BBB23" s="3507"/>
      <c r="BBC23" s="3507"/>
      <c r="BBD23" s="3507"/>
      <c r="BBE23" s="3507"/>
      <c r="BBF23" s="3507"/>
      <c r="BBG23" s="3507"/>
      <c r="BBH23" s="3507"/>
      <c r="BBI23" s="3507"/>
      <c r="BBJ23" s="3507"/>
      <c r="BBK23" s="3507"/>
      <c r="BBL23" s="3507"/>
      <c r="BBM23" s="3507"/>
      <c r="BBN23" s="3507"/>
      <c r="BBO23" s="3507"/>
      <c r="BBP23" s="3507"/>
      <c r="BBQ23" s="3507"/>
      <c r="BBR23" s="3507"/>
      <c r="BBS23" s="3507"/>
      <c r="BBT23" s="3507"/>
      <c r="BBU23" s="3507"/>
      <c r="BBV23" s="3507"/>
      <c r="BBW23" s="3507"/>
      <c r="BBX23" s="3507"/>
      <c r="BBY23" s="3507"/>
      <c r="BBZ23" s="3507"/>
      <c r="BCA23" s="3507"/>
      <c r="BCB23" s="3507"/>
      <c r="BCC23" s="3507"/>
      <c r="BCD23" s="3507"/>
      <c r="BCE23" s="3507"/>
      <c r="BCF23" s="3507"/>
      <c r="BCG23" s="3507"/>
      <c r="BCH23" s="3507"/>
      <c r="BCI23" s="3507"/>
      <c r="BCJ23" s="3507"/>
      <c r="BCK23" s="3507"/>
      <c r="BCL23" s="3507"/>
      <c r="BCM23" s="3507"/>
      <c r="BCN23" s="3507"/>
      <c r="BCO23" s="3507"/>
      <c r="BCP23" s="3507"/>
      <c r="BCQ23" s="3507"/>
      <c r="BCR23" s="3507"/>
      <c r="BCS23" s="3507"/>
      <c r="BCT23" s="3507"/>
      <c r="BCU23" s="3507"/>
      <c r="BCV23" s="3507"/>
      <c r="BCW23" s="3507"/>
      <c r="BCX23" s="3507"/>
      <c r="BCY23" s="3507"/>
      <c r="BCZ23" s="3507"/>
      <c r="BDA23" s="3507"/>
      <c r="BDB23" s="3507"/>
      <c r="BDC23" s="3507"/>
      <c r="BDD23" s="3507"/>
      <c r="BDE23" s="3507"/>
      <c r="BDF23" s="3507"/>
      <c r="BDG23" s="3507"/>
      <c r="BDH23" s="3507"/>
      <c r="BDI23" s="3507"/>
      <c r="BDJ23" s="3507"/>
      <c r="BDK23" s="3507"/>
      <c r="BDL23" s="3507"/>
      <c r="BDM23" s="3507"/>
      <c r="BDN23" s="3507"/>
      <c r="BDO23" s="3507"/>
      <c r="BDP23" s="3507"/>
      <c r="BDQ23" s="3507"/>
      <c r="BDR23" s="3507"/>
      <c r="BDS23" s="3507"/>
      <c r="BDT23" s="3507"/>
      <c r="BDU23" s="3507"/>
      <c r="BDV23" s="3507"/>
      <c r="BDW23" s="3507"/>
      <c r="BDX23" s="3507"/>
      <c r="BDY23" s="3507"/>
      <c r="BDZ23" s="3507"/>
      <c r="BEA23" s="3507"/>
      <c r="BEB23" s="3507"/>
      <c r="BEC23" s="3507"/>
      <c r="BED23" s="3507"/>
      <c r="BEE23" s="3507"/>
      <c r="BEF23" s="3507"/>
      <c r="BEG23" s="3507"/>
      <c r="BEH23" s="3507"/>
      <c r="BEI23" s="3507"/>
      <c r="BEJ23" s="3507"/>
      <c r="BEK23" s="3507"/>
      <c r="BEL23" s="3507"/>
      <c r="BEM23" s="3507"/>
      <c r="BEN23" s="3507"/>
      <c r="BEO23" s="3507"/>
      <c r="BEP23" s="3507"/>
      <c r="BEQ23" s="3507"/>
      <c r="BER23" s="3507"/>
      <c r="BES23" s="3507"/>
      <c r="BET23" s="3507"/>
      <c r="BEU23" s="3507"/>
      <c r="BEV23" s="3507"/>
      <c r="BEW23" s="3507"/>
      <c r="BEX23" s="3507"/>
      <c r="BEY23" s="3507"/>
      <c r="BEZ23" s="3507"/>
      <c r="BFA23" s="3507"/>
      <c r="BFB23" s="3507"/>
      <c r="BFC23" s="3507"/>
      <c r="BFD23" s="3507"/>
      <c r="BFE23" s="3507"/>
      <c r="BFF23" s="3507"/>
      <c r="BFG23" s="3507"/>
      <c r="BFH23" s="3507"/>
      <c r="BFI23" s="3507"/>
      <c r="BFJ23" s="3507"/>
      <c r="BFK23" s="3507"/>
      <c r="BFL23" s="3507"/>
      <c r="BFM23" s="3507"/>
      <c r="BFN23" s="3507"/>
      <c r="BFO23" s="3507"/>
      <c r="BFP23" s="3507"/>
      <c r="BFQ23" s="3507"/>
      <c r="BFR23" s="3507"/>
      <c r="BFS23" s="3507"/>
      <c r="BFT23" s="3507"/>
      <c r="BFU23" s="3507"/>
      <c r="BFV23" s="3507"/>
      <c r="BFW23" s="3507"/>
      <c r="BFX23" s="3507"/>
      <c r="BFY23" s="3507"/>
      <c r="BFZ23" s="3507"/>
      <c r="BGA23" s="3507"/>
      <c r="BGB23" s="3507"/>
      <c r="BGC23" s="3507"/>
      <c r="BGD23" s="3507"/>
      <c r="BGE23" s="3507"/>
      <c r="BGF23" s="3507"/>
      <c r="BGG23" s="3507"/>
      <c r="BGH23" s="3507"/>
      <c r="BGI23" s="3507"/>
      <c r="BGJ23" s="3507"/>
      <c r="BGK23" s="3507"/>
      <c r="BGL23" s="3507"/>
      <c r="BGM23" s="3507"/>
      <c r="BGN23" s="3507"/>
      <c r="BGO23" s="3507"/>
      <c r="BGP23" s="3507"/>
      <c r="BGQ23" s="3507"/>
      <c r="BGR23" s="3507"/>
      <c r="BGS23" s="3507"/>
      <c r="BGT23" s="3507"/>
      <c r="BGU23" s="3507"/>
      <c r="BGV23" s="3507"/>
      <c r="BGW23" s="3507"/>
      <c r="BGX23" s="3507"/>
      <c r="BGY23" s="3507"/>
      <c r="BGZ23" s="3507"/>
      <c r="BHA23" s="3507"/>
      <c r="BHB23" s="3507"/>
      <c r="BHC23" s="3507"/>
      <c r="BHD23" s="3507"/>
      <c r="BHE23" s="3507"/>
      <c r="BHF23" s="3507"/>
      <c r="BHG23" s="3507"/>
      <c r="BHH23" s="3507"/>
      <c r="BHI23" s="3507"/>
      <c r="BHJ23" s="3507"/>
      <c r="BHK23" s="3507"/>
      <c r="BHL23" s="3507"/>
      <c r="BHM23" s="3507"/>
      <c r="BHN23" s="3507"/>
      <c r="BHO23" s="3507"/>
      <c r="BHP23" s="3507"/>
      <c r="BHQ23" s="3507"/>
      <c r="BHR23" s="3507"/>
      <c r="BHS23" s="3507"/>
      <c r="BHT23" s="3507"/>
      <c r="BHU23" s="3507"/>
      <c r="BHV23" s="3507"/>
      <c r="BHW23" s="3507"/>
      <c r="BHX23" s="3507"/>
      <c r="BHY23" s="3507"/>
      <c r="BHZ23" s="3507"/>
      <c r="BIA23" s="3507"/>
      <c r="BIB23" s="3507"/>
      <c r="BIC23" s="3507"/>
      <c r="BID23" s="3507"/>
      <c r="BIE23" s="3507"/>
      <c r="BIF23" s="3507"/>
      <c r="BIG23" s="3507"/>
      <c r="BIH23" s="3507"/>
      <c r="BII23" s="3507"/>
      <c r="BIJ23" s="3507"/>
      <c r="BIK23" s="3507"/>
      <c r="BIL23" s="3507"/>
      <c r="BIM23" s="3507"/>
      <c r="BIN23" s="3507"/>
      <c r="BIO23" s="3507"/>
      <c r="BIP23" s="3507"/>
      <c r="BIQ23" s="3507"/>
      <c r="BIR23" s="3507"/>
      <c r="BIS23" s="3507"/>
      <c r="BIT23" s="3507"/>
      <c r="BIU23" s="3507"/>
      <c r="BIV23" s="3507"/>
      <c r="BIW23" s="3507"/>
      <c r="BIX23" s="3507"/>
      <c r="BIY23" s="3507"/>
      <c r="BIZ23" s="3507"/>
      <c r="BJA23" s="3507"/>
      <c r="BJB23" s="3507"/>
      <c r="BJC23" s="3507"/>
      <c r="BJD23" s="3507"/>
      <c r="BJE23" s="3507"/>
      <c r="BJF23" s="3507"/>
      <c r="BJG23" s="3507"/>
      <c r="BJH23" s="3507"/>
      <c r="BJI23" s="3507"/>
      <c r="BJJ23" s="3507"/>
      <c r="BJK23" s="3507"/>
      <c r="BJL23" s="3507"/>
      <c r="BJM23" s="3507"/>
      <c r="BJN23" s="3507"/>
      <c r="BJO23" s="3507"/>
      <c r="BJP23" s="3507"/>
      <c r="BJQ23" s="3507"/>
      <c r="BJR23" s="3507"/>
      <c r="BJS23" s="3507"/>
      <c r="BJT23" s="3507"/>
      <c r="BJU23" s="3507"/>
      <c r="BJV23" s="3507"/>
      <c r="BJW23" s="3507"/>
      <c r="BJX23" s="3507"/>
      <c r="BJY23" s="3507"/>
      <c r="BJZ23" s="3507"/>
      <c r="BKA23" s="3507"/>
      <c r="BKB23" s="3507"/>
      <c r="BKC23" s="3507"/>
      <c r="BKD23" s="3507"/>
      <c r="BKE23" s="3507"/>
      <c r="BKF23" s="3507"/>
      <c r="BKG23" s="3507"/>
      <c r="BKH23" s="3507"/>
      <c r="BKI23" s="3507"/>
      <c r="BKJ23" s="3507"/>
      <c r="BKK23" s="3507"/>
      <c r="BKL23" s="3507"/>
      <c r="BKM23" s="3507"/>
      <c r="BKN23" s="3507"/>
      <c r="BKO23" s="3507"/>
      <c r="BKP23" s="3507"/>
      <c r="BKQ23" s="3507"/>
      <c r="BKR23" s="3507"/>
      <c r="BKS23" s="3507"/>
      <c r="BKT23" s="3507"/>
      <c r="BKU23" s="3507"/>
      <c r="BKV23" s="3507"/>
      <c r="BKW23" s="3507"/>
      <c r="BKX23" s="3507"/>
      <c r="BKY23" s="3507"/>
      <c r="BKZ23" s="3507"/>
      <c r="BLA23" s="3507"/>
      <c r="BLB23" s="3507"/>
      <c r="BLC23" s="3507"/>
      <c r="BLD23" s="3507"/>
      <c r="BLE23" s="3507"/>
      <c r="BLF23" s="3507"/>
      <c r="BLG23" s="3507"/>
      <c r="BLH23" s="3507"/>
      <c r="BLI23" s="3507"/>
      <c r="BLJ23" s="3507"/>
      <c r="BLK23" s="3507"/>
      <c r="BLL23" s="3507"/>
      <c r="BLM23" s="3507"/>
      <c r="BLN23" s="3507"/>
      <c r="BLO23" s="3507"/>
      <c r="BLP23" s="3507"/>
      <c r="BLQ23" s="3507"/>
      <c r="BLR23" s="3507"/>
      <c r="BLS23" s="3507"/>
      <c r="BLT23" s="3507"/>
      <c r="BLU23" s="3507"/>
      <c r="BLV23" s="3507"/>
      <c r="BLW23" s="3507"/>
      <c r="BLX23" s="3507"/>
      <c r="BLY23" s="3507"/>
      <c r="BLZ23" s="3507"/>
      <c r="BMA23" s="3507"/>
      <c r="BMB23" s="3507"/>
      <c r="BMC23" s="3507"/>
      <c r="BMD23" s="3507"/>
      <c r="BME23" s="3507"/>
      <c r="BMF23" s="3507"/>
      <c r="BMG23" s="3507"/>
      <c r="BMH23" s="3507"/>
      <c r="BMI23" s="3507"/>
      <c r="BMJ23" s="3507"/>
      <c r="BMK23" s="3507"/>
      <c r="BML23" s="3507"/>
      <c r="BMM23" s="3507"/>
      <c r="BMN23" s="3507"/>
      <c r="BMO23" s="3507"/>
      <c r="BMP23" s="3507"/>
      <c r="BMQ23" s="3507"/>
      <c r="BMR23" s="3507"/>
      <c r="BMS23" s="3507"/>
      <c r="BMT23" s="3507"/>
      <c r="BMU23" s="3507"/>
      <c r="BMV23" s="3507"/>
      <c r="BMW23" s="3507"/>
      <c r="BMX23" s="3507"/>
      <c r="BMY23" s="3507"/>
      <c r="BMZ23" s="3507"/>
      <c r="BNA23" s="3507"/>
      <c r="BNB23" s="3507"/>
      <c r="BNC23" s="3507"/>
      <c r="BND23" s="3507"/>
      <c r="BNE23" s="3507"/>
      <c r="BNF23" s="3507"/>
      <c r="BNG23" s="3507"/>
      <c r="BNH23" s="3507"/>
      <c r="BNI23" s="3507"/>
      <c r="BNJ23" s="3507"/>
      <c r="BNK23" s="3507"/>
      <c r="BNL23" s="3507"/>
      <c r="BNM23" s="3507"/>
      <c r="BNN23" s="3507"/>
      <c r="BNO23" s="3507"/>
      <c r="BNP23" s="3507"/>
      <c r="BNQ23" s="3507"/>
      <c r="BNR23" s="3507"/>
      <c r="BNS23" s="3507"/>
      <c r="BNT23" s="3507"/>
      <c r="BNU23" s="3507"/>
      <c r="BNV23" s="3507"/>
      <c r="BNW23" s="3507"/>
      <c r="BNX23" s="3507"/>
      <c r="BNY23" s="3507"/>
      <c r="BNZ23" s="3507"/>
      <c r="BOA23" s="3507"/>
      <c r="BOB23" s="3507"/>
      <c r="BOC23" s="3507"/>
      <c r="BOD23" s="3507"/>
      <c r="BOE23" s="3507"/>
      <c r="BOF23" s="3507"/>
      <c r="BOG23" s="3507"/>
      <c r="BOH23" s="3507"/>
      <c r="BOI23" s="3507"/>
      <c r="BOJ23" s="3507"/>
      <c r="BOK23" s="3507"/>
      <c r="BOL23" s="3507"/>
      <c r="BOM23" s="3507"/>
      <c r="BON23" s="3507"/>
      <c r="BOO23" s="3507"/>
      <c r="BOP23" s="3507"/>
      <c r="BOQ23" s="3507"/>
      <c r="BOR23" s="3507"/>
      <c r="BOS23" s="3507"/>
      <c r="BOT23" s="3507"/>
      <c r="BOU23" s="3507"/>
      <c r="BOV23" s="3507"/>
      <c r="BOW23" s="3507"/>
      <c r="BOX23" s="3507"/>
      <c r="BOY23" s="3507"/>
      <c r="BOZ23" s="3507"/>
      <c r="BPA23" s="3507"/>
      <c r="BPB23" s="3507"/>
      <c r="BPC23" s="3507"/>
      <c r="BPD23" s="3507"/>
      <c r="BPE23" s="3507"/>
      <c r="BPF23" s="3507"/>
      <c r="BPG23" s="3507"/>
      <c r="BPH23" s="3507"/>
      <c r="BPI23" s="3507"/>
      <c r="BPJ23" s="3507"/>
      <c r="BPK23" s="3507"/>
      <c r="BPL23" s="3507"/>
      <c r="BPM23" s="3507"/>
      <c r="BPN23" s="3507"/>
      <c r="BPO23" s="3507"/>
      <c r="BPP23" s="3507"/>
      <c r="BPQ23" s="3507"/>
      <c r="BPR23" s="3507"/>
      <c r="BPS23" s="3507"/>
      <c r="BPT23" s="3507"/>
      <c r="BPU23" s="3507"/>
      <c r="BPV23" s="3507"/>
      <c r="BPW23" s="3507"/>
      <c r="BPX23" s="3507"/>
      <c r="BPY23" s="3507"/>
      <c r="BPZ23" s="3507"/>
      <c r="BQA23" s="3507"/>
      <c r="BQB23" s="3507"/>
      <c r="BQC23" s="3507"/>
      <c r="BQD23" s="3507"/>
      <c r="BQE23" s="3507"/>
      <c r="BQF23" s="3507"/>
      <c r="BQG23" s="3507"/>
      <c r="BQH23" s="3507"/>
      <c r="BQI23" s="3507"/>
      <c r="BQJ23" s="3507"/>
      <c r="BQK23" s="3507"/>
      <c r="BQL23" s="3507"/>
      <c r="BQM23" s="3507"/>
      <c r="BQN23" s="3507"/>
      <c r="BQO23" s="3507"/>
      <c r="BQP23" s="3507"/>
      <c r="BQQ23" s="3507"/>
      <c r="BQR23" s="3507"/>
      <c r="BQS23" s="3507"/>
      <c r="BQT23" s="3507"/>
      <c r="BQU23" s="3507"/>
      <c r="BQV23" s="3507"/>
      <c r="BQW23" s="3507"/>
      <c r="BQX23" s="3507"/>
      <c r="BQY23" s="3507"/>
      <c r="BQZ23" s="3507"/>
      <c r="BRA23" s="3507"/>
      <c r="BRB23" s="3507"/>
      <c r="BRC23" s="3507"/>
      <c r="BRD23" s="3507"/>
      <c r="BRE23" s="3507"/>
      <c r="BRF23" s="3507"/>
      <c r="BRG23" s="3507"/>
      <c r="BRH23" s="3507"/>
      <c r="BRI23" s="3507"/>
      <c r="BRJ23" s="3507"/>
      <c r="BRK23" s="3507"/>
      <c r="BRL23" s="3507"/>
      <c r="BRM23" s="3507"/>
      <c r="BRN23" s="3507"/>
      <c r="BRO23" s="3507"/>
      <c r="BRP23" s="3507"/>
      <c r="BRQ23" s="3507"/>
      <c r="BRR23" s="3507"/>
      <c r="BRS23" s="3507"/>
      <c r="BRT23" s="3507"/>
      <c r="BRU23" s="3507"/>
      <c r="BRV23" s="3507"/>
      <c r="BRW23" s="3507"/>
      <c r="BRX23" s="3507"/>
      <c r="BRY23" s="3507"/>
      <c r="BRZ23" s="3507"/>
      <c r="BSA23" s="3507"/>
      <c r="BSB23" s="3507"/>
      <c r="BSC23" s="3507"/>
      <c r="BSD23" s="3507"/>
      <c r="BSE23" s="3507"/>
      <c r="BSF23" s="3507"/>
      <c r="BSG23" s="3507"/>
      <c r="BSH23" s="3507"/>
      <c r="BSI23" s="3507"/>
      <c r="BSJ23" s="3507"/>
      <c r="BSK23" s="3507"/>
      <c r="BSL23" s="3507"/>
      <c r="BSM23" s="3507"/>
      <c r="BSN23" s="3507"/>
      <c r="BSO23" s="3507"/>
      <c r="BSP23" s="3507"/>
      <c r="BSQ23" s="3507"/>
      <c r="BSR23" s="3507"/>
      <c r="BSS23" s="3507"/>
      <c r="BST23" s="3507"/>
      <c r="BSU23" s="3507"/>
      <c r="BSV23" s="3507"/>
      <c r="BSW23" s="3507"/>
      <c r="BSX23" s="3507"/>
      <c r="BSY23" s="3507"/>
      <c r="BSZ23" s="3507"/>
      <c r="BTA23" s="3507"/>
      <c r="BTB23" s="3507"/>
      <c r="BTC23" s="3507"/>
      <c r="BTD23" s="3507"/>
      <c r="BTE23" s="3507"/>
      <c r="BTF23" s="3507"/>
      <c r="BTG23" s="3507"/>
      <c r="BTH23" s="3507"/>
      <c r="BTI23" s="3507"/>
      <c r="BTJ23" s="3507"/>
      <c r="BTK23" s="3507"/>
      <c r="BTL23" s="3507"/>
      <c r="BTM23" s="3507"/>
      <c r="BTN23" s="3507"/>
      <c r="BTO23" s="3507"/>
      <c r="BTP23" s="3507"/>
      <c r="BTQ23" s="3507"/>
      <c r="BTR23" s="3507"/>
      <c r="BTS23" s="3507"/>
      <c r="BTT23" s="3507"/>
      <c r="BTU23" s="3507"/>
      <c r="BTV23" s="3507"/>
      <c r="BTW23" s="3507"/>
      <c r="BTX23" s="3507"/>
      <c r="BTY23" s="3507"/>
      <c r="BTZ23" s="3507"/>
      <c r="BUA23" s="3507"/>
      <c r="BUB23" s="3507"/>
      <c r="BUC23" s="3507"/>
      <c r="BUD23" s="3507"/>
      <c r="BUE23" s="3507"/>
      <c r="BUF23" s="3507"/>
      <c r="BUG23" s="3507"/>
      <c r="BUH23" s="3507"/>
      <c r="BUI23" s="3507"/>
      <c r="BUJ23" s="3507"/>
      <c r="BUK23" s="3507"/>
      <c r="BUL23" s="3507"/>
      <c r="BUM23" s="3507"/>
      <c r="BUN23" s="3507"/>
      <c r="BUO23" s="3507"/>
      <c r="BUP23" s="3507"/>
      <c r="BUQ23" s="3507"/>
      <c r="BUR23" s="3507"/>
      <c r="BUS23" s="3507"/>
      <c r="BUT23" s="3507"/>
      <c r="BUU23" s="3507"/>
      <c r="BUV23" s="3507"/>
      <c r="BUW23" s="3507"/>
      <c r="BUX23" s="3507"/>
      <c r="BUY23" s="3507"/>
      <c r="BUZ23" s="3507"/>
      <c r="BVA23" s="3507"/>
      <c r="BVB23" s="3507"/>
      <c r="BVC23" s="3507"/>
      <c r="BVD23" s="3507"/>
      <c r="BVE23" s="3507"/>
      <c r="BVF23" s="3507"/>
      <c r="BVG23" s="3507"/>
      <c r="BVH23" s="3507"/>
      <c r="BVI23" s="3507"/>
      <c r="BVJ23" s="3507"/>
      <c r="BVK23" s="3507"/>
      <c r="BVL23" s="3507"/>
      <c r="BVM23" s="3507"/>
      <c r="BVN23" s="3507"/>
      <c r="BVO23" s="3507"/>
      <c r="BVP23" s="3507"/>
      <c r="BVQ23" s="3507"/>
      <c r="BVR23" s="3507"/>
      <c r="BVS23" s="3507"/>
      <c r="BVT23" s="3507"/>
      <c r="BVU23" s="3507"/>
      <c r="BVV23" s="3507"/>
      <c r="BVW23" s="3507"/>
      <c r="BVX23" s="3507"/>
      <c r="BVY23" s="3507"/>
      <c r="BVZ23" s="3507"/>
      <c r="BWA23" s="3507"/>
      <c r="BWB23" s="3507"/>
      <c r="BWC23" s="3507"/>
      <c r="BWD23" s="3507"/>
      <c r="BWE23" s="3507"/>
      <c r="BWF23" s="3507"/>
      <c r="BWG23" s="3507"/>
      <c r="BWH23" s="3507"/>
      <c r="BWI23" s="3507"/>
      <c r="BWJ23" s="3507"/>
      <c r="BWK23" s="3507"/>
      <c r="BWL23" s="3507"/>
      <c r="BWM23" s="3507"/>
      <c r="BWN23" s="3507"/>
      <c r="BWO23" s="3507"/>
      <c r="BWP23" s="3507"/>
      <c r="BWQ23" s="3507"/>
      <c r="BWR23" s="3507"/>
      <c r="BWS23" s="3507"/>
      <c r="BWT23" s="3507"/>
      <c r="BWU23" s="3507"/>
      <c r="BWV23" s="3507"/>
      <c r="BWW23" s="3507"/>
      <c r="BWX23" s="3507"/>
      <c r="BWY23" s="3507"/>
      <c r="BWZ23" s="3507"/>
      <c r="BXA23" s="3507"/>
      <c r="BXB23" s="3507"/>
      <c r="BXC23" s="3507"/>
      <c r="BXD23" s="3507"/>
      <c r="BXE23" s="3507"/>
      <c r="BXF23" s="3507"/>
      <c r="BXG23" s="3507"/>
      <c r="BXH23" s="3507"/>
      <c r="BXI23" s="3507"/>
      <c r="BXJ23" s="3507"/>
      <c r="BXK23" s="3507"/>
      <c r="BXL23" s="3507"/>
      <c r="BXM23" s="3507"/>
      <c r="BXN23" s="3507"/>
      <c r="BXO23" s="3507"/>
      <c r="BXP23" s="3507"/>
      <c r="BXQ23" s="3507"/>
      <c r="BXR23" s="3507"/>
      <c r="BXS23" s="3507"/>
      <c r="BXT23" s="3507"/>
      <c r="BXU23" s="3507"/>
      <c r="BXV23" s="3507"/>
      <c r="BXW23" s="3507"/>
      <c r="BXX23" s="3507"/>
      <c r="BXY23" s="3507"/>
      <c r="BXZ23" s="3507"/>
      <c r="BYA23" s="3507"/>
      <c r="BYB23" s="3507"/>
      <c r="BYC23" s="3507"/>
      <c r="BYD23" s="3507"/>
      <c r="BYE23" s="3507"/>
      <c r="BYF23" s="3507"/>
      <c r="BYG23" s="3507"/>
      <c r="BYH23" s="3507"/>
      <c r="BYI23" s="3507"/>
      <c r="BYJ23" s="3507"/>
      <c r="BYK23" s="3507"/>
      <c r="BYL23" s="3507"/>
      <c r="BYM23" s="3507"/>
      <c r="BYN23" s="3507"/>
      <c r="BYO23" s="3507"/>
      <c r="BYP23" s="3507"/>
      <c r="BYQ23" s="3507"/>
      <c r="BYR23" s="3507"/>
      <c r="BYS23" s="3507"/>
      <c r="BYT23" s="3507"/>
      <c r="BYU23" s="3507"/>
      <c r="BYV23" s="3507"/>
      <c r="BYW23" s="3507"/>
      <c r="BYX23" s="3507"/>
      <c r="BYY23" s="3507"/>
      <c r="BYZ23" s="3507"/>
      <c r="BZA23" s="3507"/>
      <c r="BZB23" s="3507"/>
      <c r="BZC23" s="3507"/>
      <c r="BZD23" s="3507"/>
      <c r="BZE23" s="3507"/>
      <c r="BZF23" s="3507"/>
      <c r="BZG23" s="3507"/>
      <c r="BZH23" s="3507"/>
      <c r="BZI23" s="3507"/>
      <c r="BZJ23" s="3507"/>
      <c r="BZK23" s="3507"/>
      <c r="BZL23" s="3507"/>
      <c r="BZM23" s="3507"/>
      <c r="BZN23" s="3507"/>
      <c r="BZO23" s="3507"/>
      <c r="BZP23" s="3507"/>
      <c r="BZQ23" s="3507"/>
      <c r="BZR23" s="3507"/>
      <c r="BZS23" s="3507"/>
      <c r="BZT23" s="3507"/>
      <c r="BZU23" s="3507"/>
      <c r="BZV23" s="3507"/>
      <c r="BZW23" s="3507"/>
      <c r="BZX23" s="3507"/>
      <c r="BZY23" s="3507"/>
      <c r="BZZ23" s="3507"/>
      <c r="CAA23" s="3507"/>
      <c r="CAB23" s="3507"/>
      <c r="CAC23" s="3507"/>
      <c r="CAD23" s="3507"/>
      <c r="CAE23" s="3507"/>
      <c r="CAF23" s="3507"/>
      <c r="CAG23" s="3507"/>
      <c r="CAH23" s="3507"/>
      <c r="CAI23" s="3507"/>
      <c r="CAJ23" s="3507"/>
      <c r="CAK23" s="3507"/>
      <c r="CAL23" s="3507"/>
      <c r="CAM23" s="3507"/>
      <c r="CAN23" s="3507"/>
      <c r="CAO23" s="3507"/>
      <c r="CAP23" s="3507"/>
      <c r="CAQ23" s="3507"/>
      <c r="CAR23" s="3507"/>
      <c r="CAS23" s="3507"/>
      <c r="CAT23" s="3507"/>
      <c r="CAU23" s="3507"/>
      <c r="CAV23" s="3507"/>
      <c r="CAW23" s="3507"/>
      <c r="CAX23" s="3507"/>
      <c r="CAY23" s="3507"/>
      <c r="CAZ23" s="3507"/>
      <c r="CBA23" s="3507"/>
      <c r="CBB23" s="3507"/>
      <c r="CBC23" s="3507"/>
      <c r="CBD23" s="3507"/>
      <c r="CBE23" s="3507"/>
      <c r="CBF23" s="3507"/>
      <c r="CBG23" s="3507"/>
      <c r="CBH23" s="3507"/>
      <c r="CBI23" s="3507"/>
      <c r="CBJ23" s="3507"/>
      <c r="CBK23" s="3507"/>
      <c r="CBL23" s="3507"/>
      <c r="CBM23" s="3507"/>
      <c r="CBN23" s="3507"/>
      <c r="CBO23" s="3507"/>
      <c r="CBP23" s="3507"/>
      <c r="CBQ23" s="3507"/>
      <c r="CBR23" s="3507"/>
      <c r="CBS23" s="3507"/>
      <c r="CBT23" s="3507"/>
      <c r="CBU23" s="3507"/>
      <c r="CBV23" s="3507"/>
      <c r="CBW23" s="3507"/>
      <c r="CBX23" s="3507"/>
      <c r="CBY23" s="3507"/>
      <c r="CBZ23" s="3507"/>
      <c r="CCA23" s="3507"/>
      <c r="CCB23" s="3507"/>
      <c r="CCC23" s="3507"/>
      <c r="CCD23" s="3507"/>
      <c r="CCE23" s="3507"/>
      <c r="CCF23" s="3507"/>
      <c r="CCG23" s="3507"/>
      <c r="CCH23" s="3507"/>
      <c r="CCI23" s="3507"/>
      <c r="CCJ23" s="3507"/>
      <c r="CCK23" s="3507"/>
      <c r="CCL23" s="3507"/>
      <c r="CCM23" s="3507"/>
      <c r="CCN23" s="3507"/>
      <c r="CCO23" s="3507"/>
      <c r="CCP23" s="3507"/>
      <c r="CCQ23" s="3507"/>
      <c r="CCR23" s="3507"/>
      <c r="CCS23" s="3507"/>
      <c r="CCT23" s="3507"/>
      <c r="CCU23" s="3507"/>
      <c r="CCV23" s="3507"/>
      <c r="CCW23" s="3507"/>
      <c r="CCX23" s="3507"/>
      <c r="CCY23" s="3507"/>
      <c r="CCZ23" s="3507"/>
      <c r="CDA23" s="3507"/>
      <c r="CDB23" s="3507"/>
      <c r="CDC23" s="3507"/>
      <c r="CDD23" s="3507"/>
      <c r="CDE23" s="3507"/>
      <c r="CDF23" s="3507"/>
      <c r="CDG23" s="3507"/>
      <c r="CDH23" s="3507"/>
      <c r="CDI23" s="3507"/>
      <c r="CDJ23" s="3507"/>
      <c r="CDK23" s="3507"/>
      <c r="CDL23" s="3507"/>
      <c r="CDM23" s="3507"/>
      <c r="CDN23" s="3507"/>
      <c r="CDO23" s="3507"/>
      <c r="CDP23" s="3507"/>
      <c r="CDQ23" s="3507"/>
      <c r="CDR23" s="3507"/>
      <c r="CDS23" s="3507"/>
      <c r="CDT23" s="3507"/>
      <c r="CDU23" s="3507"/>
      <c r="CDV23" s="3507"/>
      <c r="CDW23" s="3507"/>
      <c r="CDX23" s="3507"/>
      <c r="CDY23" s="3507"/>
      <c r="CDZ23" s="3507"/>
      <c r="CEA23" s="3507"/>
      <c r="CEB23" s="3507"/>
      <c r="CEC23" s="3507"/>
      <c r="CED23" s="3507"/>
      <c r="CEE23" s="3507"/>
      <c r="CEF23" s="3507"/>
      <c r="CEG23" s="3507"/>
      <c r="CEH23" s="3507"/>
      <c r="CEI23" s="3507"/>
      <c r="CEJ23" s="3507"/>
      <c r="CEK23" s="3507"/>
      <c r="CEL23" s="3507"/>
      <c r="CEM23" s="3507"/>
      <c r="CEN23" s="3507"/>
      <c r="CEO23" s="3507"/>
      <c r="CEP23" s="3507"/>
      <c r="CEQ23" s="3507"/>
      <c r="CER23" s="3507"/>
      <c r="CES23" s="3507"/>
      <c r="CET23" s="3507"/>
      <c r="CEU23" s="3507"/>
      <c r="CEV23" s="3507"/>
      <c r="CEW23" s="3507"/>
      <c r="CEX23" s="3507"/>
      <c r="CEY23" s="3507"/>
      <c r="CEZ23" s="3507"/>
      <c r="CFA23" s="3507"/>
      <c r="CFB23" s="3507"/>
      <c r="CFC23" s="3507"/>
      <c r="CFD23" s="3507"/>
      <c r="CFE23" s="3507"/>
      <c r="CFF23" s="3507"/>
      <c r="CFG23" s="3507"/>
      <c r="CFH23" s="3507"/>
      <c r="CFI23" s="3507"/>
      <c r="CFJ23" s="3507"/>
      <c r="CFK23" s="3507"/>
      <c r="CFL23" s="3507"/>
      <c r="CFM23" s="3507"/>
      <c r="CFN23" s="3507"/>
      <c r="CFO23" s="3507"/>
      <c r="CFP23" s="3507"/>
      <c r="CFQ23" s="3507"/>
      <c r="CFR23" s="3507"/>
      <c r="CFS23" s="3507"/>
      <c r="CFT23" s="3507"/>
      <c r="CFU23" s="3507"/>
      <c r="CFV23" s="3507"/>
      <c r="CFW23" s="3507"/>
      <c r="CFX23" s="3507"/>
      <c r="CFY23" s="3507"/>
      <c r="CFZ23" s="3507"/>
      <c r="CGA23" s="3507"/>
      <c r="CGB23" s="3507"/>
      <c r="CGC23" s="3507"/>
      <c r="CGD23" s="3507"/>
      <c r="CGE23" s="3507"/>
      <c r="CGF23" s="3507"/>
      <c r="CGG23" s="3507"/>
      <c r="CGH23" s="3507"/>
      <c r="CGI23" s="3507"/>
      <c r="CGJ23" s="3507"/>
      <c r="CGK23" s="3507"/>
      <c r="CGL23" s="3507"/>
      <c r="CGM23" s="3507"/>
      <c r="CGN23" s="3507"/>
      <c r="CGO23" s="3507"/>
      <c r="CGP23" s="3507"/>
      <c r="CGQ23" s="3507"/>
      <c r="CGR23" s="3507"/>
      <c r="CGS23" s="3507"/>
      <c r="CGT23" s="3507"/>
      <c r="CGU23" s="3507"/>
      <c r="CGV23" s="3507"/>
      <c r="CGW23" s="3507"/>
      <c r="CGX23" s="3507"/>
      <c r="CGY23" s="3507"/>
      <c r="CGZ23" s="3507"/>
      <c r="CHA23" s="3507"/>
      <c r="CHB23" s="3507"/>
      <c r="CHC23" s="3507"/>
      <c r="CHD23" s="3507"/>
      <c r="CHE23" s="3507"/>
      <c r="CHF23" s="3507"/>
      <c r="CHG23" s="3507"/>
      <c r="CHH23" s="3507"/>
      <c r="CHI23" s="3507"/>
      <c r="CHJ23" s="3507"/>
      <c r="CHK23" s="3507"/>
      <c r="CHL23" s="3507"/>
      <c r="CHM23" s="3507"/>
      <c r="CHN23" s="3507"/>
      <c r="CHO23" s="3507"/>
      <c r="CHP23" s="3507"/>
      <c r="CHQ23" s="3507"/>
      <c r="CHR23" s="3507"/>
      <c r="CHS23" s="3507"/>
      <c r="CHT23" s="3507"/>
      <c r="CHU23" s="3507"/>
      <c r="CHV23" s="3507"/>
      <c r="CHW23" s="3507"/>
      <c r="CHX23" s="3507"/>
      <c r="CHY23" s="3507"/>
      <c r="CHZ23" s="3507"/>
      <c r="CIA23" s="3507"/>
      <c r="CIB23" s="3507"/>
      <c r="CIC23" s="3507"/>
      <c r="CID23" s="3507"/>
      <c r="CIE23" s="3507"/>
      <c r="CIF23" s="3507"/>
      <c r="CIG23" s="3507"/>
      <c r="CIH23" s="3507"/>
      <c r="CII23" s="3507"/>
      <c r="CIJ23" s="3507"/>
      <c r="CIK23" s="3507"/>
      <c r="CIL23" s="3507"/>
      <c r="CIM23" s="3507"/>
      <c r="CIN23" s="3507"/>
      <c r="CIO23" s="3507"/>
      <c r="CIP23" s="3507"/>
      <c r="CIQ23" s="3507"/>
      <c r="CIR23" s="3507"/>
      <c r="CIS23" s="3507"/>
      <c r="CIT23" s="3507"/>
      <c r="CIU23" s="3507"/>
      <c r="CIV23" s="3507"/>
      <c r="CIW23" s="3507"/>
      <c r="CIX23" s="3507"/>
      <c r="CIY23" s="3507"/>
      <c r="CIZ23" s="3507"/>
      <c r="CJA23" s="3507"/>
      <c r="CJB23" s="3507"/>
      <c r="CJC23" s="3507"/>
      <c r="CJD23" s="3507"/>
      <c r="CJE23" s="3507"/>
      <c r="CJF23" s="3507"/>
      <c r="CJG23" s="3507"/>
      <c r="CJH23" s="3507"/>
      <c r="CJI23" s="3507"/>
      <c r="CJJ23" s="3507"/>
      <c r="CJK23" s="3507"/>
      <c r="CJL23" s="3507"/>
      <c r="CJM23" s="3507"/>
      <c r="CJN23" s="3507"/>
      <c r="CJO23" s="3507"/>
      <c r="CJP23" s="3507"/>
      <c r="CJQ23" s="3507"/>
      <c r="CJR23" s="3507"/>
      <c r="CJS23" s="3507"/>
      <c r="CJT23" s="3507"/>
      <c r="CJU23" s="3507"/>
      <c r="CJV23" s="3507"/>
      <c r="CJW23" s="3507"/>
      <c r="CJX23" s="3507"/>
      <c r="CJY23" s="3507"/>
      <c r="CJZ23" s="3507"/>
      <c r="CKA23" s="3507"/>
      <c r="CKB23" s="3507"/>
      <c r="CKC23" s="3507"/>
      <c r="CKD23" s="3507"/>
      <c r="CKE23" s="3507"/>
      <c r="CKF23" s="3507"/>
      <c r="CKG23" s="3507"/>
      <c r="CKH23" s="3507"/>
      <c r="CKI23" s="3507"/>
      <c r="CKJ23" s="3507"/>
      <c r="CKK23" s="3507"/>
      <c r="CKL23" s="3507"/>
      <c r="CKM23" s="3507"/>
      <c r="CKN23" s="3507"/>
      <c r="CKO23" s="3507"/>
      <c r="CKP23" s="3507"/>
      <c r="CKQ23" s="3507"/>
      <c r="CKR23" s="3507"/>
      <c r="CKS23" s="3507"/>
      <c r="CKT23" s="3507"/>
      <c r="CKU23" s="3507"/>
      <c r="CKV23" s="3507"/>
      <c r="CKW23" s="3507"/>
      <c r="CKX23" s="3507"/>
      <c r="CKY23" s="3507"/>
      <c r="CKZ23" s="3507"/>
      <c r="CLA23" s="3507"/>
      <c r="CLB23" s="3507"/>
      <c r="CLC23" s="3507"/>
      <c r="CLD23" s="3507"/>
      <c r="CLE23" s="3507"/>
      <c r="CLF23" s="3507"/>
      <c r="CLG23" s="3507"/>
      <c r="CLH23" s="3507"/>
      <c r="CLI23" s="3507"/>
      <c r="CLJ23" s="3507"/>
      <c r="CLK23" s="3507"/>
      <c r="CLL23" s="3507"/>
      <c r="CLM23" s="3507"/>
      <c r="CLN23" s="3507"/>
      <c r="CLO23" s="3507"/>
      <c r="CLP23" s="3507"/>
      <c r="CLQ23" s="3507"/>
      <c r="CLR23" s="3507"/>
      <c r="CLS23" s="3507"/>
      <c r="CLT23" s="3507"/>
      <c r="CLU23" s="3507"/>
      <c r="CLV23" s="3507"/>
      <c r="CLW23" s="3507"/>
      <c r="CLX23" s="3507"/>
      <c r="CLY23" s="3507"/>
      <c r="CLZ23" s="3507"/>
      <c r="CMA23" s="3507"/>
      <c r="CMB23" s="3507"/>
      <c r="CMC23" s="3507"/>
      <c r="CMD23" s="3507"/>
      <c r="CME23" s="3507"/>
      <c r="CMF23" s="3507"/>
      <c r="CMG23" s="3507"/>
      <c r="CMH23" s="3507"/>
      <c r="CMI23" s="3507"/>
      <c r="CMJ23" s="3507"/>
      <c r="CMK23" s="3507"/>
      <c r="CML23" s="3507"/>
      <c r="CMM23" s="3507"/>
      <c r="CMN23" s="3507"/>
      <c r="CMO23" s="3507"/>
      <c r="CMP23" s="3507"/>
      <c r="CMQ23" s="3507"/>
      <c r="CMR23" s="3507"/>
      <c r="CMS23" s="3507"/>
      <c r="CMT23" s="3507"/>
      <c r="CMU23" s="3507"/>
      <c r="CMV23" s="3507"/>
      <c r="CMW23" s="3507"/>
      <c r="CMX23" s="3507"/>
      <c r="CMY23" s="3507"/>
      <c r="CMZ23" s="3507"/>
      <c r="CNA23" s="3507"/>
      <c r="CNB23" s="3507"/>
      <c r="CNC23" s="3507"/>
      <c r="CND23" s="3507"/>
      <c r="CNE23" s="3507"/>
      <c r="CNF23" s="3507"/>
      <c r="CNG23" s="3507"/>
      <c r="CNH23" s="3507"/>
      <c r="CNI23" s="3507"/>
      <c r="CNJ23" s="3507"/>
      <c r="CNK23" s="3507"/>
      <c r="CNL23" s="3507"/>
      <c r="CNM23" s="3507"/>
      <c r="CNN23" s="3507"/>
      <c r="CNO23" s="3507"/>
      <c r="CNP23" s="3507"/>
      <c r="CNQ23" s="3507"/>
      <c r="CNR23" s="3507"/>
      <c r="CNS23" s="3507"/>
      <c r="CNT23" s="3507"/>
      <c r="CNU23" s="3507"/>
      <c r="CNV23" s="3507"/>
      <c r="CNW23" s="3507"/>
      <c r="CNX23" s="3507"/>
      <c r="CNY23" s="3507"/>
      <c r="CNZ23" s="3507"/>
      <c r="COA23" s="3507"/>
      <c r="COB23" s="3507"/>
      <c r="COC23" s="3507"/>
      <c r="COD23" s="3507"/>
      <c r="COE23" s="3507"/>
      <c r="COF23" s="3507"/>
      <c r="COG23" s="3507"/>
      <c r="COH23" s="3507"/>
      <c r="COI23" s="3507"/>
      <c r="COJ23" s="3507"/>
      <c r="COK23" s="3507"/>
      <c r="COL23" s="3507"/>
      <c r="COM23" s="3507"/>
      <c r="CON23" s="3507"/>
      <c r="COO23" s="3507"/>
      <c r="COP23" s="3507"/>
      <c r="COQ23" s="3507"/>
      <c r="COR23" s="3507"/>
      <c r="COS23" s="3507"/>
      <c r="COT23" s="3507"/>
      <c r="COU23" s="3507"/>
      <c r="COV23" s="3507"/>
      <c r="COW23" s="3507"/>
      <c r="COX23" s="3507"/>
      <c r="COY23" s="3507"/>
      <c r="COZ23" s="3507"/>
      <c r="CPA23" s="3507"/>
      <c r="CPB23" s="3507"/>
      <c r="CPC23" s="3507"/>
      <c r="CPD23" s="3507"/>
      <c r="CPE23" s="3507"/>
      <c r="CPF23" s="3507"/>
      <c r="CPG23" s="3507"/>
      <c r="CPH23" s="3507"/>
      <c r="CPI23" s="3507"/>
      <c r="CPJ23" s="3507"/>
      <c r="CPK23" s="3507"/>
      <c r="CPL23" s="3507"/>
      <c r="CPM23" s="3507"/>
      <c r="CPN23" s="3507"/>
      <c r="CPO23" s="3507"/>
      <c r="CPP23" s="3507"/>
      <c r="CPQ23" s="3507"/>
      <c r="CPR23" s="3507"/>
      <c r="CPS23" s="3507"/>
      <c r="CPT23" s="3507"/>
      <c r="CPU23" s="3507"/>
      <c r="CPV23" s="3507"/>
      <c r="CPW23" s="3507"/>
      <c r="CPX23" s="3507"/>
      <c r="CPY23" s="3507"/>
      <c r="CPZ23" s="3507"/>
      <c r="CQA23" s="3507"/>
      <c r="CQB23" s="3507"/>
      <c r="CQC23" s="3507"/>
      <c r="CQD23" s="3507"/>
      <c r="CQE23" s="3507"/>
      <c r="CQF23" s="3507"/>
      <c r="CQG23" s="3507"/>
      <c r="CQH23" s="3507"/>
      <c r="CQI23" s="3507"/>
      <c r="CQJ23" s="3507"/>
      <c r="CQK23" s="3507"/>
      <c r="CQL23" s="3507"/>
      <c r="CQM23" s="3507"/>
      <c r="CQN23" s="3507"/>
      <c r="CQO23" s="3507"/>
      <c r="CQP23" s="3507"/>
      <c r="CQQ23" s="3507"/>
      <c r="CQR23" s="3507"/>
      <c r="CQS23" s="3507"/>
      <c r="CQT23" s="3507"/>
      <c r="CQU23" s="3507"/>
      <c r="CQV23" s="3507"/>
      <c r="CQW23" s="3507"/>
      <c r="CQX23" s="3507"/>
      <c r="CQY23" s="3507"/>
      <c r="CQZ23" s="3507"/>
      <c r="CRA23" s="3507"/>
      <c r="CRB23" s="3507"/>
      <c r="CRC23" s="3507"/>
      <c r="CRD23" s="3507"/>
      <c r="CRE23" s="3507"/>
      <c r="CRF23" s="3507"/>
      <c r="CRG23" s="3507"/>
      <c r="CRH23" s="3507"/>
      <c r="CRI23" s="3507"/>
      <c r="CRJ23" s="3507"/>
      <c r="CRK23" s="3507"/>
      <c r="CRL23" s="3507"/>
      <c r="CRM23" s="3507"/>
      <c r="CRN23" s="3507"/>
      <c r="CRO23" s="3507"/>
      <c r="CRP23" s="3507"/>
      <c r="CRQ23" s="3507"/>
      <c r="CRR23" s="3507"/>
      <c r="CRS23" s="3507"/>
      <c r="CRT23" s="3507"/>
      <c r="CRU23" s="3507"/>
      <c r="CRV23" s="3507"/>
      <c r="CRW23" s="3507"/>
      <c r="CRX23" s="3507"/>
      <c r="CRY23" s="3507"/>
      <c r="CRZ23" s="3507"/>
      <c r="CSA23" s="3507"/>
      <c r="CSB23" s="3507"/>
      <c r="CSC23" s="3507"/>
      <c r="CSD23" s="3507"/>
      <c r="CSE23" s="3507"/>
      <c r="CSF23" s="3507"/>
      <c r="CSG23" s="3507"/>
      <c r="CSH23" s="3507"/>
      <c r="CSI23" s="3507"/>
      <c r="CSJ23" s="3507"/>
      <c r="CSK23" s="3507"/>
      <c r="CSL23" s="3507"/>
      <c r="CSM23" s="3507"/>
      <c r="CSN23" s="3507"/>
      <c r="CSO23" s="3507"/>
      <c r="CSP23" s="3507"/>
      <c r="CSQ23" s="3507"/>
      <c r="CSR23" s="3507"/>
      <c r="CSS23" s="3507"/>
      <c r="CST23" s="3507"/>
      <c r="CSU23" s="3507"/>
      <c r="CSV23" s="3507"/>
      <c r="CSW23" s="3507"/>
      <c r="CSX23" s="3507"/>
      <c r="CSY23" s="3507"/>
      <c r="CSZ23" s="3507"/>
      <c r="CTA23" s="3507"/>
      <c r="CTB23" s="3507"/>
      <c r="CTC23" s="3507"/>
      <c r="CTD23" s="3507"/>
      <c r="CTE23" s="3507"/>
      <c r="CTF23" s="3507"/>
      <c r="CTG23" s="3507"/>
      <c r="CTH23" s="3507"/>
      <c r="CTI23" s="3507"/>
      <c r="CTJ23" s="3507"/>
      <c r="CTK23" s="3507"/>
      <c r="CTL23" s="3507"/>
      <c r="CTM23" s="3507"/>
      <c r="CTN23" s="3507"/>
      <c r="CTO23" s="3507"/>
      <c r="CTP23" s="3507"/>
      <c r="CTQ23" s="3507"/>
      <c r="CTR23" s="3507"/>
      <c r="CTS23" s="3507"/>
      <c r="CTT23" s="3507"/>
      <c r="CTU23" s="3507"/>
      <c r="CTV23" s="3507"/>
      <c r="CTW23" s="3507"/>
      <c r="CTX23" s="3507"/>
      <c r="CTY23" s="3507"/>
      <c r="CTZ23" s="3507"/>
      <c r="CUA23" s="3507"/>
      <c r="CUB23" s="3507"/>
      <c r="CUC23" s="3507"/>
      <c r="CUD23" s="3507"/>
      <c r="CUE23" s="3507"/>
      <c r="CUF23" s="3507"/>
      <c r="CUG23" s="3507"/>
      <c r="CUH23" s="3507"/>
      <c r="CUI23" s="3507"/>
      <c r="CUJ23" s="3507"/>
      <c r="CUK23" s="3507"/>
      <c r="CUL23" s="3507"/>
      <c r="CUM23" s="3507"/>
      <c r="CUN23" s="3507"/>
      <c r="CUO23" s="3507"/>
      <c r="CUP23" s="3507"/>
      <c r="CUQ23" s="3507"/>
      <c r="CUR23" s="3507"/>
      <c r="CUS23" s="3507"/>
      <c r="CUT23" s="3507"/>
      <c r="CUU23" s="3507"/>
      <c r="CUV23" s="3507"/>
      <c r="CUW23" s="3507"/>
      <c r="CUX23" s="3507"/>
      <c r="CUY23" s="3507"/>
      <c r="CUZ23" s="3507"/>
      <c r="CVA23" s="3507"/>
      <c r="CVB23" s="3507"/>
      <c r="CVC23" s="3507"/>
      <c r="CVD23" s="3507"/>
      <c r="CVE23" s="3507"/>
      <c r="CVF23" s="3507"/>
      <c r="CVG23" s="3507"/>
      <c r="CVH23" s="3507"/>
      <c r="CVI23" s="3507"/>
      <c r="CVJ23" s="3507"/>
      <c r="CVK23" s="3507"/>
      <c r="CVL23" s="3507"/>
      <c r="CVM23" s="3507"/>
      <c r="CVN23" s="3507"/>
      <c r="CVO23" s="3507"/>
      <c r="CVP23" s="3507"/>
      <c r="CVQ23" s="3507"/>
      <c r="CVR23" s="3507"/>
      <c r="CVS23" s="3507"/>
      <c r="CVT23" s="3507"/>
      <c r="CVU23" s="3507"/>
      <c r="CVV23" s="3507"/>
      <c r="CVW23" s="3507"/>
      <c r="CVX23" s="3507"/>
      <c r="CVY23" s="3507"/>
      <c r="CVZ23" s="3507"/>
      <c r="CWA23" s="3507"/>
      <c r="CWB23" s="3507"/>
      <c r="CWC23" s="3507"/>
      <c r="CWD23" s="3507"/>
      <c r="CWE23" s="3507"/>
      <c r="CWF23" s="3507"/>
      <c r="CWG23" s="3507"/>
      <c r="CWH23" s="3507"/>
      <c r="CWI23" s="3507"/>
      <c r="CWJ23" s="3507"/>
      <c r="CWK23" s="3507"/>
      <c r="CWL23" s="3507"/>
      <c r="CWM23" s="3507"/>
      <c r="CWN23" s="3507"/>
      <c r="CWO23" s="3507"/>
      <c r="CWP23" s="3507"/>
      <c r="CWQ23" s="3507"/>
      <c r="CWR23" s="3507"/>
      <c r="CWS23" s="3507"/>
      <c r="CWT23" s="3507"/>
      <c r="CWU23" s="3507"/>
      <c r="CWV23" s="3507"/>
      <c r="CWW23" s="3507"/>
      <c r="CWX23" s="3507"/>
      <c r="CWY23" s="3507"/>
      <c r="CWZ23" s="3507"/>
      <c r="CXA23" s="3507"/>
      <c r="CXB23" s="3507"/>
      <c r="CXC23" s="3507"/>
      <c r="CXD23" s="3507"/>
      <c r="CXE23" s="3507"/>
      <c r="CXF23" s="3507"/>
      <c r="CXG23" s="3507"/>
      <c r="CXH23" s="3507"/>
      <c r="CXI23" s="3507"/>
      <c r="CXJ23" s="3507"/>
      <c r="CXK23" s="3507"/>
      <c r="CXL23" s="3507"/>
      <c r="CXM23" s="3507"/>
      <c r="CXN23" s="3507"/>
      <c r="CXO23" s="3507"/>
      <c r="CXP23" s="3507"/>
      <c r="CXQ23" s="3507"/>
      <c r="CXR23" s="3507"/>
      <c r="CXS23" s="3507"/>
      <c r="CXT23" s="3507"/>
      <c r="CXU23" s="3507"/>
      <c r="CXV23" s="3507"/>
      <c r="CXW23" s="3507"/>
      <c r="CXX23" s="3507"/>
      <c r="CXY23" s="3507"/>
      <c r="CXZ23" s="3507"/>
      <c r="CYA23" s="3507"/>
      <c r="CYB23" s="3507"/>
      <c r="CYC23" s="3507"/>
      <c r="CYD23" s="3507"/>
      <c r="CYE23" s="3507"/>
      <c r="CYF23" s="3507"/>
      <c r="CYG23" s="3507"/>
      <c r="CYH23" s="3507"/>
      <c r="CYI23" s="3507"/>
      <c r="CYJ23" s="3507"/>
      <c r="CYK23" s="3507"/>
      <c r="CYL23" s="3507"/>
      <c r="CYM23" s="3507"/>
      <c r="CYN23" s="3507"/>
      <c r="CYO23" s="3507"/>
      <c r="CYP23" s="3507"/>
      <c r="CYQ23" s="3507"/>
      <c r="CYR23" s="3507"/>
      <c r="CYS23" s="3507"/>
      <c r="CYT23" s="3507"/>
      <c r="CYU23" s="3507"/>
      <c r="CYV23" s="3507"/>
      <c r="CYW23" s="3507"/>
      <c r="CYX23" s="3507"/>
      <c r="CYY23" s="3507"/>
      <c r="CYZ23" s="3507"/>
      <c r="CZA23" s="3507"/>
      <c r="CZB23" s="3507"/>
      <c r="CZC23" s="3507"/>
      <c r="CZD23" s="3507"/>
      <c r="CZE23" s="3507"/>
      <c r="CZF23" s="3507"/>
      <c r="CZG23" s="3507"/>
      <c r="CZH23" s="3507"/>
      <c r="CZI23" s="3507"/>
      <c r="CZJ23" s="3507"/>
      <c r="CZK23" s="3507"/>
      <c r="CZL23" s="3507"/>
      <c r="CZM23" s="3507"/>
      <c r="CZN23" s="3507"/>
      <c r="CZO23" s="3507"/>
      <c r="CZP23" s="3507"/>
      <c r="CZQ23" s="3507"/>
      <c r="CZR23" s="3507"/>
      <c r="CZS23" s="3507"/>
      <c r="CZT23" s="3507"/>
      <c r="CZU23" s="3507"/>
      <c r="CZV23" s="3507"/>
      <c r="CZW23" s="3507"/>
      <c r="CZX23" s="3507"/>
      <c r="CZY23" s="3507"/>
      <c r="CZZ23" s="3507"/>
      <c r="DAA23" s="3507"/>
      <c r="DAB23" s="3507"/>
      <c r="DAC23" s="3507"/>
      <c r="DAD23" s="3507"/>
      <c r="DAE23" s="3507"/>
      <c r="DAF23" s="3507"/>
      <c r="DAG23" s="3507"/>
      <c r="DAH23" s="3507"/>
      <c r="DAI23" s="3507"/>
      <c r="DAJ23" s="3507"/>
      <c r="DAK23" s="3507"/>
      <c r="DAL23" s="3507"/>
      <c r="DAM23" s="3507"/>
      <c r="DAN23" s="3507"/>
      <c r="DAO23" s="3507"/>
      <c r="DAP23" s="3507"/>
      <c r="DAQ23" s="3507"/>
      <c r="DAR23" s="3507"/>
      <c r="DAS23" s="3507"/>
      <c r="DAT23" s="3507"/>
      <c r="DAU23" s="3507"/>
      <c r="DAV23" s="3507"/>
      <c r="DAW23" s="3507"/>
      <c r="DAX23" s="3507"/>
      <c r="DAY23" s="3507"/>
      <c r="DAZ23" s="3507"/>
      <c r="DBA23" s="3507"/>
      <c r="DBB23" s="3507"/>
      <c r="DBC23" s="3507"/>
      <c r="DBD23" s="3507"/>
      <c r="DBE23" s="3507"/>
      <c r="DBF23" s="3507"/>
      <c r="DBG23" s="3507"/>
      <c r="DBH23" s="3507"/>
      <c r="DBI23" s="3507"/>
      <c r="DBJ23" s="3507"/>
      <c r="DBK23" s="3507"/>
      <c r="DBL23" s="3507"/>
      <c r="DBM23" s="3507"/>
      <c r="DBN23" s="3507"/>
      <c r="DBO23" s="3507"/>
      <c r="DBP23" s="3507"/>
      <c r="DBQ23" s="3507"/>
      <c r="DBR23" s="3507"/>
      <c r="DBS23" s="3507"/>
      <c r="DBT23" s="3507"/>
      <c r="DBU23" s="3507"/>
      <c r="DBV23" s="3507"/>
      <c r="DBW23" s="3507"/>
      <c r="DBX23" s="3507"/>
      <c r="DBY23" s="3507"/>
      <c r="DBZ23" s="3507"/>
      <c r="DCA23" s="3507"/>
      <c r="DCB23" s="3507"/>
      <c r="DCC23" s="3507"/>
      <c r="DCD23" s="3507"/>
      <c r="DCE23" s="3507"/>
      <c r="DCF23" s="3507"/>
      <c r="DCG23" s="3507"/>
      <c r="DCH23" s="3507"/>
      <c r="DCI23" s="3507"/>
      <c r="DCJ23" s="3507"/>
      <c r="DCK23" s="3507"/>
      <c r="DCL23" s="3507"/>
      <c r="DCM23" s="3507"/>
      <c r="DCN23" s="3507"/>
      <c r="DCO23" s="3507"/>
      <c r="DCP23" s="3507"/>
      <c r="DCQ23" s="3507"/>
      <c r="DCR23" s="3507"/>
      <c r="DCS23" s="3507"/>
      <c r="DCT23" s="3507"/>
      <c r="DCU23" s="3507"/>
      <c r="DCV23" s="3507"/>
      <c r="DCW23" s="3507"/>
      <c r="DCX23" s="3507"/>
      <c r="DCY23" s="3507"/>
      <c r="DCZ23" s="3507"/>
      <c r="DDA23" s="3507"/>
      <c r="DDB23" s="3507"/>
      <c r="DDC23" s="3507"/>
      <c r="DDD23" s="3507"/>
      <c r="DDE23" s="3507"/>
      <c r="DDF23" s="3507"/>
      <c r="DDG23" s="3507"/>
      <c r="DDH23" s="3507"/>
      <c r="DDI23" s="3507"/>
      <c r="DDJ23" s="3507"/>
      <c r="DDK23" s="3507"/>
      <c r="DDL23" s="3507"/>
      <c r="DDM23" s="3507"/>
      <c r="DDN23" s="3507"/>
      <c r="DDO23" s="3507"/>
      <c r="DDP23" s="3507"/>
      <c r="DDQ23" s="3507"/>
      <c r="DDR23" s="3507"/>
      <c r="DDS23" s="3507"/>
      <c r="DDT23" s="3507"/>
      <c r="DDU23" s="3507"/>
      <c r="DDV23" s="3507"/>
      <c r="DDW23" s="3507"/>
      <c r="DDX23" s="3507"/>
      <c r="DDY23" s="3507"/>
      <c r="DDZ23" s="3507"/>
      <c r="DEA23" s="3507"/>
      <c r="DEB23" s="3507"/>
      <c r="DEC23" s="3507"/>
      <c r="DED23" s="3507"/>
      <c r="DEE23" s="3507"/>
      <c r="DEF23" s="3507"/>
      <c r="DEG23" s="3507"/>
      <c r="DEH23" s="3507"/>
      <c r="DEI23" s="3507"/>
      <c r="DEJ23" s="3507"/>
      <c r="DEK23" s="3507"/>
      <c r="DEL23" s="3507"/>
      <c r="DEM23" s="3507"/>
      <c r="DEN23" s="3507"/>
      <c r="DEO23" s="3507"/>
      <c r="DEP23" s="3507"/>
      <c r="DEQ23" s="3507"/>
      <c r="DER23" s="3507"/>
      <c r="DES23" s="3507"/>
      <c r="DET23" s="3507"/>
      <c r="DEU23" s="3507"/>
      <c r="DEV23" s="3507"/>
      <c r="DEW23" s="3507"/>
      <c r="DEX23" s="3507"/>
      <c r="DEY23" s="3507"/>
      <c r="DEZ23" s="3507"/>
      <c r="DFA23" s="3507"/>
      <c r="DFB23" s="3507"/>
      <c r="DFC23" s="3507"/>
      <c r="DFD23" s="3507"/>
      <c r="DFE23" s="3507"/>
      <c r="DFF23" s="3507"/>
      <c r="DFG23" s="3507"/>
      <c r="DFH23" s="3507"/>
      <c r="DFI23" s="3507"/>
      <c r="DFJ23" s="3507"/>
      <c r="DFK23" s="3507"/>
      <c r="DFL23" s="3507"/>
      <c r="DFM23" s="3507"/>
      <c r="DFN23" s="3507"/>
      <c r="DFO23" s="3507"/>
      <c r="DFP23" s="3507"/>
      <c r="DFQ23" s="3507"/>
      <c r="DFR23" s="3507"/>
      <c r="DFS23" s="3507"/>
      <c r="DFT23" s="3507"/>
      <c r="DFU23" s="3507"/>
      <c r="DFV23" s="3507"/>
      <c r="DFW23" s="3507"/>
      <c r="DFX23" s="3507"/>
      <c r="DFY23" s="3507"/>
      <c r="DFZ23" s="3507"/>
      <c r="DGA23" s="3507"/>
      <c r="DGB23" s="3507"/>
      <c r="DGC23" s="3507"/>
      <c r="DGD23" s="3507"/>
      <c r="DGE23" s="3507"/>
      <c r="DGF23" s="3507"/>
      <c r="DGG23" s="3507"/>
      <c r="DGH23" s="3507"/>
      <c r="DGI23" s="3507"/>
      <c r="DGJ23" s="3507"/>
      <c r="DGK23" s="3507"/>
      <c r="DGL23" s="3507"/>
      <c r="DGM23" s="3507"/>
      <c r="DGN23" s="3507"/>
      <c r="DGO23" s="3507"/>
      <c r="DGP23" s="3507"/>
      <c r="DGQ23" s="3507"/>
      <c r="DGR23" s="3507"/>
      <c r="DGS23" s="3507"/>
      <c r="DGT23" s="3507"/>
      <c r="DGU23" s="3507"/>
      <c r="DGV23" s="3507"/>
      <c r="DGW23" s="3507"/>
      <c r="DGX23" s="3507"/>
      <c r="DGY23" s="3507"/>
      <c r="DGZ23" s="3507"/>
      <c r="DHA23" s="3507"/>
      <c r="DHB23" s="3507"/>
      <c r="DHC23" s="3507"/>
      <c r="DHD23" s="3507"/>
      <c r="DHE23" s="3507"/>
      <c r="DHF23" s="3507"/>
      <c r="DHG23" s="3507"/>
      <c r="DHH23" s="3507"/>
      <c r="DHI23" s="3507"/>
      <c r="DHJ23" s="3507"/>
      <c r="DHK23" s="3507"/>
      <c r="DHL23" s="3507"/>
      <c r="DHM23" s="3507"/>
      <c r="DHN23" s="3507"/>
      <c r="DHO23" s="3507"/>
      <c r="DHP23" s="3507"/>
      <c r="DHQ23" s="3507"/>
      <c r="DHR23" s="3507"/>
      <c r="DHS23" s="3507"/>
      <c r="DHT23" s="3507"/>
      <c r="DHU23" s="3507"/>
      <c r="DHV23" s="3507"/>
      <c r="DHW23" s="3507"/>
      <c r="DHX23" s="3507"/>
      <c r="DHY23" s="3507"/>
      <c r="DHZ23" s="3507"/>
      <c r="DIA23" s="3507"/>
      <c r="DIB23" s="3507"/>
      <c r="DIC23" s="3507"/>
      <c r="DID23" s="3507"/>
      <c r="DIE23" s="3507"/>
      <c r="DIF23" s="3507"/>
      <c r="DIG23" s="3507"/>
      <c r="DIH23" s="3507"/>
      <c r="DII23" s="3507"/>
      <c r="DIJ23" s="3507"/>
      <c r="DIK23" s="3507"/>
      <c r="DIL23" s="3507"/>
      <c r="DIM23" s="3507"/>
      <c r="DIN23" s="3507"/>
      <c r="DIO23" s="3507"/>
      <c r="DIP23" s="3507"/>
      <c r="DIQ23" s="3507"/>
      <c r="DIR23" s="3507"/>
      <c r="DIS23" s="3507"/>
      <c r="DIT23" s="3507"/>
      <c r="DIU23" s="3507"/>
      <c r="DIV23" s="3507"/>
      <c r="DIW23" s="3507"/>
      <c r="DIX23" s="3507"/>
      <c r="DIY23" s="3507"/>
      <c r="DIZ23" s="3507"/>
      <c r="DJA23" s="3507"/>
      <c r="DJB23" s="3507"/>
      <c r="DJC23" s="3507"/>
      <c r="DJD23" s="3507"/>
      <c r="DJE23" s="3507"/>
      <c r="DJF23" s="3507"/>
      <c r="DJG23" s="3507"/>
      <c r="DJH23" s="3507"/>
      <c r="DJI23" s="3507"/>
      <c r="DJJ23" s="3507"/>
      <c r="DJK23" s="3507"/>
      <c r="DJL23" s="3507"/>
      <c r="DJM23" s="3507"/>
      <c r="DJN23" s="3507"/>
      <c r="DJO23" s="3507"/>
      <c r="DJP23" s="3507"/>
      <c r="DJQ23" s="3507"/>
      <c r="DJR23" s="3507"/>
      <c r="DJS23" s="3507"/>
      <c r="DJT23" s="3507"/>
      <c r="DJU23" s="3507"/>
      <c r="DJV23" s="3507"/>
      <c r="DJW23" s="3507"/>
      <c r="DJX23" s="3507"/>
      <c r="DJY23" s="3507"/>
      <c r="DJZ23" s="3507"/>
      <c r="DKA23" s="3507"/>
      <c r="DKB23" s="3507"/>
      <c r="DKC23" s="3507"/>
      <c r="DKD23" s="3507"/>
      <c r="DKE23" s="3507"/>
      <c r="DKF23" s="3507"/>
      <c r="DKG23" s="3507"/>
      <c r="DKH23" s="3507"/>
      <c r="DKI23" s="3507"/>
      <c r="DKJ23" s="3507"/>
      <c r="DKK23" s="3507"/>
      <c r="DKL23" s="3507"/>
      <c r="DKM23" s="3507"/>
      <c r="DKN23" s="3507"/>
      <c r="DKO23" s="3507"/>
      <c r="DKP23" s="3507"/>
      <c r="DKQ23" s="3507"/>
      <c r="DKR23" s="3507"/>
      <c r="DKS23" s="3507"/>
      <c r="DKT23" s="3507"/>
      <c r="DKU23" s="3507"/>
      <c r="DKV23" s="3507"/>
      <c r="DKW23" s="3507"/>
      <c r="DKX23" s="3507"/>
      <c r="DKY23" s="3507"/>
      <c r="DKZ23" s="3507"/>
      <c r="DLA23" s="3507"/>
      <c r="DLB23" s="3507"/>
      <c r="DLC23" s="3507"/>
      <c r="DLD23" s="3507"/>
      <c r="DLE23" s="3507"/>
      <c r="DLF23" s="3507"/>
      <c r="DLG23" s="3507"/>
      <c r="DLH23" s="3507"/>
      <c r="DLI23" s="3507"/>
      <c r="DLJ23" s="3507"/>
      <c r="DLK23" s="3507"/>
      <c r="DLL23" s="3507"/>
      <c r="DLM23" s="3507"/>
      <c r="DLN23" s="3507"/>
      <c r="DLO23" s="3507"/>
      <c r="DLP23" s="3507"/>
      <c r="DLQ23" s="3507"/>
      <c r="DLR23" s="3507"/>
      <c r="DLS23" s="3507"/>
      <c r="DLT23" s="3507"/>
      <c r="DLU23" s="3507"/>
      <c r="DLV23" s="3507"/>
      <c r="DLW23" s="3507"/>
      <c r="DLX23" s="3507"/>
      <c r="DLY23" s="3507"/>
      <c r="DLZ23" s="3507"/>
      <c r="DMA23" s="3507"/>
      <c r="DMB23" s="3507"/>
      <c r="DMC23" s="3507"/>
      <c r="DMD23" s="3507"/>
      <c r="DME23" s="3507"/>
      <c r="DMF23" s="3507"/>
      <c r="DMG23" s="3507"/>
      <c r="DMH23" s="3507"/>
      <c r="DMI23" s="3507"/>
      <c r="DMJ23" s="3507"/>
      <c r="DMK23" s="3507"/>
      <c r="DML23" s="3507"/>
      <c r="DMM23" s="3507"/>
      <c r="DMN23" s="3507"/>
      <c r="DMO23" s="3507"/>
      <c r="DMP23" s="3507"/>
      <c r="DMQ23" s="3507"/>
      <c r="DMR23" s="3507"/>
      <c r="DMS23" s="3507"/>
      <c r="DMT23" s="3507"/>
      <c r="DMU23" s="3507"/>
      <c r="DMV23" s="3507"/>
      <c r="DMW23" s="3507"/>
      <c r="DMX23" s="3507"/>
      <c r="DMY23" s="3507"/>
      <c r="DMZ23" s="3507"/>
      <c r="DNA23" s="3507"/>
      <c r="DNB23" s="3507"/>
      <c r="DNC23" s="3507"/>
      <c r="DND23" s="3507"/>
      <c r="DNE23" s="3507"/>
      <c r="DNF23" s="3507"/>
      <c r="DNG23" s="3507"/>
      <c r="DNH23" s="3507"/>
      <c r="DNI23" s="3507"/>
      <c r="DNJ23" s="3507"/>
      <c r="DNK23" s="3507"/>
      <c r="DNL23" s="3507"/>
      <c r="DNM23" s="3507"/>
      <c r="DNN23" s="3507"/>
      <c r="DNO23" s="3507"/>
      <c r="DNP23" s="3507"/>
      <c r="DNQ23" s="3507"/>
      <c r="DNR23" s="3507"/>
      <c r="DNS23" s="3507"/>
      <c r="DNT23" s="3507"/>
      <c r="DNU23" s="3507"/>
      <c r="DNV23" s="3507"/>
      <c r="DNW23" s="3507"/>
      <c r="DNX23" s="3507"/>
      <c r="DNY23" s="3507"/>
      <c r="DNZ23" s="3507"/>
      <c r="DOA23" s="3507"/>
      <c r="DOB23" s="3507"/>
      <c r="DOC23" s="3507"/>
      <c r="DOD23" s="3507"/>
      <c r="DOE23" s="3507"/>
      <c r="DOF23" s="3507"/>
      <c r="DOG23" s="3507"/>
      <c r="DOH23" s="3507"/>
      <c r="DOI23" s="3507"/>
      <c r="DOJ23" s="3507"/>
      <c r="DOK23" s="3507"/>
      <c r="DOL23" s="3507"/>
      <c r="DOM23" s="3507"/>
      <c r="DON23" s="3507"/>
      <c r="DOO23" s="3507"/>
      <c r="DOP23" s="3507"/>
      <c r="DOQ23" s="3507"/>
      <c r="DOR23" s="3507"/>
      <c r="DOS23" s="3507"/>
      <c r="DOT23" s="3507"/>
      <c r="DOU23" s="3507"/>
      <c r="DOV23" s="3507"/>
      <c r="DOW23" s="3507"/>
      <c r="DOX23" s="3507"/>
      <c r="DOY23" s="3507"/>
      <c r="DOZ23" s="3507"/>
      <c r="DPA23" s="3507"/>
      <c r="DPB23" s="3507"/>
      <c r="DPC23" s="3507"/>
      <c r="DPD23" s="3507"/>
      <c r="DPE23" s="3507"/>
      <c r="DPF23" s="3507"/>
      <c r="DPG23" s="3507"/>
      <c r="DPH23" s="3507"/>
      <c r="DPI23" s="3507"/>
      <c r="DPJ23" s="3507"/>
      <c r="DPK23" s="3507"/>
      <c r="DPL23" s="3507"/>
      <c r="DPM23" s="3507"/>
      <c r="DPN23" s="3507"/>
      <c r="DPO23" s="3507"/>
      <c r="DPP23" s="3507"/>
      <c r="DPQ23" s="3507"/>
      <c r="DPR23" s="3507"/>
      <c r="DPS23" s="3507"/>
      <c r="DPT23" s="3507"/>
      <c r="DPU23" s="3507"/>
      <c r="DPV23" s="3507"/>
      <c r="DPW23" s="3507"/>
      <c r="DPX23" s="3507"/>
      <c r="DPY23" s="3507"/>
      <c r="DPZ23" s="3507"/>
      <c r="DQA23" s="3507"/>
      <c r="DQB23" s="3507"/>
      <c r="DQC23" s="3507"/>
      <c r="DQD23" s="3507"/>
      <c r="DQE23" s="3507"/>
      <c r="DQF23" s="3507"/>
      <c r="DQG23" s="3507"/>
      <c r="DQH23" s="3507"/>
      <c r="DQI23" s="3507"/>
      <c r="DQJ23" s="3507"/>
      <c r="DQK23" s="3507"/>
      <c r="DQL23" s="3507"/>
      <c r="DQM23" s="3507"/>
      <c r="DQN23" s="3507"/>
      <c r="DQO23" s="3507"/>
      <c r="DQP23" s="3507"/>
      <c r="DQQ23" s="3507"/>
      <c r="DQR23" s="3507"/>
      <c r="DQS23" s="3507"/>
      <c r="DQT23" s="3507"/>
      <c r="DQU23" s="3507"/>
      <c r="DQV23" s="3507"/>
      <c r="DQW23" s="3507"/>
      <c r="DQX23" s="3507"/>
      <c r="DQY23" s="3507"/>
      <c r="DQZ23" s="3507"/>
      <c r="DRA23" s="3507"/>
      <c r="DRB23" s="3507"/>
      <c r="DRC23" s="3507"/>
      <c r="DRD23" s="3507"/>
      <c r="DRE23" s="3507"/>
      <c r="DRF23" s="3507"/>
      <c r="DRG23" s="3507"/>
      <c r="DRH23" s="3507"/>
      <c r="DRI23" s="3507"/>
      <c r="DRJ23" s="3507"/>
      <c r="DRK23" s="3507"/>
      <c r="DRL23" s="3507"/>
      <c r="DRM23" s="3507"/>
      <c r="DRN23" s="3507"/>
      <c r="DRO23" s="3507"/>
      <c r="DRP23" s="3507"/>
      <c r="DRQ23" s="3507"/>
      <c r="DRR23" s="3507"/>
      <c r="DRS23" s="3507"/>
      <c r="DRT23" s="3507"/>
      <c r="DRU23" s="3507"/>
      <c r="DRV23" s="3507"/>
      <c r="DRW23" s="3507"/>
      <c r="DRX23" s="3507"/>
      <c r="DRY23" s="3507"/>
      <c r="DRZ23" s="3507"/>
      <c r="DSA23" s="3507"/>
      <c r="DSB23" s="3507"/>
      <c r="DSC23" s="3507"/>
      <c r="DSD23" s="3507"/>
      <c r="DSE23" s="3507"/>
      <c r="DSF23" s="3507"/>
      <c r="DSG23" s="3507"/>
      <c r="DSH23" s="3507"/>
      <c r="DSI23" s="3507"/>
      <c r="DSJ23" s="3507"/>
      <c r="DSK23" s="3507"/>
      <c r="DSL23" s="3507"/>
      <c r="DSM23" s="3507"/>
      <c r="DSN23" s="3507"/>
      <c r="DSO23" s="3507"/>
      <c r="DSP23" s="3507"/>
      <c r="DSQ23" s="3507"/>
      <c r="DSR23" s="3507"/>
      <c r="DSS23" s="3507"/>
      <c r="DST23" s="3507"/>
      <c r="DSU23" s="3507"/>
      <c r="DSV23" s="3507"/>
      <c r="DSW23" s="3507"/>
      <c r="DSX23" s="3507"/>
      <c r="DSY23" s="3507"/>
      <c r="DSZ23" s="3507"/>
      <c r="DTA23" s="3507"/>
      <c r="DTB23" s="3507"/>
      <c r="DTC23" s="3507"/>
      <c r="DTD23" s="3507"/>
      <c r="DTE23" s="3507"/>
      <c r="DTF23" s="3507"/>
      <c r="DTG23" s="3507"/>
      <c r="DTH23" s="3507"/>
      <c r="DTI23" s="3507"/>
      <c r="DTJ23" s="3507"/>
      <c r="DTK23" s="3507"/>
      <c r="DTL23" s="3507"/>
      <c r="DTM23" s="3507"/>
      <c r="DTN23" s="3507"/>
      <c r="DTO23" s="3507"/>
      <c r="DTP23" s="3507"/>
      <c r="DTQ23" s="3507"/>
      <c r="DTR23" s="3507"/>
      <c r="DTS23" s="3507"/>
      <c r="DTT23" s="3507"/>
      <c r="DTU23" s="3507"/>
      <c r="DTV23" s="3507"/>
      <c r="DTW23" s="3507"/>
      <c r="DTX23" s="3507"/>
      <c r="DTY23" s="3507"/>
      <c r="DTZ23" s="3507"/>
      <c r="DUA23" s="3507"/>
      <c r="DUB23" s="3507"/>
      <c r="DUC23" s="3507"/>
      <c r="DUD23" s="3507"/>
      <c r="DUE23" s="3507"/>
      <c r="DUF23" s="3507"/>
      <c r="DUG23" s="3507"/>
      <c r="DUH23" s="3507"/>
      <c r="DUI23" s="3507"/>
      <c r="DUJ23" s="3507"/>
      <c r="DUK23" s="3507"/>
      <c r="DUL23" s="3507"/>
      <c r="DUM23" s="3507"/>
      <c r="DUN23" s="3507"/>
      <c r="DUO23" s="3507"/>
      <c r="DUP23" s="3507"/>
      <c r="DUQ23" s="3507"/>
      <c r="DUR23" s="3507"/>
      <c r="DUS23" s="3507"/>
      <c r="DUT23" s="3507"/>
      <c r="DUU23" s="3507"/>
      <c r="DUV23" s="3507"/>
      <c r="DUW23" s="3507"/>
      <c r="DUX23" s="3507"/>
      <c r="DUY23" s="3507"/>
      <c r="DUZ23" s="3507"/>
      <c r="DVA23" s="3507"/>
      <c r="DVB23" s="3507"/>
      <c r="DVC23" s="3507"/>
      <c r="DVD23" s="3507"/>
      <c r="DVE23" s="3507"/>
      <c r="DVF23" s="3507"/>
      <c r="DVG23" s="3507"/>
      <c r="DVH23" s="3507"/>
      <c r="DVI23" s="3507"/>
      <c r="DVJ23" s="3507"/>
      <c r="DVK23" s="3507"/>
      <c r="DVL23" s="3507"/>
      <c r="DVM23" s="3507"/>
      <c r="DVN23" s="3507"/>
      <c r="DVO23" s="3507"/>
      <c r="DVP23" s="3507"/>
      <c r="DVQ23" s="3507"/>
      <c r="DVR23" s="3507"/>
      <c r="DVS23" s="3507"/>
      <c r="DVT23" s="3507"/>
      <c r="DVU23" s="3507"/>
      <c r="DVV23" s="3507"/>
      <c r="DVW23" s="3507"/>
      <c r="DVX23" s="3507"/>
      <c r="DVY23" s="3507"/>
      <c r="DVZ23" s="3507"/>
      <c r="DWA23" s="3507"/>
      <c r="DWB23" s="3507"/>
      <c r="DWC23" s="3507"/>
      <c r="DWD23" s="3507"/>
      <c r="DWE23" s="3507"/>
      <c r="DWF23" s="3507"/>
      <c r="DWG23" s="3507"/>
      <c r="DWH23" s="3507"/>
      <c r="DWI23" s="3507"/>
      <c r="DWJ23" s="3507"/>
      <c r="DWK23" s="3507"/>
      <c r="DWL23" s="3507"/>
      <c r="DWM23" s="3507"/>
      <c r="DWN23" s="3507"/>
      <c r="DWO23" s="3507"/>
      <c r="DWP23" s="3507"/>
      <c r="DWQ23" s="3507"/>
      <c r="DWR23" s="3507"/>
      <c r="DWS23" s="3507"/>
      <c r="DWT23" s="3507"/>
      <c r="DWU23" s="3507"/>
      <c r="DWV23" s="3507"/>
      <c r="DWW23" s="3507"/>
      <c r="DWX23" s="3507"/>
      <c r="DWY23" s="3507"/>
      <c r="DWZ23" s="3507"/>
      <c r="DXA23" s="3507"/>
      <c r="DXB23" s="3507"/>
      <c r="DXC23" s="3507"/>
      <c r="DXD23" s="3507"/>
      <c r="DXE23" s="3507"/>
      <c r="DXF23" s="3507"/>
      <c r="DXG23" s="3507"/>
      <c r="DXH23" s="3507"/>
      <c r="DXI23" s="3507"/>
      <c r="DXJ23" s="3507"/>
      <c r="DXK23" s="3507"/>
      <c r="DXL23" s="3507"/>
      <c r="DXM23" s="3507"/>
      <c r="DXN23" s="3507"/>
      <c r="DXO23" s="3507"/>
      <c r="DXP23" s="3507"/>
      <c r="DXQ23" s="3507"/>
      <c r="DXR23" s="3507"/>
      <c r="DXS23" s="3507"/>
      <c r="DXT23" s="3507"/>
      <c r="DXU23" s="3507"/>
      <c r="DXV23" s="3507"/>
      <c r="DXW23" s="3507"/>
      <c r="DXX23" s="3507"/>
      <c r="DXY23" s="3507"/>
      <c r="DXZ23" s="3507"/>
      <c r="DYA23" s="3507"/>
      <c r="DYB23" s="3507"/>
      <c r="DYC23" s="3507"/>
      <c r="DYD23" s="3507"/>
      <c r="DYE23" s="3507"/>
      <c r="DYF23" s="3507"/>
      <c r="DYG23" s="3507"/>
      <c r="DYH23" s="3507"/>
      <c r="DYI23" s="3507"/>
      <c r="DYJ23" s="3507"/>
      <c r="DYK23" s="3507"/>
      <c r="DYL23" s="3507"/>
      <c r="DYM23" s="3507"/>
      <c r="DYN23" s="3507"/>
      <c r="DYO23" s="3507"/>
      <c r="DYP23" s="3507"/>
      <c r="DYQ23" s="3507"/>
      <c r="DYR23" s="3507"/>
      <c r="DYS23" s="3507"/>
      <c r="DYT23" s="3507"/>
      <c r="DYU23" s="3507"/>
      <c r="DYV23" s="3507"/>
      <c r="DYW23" s="3507"/>
      <c r="DYX23" s="3507"/>
      <c r="DYY23" s="3507"/>
      <c r="DYZ23" s="3507"/>
      <c r="DZA23" s="3507"/>
      <c r="DZB23" s="3507"/>
      <c r="DZC23" s="3507"/>
      <c r="DZD23" s="3507"/>
      <c r="DZE23" s="3507"/>
      <c r="DZF23" s="3507"/>
      <c r="DZG23" s="3507"/>
      <c r="DZH23" s="3507"/>
      <c r="DZI23" s="3507"/>
      <c r="DZJ23" s="3507"/>
      <c r="DZK23" s="3507"/>
      <c r="DZL23" s="3507"/>
      <c r="DZM23" s="3507"/>
      <c r="DZN23" s="3507"/>
      <c r="DZO23" s="3507"/>
      <c r="DZP23" s="3507"/>
      <c r="DZQ23" s="3507"/>
      <c r="DZR23" s="3507"/>
      <c r="DZS23" s="3507"/>
      <c r="DZT23" s="3507"/>
      <c r="DZU23" s="3507"/>
      <c r="DZV23" s="3507"/>
      <c r="DZW23" s="3507"/>
      <c r="DZX23" s="3507"/>
      <c r="DZY23" s="3507"/>
      <c r="DZZ23" s="3507"/>
      <c r="EAA23" s="3507"/>
      <c r="EAB23" s="3507"/>
      <c r="EAC23" s="3507"/>
      <c r="EAD23" s="3507"/>
      <c r="EAE23" s="3507"/>
      <c r="EAF23" s="3507"/>
      <c r="EAG23" s="3507"/>
      <c r="EAH23" s="3507"/>
      <c r="EAI23" s="3507"/>
      <c r="EAJ23" s="3507"/>
      <c r="EAK23" s="3507"/>
      <c r="EAL23" s="3507"/>
      <c r="EAM23" s="3507"/>
      <c r="EAN23" s="3507"/>
      <c r="EAO23" s="3507"/>
      <c r="EAP23" s="3507"/>
      <c r="EAQ23" s="3507"/>
      <c r="EAR23" s="3507"/>
      <c r="EAS23" s="3507"/>
      <c r="EAT23" s="3507"/>
      <c r="EAU23" s="3507"/>
      <c r="EAV23" s="3507"/>
      <c r="EAW23" s="3507"/>
      <c r="EAX23" s="3507"/>
      <c r="EAY23" s="3507"/>
      <c r="EAZ23" s="3507"/>
      <c r="EBA23" s="3507"/>
      <c r="EBB23" s="3507"/>
      <c r="EBC23" s="3507"/>
      <c r="EBD23" s="3507"/>
      <c r="EBE23" s="3507"/>
      <c r="EBF23" s="3507"/>
      <c r="EBG23" s="3507"/>
      <c r="EBH23" s="3507"/>
      <c r="EBI23" s="3507"/>
      <c r="EBJ23" s="3507"/>
      <c r="EBK23" s="3507"/>
      <c r="EBL23" s="3507"/>
      <c r="EBM23" s="3507"/>
      <c r="EBN23" s="3507"/>
      <c r="EBO23" s="3507"/>
      <c r="EBP23" s="3507"/>
      <c r="EBQ23" s="3507"/>
      <c r="EBR23" s="3507"/>
      <c r="EBS23" s="3507"/>
      <c r="EBT23" s="3507"/>
      <c r="EBU23" s="3507"/>
      <c r="EBV23" s="3507"/>
      <c r="EBW23" s="3507"/>
      <c r="EBX23" s="3507"/>
      <c r="EBY23" s="3507"/>
      <c r="EBZ23" s="3507"/>
      <c r="ECA23" s="3507"/>
      <c r="ECB23" s="3507"/>
      <c r="ECC23" s="3507"/>
      <c r="ECD23" s="3507"/>
      <c r="ECE23" s="3507"/>
      <c r="ECF23" s="3507"/>
      <c r="ECG23" s="3507"/>
      <c r="ECH23" s="3507"/>
      <c r="ECI23" s="3507"/>
      <c r="ECJ23" s="3507"/>
      <c r="ECK23" s="3507"/>
      <c r="ECL23" s="3507"/>
      <c r="ECM23" s="3507"/>
      <c r="ECN23" s="3507"/>
      <c r="ECO23" s="3507"/>
      <c r="ECP23" s="3507"/>
      <c r="ECQ23" s="3507"/>
      <c r="ECR23" s="3507"/>
      <c r="ECS23" s="3507"/>
      <c r="ECT23" s="3507"/>
      <c r="ECU23" s="3507"/>
      <c r="ECV23" s="3507"/>
      <c r="ECW23" s="3507"/>
      <c r="ECX23" s="3507"/>
      <c r="ECY23" s="3507"/>
      <c r="ECZ23" s="3507"/>
      <c r="EDA23" s="3507"/>
      <c r="EDB23" s="3507"/>
      <c r="EDC23" s="3507"/>
      <c r="EDD23" s="3507"/>
      <c r="EDE23" s="3507"/>
      <c r="EDF23" s="3507"/>
      <c r="EDG23" s="3507"/>
      <c r="EDH23" s="3507"/>
      <c r="EDI23" s="3507"/>
      <c r="EDJ23" s="3507"/>
      <c r="EDK23" s="3507"/>
      <c r="EDL23" s="3507"/>
      <c r="EDM23" s="3507"/>
      <c r="EDN23" s="3507"/>
      <c r="EDO23" s="3507"/>
      <c r="EDP23" s="3507"/>
      <c r="EDQ23" s="3507"/>
      <c r="EDR23" s="3507"/>
      <c r="EDS23" s="3507"/>
      <c r="EDT23" s="3507"/>
      <c r="EDU23" s="3507"/>
      <c r="EDV23" s="3507"/>
      <c r="EDW23" s="3507"/>
      <c r="EDX23" s="3507"/>
      <c r="EDY23" s="3507"/>
      <c r="EDZ23" s="3507"/>
      <c r="EEA23" s="3507"/>
      <c r="EEB23" s="3507"/>
      <c r="EEC23" s="3507"/>
      <c r="EED23" s="3507"/>
      <c r="EEE23" s="3507"/>
      <c r="EEF23" s="3507"/>
      <c r="EEG23" s="3507"/>
      <c r="EEH23" s="3507"/>
      <c r="EEI23" s="3507"/>
      <c r="EEJ23" s="3507"/>
      <c r="EEK23" s="3507"/>
      <c r="EEL23" s="3507"/>
      <c r="EEM23" s="3507"/>
      <c r="EEN23" s="3507"/>
      <c r="EEO23" s="3507"/>
      <c r="EEP23" s="3507"/>
      <c r="EEQ23" s="3507"/>
      <c r="EER23" s="3507"/>
      <c r="EES23" s="3507"/>
      <c r="EET23" s="3507"/>
      <c r="EEU23" s="3507"/>
      <c r="EEV23" s="3507"/>
      <c r="EEW23" s="3507"/>
      <c r="EEX23" s="3507"/>
      <c r="EEY23" s="3507"/>
      <c r="EEZ23" s="3507"/>
      <c r="EFA23" s="3507"/>
      <c r="EFB23" s="3507"/>
      <c r="EFC23" s="3507"/>
      <c r="EFD23" s="3507"/>
      <c r="EFE23" s="3507"/>
      <c r="EFF23" s="3507"/>
      <c r="EFG23" s="3507"/>
      <c r="EFH23" s="3507"/>
      <c r="EFI23" s="3507"/>
      <c r="EFJ23" s="3507"/>
      <c r="EFK23" s="3507"/>
      <c r="EFL23" s="3507"/>
      <c r="EFM23" s="3507"/>
      <c r="EFN23" s="3507"/>
      <c r="EFO23" s="3507"/>
      <c r="EFP23" s="3507"/>
      <c r="EFQ23" s="3507"/>
      <c r="EFR23" s="3507"/>
      <c r="EFS23" s="3507"/>
      <c r="EFT23" s="3507"/>
      <c r="EFU23" s="3507"/>
      <c r="EFV23" s="3507"/>
      <c r="EFW23" s="3507"/>
      <c r="EFX23" s="3507"/>
      <c r="EFY23" s="3507"/>
      <c r="EFZ23" s="3507"/>
      <c r="EGA23" s="3507"/>
      <c r="EGB23" s="3507"/>
      <c r="EGC23" s="3507"/>
      <c r="EGD23" s="3507"/>
      <c r="EGE23" s="3507"/>
      <c r="EGF23" s="3507"/>
      <c r="EGG23" s="3507"/>
      <c r="EGH23" s="3507"/>
      <c r="EGI23" s="3507"/>
      <c r="EGJ23" s="3507"/>
      <c r="EGK23" s="3507"/>
      <c r="EGL23" s="3507"/>
      <c r="EGM23" s="3507"/>
      <c r="EGN23" s="3507"/>
      <c r="EGO23" s="3507"/>
      <c r="EGP23" s="3507"/>
      <c r="EGQ23" s="3507"/>
      <c r="EGR23" s="3507"/>
      <c r="EGS23" s="3507"/>
      <c r="EGT23" s="3507"/>
      <c r="EGU23" s="3507"/>
      <c r="EGV23" s="3507"/>
      <c r="EGW23" s="3507"/>
      <c r="EGX23" s="3507"/>
      <c r="EGY23" s="3507"/>
      <c r="EGZ23" s="3507"/>
      <c r="EHA23" s="3507"/>
      <c r="EHB23" s="3507"/>
      <c r="EHC23" s="3507"/>
      <c r="EHD23" s="3507"/>
      <c r="EHE23" s="3507"/>
      <c r="EHF23" s="3507"/>
      <c r="EHG23" s="3507"/>
      <c r="EHH23" s="3507"/>
      <c r="EHI23" s="3507"/>
      <c r="EHJ23" s="3507"/>
      <c r="EHK23" s="3507"/>
      <c r="EHL23" s="3507"/>
      <c r="EHM23" s="3507"/>
      <c r="EHN23" s="3507"/>
      <c r="EHO23" s="3507"/>
      <c r="EHP23" s="3507"/>
      <c r="EHQ23" s="3507"/>
      <c r="EHR23" s="3507"/>
      <c r="EHS23" s="3507"/>
      <c r="EHT23" s="3507"/>
      <c r="EHU23" s="3507"/>
      <c r="EHV23" s="3507"/>
      <c r="EHW23" s="3507"/>
      <c r="EHX23" s="3507"/>
      <c r="EHY23" s="3507"/>
      <c r="EHZ23" s="3507"/>
      <c r="EIA23" s="3507"/>
      <c r="EIB23" s="3507"/>
      <c r="EIC23" s="3507"/>
      <c r="EID23" s="3507"/>
      <c r="EIE23" s="3507"/>
      <c r="EIF23" s="3507"/>
      <c r="EIG23" s="3507"/>
      <c r="EIH23" s="3507"/>
      <c r="EII23" s="3507"/>
      <c r="EIJ23" s="3507"/>
      <c r="EIK23" s="3507"/>
      <c r="EIL23" s="3507"/>
      <c r="EIM23" s="3507"/>
      <c r="EIN23" s="3507"/>
      <c r="EIO23" s="3507"/>
      <c r="EIP23" s="3507"/>
      <c r="EIQ23" s="3507"/>
      <c r="EIR23" s="3507"/>
      <c r="EIS23" s="3507"/>
      <c r="EIT23" s="3507"/>
      <c r="EIU23" s="3507"/>
      <c r="EIV23" s="3507"/>
      <c r="EIW23" s="3507"/>
      <c r="EIX23" s="3507"/>
      <c r="EIY23" s="3507"/>
      <c r="EIZ23" s="3507"/>
      <c r="EJA23" s="3507"/>
      <c r="EJB23" s="3507"/>
      <c r="EJC23" s="3507"/>
      <c r="EJD23" s="3507"/>
      <c r="EJE23" s="3507"/>
      <c r="EJF23" s="3507"/>
      <c r="EJG23" s="3507"/>
      <c r="EJH23" s="3507"/>
      <c r="EJI23" s="3507"/>
      <c r="EJJ23" s="3507"/>
      <c r="EJK23" s="3507"/>
      <c r="EJL23" s="3507"/>
      <c r="EJM23" s="3507"/>
      <c r="EJN23" s="3507"/>
      <c r="EJO23" s="3507"/>
      <c r="EJP23" s="3507"/>
      <c r="EJQ23" s="3507"/>
      <c r="EJR23" s="3507"/>
      <c r="EJS23" s="3507"/>
      <c r="EJT23" s="3507"/>
      <c r="EJU23" s="3507"/>
      <c r="EJV23" s="3507"/>
      <c r="EJW23" s="3507"/>
      <c r="EJX23" s="3507"/>
      <c r="EJY23" s="3507"/>
      <c r="EJZ23" s="3507"/>
      <c r="EKA23" s="3507"/>
      <c r="EKB23" s="3507"/>
      <c r="EKC23" s="3507"/>
      <c r="EKD23" s="3507"/>
      <c r="EKE23" s="3507"/>
      <c r="EKF23" s="3507"/>
      <c r="EKG23" s="3507"/>
      <c r="EKH23" s="3507"/>
      <c r="EKI23" s="3507"/>
      <c r="EKJ23" s="3507"/>
      <c r="EKK23" s="3507"/>
      <c r="EKL23" s="3507"/>
      <c r="EKM23" s="3507"/>
      <c r="EKN23" s="3507"/>
      <c r="EKO23" s="3507"/>
      <c r="EKP23" s="3507"/>
      <c r="EKQ23" s="3507"/>
      <c r="EKR23" s="3507"/>
      <c r="EKS23" s="3507"/>
      <c r="EKT23" s="3507"/>
      <c r="EKU23" s="3507"/>
      <c r="EKV23" s="3507"/>
      <c r="EKW23" s="3507"/>
      <c r="EKX23" s="3507"/>
      <c r="EKY23" s="3507"/>
      <c r="EKZ23" s="3507"/>
      <c r="ELA23" s="3507"/>
      <c r="ELB23" s="3507"/>
      <c r="ELC23" s="3507"/>
      <c r="ELD23" s="3507"/>
      <c r="ELE23" s="3507"/>
      <c r="ELF23" s="3507"/>
      <c r="ELG23" s="3507"/>
      <c r="ELH23" s="3507"/>
      <c r="ELI23" s="3507"/>
      <c r="ELJ23" s="3507"/>
      <c r="ELK23" s="3507"/>
      <c r="ELL23" s="3507"/>
      <c r="ELM23" s="3507"/>
      <c r="ELN23" s="3507"/>
      <c r="ELO23" s="3507"/>
      <c r="ELP23" s="3507"/>
      <c r="ELQ23" s="3507"/>
      <c r="ELR23" s="3507"/>
      <c r="ELS23" s="3507"/>
      <c r="ELT23" s="3507"/>
      <c r="ELU23" s="3507"/>
      <c r="ELV23" s="3507"/>
      <c r="ELW23" s="3507"/>
      <c r="ELX23" s="3507"/>
      <c r="ELY23" s="3507"/>
      <c r="ELZ23" s="3507"/>
      <c r="EMA23" s="3507"/>
      <c r="EMB23" s="3507"/>
      <c r="EMC23" s="3507"/>
      <c r="EMD23" s="3507"/>
      <c r="EME23" s="3507"/>
      <c r="EMF23" s="3507"/>
      <c r="EMG23" s="3507"/>
      <c r="EMH23" s="3507"/>
      <c r="EMI23" s="3507"/>
      <c r="EMJ23" s="3507"/>
      <c r="EMK23" s="3507"/>
      <c r="EML23" s="3507"/>
      <c r="EMM23" s="3507"/>
      <c r="EMN23" s="3507"/>
      <c r="EMO23" s="3507"/>
      <c r="EMP23" s="3507"/>
      <c r="EMQ23" s="3507"/>
      <c r="EMR23" s="3507"/>
      <c r="EMS23" s="3507"/>
      <c r="EMT23" s="3507"/>
      <c r="EMU23" s="3507"/>
      <c r="EMV23" s="3507"/>
      <c r="EMW23" s="3507"/>
      <c r="EMX23" s="3507"/>
      <c r="EMY23" s="3507"/>
      <c r="EMZ23" s="3507"/>
      <c r="ENA23" s="3507"/>
      <c r="ENB23" s="3507"/>
      <c r="ENC23" s="3507"/>
      <c r="END23" s="3507"/>
      <c r="ENE23" s="3507"/>
      <c r="ENF23" s="3507"/>
      <c r="ENG23" s="3507"/>
      <c r="ENH23" s="3507"/>
      <c r="ENI23" s="3507"/>
      <c r="ENJ23" s="3507"/>
      <c r="ENK23" s="3507"/>
      <c r="ENL23" s="3507"/>
      <c r="ENM23" s="3507"/>
      <c r="ENN23" s="3507"/>
      <c r="ENO23" s="3507"/>
      <c r="ENP23" s="3507"/>
      <c r="ENQ23" s="3507"/>
      <c r="ENR23" s="3507"/>
      <c r="ENS23" s="3507"/>
      <c r="ENT23" s="3507"/>
      <c r="ENU23" s="3507"/>
      <c r="ENV23" s="3507"/>
      <c r="ENW23" s="3507"/>
      <c r="ENX23" s="3507"/>
      <c r="ENY23" s="3507"/>
      <c r="ENZ23" s="3507"/>
      <c r="EOA23" s="3507"/>
      <c r="EOB23" s="3507"/>
      <c r="EOC23" s="3507"/>
      <c r="EOD23" s="3507"/>
      <c r="EOE23" s="3507"/>
      <c r="EOF23" s="3507"/>
      <c r="EOG23" s="3507"/>
      <c r="EOH23" s="3507"/>
      <c r="EOI23" s="3507"/>
      <c r="EOJ23" s="3507"/>
      <c r="EOK23" s="3507"/>
      <c r="EOL23" s="3507"/>
      <c r="EOM23" s="3507"/>
      <c r="EON23" s="3507"/>
      <c r="EOO23" s="3507"/>
      <c r="EOP23" s="3507"/>
      <c r="EOQ23" s="3507"/>
      <c r="EOR23" s="3507"/>
      <c r="EOS23" s="3507"/>
      <c r="EOT23" s="3507"/>
      <c r="EOU23" s="3507"/>
      <c r="EOV23" s="3507"/>
      <c r="EOW23" s="3507"/>
      <c r="EOX23" s="3507"/>
      <c r="EOY23" s="3507"/>
      <c r="EOZ23" s="3507"/>
      <c r="EPA23" s="3507"/>
      <c r="EPB23" s="3507"/>
      <c r="EPC23" s="3507"/>
      <c r="EPD23" s="3507"/>
      <c r="EPE23" s="3507"/>
      <c r="EPF23" s="3507"/>
      <c r="EPG23" s="3507"/>
      <c r="EPH23" s="3507"/>
      <c r="EPI23" s="3507"/>
      <c r="EPJ23" s="3507"/>
      <c r="EPK23" s="3507"/>
      <c r="EPL23" s="3507"/>
      <c r="EPM23" s="3507"/>
      <c r="EPN23" s="3507"/>
      <c r="EPO23" s="3507"/>
      <c r="EPP23" s="3507"/>
      <c r="EPQ23" s="3507"/>
      <c r="EPR23" s="3507"/>
      <c r="EPS23" s="3507"/>
      <c r="EPT23" s="3507"/>
      <c r="EPU23" s="3507"/>
      <c r="EPV23" s="3507"/>
      <c r="EPW23" s="3507"/>
      <c r="EPX23" s="3507"/>
      <c r="EPY23" s="3507"/>
      <c r="EPZ23" s="3507"/>
      <c r="EQA23" s="3507"/>
      <c r="EQB23" s="3507"/>
      <c r="EQC23" s="3507"/>
      <c r="EQD23" s="3507"/>
      <c r="EQE23" s="3507"/>
      <c r="EQF23" s="3507"/>
      <c r="EQG23" s="3507"/>
      <c r="EQH23" s="3507"/>
      <c r="EQI23" s="3507"/>
      <c r="EQJ23" s="3507"/>
      <c r="EQK23" s="3507"/>
      <c r="EQL23" s="3507"/>
      <c r="EQM23" s="3507"/>
      <c r="EQN23" s="3507"/>
      <c r="EQO23" s="3507"/>
      <c r="EQP23" s="3507"/>
      <c r="EQQ23" s="3507"/>
      <c r="EQR23" s="3507"/>
      <c r="EQS23" s="3507"/>
      <c r="EQT23" s="3507"/>
      <c r="EQU23" s="3507"/>
      <c r="EQV23" s="3507"/>
      <c r="EQW23" s="3507"/>
      <c r="EQX23" s="3507"/>
      <c r="EQY23" s="3507"/>
      <c r="EQZ23" s="3507"/>
      <c r="ERA23" s="3507"/>
      <c r="ERB23" s="3507"/>
      <c r="ERC23" s="3507"/>
      <c r="ERD23" s="3507"/>
      <c r="ERE23" s="3507"/>
      <c r="ERF23" s="3507"/>
      <c r="ERG23" s="3507"/>
      <c r="ERH23" s="3507"/>
      <c r="ERI23" s="3507"/>
      <c r="ERJ23" s="3507"/>
      <c r="ERK23" s="3507"/>
      <c r="ERL23" s="3507"/>
      <c r="ERM23" s="3507"/>
      <c r="ERN23" s="3507"/>
      <c r="ERO23" s="3507"/>
      <c r="ERP23" s="3507"/>
      <c r="ERQ23" s="3507"/>
      <c r="ERR23" s="3507"/>
      <c r="ERS23" s="3507"/>
      <c r="ERT23" s="3507"/>
      <c r="ERU23" s="3507"/>
      <c r="ERV23" s="3507"/>
      <c r="ERW23" s="3507"/>
      <c r="ERX23" s="3507"/>
      <c r="ERY23" s="3507"/>
      <c r="ERZ23" s="3507"/>
      <c r="ESA23" s="3507"/>
      <c r="ESB23" s="3507"/>
      <c r="ESC23" s="3507"/>
      <c r="ESD23" s="3507"/>
      <c r="ESE23" s="3507"/>
      <c r="ESF23" s="3507"/>
      <c r="ESG23" s="3507"/>
      <c r="ESH23" s="3507"/>
      <c r="ESI23" s="3507"/>
      <c r="ESJ23" s="3507"/>
      <c r="ESK23" s="3507"/>
      <c r="ESL23" s="3507"/>
      <c r="ESM23" s="3507"/>
      <c r="ESN23" s="3507"/>
      <c r="ESO23" s="3507"/>
      <c r="ESP23" s="3507"/>
      <c r="ESQ23" s="3507"/>
      <c r="ESR23" s="3507"/>
      <c r="ESS23" s="3507"/>
      <c r="EST23" s="3507"/>
      <c r="ESU23" s="3507"/>
      <c r="ESV23" s="3507"/>
      <c r="ESW23" s="3507"/>
      <c r="ESX23" s="3507"/>
      <c r="ESY23" s="3507"/>
      <c r="ESZ23" s="3507"/>
      <c r="ETA23" s="3507"/>
      <c r="ETB23" s="3507"/>
      <c r="ETC23" s="3507"/>
      <c r="ETD23" s="3507"/>
      <c r="ETE23" s="3507"/>
      <c r="ETF23" s="3507"/>
      <c r="ETG23" s="3507"/>
      <c r="ETH23" s="3507"/>
      <c r="ETI23" s="3507"/>
      <c r="ETJ23" s="3507"/>
      <c r="ETK23" s="3507"/>
      <c r="ETL23" s="3507"/>
      <c r="ETM23" s="3507"/>
      <c r="ETN23" s="3507"/>
      <c r="ETO23" s="3507"/>
      <c r="ETP23" s="3507"/>
      <c r="ETQ23" s="3507"/>
      <c r="ETR23" s="3507"/>
      <c r="ETS23" s="3507"/>
      <c r="ETT23" s="3507"/>
      <c r="ETU23" s="3507"/>
      <c r="ETV23" s="3507"/>
      <c r="ETW23" s="3507"/>
      <c r="ETX23" s="3507"/>
      <c r="ETY23" s="3507"/>
      <c r="ETZ23" s="3507"/>
      <c r="EUA23" s="3507"/>
      <c r="EUB23" s="3507"/>
      <c r="EUC23" s="3507"/>
      <c r="EUD23" s="3507"/>
      <c r="EUE23" s="3507"/>
      <c r="EUF23" s="3507"/>
      <c r="EUG23" s="3507"/>
      <c r="EUH23" s="3507"/>
      <c r="EUI23" s="3507"/>
      <c r="EUJ23" s="3507"/>
      <c r="EUK23" s="3507"/>
      <c r="EUL23" s="3507"/>
      <c r="EUM23" s="3507"/>
      <c r="EUN23" s="3507"/>
      <c r="EUO23" s="3507"/>
      <c r="EUP23" s="3507"/>
      <c r="EUQ23" s="3507"/>
      <c r="EUR23" s="3507"/>
      <c r="EUS23" s="3507"/>
      <c r="EUT23" s="3507"/>
      <c r="EUU23" s="3507"/>
      <c r="EUV23" s="3507"/>
      <c r="EUW23" s="3507"/>
      <c r="EUX23" s="3507"/>
      <c r="EUY23" s="3507"/>
      <c r="EUZ23" s="3507"/>
      <c r="EVA23" s="3507"/>
      <c r="EVB23" s="3507"/>
      <c r="EVC23" s="3507"/>
      <c r="EVD23" s="3507"/>
      <c r="EVE23" s="3507"/>
      <c r="EVF23" s="3507"/>
      <c r="EVG23" s="3507"/>
      <c r="EVH23" s="3507"/>
      <c r="EVI23" s="3507"/>
      <c r="EVJ23" s="3507"/>
      <c r="EVK23" s="3507"/>
      <c r="EVL23" s="3507"/>
      <c r="EVM23" s="3507"/>
      <c r="EVN23" s="3507"/>
      <c r="EVO23" s="3507"/>
      <c r="EVP23" s="3507"/>
      <c r="EVQ23" s="3507"/>
      <c r="EVR23" s="3507"/>
      <c r="EVS23" s="3507"/>
      <c r="EVT23" s="3507"/>
      <c r="EVU23" s="3507"/>
      <c r="EVV23" s="3507"/>
      <c r="EVW23" s="3507"/>
      <c r="EVX23" s="3507"/>
      <c r="EVY23" s="3507"/>
      <c r="EVZ23" s="3507"/>
      <c r="EWA23" s="3507"/>
      <c r="EWB23" s="3507"/>
      <c r="EWC23" s="3507"/>
      <c r="EWD23" s="3507"/>
      <c r="EWE23" s="3507"/>
      <c r="EWF23" s="3507"/>
      <c r="EWG23" s="3507"/>
      <c r="EWH23" s="3507"/>
      <c r="EWI23" s="3507"/>
      <c r="EWJ23" s="3507"/>
      <c r="EWK23" s="3507"/>
      <c r="EWL23" s="3507"/>
      <c r="EWM23" s="3507"/>
      <c r="EWN23" s="3507"/>
      <c r="EWO23" s="3507"/>
      <c r="EWP23" s="3507"/>
      <c r="EWQ23" s="3507"/>
      <c r="EWR23" s="3507"/>
      <c r="EWS23" s="3507"/>
      <c r="EWT23" s="3507"/>
      <c r="EWU23" s="3507"/>
      <c r="EWV23" s="3507"/>
      <c r="EWW23" s="3507"/>
      <c r="EWX23" s="3507"/>
      <c r="EWY23" s="3507"/>
      <c r="EWZ23" s="3507"/>
      <c r="EXA23" s="3507"/>
      <c r="EXB23" s="3507"/>
      <c r="EXC23" s="3507"/>
      <c r="EXD23" s="3507"/>
      <c r="EXE23" s="3507"/>
      <c r="EXF23" s="3507"/>
      <c r="EXG23" s="3507"/>
      <c r="EXH23" s="3507"/>
      <c r="EXI23" s="3507"/>
      <c r="EXJ23" s="3507"/>
      <c r="EXK23" s="3507"/>
      <c r="EXL23" s="3507"/>
      <c r="EXM23" s="3507"/>
      <c r="EXN23" s="3507"/>
      <c r="EXO23" s="3507"/>
      <c r="EXP23" s="3507"/>
      <c r="EXQ23" s="3507"/>
      <c r="EXR23" s="3507"/>
      <c r="EXS23" s="3507"/>
      <c r="EXT23" s="3507"/>
      <c r="EXU23" s="3507"/>
      <c r="EXV23" s="3507"/>
      <c r="EXW23" s="3507"/>
      <c r="EXX23" s="3507"/>
      <c r="EXY23" s="3507"/>
      <c r="EXZ23" s="3507"/>
      <c r="EYA23" s="3507"/>
      <c r="EYB23" s="3507"/>
      <c r="EYC23" s="3507"/>
      <c r="EYD23" s="3507"/>
      <c r="EYE23" s="3507"/>
      <c r="EYF23" s="3507"/>
      <c r="EYG23" s="3507"/>
      <c r="EYH23" s="3507"/>
      <c r="EYI23" s="3507"/>
      <c r="EYJ23" s="3507"/>
      <c r="EYK23" s="3507"/>
      <c r="EYL23" s="3507"/>
      <c r="EYM23" s="3507"/>
      <c r="EYN23" s="3507"/>
      <c r="EYO23" s="3507"/>
      <c r="EYP23" s="3507"/>
      <c r="EYQ23" s="3507"/>
      <c r="EYR23" s="3507"/>
      <c r="EYS23" s="3507"/>
      <c r="EYT23" s="3507"/>
      <c r="EYU23" s="3507"/>
      <c r="EYV23" s="3507"/>
      <c r="EYW23" s="3507"/>
      <c r="EYX23" s="3507"/>
      <c r="EYY23" s="3507"/>
      <c r="EYZ23" s="3507"/>
      <c r="EZA23" s="3507"/>
      <c r="EZB23" s="3507"/>
      <c r="EZC23" s="3507"/>
      <c r="EZD23" s="3507"/>
      <c r="EZE23" s="3507"/>
      <c r="EZF23" s="3507"/>
      <c r="EZG23" s="3507"/>
      <c r="EZH23" s="3507"/>
      <c r="EZI23" s="3507"/>
      <c r="EZJ23" s="3507"/>
      <c r="EZK23" s="3507"/>
      <c r="EZL23" s="3507"/>
      <c r="EZM23" s="3507"/>
      <c r="EZN23" s="3507"/>
      <c r="EZO23" s="3507"/>
      <c r="EZP23" s="3507"/>
      <c r="EZQ23" s="3507"/>
      <c r="EZR23" s="3507"/>
      <c r="EZS23" s="3507"/>
      <c r="EZT23" s="3507"/>
      <c r="EZU23" s="3507"/>
      <c r="EZV23" s="3507"/>
      <c r="EZW23" s="3507"/>
      <c r="EZX23" s="3507"/>
      <c r="EZY23" s="3507"/>
      <c r="EZZ23" s="3507"/>
      <c r="FAA23" s="3507"/>
      <c r="FAB23" s="3507"/>
      <c r="FAC23" s="3507"/>
      <c r="FAD23" s="3507"/>
      <c r="FAE23" s="3507"/>
      <c r="FAF23" s="3507"/>
      <c r="FAG23" s="3507"/>
      <c r="FAH23" s="3507"/>
      <c r="FAI23" s="3507"/>
      <c r="FAJ23" s="3507"/>
      <c r="FAK23" s="3507"/>
      <c r="FAL23" s="3507"/>
      <c r="FAM23" s="3507"/>
      <c r="FAN23" s="3507"/>
      <c r="FAO23" s="3507"/>
      <c r="FAP23" s="3507"/>
      <c r="FAQ23" s="3507"/>
      <c r="FAR23" s="3507"/>
      <c r="FAS23" s="3507"/>
      <c r="FAT23" s="3507"/>
      <c r="FAU23" s="3507"/>
      <c r="FAV23" s="3507"/>
      <c r="FAW23" s="3507"/>
      <c r="FAX23" s="3507"/>
      <c r="FAY23" s="3507"/>
      <c r="FAZ23" s="3507"/>
      <c r="FBA23" s="3507"/>
      <c r="FBB23" s="3507"/>
      <c r="FBC23" s="3507"/>
      <c r="FBD23" s="3507"/>
      <c r="FBE23" s="3507"/>
      <c r="FBF23" s="3507"/>
      <c r="FBG23" s="3507"/>
      <c r="FBH23" s="3507"/>
      <c r="FBI23" s="3507"/>
      <c r="FBJ23" s="3507"/>
      <c r="FBK23" s="3507"/>
      <c r="FBL23" s="3507"/>
      <c r="FBM23" s="3507"/>
      <c r="FBN23" s="3507"/>
      <c r="FBO23" s="3507"/>
      <c r="FBP23" s="3507"/>
      <c r="FBQ23" s="3507"/>
      <c r="FBR23" s="3507"/>
      <c r="FBS23" s="3507"/>
      <c r="FBT23" s="3507"/>
      <c r="FBU23" s="3507"/>
      <c r="FBV23" s="3507"/>
      <c r="FBW23" s="3507"/>
      <c r="FBX23" s="3507"/>
      <c r="FBY23" s="3507"/>
      <c r="FBZ23" s="3507"/>
      <c r="FCA23" s="3507"/>
      <c r="FCB23" s="3507"/>
      <c r="FCC23" s="3507"/>
      <c r="FCD23" s="3507"/>
      <c r="FCE23" s="3507"/>
      <c r="FCF23" s="3507"/>
      <c r="FCG23" s="3507"/>
      <c r="FCH23" s="3507"/>
      <c r="FCI23" s="3507"/>
      <c r="FCJ23" s="3507"/>
      <c r="FCK23" s="3507"/>
      <c r="FCL23" s="3507"/>
      <c r="FCM23" s="3507"/>
      <c r="FCN23" s="3507"/>
      <c r="FCO23" s="3507"/>
      <c r="FCP23" s="3507"/>
      <c r="FCQ23" s="3507"/>
      <c r="FCR23" s="3507"/>
      <c r="FCS23" s="3507"/>
      <c r="FCT23" s="3507"/>
      <c r="FCU23" s="3507"/>
      <c r="FCV23" s="3507"/>
      <c r="FCW23" s="3507"/>
      <c r="FCX23" s="3507"/>
      <c r="FCY23" s="3507"/>
      <c r="FCZ23" s="3507"/>
      <c r="FDA23" s="3507"/>
      <c r="FDB23" s="3507"/>
      <c r="FDC23" s="3507"/>
      <c r="FDD23" s="3507"/>
      <c r="FDE23" s="3507"/>
      <c r="FDF23" s="3507"/>
      <c r="FDG23" s="3507"/>
      <c r="FDH23" s="3507"/>
      <c r="FDI23" s="3507"/>
      <c r="FDJ23" s="3507"/>
      <c r="FDK23" s="3507"/>
      <c r="FDL23" s="3507"/>
      <c r="FDM23" s="3507"/>
      <c r="FDN23" s="3507"/>
      <c r="FDO23" s="3507"/>
      <c r="FDP23" s="3507"/>
      <c r="FDQ23" s="3507"/>
      <c r="FDR23" s="3507"/>
      <c r="FDS23" s="3507"/>
      <c r="FDT23" s="3507"/>
      <c r="FDU23" s="3507"/>
      <c r="FDV23" s="3507"/>
      <c r="FDW23" s="3507"/>
      <c r="FDX23" s="3507"/>
      <c r="FDY23" s="3507"/>
      <c r="FDZ23" s="3507"/>
      <c r="FEA23" s="3507"/>
      <c r="FEB23" s="3507"/>
      <c r="FEC23" s="3507"/>
      <c r="FED23" s="3507"/>
      <c r="FEE23" s="3507"/>
      <c r="FEF23" s="3507"/>
      <c r="FEG23" s="3507"/>
      <c r="FEH23" s="3507"/>
      <c r="FEI23" s="3507"/>
      <c r="FEJ23" s="3507"/>
      <c r="FEK23" s="3507"/>
      <c r="FEL23" s="3507"/>
      <c r="FEM23" s="3507"/>
      <c r="FEN23" s="3507"/>
      <c r="FEO23" s="3507"/>
      <c r="FEP23" s="3507"/>
      <c r="FEQ23" s="3507"/>
      <c r="FER23" s="3507"/>
      <c r="FES23" s="3507"/>
      <c r="FET23" s="3507"/>
      <c r="FEU23" s="3507"/>
      <c r="FEV23" s="3507"/>
      <c r="FEW23" s="3507"/>
      <c r="FEX23" s="3507"/>
      <c r="FEY23" s="3507"/>
      <c r="FEZ23" s="3507"/>
      <c r="FFA23" s="3507"/>
      <c r="FFB23" s="3507"/>
      <c r="FFC23" s="3507"/>
      <c r="FFD23" s="3507"/>
      <c r="FFE23" s="3507"/>
      <c r="FFF23" s="3507"/>
      <c r="FFG23" s="3507"/>
      <c r="FFH23" s="3507"/>
      <c r="FFI23" s="3507"/>
      <c r="FFJ23" s="3507"/>
      <c r="FFK23" s="3507"/>
      <c r="FFL23" s="3507"/>
      <c r="FFM23" s="3507"/>
      <c r="FFN23" s="3507"/>
      <c r="FFO23" s="3507"/>
      <c r="FFP23" s="3507"/>
      <c r="FFQ23" s="3507"/>
      <c r="FFR23" s="3507"/>
      <c r="FFS23" s="3507"/>
      <c r="FFT23" s="3507"/>
      <c r="FFU23" s="3507"/>
      <c r="FFV23" s="3507"/>
      <c r="FFW23" s="3507"/>
      <c r="FFX23" s="3507"/>
      <c r="FFY23" s="3507"/>
      <c r="FFZ23" s="3507"/>
      <c r="FGA23" s="3507"/>
      <c r="FGB23" s="3507"/>
      <c r="FGC23" s="3507"/>
      <c r="FGD23" s="3507"/>
      <c r="FGE23" s="3507"/>
      <c r="FGF23" s="3507"/>
      <c r="FGG23" s="3507"/>
      <c r="FGH23" s="3507"/>
      <c r="FGI23" s="3507"/>
      <c r="FGJ23" s="3507"/>
      <c r="FGK23" s="3507"/>
      <c r="FGL23" s="3507"/>
      <c r="FGM23" s="3507"/>
      <c r="FGN23" s="3507"/>
      <c r="FGO23" s="3507"/>
      <c r="FGP23" s="3507"/>
      <c r="FGQ23" s="3507"/>
      <c r="FGR23" s="3507"/>
      <c r="FGS23" s="3507"/>
      <c r="FGT23" s="3507"/>
      <c r="FGU23" s="3507"/>
      <c r="FGV23" s="3507"/>
      <c r="FGW23" s="3507"/>
      <c r="FGX23" s="3507"/>
      <c r="FGY23" s="3507"/>
      <c r="FGZ23" s="3507"/>
      <c r="FHA23" s="3507"/>
      <c r="FHB23" s="3507"/>
      <c r="FHC23" s="3507"/>
      <c r="FHD23" s="3507"/>
      <c r="FHE23" s="3507"/>
      <c r="FHF23" s="3507"/>
      <c r="FHG23" s="3507"/>
      <c r="FHH23" s="3507"/>
      <c r="FHI23" s="3507"/>
      <c r="FHJ23" s="3507"/>
      <c r="FHK23" s="3507"/>
      <c r="FHL23" s="3507"/>
      <c r="FHM23" s="3507"/>
      <c r="FHN23" s="3507"/>
      <c r="FHO23" s="3507"/>
      <c r="FHP23" s="3507"/>
      <c r="FHQ23" s="3507"/>
      <c r="FHR23" s="3507"/>
      <c r="FHS23" s="3507"/>
      <c r="FHT23" s="3507"/>
      <c r="FHU23" s="3507"/>
      <c r="FHV23" s="3507"/>
      <c r="FHW23" s="3507"/>
      <c r="FHX23" s="3507"/>
      <c r="FHY23" s="3507"/>
      <c r="FHZ23" s="3507"/>
      <c r="FIA23" s="3507"/>
      <c r="FIB23" s="3507"/>
      <c r="FIC23" s="3507"/>
      <c r="FID23" s="3507"/>
      <c r="FIE23" s="3507"/>
      <c r="FIF23" s="3507"/>
      <c r="FIG23" s="3507"/>
      <c r="FIH23" s="3507"/>
      <c r="FII23" s="3507"/>
      <c r="FIJ23" s="3507"/>
      <c r="FIK23" s="3507"/>
      <c r="FIL23" s="3507"/>
      <c r="FIM23" s="3507"/>
      <c r="FIN23" s="3507"/>
      <c r="FIO23" s="3507"/>
      <c r="FIP23" s="3507"/>
      <c r="FIQ23" s="3507"/>
      <c r="FIR23" s="3507"/>
      <c r="FIS23" s="3507"/>
      <c r="FIT23" s="3507"/>
      <c r="FIU23" s="3507"/>
      <c r="FIV23" s="3507"/>
      <c r="FIW23" s="3507"/>
      <c r="FIX23" s="3507"/>
      <c r="FIY23" s="3507"/>
      <c r="FIZ23" s="3507"/>
      <c r="FJA23" s="3507"/>
      <c r="FJB23" s="3507"/>
      <c r="FJC23" s="3507"/>
      <c r="FJD23" s="3507"/>
      <c r="FJE23" s="3507"/>
      <c r="FJF23" s="3507"/>
      <c r="FJG23" s="3507"/>
      <c r="FJH23" s="3507"/>
      <c r="FJI23" s="3507"/>
      <c r="FJJ23" s="3507"/>
      <c r="FJK23" s="3507"/>
      <c r="FJL23" s="3507"/>
      <c r="FJM23" s="3507"/>
      <c r="FJN23" s="3507"/>
      <c r="FJO23" s="3507"/>
      <c r="FJP23" s="3507"/>
      <c r="FJQ23" s="3507"/>
      <c r="FJR23" s="3507"/>
      <c r="FJS23" s="3507"/>
      <c r="FJT23" s="3507"/>
      <c r="FJU23" s="3507"/>
      <c r="FJV23" s="3507"/>
      <c r="FJW23" s="3507"/>
      <c r="FJX23" s="3507"/>
      <c r="FJY23" s="3507"/>
      <c r="FJZ23" s="3507"/>
      <c r="FKA23" s="3507"/>
      <c r="FKB23" s="3507"/>
      <c r="FKC23" s="3507"/>
      <c r="FKD23" s="3507"/>
      <c r="FKE23" s="3507"/>
      <c r="FKF23" s="3507"/>
      <c r="FKG23" s="3507"/>
      <c r="FKH23" s="3507"/>
      <c r="FKI23" s="3507"/>
      <c r="FKJ23" s="3507"/>
      <c r="FKK23" s="3507"/>
      <c r="FKL23" s="3507"/>
      <c r="FKM23" s="3507"/>
      <c r="FKN23" s="3507"/>
      <c r="FKO23" s="3507"/>
      <c r="FKP23" s="3507"/>
      <c r="FKQ23" s="3507"/>
      <c r="FKR23" s="3507"/>
      <c r="FKS23" s="3507"/>
      <c r="FKT23" s="3507"/>
      <c r="FKU23" s="3507"/>
      <c r="FKV23" s="3507"/>
      <c r="FKW23" s="3507"/>
      <c r="FKX23" s="3507"/>
      <c r="FKY23" s="3507"/>
      <c r="FKZ23" s="3507"/>
      <c r="FLA23" s="3507"/>
      <c r="FLB23" s="3507"/>
      <c r="FLC23" s="3507"/>
      <c r="FLD23" s="3507"/>
      <c r="FLE23" s="3507"/>
      <c r="FLF23" s="3507"/>
      <c r="FLG23" s="3507"/>
      <c r="FLH23" s="3507"/>
      <c r="FLI23" s="3507"/>
      <c r="FLJ23" s="3507"/>
      <c r="FLK23" s="3507"/>
      <c r="FLL23" s="3507"/>
      <c r="FLM23" s="3507"/>
      <c r="FLN23" s="3507"/>
      <c r="FLO23" s="3507"/>
      <c r="FLP23" s="3507"/>
      <c r="FLQ23" s="3507"/>
      <c r="FLR23" s="3507"/>
      <c r="FLS23" s="3507"/>
      <c r="FLT23" s="3507"/>
      <c r="FLU23" s="3507"/>
      <c r="FLV23" s="3507"/>
      <c r="FLW23" s="3507"/>
      <c r="FLX23" s="3507"/>
      <c r="FLY23" s="3507"/>
      <c r="FLZ23" s="3507"/>
      <c r="FMA23" s="3507"/>
      <c r="FMB23" s="3507"/>
      <c r="FMC23" s="3507"/>
      <c r="FMD23" s="3507"/>
      <c r="FME23" s="3507"/>
      <c r="FMF23" s="3507"/>
      <c r="FMG23" s="3507"/>
      <c r="FMH23" s="3507"/>
      <c r="FMI23" s="3507"/>
      <c r="FMJ23" s="3507"/>
      <c r="FMK23" s="3507"/>
      <c r="FML23" s="3507"/>
      <c r="FMM23" s="3507"/>
      <c r="FMN23" s="3507"/>
      <c r="FMO23" s="3507"/>
      <c r="FMP23" s="3507"/>
      <c r="FMQ23" s="3507"/>
      <c r="FMR23" s="3507"/>
      <c r="FMS23" s="3507"/>
      <c r="FMT23" s="3507"/>
      <c r="FMU23" s="3507"/>
      <c r="FMV23" s="3507"/>
      <c r="FMW23" s="3507"/>
      <c r="FMX23" s="3507"/>
      <c r="FMY23" s="3507"/>
      <c r="FMZ23" s="3507"/>
      <c r="FNA23" s="3507"/>
      <c r="FNB23" s="3507"/>
      <c r="FNC23" s="3507"/>
      <c r="FND23" s="3507"/>
      <c r="FNE23" s="3507"/>
      <c r="FNF23" s="3507"/>
      <c r="FNG23" s="3507"/>
      <c r="FNH23" s="3507"/>
      <c r="FNI23" s="3507"/>
      <c r="FNJ23" s="3507"/>
      <c r="FNK23" s="3507"/>
      <c r="FNL23" s="3507"/>
      <c r="FNM23" s="3507"/>
      <c r="FNN23" s="3507"/>
      <c r="FNO23" s="3507"/>
      <c r="FNP23" s="3507"/>
      <c r="FNQ23" s="3507"/>
      <c r="FNR23" s="3507"/>
      <c r="FNS23" s="3507"/>
      <c r="FNT23" s="3507"/>
      <c r="FNU23" s="3507"/>
      <c r="FNV23" s="3507"/>
      <c r="FNW23" s="3507"/>
      <c r="FNX23" s="3507"/>
      <c r="FNY23" s="3507"/>
      <c r="FNZ23" s="3507"/>
      <c r="FOA23" s="3507"/>
      <c r="FOB23" s="3507"/>
      <c r="FOC23" s="3507"/>
      <c r="FOD23" s="3507"/>
      <c r="FOE23" s="3507"/>
      <c r="FOF23" s="3507"/>
      <c r="FOG23" s="3507"/>
      <c r="FOH23" s="3507"/>
      <c r="FOI23" s="3507"/>
      <c r="FOJ23" s="3507"/>
      <c r="FOK23" s="3507"/>
      <c r="FOL23" s="3507"/>
      <c r="FOM23" s="3507"/>
      <c r="FON23" s="3507"/>
      <c r="FOO23" s="3507"/>
      <c r="FOP23" s="3507"/>
      <c r="FOQ23" s="3507"/>
      <c r="FOR23" s="3507"/>
      <c r="FOS23" s="3507"/>
      <c r="FOT23" s="3507"/>
      <c r="FOU23" s="3507"/>
      <c r="FOV23" s="3507"/>
      <c r="FOW23" s="3507"/>
      <c r="FOX23" s="3507"/>
      <c r="FOY23" s="3507"/>
      <c r="FOZ23" s="3507"/>
      <c r="FPA23" s="3507"/>
      <c r="FPB23" s="3507"/>
      <c r="FPC23" s="3507"/>
      <c r="FPD23" s="3507"/>
      <c r="FPE23" s="3507"/>
      <c r="FPF23" s="3507"/>
      <c r="FPG23" s="3507"/>
      <c r="FPH23" s="3507"/>
      <c r="FPI23" s="3507"/>
      <c r="FPJ23" s="3507"/>
      <c r="FPK23" s="3507"/>
      <c r="FPL23" s="3507"/>
      <c r="FPM23" s="3507"/>
      <c r="FPN23" s="3507"/>
      <c r="FPO23" s="3507"/>
      <c r="FPP23" s="3507"/>
      <c r="FPQ23" s="3507"/>
      <c r="FPR23" s="3507"/>
      <c r="FPS23" s="3507"/>
      <c r="FPT23" s="3507"/>
      <c r="FPU23" s="3507"/>
      <c r="FPV23" s="3507"/>
      <c r="FPW23" s="3507"/>
      <c r="FPX23" s="3507"/>
      <c r="FPY23" s="3507"/>
      <c r="FPZ23" s="3507"/>
      <c r="FQA23" s="3507"/>
      <c r="FQB23" s="3507"/>
      <c r="FQC23" s="3507"/>
      <c r="FQD23" s="3507"/>
      <c r="FQE23" s="3507"/>
      <c r="FQF23" s="3507"/>
      <c r="FQG23" s="3507"/>
      <c r="FQH23" s="3507"/>
      <c r="FQI23" s="3507"/>
      <c r="FQJ23" s="3507"/>
      <c r="FQK23" s="3507"/>
      <c r="FQL23" s="3507"/>
      <c r="FQM23" s="3507"/>
      <c r="FQN23" s="3507"/>
      <c r="FQO23" s="3507"/>
      <c r="FQP23" s="3507"/>
      <c r="FQQ23" s="3507"/>
      <c r="FQR23" s="3507"/>
      <c r="FQS23" s="3507"/>
      <c r="FQT23" s="3507"/>
      <c r="FQU23" s="3507"/>
      <c r="FQV23" s="3507"/>
      <c r="FQW23" s="3507"/>
      <c r="FQX23" s="3507"/>
      <c r="FQY23" s="3507"/>
      <c r="FQZ23" s="3507"/>
      <c r="FRA23" s="3507"/>
      <c r="FRB23" s="3507"/>
      <c r="FRC23" s="3507"/>
      <c r="FRD23" s="3507"/>
      <c r="FRE23" s="3507"/>
      <c r="FRF23" s="3507"/>
      <c r="FRG23" s="3507"/>
      <c r="FRH23" s="3507"/>
      <c r="FRI23" s="3507"/>
      <c r="FRJ23" s="3507"/>
      <c r="FRK23" s="3507"/>
      <c r="FRL23" s="3507"/>
      <c r="FRM23" s="3507"/>
      <c r="FRN23" s="3507"/>
      <c r="FRO23" s="3507"/>
      <c r="FRP23" s="3507"/>
      <c r="FRQ23" s="3507"/>
      <c r="FRR23" s="3507"/>
      <c r="FRS23" s="3507"/>
      <c r="FRT23" s="3507"/>
      <c r="FRU23" s="3507"/>
      <c r="FRV23" s="3507"/>
      <c r="FRW23" s="3507"/>
      <c r="FRX23" s="3507"/>
      <c r="FRY23" s="3507"/>
      <c r="FRZ23" s="3507"/>
      <c r="FSA23" s="3507"/>
      <c r="FSB23" s="3507"/>
      <c r="FSC23" s="3507"/>
      <c r="FSD23" s="3507"/>
      <c r="FSE23" s="3507"/>
      <c r="FSF23" s="3507"/>
      <c r="FSG23" s="3507"/>
      <c r="FSH23" s="3507"/>
      <c r="FSI23" s="3507"/>
      <c r="FSJ23" s="3507"/>
      <c r="FSK23" s="3507"/>
      <c r="FSL23" s="3507"/>
      <c r="FSM23" s="3507"/>
      <c r="FSN23" s="3507"/>
      <c r="FSO23" s="3507"/>
      <c r="FSP23" s="3507"/>
      <c r="FSQ23" s="3507"/>
      <c r="FSR23" s="3507"/>
      <c r="FSS23" s="3507"/>
      <c r="FST23" s="3507"/>
      <c r="FSU23" s="3507"/>
      <c r="FSV23" s="3507"/>
      <c r="FSW23" s="3507"/>
      <c r="FSX23" s="3507"/>
      <c r="FSY23" s="3507"/>
      <c r="FSZ23" s="3507"/>
      <c r="FTA23" s="3507"/>
      <c r="FTB23" s="3507"/>
      <c r="FTC23" s="3507"/>
      <c r="FTD23" s="3507"/>
      <c r="FTE23" s="3507"/>
      <c r="FTF23" s="3507"/>
      <c r="FTG23" s="3507"/>
      <c r="FTH23" s="3507"/>
      <c r="FTI23" s="3507"/>
      <c r="FTJ23" s="3507"/>
      <c r="FTK23" s="3507"/>
      <c r="FTL23" s="3507"/>
      <c r="FTM23" s="3507"/>
      <c r="FTN23" s="3507"/>
      <c r="FTO23" s="3507"/>
      <c r="FTP23" s="3507"/>
      <c r="FTQ23" s="3507"/>
      <c r="FTR23" s="3507"/>
      <c r="FTS23" s="3507"/>
      <c r="FTT23" s="3507"/>
      <c r="FTU23" s="3507"/>
      <c r="FTV23" s="3507"/>
      <c r="FTW23" s="3507"/>
      <c r="FTX23" s="3507"/>
      <c r="FTY23" s="3507"/>
      <c r="FTZ23" s="3507"/>
      <c r="FUA23" s="3507"/>
      <c r="FUB23" s="3507"/>
      <c r="FUC23" s="3507"/>
      <c r="FUD23" s="3507"/>
      <c r="FUE23" s="3507"/>
      <c r="FUF23" s="3507"/>
      <c r="FUG23" s="3507"/>
      <c r="FUH23" s="3507"/>
      <c r="FUI23" s="3507"/>
      <c r="FUJ23" s="3507"/>
      <c r="FUK23" s="3507"/>
      <c r="FUL23" s="3507"/>
      <c r="FUM23" s="3507"/>
      <c r="FUN23" s="3507"/>
      <c r="FUO23" s="3507"/>
      <c r="FUP23" s="3507"/>
      <c r="FUQ23" s="3507"/>
      <c r="FUR23" s="3507"/>
      <c r="FUS23" s="3507"/>
      <c r="FUT23" s="3507"/>
      <c r="FUU23" s="3507"/>
      <c r="FUV23" s="3507"/>
      <c r="FUW23" s="3507"/>
      <c r="FUX23" s="3507"/>
      <c r="FUY23" s="3507"/>
      <c r="FUZ23" s="3507"/>
      <c r="FVA23" s="3507"/>
      <c r="FVB23" s="3507"/>
      <c r="FVC23" s="3507"/>
      <c r="FVD23" s="3507"/>
      <c r="FVE23" s="3507"/>
      <c r="FVF23" s="3507"/>
      <c r="FVG23" s="3507"/>
      <c r="FVH23" s="3507"/>
      <c r="FVI23" s="3507"/>
      <c r="FVJ23" s="3507"/>
      <c r="FVK23" s="3507"/>
      <c r="FVL23" s="3507"/>
      <c r="FVM23" s="3507"/>
      <c r="FVN23" s="3507"/>
      <c r="FVO23" s="3507"/>
      <c r="FVP23" s="3507"/>
      <c r="FVQ23" s="3507"/>
      <c r="FVR23" s="3507"/>
      <c r="FVS23" s="3507"/>
      <c r="FVT23" s="3507"/>
      <c r="FVU23" s="3507"/>
      <c r="FVV23" s="3507"/>
      <c r="FVW23" s="3507"/>
      <c r="FVX23" s="3507"/>
      <c r="FVY23" s="3507"/>
      <c r="FVZ23" s="3507"/>
      <c r="FWA23" s="3507"/>
      <c r="FWB23" s="3507"/>
      <c r="FWC23" s="3507"/>
      <c r="FWD23" s="3507"/>
      <c r="FWE23" s="3507"/>
      <c r="FWF23" s="3507"/>
      <c r="FWG23" s="3507"/>
      <c r="FWH23" s="3507"/>
      <c r="FWI23" s="3507"/>
      <c r="FWJ23" s="3507"/>
      <c r="FWK23" s="3507"/>
      <c r="FWL23" s="3507"/>
      <c r="FWM23" s="3507"/>
      <c r="FWN23" s="3507"/>
      <c r="FWO23" s="3507"/>
      <c r="FWP23" s="3507"/>
      <c r="FWQ23" s="3507"/>
      <c r="FWR23" s="3507"/>
      <c r="FWS23" s="3507"/>
      <c r="FWT23" s="3507"/>
      <c r="FWU23" s="3507"/>
      <c r="FWV23" s="3507"/>
      <c r="FWW23" s="3507"/>
      <c r="FWX23" s="3507"/>
      <c r="FWY23" s="3507"/>
      <c r="FWZ23" s="3507"/>
      <c r="FXA23" s="3507"/>
      <c r="FXB23" s="3507"/>
      <c r="FXC23" s="3507"/>
      <c r="FXD23" s="3507"/>
      <c r="FXE23" s="3507"/>
      <c r="FXF23" s="3507"/>
      <c r="FXG23" s="3507"/>
      <c r="FXH23" s="3507"/>
      <c r="FXI23" s="3507"/>
      <c r="FXJ23" s="3507"/>
      <c r="FXK23" s="3507"/>
      <c r="FXL23" s="3507"/>
      <c r="FXM23" s="3507"/>
      <c r="FXN23" s="3507"/>
      <c r="FXO23" s="3507"/>
      <c r="FXP23" s="3507"/>
      <c r="FXQ23" s="3507"/>
      <c r="FXR23" s="3507"/>
      <c r="FXS23" s="3507"/>
      <c r="FXT23" s="3507"/>
      <c r="FXU23" s="3507"/>
      <c r="FXV23" s="3507"/>
      <c r="FXW23" s="3507"/>
      <c r="FXX23" s="3507"/>
      <c r="FXY23" s="3507"/>
      <c r="FXZ23" s="3507"/>
      <c r="FYA23" s="3507"/>
      <c r="FYB23" s="3507"/>
      <c r="FYC23" s="3507"/>
      <c r="FYD23" s="3507"/>
      <c r="FYE23" s="3507"/>
      <c r="FYF23" s="3507"/>
      <c r="FYG23" s="3507"/>
      <c r="FYH23" s="3507"/>
      <c r="FYI23" s="3507"/>
      <c r="FYJ23" s="3507"/>
      <c r="FYK23" s="3507"/>
      <c r="FYL23" s="3507"/>
      <c r="FYM23" s="3507"/>
      <c r="FYN23" s="3507"/>
      <c r="FYO23" s="3507"/>
      <c r="FYP23" s="3507"/>
      <c r="FYQ23" s="3507"/>
      <c r="FYR23" s="3507"/>
      <c r="FYS23" s="3507"/>
      <c r="FYT23" s="3507"/>
      <c r="FYU23" s="3507"/>
      <c r="FYV23" s="3507"/>
      <c r="FYW23" s="3507"/>
      <c r="FYX23" s="3507"/>
      <c r="FYY23" s="3507"/>
      <c r="FYZ23" s="3507"/>
      <c r="FZA23" s="3507"/>
      <c r="FZB23" s="3507"/>
      <c r="FZC23" s="3507"/>
      <c r="FZD23" s="3507"/>
      <c r="FZE23" s="3507"/>
      <c r="FZF23" s="3507"/>
      <c r="FZG23" s="3507"/>
      <c r="FZH23" s="3507"/>
      <c r="FZI23" s="3507"/>
      <c r="FZJ23" s="3507"/>
      <c r="FZK23" s="3507"/>
      <c r="FZL23" s="3507"/>
      <c r="FZM23" s="3507"/>
      <c r="FZN23" s="3507"/>
      <c r="FZO23" s="3507"/>
      <c r="FZP23" s="3507"/>
      <c r="FZQ23" s="3507"/>
      <c r="FZR23" s="3507"/>
      <c r="FZS23" s="3507"/>
      <c r="FZT23" s="3507"/>
      <c r="FZU23" s="3507"/>
      <c r="FZV23" s="3507"/>
      <c r="FZW23" s="3507"/>
      <c r="FZX23" s="3507"/>
      <c r="FZY23" s="3507"/>
      <c r="FZZ23" s="3507"/>
      <c r="GAA23" s="3507"/>
      <c r="GAB23" s="3507"/>
      <c r="GAC23" s="3507"/>
      <c r="GAD23" s="3507"/>
      <c r="GAE23" s="3507"/>
      <c r="GAF23" s="3507"/>
      <c r="GAG23" s="3507"/>
      <c r="GAH23" s="3507"/>
      <c r="GAI23" s="3507"/>
      <c r="GAJ23" s="3507"/>
      <c r="GAK23" s="3507"/>
      <c r="GAL23" s="3507"/>
      <c r="GAM23" s="3507"/>
      <c r="GAN23" s="3507"/>
      <c r="GAO23" s="3507"/>
      <c r="GAP23" s="3507"/>
      <c r="GAQ23" s="3507"/>
      <c r="GAR23" s="3507"/>
      <c r="GAS23" s="3507"/>
      <c r="GAT23" s="3507"/>
      <c r="GAU23" s="3507"/>
      <c r="GAV23" s="3507"/>
      <c r="GAW23" s="3507"/>
      <c r="GAX23" s="3507"/>
      <c r="GAY23" s="3507"/>
      <c r="GAZ23" s="3507"/>
      <c r="GBA23" s="3507"/>
      <c r="GBB23" s="3507"/>
      <c r="GBC23" s="3507"/>
      <c r="GBD23" s="3507"/>
      <c r="GBE23" s="3507"/>
      <c r="GBF23" s="3507"/>
      <c r="GBG23" s="3507"/>
      <c r="GBH23" s="3507"/>
      <c r="GBI23" s="3507"/>
      <c r="GBJ23" s="3507"/>
      <c r="GBK23" s="3507"/>
      <c r="GBL23" s="3507"/>
      <c r="GBM23" s="3507"/>
      <c r="GBN23" s="3507"/>
      <c r="GBO23" s="3507"/>
      <c r="GBP23" s="3507"/>
      <c r="GBQ23" s="3507"/>
      <c r="GBR23" s="3507"/>
      <c r="GBS23" s="3507"/>
      <c r="GBT23" s="3507"/>
      <c r="GBU23" s="3507"/>
      <c r="GBV23" s="3507"/>
      <c r="GBW23" s="3507"/>
      <c r="GBX23" s="3507"/>
      <c r="GBY23" s="3507"/>
      <c r="GBZ23" s="3507"/>
      <c r="GCA23" s="3507"/>
      <c r="GCB23" s="3507"/>
      <c r="GCC23" s="3507"/>
      <c r="GCD23" s="3507"/>
      <c r="GCE23" s="3507"/>
      <c r="GCF23" s="3507"/>
      <c r="GCG23" s="3507"/>
      <c r="GCH23" s="3507"/>
      <c r="GCI23" s="3507"/>
      <c r="GCJ23" s="3507"/>
      <c r="GCK23" s="3507"/>
      <c r="GCL23" s="3507"/>
      <c r="GCM23" s="3507"/>
      <c r="GCN23" s="3507"/>
      <c r="GCO23" s="3507"/>
      <c r="GCP23" s="3507"/>
      <c r="GCQ23" s="3507"/>
      <c r="GCR23" s="3507"/>
      <c r="GCS23" s="3507"/>
      <c r="GCT23" s="3507"/>
      <c r="GCU23" s="3507"/>
      <c r="GCV23" s="3507"/>
      <c r="GCW23" s="3507"/>
      <c r="GCX23" s="3507"/>
      <c r="GCY23" s="3507"/>
      <c r="GCZ23" s="3507"/>
      <c r="GDA23" s="3507"/>
      <c r="GDB23" s="3507"/>
      <c r="GDC23" s="3507"/>
      <c r="GDD23" s="3507"/>
      <c r="GDE23" s="3507"/>
      <c r="GDF23" s="3507"/>
      <c r="GDG23" s="3507"/>
      <c r="GDH23" s="3507"/>
      <c r="GDI23" s="3507"/>
      <c r="GDJ23" s="3507"/>
      <c r="GDK23" s="3507"/>
      <c r="GDL23" s="3507"/>
      <c r="GDM23" s="3507"/>
      <c r="GDN23" s="3507"/>
      <c r="GDO23" s="3507"/>
      <c r="GDP23" s="3507"/>
      <c r="GDQ23" s="3507"/>
      <c r="GDR23" s="3507"/>
      <c r="GDS23" s="3507"/>
      <c r="GDT23" s="3507"/>
      <c r="GDU23" s="3507"/>
      <c r="GDV23" s="3507"/>
      <c r="GDW23" s="3507"/>
      <c r="GDX23" s="3507"/>
      <c r="GDY23" s="3507"/>
      <c r="GDZ23" s="3507"/>
      <c r="GEA23" s="3507"/>
      <c r="GEB23" s="3507"/>
      <c r="GEC23" s="3507"/>
      <c r="GED23" s="3507"/>
      <c r="GEE23" s="3507"/>
      <c r="GEF23" s="3507"/>
      <c r="GEG23" s="3507"/>
      <c r="GEH23" s="3507"/>
      <c r="GEI23" s="3507"/>
      <c r="GEJ23" s="3507"/>
      <c r="GEK23" s="3507"/>
      <c r="GEL23" s="3507"/>
      <c r="GEM23" s="3507"/>
      <c r="GEN23" s="3507"/>
      <c r="GEO23" s="3507"/>
      <c r="GEP23" s="3507"/>
      <c r="GEQ23" s="3507"/>
      <c r="GER23" s="3507"/>
      <c r="GES23" s="3507"/>
      <c r="GET23" s="3507"/>
      <c r="GEU23" s="3507"/>
      <c r="GEV23" s="3507"/>
      <c r="GEW23" s="3507"/>
      <c r="GEX23" s="3507"/>
      <c r="GEY23" s="3507"/>
      <c r="GEZ23" s="3507"/>
      <c r="GFA23" s="3507"/>
      <c r="GFB23" s="3507"/>
      <c r="GFC23" s="3507"/>
      <c r="GFD23" s="3507"/>
      <c r="GFE23" s="3507"/>
      <c r="GFF23" s="3507"/>
      <c r="GFG23" s="3507"/>
      <c r="GFH23" s="3507"/>
      <c r="GFI23" s="3507"/>
      <c r="GFJ23" s="3507"/>
      <c r="GFK23" s="3507"/>
      <c r="GFL23" s="3507"/>
      <c r="GFM23" s="3507"/>
      <c r="GFN23" s="3507"/>
      <c r="GFO23" s="3507"/>
      <c r="GFP23" s="3507"/>
      <c r="GFQ23" s="3507"/>
      <c r="GFR23" s="3507"/>
      <c r="GFS23" s="3507"/>
      <c r="GFT23" s="3507"/>
      <c r="GFU23" s="3507"/>
      <c r="GFV23" s="3507"/>
      <c r="GFW23" s="3507"/>
      <c r="GFX23" s="3507"/>
      <c r="GFY23" s="3507"/>
      <c r="GFZ23" s="3507"/>
      <c r="GGA23" s="3507"/>
      <c r="GGB23" s="3507"/>
      <c r="GGC23" s="3507"/>
      <c r="GGD23" s="3507"/>
      <c r="GGE23" s="3507"/>
      <c r="GGF23" s="3507"/>
      <c r="GGG23" s="3507"/>
      <c r="GGH23" s="3507"/>
      <c r="GGI23" s="3507"/>
      <c r="GGJ23" s="3507"/>
      <c r="GGK23" s="3507"/>
      <c r="GGL23" s="3507"/>
      <c r="GGM23" s="3507"/>
      <c r="GGN23" s="3507"/>
      <c r="GGO23" s="3507"/>
      <c r="GGP23" s="3507"/>
      <c r="GGQ23" s="3507"/>
      <c r="GGR23" s="3507"/>
      <c r="GGS23" s="3507"/>
      <c r="GGT23" s="3507"/>
      <c r="GGU23" s="3507"/>
      <c r="GGV23" s="3507"/>
      <c r="GGW23" s="3507"/>
      <c r="GGX23" s="3507"/>
      <c r="GGY23" s="3507"/>
      <c r="GGZ23" s="3507"/>
      <c r="GHA23" s="3507"/>
      <c r="GHB23" s="3507"/>
      <c r="GHC23" s="3507"/>
      <c r="GHD23" s="3507"/>
      <c r="GHE23" s="3507"/>
      <c r="GHF23" s="3507"/>
      <c r="GHG23" s="3507"/>
      <c r="GHH23" s="3507"/>
      <c r="GHI23" s="3507"/>
      <c r="GHJ23" s="3507"/>
      <c r="GHK23" s="3507"/>
      <c r="GHL23" s="3507"/>
      <c r="GHM23" s="3507"/>
      <c r="GHN23" s="3507"/>
      <c r="GHO23" s="3507"/>
      <c r="GHP23" s="3507"/>
      <c r="GHQ23" s="3507"/>
      <c r="GHR23" s="3507"/>
      <c r="GHS23" s="3507"/>
      <c r="GHT23" s="3507"/>
      <c r="GHU23" s="3507"/>
      <c r="GHV23" s="3507"/>
      <c r="GHW23" s="3507"/>
      <c r="GHX23" s="3507"/>
      <c r="GHY23" s="3507"/>
      <c r="GHZ23" s="3507"/>
      <c r="GIA23" s="3507"/>
      <c r="GIB23" s="3507"/>
      <c r="GIC23" s="3507"/>
      <c r="GID23" s="3507"/>
      <c r="GIE23" s="3507"/>
      <c r="GIF23" s="3507"/>
      <c r="GIG23" s="3507"/>
      <c r="GIH23" s="3507"/>
      <c r="GII23" s="3507"/>
      <c r="GIJ23" s="3507"/>
      <c r="GIK23" s="3507"/>
      <c r="GIL23" s="3507"/>
      <c r="GIM23" s="3507"/>
      <c r="GIN23" s="3507"/>
      <c r="GIO23" s="3507"/>
      <c r="GIP23" s="3507"/>
      <c r="GIQ23" s="3507"/>
      <c r="GIR23" s="3507"/>
      <c r="GIS23" s="3507"/>
      <c r="GIT23" s="3507"/>
      <c r="GIU23" s="3507"/>
      <c r="GIV23" s="3507"/>
      <c r="GIW23" s="3507"/>
      <c r="GIX23" s="3507"/>
      <c r="GIY23" s="3507"/>
      <c r="GIZ23" s="3507"/>
      <c r="GJA23" s="3507"/>
      <c r="GJB23" s="3507"/>
      <c r="GJC23" s="3507"/>
      <c r="GJD23" s="3507"/>
      <c r="GJE23" s="3507"/>
      <c r="GJF23" s="3507"/>
      <c r="GJG23" s="3507"/>
      <c r="GJH23" s="3507"/>
      <c r="GJI23" s="3507"/>
      <c r="GJJ23" s="3507"/>
      <c r="GJK23" s="3507"/>
      <c r="GJL23" s="3507"/>
      <c r="GJM23" s="3507"/>
      <c r="GJN23" s="3507"/>
      <c r="GJO23" s="3507"/>
      <c r="GJP23" s="3507"/>
      <c r="GJQ23" s="3507"/>
      <c r="GJR23" s="3507"/>
      <c r="GJS23" s="3507"/>
      <c r="GJT23" s="3507"/>
      <c r="GJU23" s="3507"/>
      <c r="GJV23" s="3507"/>
      <c r="GJW23" s="3507"/>
      <c r="GJX23" s="3507"/>
      <c r="GJY23" s="3507"/>
      <c r="GJZ23" s="3507"/>
      <c r="GKA23" s="3507"/>
      <c r="GKB23" s="3507"/>
      <c r="GKC23" s="3507"/>
      <c r="GKD23" s="3507"/>
      <c r="GKE23" s="3507"/>
      <c r="GKF23" s="3507"/>
      <c r="GKG23" s="3507"/>
      <c r="GKH23" s="3507"/>
      <c r="GKI23" s="3507"/>
      <c r="GKJ23" s="3507"/>
      <c r="GKK23" s="3507"/>
      <c r="GKL23" s="3507"/>
      <c r="GKM23" s="3507"/>
      <c r="GKN23" s="3507"/>
      <c r="GKO23" s="3507"/>
      <c r="GKP23" s="3507"/>
      <c r="GKQ23" s="3507"/>
      <c r="GKR23" s="3507"/>
      <c r="GKS23" s="3507"/>
      <c r="GKT23" s="3507"/>
      <c r="GKU23" s="3507"/>
      <c r="GKV23" s="3507"/>
      <c r="GKW23" s="3507"/>
      <c r="GKX23" s="3507"/>
      <c r="GKY23" s="3507"/>
      <c r="GKZ23" s="3507"/>
      <c r="GLA23" s="3507"/>
      <c r="GLB23" s="3507"/>
      <c r="GLC23" s="3507"/>
      <c r="GLD23" s="3507"/>
      <c r="GLE23" s="3507"/>
      <c r="GLF23" s="3507"/>
      <c r="GLG23" s="3507"/>
      <c r="GLH23" s="3507"/>
      <c r="GLI23" s="3507"/>
      <c r="GLJ23" s="3507"/>
      <c r="GLK23" s="3507"/>
      <c r="GLL23" s="3507"/>
      <c r="GLM23" s="3507"/>
      <c r="GLN23" s="3507"/>
      <c r="GLO23" s="3507"/>
      <c r="GLP23" s="3507"/>
      <c r="GLQ23" s="3507"/>
      <c r="GLR23" s="3507"/>
      <c r="GLS23" s="3507"/>
      <c r="GLT23" s="3507"/>
      <c r="GLU23" s="3507"/>
      <c r="GLV23" s="3507"/>
      <c r="GLW23" s="3507"/>
      <c r="GLX23" s="3507"/>
      <c r="GLY23" s="3507"/>
      <c r="GLZ23" s="3507"/>
      <c r="GMA23" s="3507"/>
      <c r="GMB23" s="3507"/>
      <c r="GMC23" s="3507"/>
      <c r="GMD23" s="3507"/>
      <c r="GME23" s="3507"/>
      <c r="GMF23" s="3507"/>
      <c r="GMG23" s="3507"/>
      <c r="GMH23" s="3507"/>
      <c r="GMI23" s="3507"/>
      <c r="GMJ23" s="3507"/>
      <c r="GMK23" s="3507"/>
      <c r="GML23" s="3507"/>
      <c r="GMM23" s="3507"/>
      <c r="GMN23" s="3507"/>
      <c r="GMO23" s="3507"/>
      <c r="GMP23" s="3507"/>
      <c r="GMQ23" s="3507"/>
      <c r="GMR23" s="3507"/>
      <c r="GMS23" s="3507"/>
      <c r="GMT23" s="3507"/>
      <c r="GMU23" s="3507"/>
      <c r="GMV23" s="3507"/>
      <c r="GMW23" s="3507"/>
      <c r="GMX23" s="3507"/>
      <c r="GMY23" s="3507"/>
      <c r="GMZ23" s="3507"/>
      <c r="GNA23" s="3507"/>
      <c r="GNB23" s="3507"/>
      <c r="GNC23" s="3507"/>
      <c r="GND23" s="3507"/>
      <c r="GNE23" s="3507"/>
      <c r="GNF23" s="3507"/>
      <c r="GNG23" s="3507"/>
      <c r="GNH23" s="3507"/>
      <c r="GNI23" s="3507"/>
      <c r="GNJ23" s="3507"/>
      <c r="GNK23" s="3507"/>
      <c r="GNL23" s="3507"/>
      <c r="GNM23" s="3507"/>
      <c r="GNN23" s="3507"/>
      <c r="GNO23" s="3507"/>
      <c r="GNP23" s="3507"/>
      <c r="GNQ23" s="3507"/>
      <c r="GNR23" s="3507"/>
      <c r="GNS23" s="3507"/>
      <c r="GNT23" s="3507"/>
      <c r="GNU23" s="3507"/>
      <c r="GNV23" s="3507"/>
      <c r="GNW23" s="3507"/>
      <c r="GNX23" s="3507"/>
      <c r="GNY23" s="3507"/>
      <c r="GNZ23" s="3507"/>
      <c r="GOA23" s="3507"/>
      <c r="GOB23" s="3507"/>
      <c r="GOC23" s="3507"/>
      <c r="GOD23" s="3507"/>
      <c r="GOE23" s="3507"/>
      <c r="GOF23" s="3507"/>
      <c r="GOG23" s="3507"/>
      <c r="GOH23" s="3507"/>
      <c r="GOI23" s="3507"/>
      <c r="GOJ23" s="3507"/>
      <c r="GOK23" s="3507"/>
      <c r="GOL23" s="3507"/>
      <c r="GOM23" s="3507"/>
      <c r="GON23" s="3507"/>
      <c r="GOO23" s="3507"/>
      <c r="GOP23" s="3507"/>
      <c r="GOQ23" s="3507"/>
      <c r="GOR23" s="3507"/>
      <c r="GOS23" s="3507"/>
      <c r="GOT23" s="3507"/>
      <c r="GOU23" s="3507"/>
      <c r="GOV23" s="3507"/>
      <c r="GOW23" s="3507"/>
      <c r="GOX23" s="3507"/>
      <c r="GOY23" s="3507"/>
      <c r="GOZ23" s="3507"/>
      <c r="GPA23" s="3507"/>
      <c r="GPB23" s="3507"/>
      <c r="GPC23" s="3507"/>
      <c r="GPD23" s="3507"/>
      <c r="GPE23" s="3507"/>
      <c r="GPF23" s="3507"/>
      <c r="GPG23" s="3507"/>
      <c r="GPH23" s="3507"/>
      <c r="GPI23" s="3507"/>
      <c r="GPJ23" s="3507"/>
      <c r="GPK23" s="3507"/>
      <c r="GPL23" s="3507"/>
      <c r="GPM23" s="3507"/>
      <c r="GPN23" s="3507"/>
      <c r="GPO23" s="3507"/>
      <c r="GPP23" s="3507"/>
      <c r="GPQ23" s="3507"/>
      <c r="GPR23" s="3507"/>
      <c r="GPS23" s="3507"/>
      <c r="GPT23" s="3507"/>
      <c r="GPU23" s="3507"/>
      <c r="GPV23" s="3507"/>
      <c r="GPW23" s="3507"/>
      <c r="GPX23" s="3507"/>
      <c r="GPY23" s="3507"/>
      <c r="GPZ23" s="3507"/>
      <c r="GQA23" s="3507"/>
      <c r="GQB23" s="3507"/>
      <c r="GQC23" s="3507"/>
      <c r="GQD23" s="3507"/>
      <c r="GQE23" s="3507"/>
      <c r="GQF23" s="3507"/>
      <c r="GQG23" s="3507"/>
      <c r="GQH23" s="3507"/>
      <c r="GQI23" s="3507"/>
      <c r="GQJ23" s="3507"/>
      <c r="GQK23" s="3507"/>
      <c r="GQL23" s="3507"/>
      <c r="GQM23" s="3507"/>
      <c r="GQN23" s="3507"/>
      <c r="GQO23" s="3507"/>
      <c r="GQP23" s="3507"/>
      <c r="GQQ23" s="3507"/>
      <c r="GQR23" s="3507"/>
      <c r="GQS23" s="3507"/>
      <c r="GQT23" s="3507"/>
      <c r="GQU23" s="3507"/>
      <c r="GQV23" s="3507"/>
      <c r="GQW23" s="3507"/>
      <c r="GQX23" s="3507"/>
      <c r="GQY23" s="3507"/>
      <c r="GQZ23" s="3507"/>
      <c r="GRA23" s="3507"/>
      <c r="GRB23" s="3507"/>
      <c r="GRC23" s="3507"/>
      <c r="GRD23" s="3507"/>
      <c r="GRE23" s="3507"/>
      <c r="GRF23" s="3507"/>
      <c r="GRG23" s="3507"/>
      <c r="GRH23" s="3507"/>
      <c r="GRI23" s="3507"/>
      <c r="GRJ23" s="3507"/>
      <c r="GRK23" s="3507"/>
      <c r="GRL23" s="3507"/>
      <c r="GRM23" s="3507"/>
      <c r="GRN23" s="3507"/>
      <c r="GRO23" s="3507"/>
      <c r="GRP23" s="3507"/>
      <c r="GRQ23" s="3507"/>
      <c r="GRR23" s="3507"/>
      <c r="GRS23" s="3507"/>
      <c r="GRT23" s="3507"/>
      <c r="GRU23" s="3507"/>
      <c r="GRV23" s="3507"/>
      <c r="GRW23" s="3507"/>
      <c r="GRX23" s="3507"/>
      <c r="GRY23" s="3507"/>
      <c r="GRZ23" s="3507"/>
      <c r="GSA23" s="3507"/>
      <c r="GSB23" s="3507"/>
      <c r="GSC23" s="3507"/>
      <c r="GSD23" s="3507"/>
      <c r="GSE23" s="3507"/>
      <c r="GSF23" s="3507"/>
      <c r="GSG23" s="3507"/>
      <c r="GSH23" s="3507"/>
      <c r="GSI23" s="3507"/>
      <c r="GSJ23" s="3507"/>
      <c r="GSK23" s="3507"/>
      <c r="GSL23" s="3507"/>
      <c r="GSM23" s="3507"/>
      <c r="GSN23" s="3507"/>
      <c r="GSO23" s="3507"/>
      <c r="GSP23" s="3507"/>
      <c r="GSQ23" s="3507"/>
      <c r="GSR23" s="3507"/>
      <c r="GSS23" s="3507"/>
      <c r="GST23" s="3507"/>
      <c r="GSU23" s="3507"/>
      <c r="GSV23" s="3507"/>
      <c r="GSW23" s="3507"/>
      <c r="GSX23" s="3507"/>
      <c r="GSY23" s="3507"/>
      <c r="GSZ23" s="3507"/>
      <c r="GTA23" s="3507"/>
      <c r="GTB23" s="3507"/>
      <c r="GTC23" s="3507"/>
      <c r="GTD23" s="3507"/>
      <c r="GTE23" s="3507"/>
      <c r="GTF23" s="3507"/>
      <c r="GTG23" s="3507"/>
      <c r="GTH23" s="3507"/>
      <c r="GTI23" s="3507"/>
      <c r="GTJ23" s="3507"/>
      <c r="GTK23" s="3507"/>
      <c r="GTL23" s="3507"/>
      <c r="GTM23" s="3507"/>
      <c r="GTN23" s="3507"/>
      <c r="GTO23" s="3507"/>
      <c r="GTP23" s="3507"/>
      <c r="GTQ23" s="3507"/>
      <c r="GTR23" s="3507"/>
      <c r="GTS23" s="3507"/>
      <c r="GTT23" s="3507"/>
      <c r="GTU23" s="3507"/>
      <c r="GTV23" s="3507"/>
      <c r="GTW23" s="3507"/>
      <c r="GTX23" s="3507"/>
      <c r="GTY23" s="3507"/>
      <c r="GTZ23" s="3507"/>
      <c r="GUA23" s="3507"/>
      <c r="GUB23" s="3507"/>
      <c r="GUC23" s="3507"/>
      <c r="GUD23" s="3507"/>
      <c r="GUE23" s="3507"/>
      <c r="GUF23" s="3507"/>
      <c r="GUG23" s="3507"/>
      <c r="GUH23" s="3507"/>
      <c r="GUI23" s="3507"/>
      <c r="GUJ23" s="3507"/>
      <c r="GUK23" s="3507"/>
      <c r="GUL23" s="3507"/>
      <c r="GUM23" s="3507"/>
      <c r="GUN23" s="3507"/>
      <c r="GUO23" s="3507"/>
      <c r="GUP23" s="3507"/>
      <c r="GUQ23" s="3507"/>
      <c r="GUR23" s="3507"/>
      <c r="GUS23" s="3507"/>
      <c r="GUT23" s="3507"/>
      <c r="GUU23" s="3507"/>
      <c r="GUV23" s="3507"/>
      <c r="GUW23" s="3507"/>
      <c r="GUX23" s="3507"/>
      <c r="GUY23" s="3507"/>
      <c r="GUZ23" s="3507"/>
      <c r="GVA23" s="3507"/>
      <c r="GVB23" s="3507"/>
      <c r="GVC23" s="3507"/>
      <c r="GVD23" s="3507"/>
      <c r="GVE23" s="3507"/>
      <c r="GVF23" s="3507"/>
      <c r="GVG23" s="3507"/>
      <c r="GVH23" s="3507"/>
      <c r="GVI23" s="3507"/>
      <c r="GVJ23" s="3507"/>
      <c r="GVK23" s="3507"/>
      <c r="GVL23" s="3507"/>
      <c r="GVM23" s="3507"/>
      <c r="GVN23" s="3507"/>
      <c r="GVO23" s="3507"/>
      <c r="GVP23" s="3507"/>
      <c r="GVQ23" s="3507"/>
      <c r="GVR23" s="3507"/>
      <c r="GVS23" s="3507"/>
      <c r="GVT23" s="3507"/>
      <c r="GVU23" s="3507"/>
      <c r="GVV23" s="3507"/>
      <c r="GVW23" s="3507"/>
      <c r="GVX23" s="3507"/>
      <c r="GVY23" s="3507"/>
      <c r="GVZ23" s="3507"/>
      <c r="GWA23" s="3507"/>
      <c r="GWB23" s="3507"/>
      <c r="GWC23" s="3507"/>
      <c r="GWD23" s="3507"/>
      <c r="GWE23" s="3507"/>
      <c r="GWF23" s="3507"/>
      <c r="GWG23" s="3507"/>
      <c r="GWH23" s="3507"/>
      <c r="GWI23" s="3507"/>
      <c r="GWJ23" s="3507"/>
      <c r="GWK23" s="3507"/>
      <c r="GWL23" s="3507"/>
      <c r="GWM23" s="3507"/>
      <c r="GWN23" s="3507"/>
      <c r="GWO23" s="3507"/>
      <c r="GWP23" s="3507"/>
      <c r="GWQ23" s="3507"/>
      <c r="GWR23" s="3507"/>
      <c r="GWS23" s="3507"/>
      <c r="GWT23" s="3507"/>
      <c r="GWU23" s="3507"/>
      <c r="GWV23" s="3507"/>
      <c r="GWW23" s="3507"/>
      <c r="GWX23" s="3507"/>
      <c r="GWY23" s="3507"/>
      <c r="GWZ23" s="3507"/>
      <c r="GXA23" s="3507"/>
      <c r="GXB23" s="3507"/>
      <c r="GXC23" s="3507"/>
      <c r="GXD23" s="3507"/>
      <c r="GXE23" s="3507"/>
      <c r="GXF23" s="3507"/>
      <c r="GXG23" s="3507"/>
      <c r="GXH23" s="3507"/>
      <c r="GXI23" s="3507"/>
      <c r="GXJ23" s="3507"/>
      <c r="GXK23" s="3507"/>
      <c r="GXL23" s="3507"/>
      <c r="GXM23" s="3507"/>
      <c r="GXN23" s="3507"/>
      <c r="GXO23" s="3507"/>
      <c r="GXP23" s="3507"/>
      <c r="GXQ23" s="3507"/>
      <c r="GXR23" s="3507"/>
      <c r="GXS23" s="3507"/>
      <c r="GXT23" s="3507"/>
      <c r="GXU23" s="3507"/>
      <c r="GXV23" s="3507"/>
      <c r="GXW23" s="3507"/>
      <c r="GXX23" s="3507"/>
      <c r="GXY23" s="3507"/>
      <c r="GXZ23" s="3507"/>
      <c r="GYA23" s="3507"/>
      <c r="GYB23" s="3507"/>
      <c r="GYC23" s="3507"/>
      <c r="GYD23" s="3507"/>
      <c r="GYE23" s="3507"/>
      <c r="GYF23" s="3507"/>
      <c r="GYG23" s="3507"/>
      <c r="GYH23" s="3507"/>
      <c r="GYI23" s="3507"/>
      <c r="GYJ23" s="3507"/>
      <c r="GYK23" s="3507"/>
      <c r="GYL23" s="3507"/>
      <c r="GYM23" s="3507"/>
      <c r="GYN23" s="3507"/>
      <c r="GYO23" s="3507"/>
      <c r="GYP23" s="3507"/>
      <c r="GYQ23" s="3507"/>
      <c r="GYR23" s="3507"/>
      <c r="GYS23" s="3507"/>
      <c r="GYT23" s="3507"/>
      <c r="GYU23" s="3507"/>
      <c r="GYV23" s="3507"/>
      <c r="GYW23" s="3507"/>
      <c r="GYX23" s="3507"/>
      <c r="GYY23" s="3507"/>
      <c r="GYZ23" s="3507"/>
      <c r="GZA23" s="3507"/>
      <c r="GZB23" s="3507"/>
      <c r="GZC23" s="3507"/>
      <c r="GZD23" s="3507"/>
      <c r="GZE23" s="3507"/>
      <c r="GZF23" s="3507"/>
      <c r="GZG23" s="3507"/>
      <c r="GZH23" s="3507"/>
      <c r="GZI23" s="3507"/>
      <c r="GZJ23" s="3507"/>
      <c r="GZK23" s="3507"/>
      <c r="GZL23" s="3507"/>
      <c r="GZM23" s="3507"/>
      <c r="GZN23" s="3507"/>
      <c r="GZO23" s="3507"/>
      <c r="GZP23" s="3507"/>
      <c r="GZQ23" s="3507"/>
      <c r="GZR23" s="3507"/>
      <c r="GZS23" s="3507"/>
      <c r="GZT23" s="3507"/>
      <c r="GZU23" s="3507"/>
      <c r="GZV23" s="3507"/>
      <c r="GZW23" s="3507"/>
      <c r="GZX23" s="3507"/>
      <c r="GZY23" s="3507"/>
      <c r="GZZ23" s="3507"/>
      <c r="HAA23" s="3507"/>
      <c r="HAB23" s="3507"/>
      <c r="HAC23" s="3507"/>
      <c r="HAD23" s="3507"/>
      <c r="HAE23" s="3507"/>
      <c r="HAF23" s="3507"/>
      <c r="HAG23" s="3507"/>
      <c r="HAH23" s="3507"/>
      <c r="HAI23" s="3507"/>
      <c r="HAJ23" s="3507"/>
      <c r="HAK23" s="3507"/>
      <c r="HAL23" s="3507"/>
      <c r="HAM23" s="3507"/>
      <c r="HAN23" s="3507"/>
      <c r="HAO23" s="3507"/>
      <c r="HAP23" s="3507"/>
      <c r="HAQ23" s="3507"/>
      <c r="HAR23" s="3507"/>
      <c r="HAS23" s="3507"/>
      <c r="HAT23" s="3507"/>
      <c r="HAU23" s="3507"/>
      <c r="HAV23" s="3507"/>
      <c r="HAW23" s="3507"/>
      <c r="HAX23" s="3507"/>
      <c r="HAY23" s="3507"/>
      <c r="HAZ23" s="3507"/>
      <c r="HBA23" s="3507"/>
      <c r="HBB23" s="3507"/>
      <c r="HBC23" s="3507"/>
      <c r="HBD23" s="3507"/>
      <c r="HBE23" s="3507"/>
      <c r="HBF23" s="3507"/>
      <c r="HBG23" s="3507"/>
      <c r="HBH23" s="3507"/>
      <c r="HBI23" s="3507"/>
      <c r="HBJ23" s="3507"/>
      <c r="HBK23" s="3507"/>
      <c r="HBL23" s="3507"/>
      <c r="HBM23" s="3507"/>
      <c r="HBN23" s="3507"/>
      <c r="HBO23" s="3507"/>
      <c r="HBP23" s="3507"/>
      <c r="HBQ23" s="3507"/>
      <c r="HBR23" s="3507"/>
      <c r="HBS23" s="3507"/>
      <c r="HBT23" s="3507"/>
      <c r="HBU23" s="3507"/>
      <c r="HBV23" s="3507"/>
      <c r="HBW23" s="3507"/>
      <c r="HBX23" s="3507"/>
      <c r="HBY23" s="3507"/>
      <c r="HBZ23" s="3507"/>
      <c r="HCA23" s="3507"/>
      <c r="HCB23" s="3507"/>
      <c r="HCC23" s="3507"/>
      <c r="HCD23" s="3507"/>
      <c r="HCE23" s="3507"/>
      <c r="HCF23" s="3507"/>
      <c r="HCG23" s="3507"/>
      <c r="HCH23" s="3507"/>
      <c r="HCI23" s="3507"/>
      <c r="HCJ23" s="3507"/>
      <c r="HCK23" s="3507"/>
      <c r="HCL23" s="3507"/>
      <c r="HCM23" s="3507"/>
      <c r="HCN23" s="3507"/>
      <c r="HCO23" s="3507"/>
      <c r="HCP23" s="3507"/>
      <c r="HCQ23" s="3507"/>
      <c r="HCR23" s="3507"/>
      <c r="HCS23" s="3507"/>
      <c r="HCT23" s="3507"/>
      <c r="HCU23" s="3507"/>
      <c r="HCV23" s="3507"/>
      <c r="HCW23" s="3507"/>
      <c r="HCX23" s="3507"/>
      <c r="HCY23" s="3507"/>
      <c r="HCZ23" s="3507"/>
      <c r="HDA23" s="3507"/>
      <c r="HDB23" s="3507"/>
      <c r="HDC23" s="3507"/>
      <c r="HDD23" s="3507"/>
      <c r="HDE23" s="3507"/>
      <c r="HDF23" s="3507"/>
      <c r="HDG23" s="3507"/>
      <c r="HDH23" s="3507"/>
      <c r="HDI23" s="3507"/>
      <c r="HDJ23" s="3507"/>
      <c r="HDK23" s="3507"/>
      <c r="HDL23" s="3507"/>
      <c r="HDM23" s="3507"/>
      <c r="HDN23" s="3507"/>
      <c r="HDO23" s="3507"/>
      <c r="HDP23" s="3507"/>
      <c r="HDQ23" s="3507"/>
      <c r="HDR23" s="3507"/>
      <c r="HDS23" s="3507"/>
      <c r="HDT23" s="3507"/>
      <c r="HDU23" s="3507"/>
      <c r="HDV23" s="3507"/>
      <c r="HDW23" s="3507"/>
      <c r="HDX23" s="3507"/>
      <c r="HDY23" s="3507"/>
      <c r="HDZ23" s="3507"/>
      <c r="HEA23" s="3507"/>
      <c r="HEB23" s="3507"/>
      <c r="HEC23" s="3507"/>
      <c r="HED23" s="3507"/>
      <c r="HEE23" s="3507"/>
      <c r="HEF23" s="3507"/>
      <c r="HEG23" s="3507"/>
      <c r="HEH23" s="3507"/>
      <c r="HEI23" s="3507"/>
      <c r="HEJ23" s="3507"/>
      <c r="HEK23" s="3507"/>
      <c r="HEL23" s="3507"/>
      <c r="HEM23" s="3507"/>
      <c r="HEN23" s="3507"/>
      <c r="HEO23" s="3507"/>
      <c r="HEP23" s="3507"/>
      <c r="HEQ23" s="3507"/>
      <c r="HER23" s="3507"/>
      <c r="HES23" s="3507"/>
      <c r="HET23" s="3507"/>
      <c r="HEU23" s="3507"/>
      <c r="HEV23" s="3507"/>
      <c r="HEW23" s="3507"/>
      <c r="HEX23" s="3507"/>
      <c r="HEY23" s="3507"/>
      <c r="HEZ23" s="3507"/>
      <c r="HFA23" s="3507"/>
      <c r="HFB23" s="3507"/>
      <c r="HFC23" s="3507"/>
      <c r="HFD23" s="3507"/>
      <c r="HFE23" s="3507"/>
      <c r="HFF23" s="3507"/>
      <c r="HFG23" s="3507"/>
      <c r="HFH23" s="3507"/>
      <c r="HFI23" s="3507"/>
      <c r="HFJ23" s="3507"/>
      <c r="HFK23" s="3507"/>
      <c r="HFL23" s="3507"/>
      <c r="HFM23" s="3507"/>
      <c r="HFN23" s="3507"/>
      <c r="HFO23" s="3507"/>
      <c r="HFP23" s="3507"/>
      <c r="HFQ23" s="3507"/>
      <c r="HFR23" s="3507"/>
      <c r="HFS23" s="3507"/>
      <c r="HFT23" s="3507"/>
      <c r="HFU23" s="3507"/>
      <c r="HFV23" s="3507"/>
      <c r="HFW23" s="3507"/>
      <c r="HFX23" s="3507"/>
      <c r="HFY23" s="3507"/>
      <c r="HFZ23" s="3507"/>
      <c r="HGA23" s="3507"/>
      <c r="HGB23" s="3507"/>
      <c r="HGC23" s="3507"/>
      <c r="HGD23" s="3507"/>
      <c r="HGE23" s="3507"/>
      <c r="HGF23" s="3507"/>
      <c r="HGG23" s="3507"/>
      <c r="HGH23" s="3507"/>
      <c r="HGI23" s="3507"/>
      <c r="HGJ23" s="3507"/>
      <c r="HGK23" s="3507"/>
      <c r="HGL23" s="3507"/>
      <c r="HGM23" s="3507"/>
      <c r="HGN23" s="3507"/>
      <c r="HGO23" s="3507"/>
      <c r="HGP23" s="3507"/>
      <c r="HGQ23" s="3507"/>
      <c r="HGR23" s="3507"/>
      <c r="HGS23" s="3507"/>
      <c r="HGT23" s="3507"/>
      <c r="HGU23" s="3507"/>
      <c r="HGV23" s="3507"/>
      <c r="HGW23" s="3507"/>
      <c r="HGX23" s="3507"/>
      <c r="HGY23" s="3507"/>
      <c r="HGZ23" s="3507"/>
      <c r="HHA23" s="3507"/>
      <c r="HHB23" s="3507"/>
      <c r="HHC23" s="3507"/>
      <c r="HHD23" s="3507"/>
      <c r="HHE23" s="3507"/>
      <c r="HHF23" s="3507"/>
      <c r="HHG23" s="3507"/>
      <c r="HHH23" s="3507"/>
      <c r="HHI23" s="3507"/>
      <c r="HHJ23" s="3507"/>
      <c r="HHK23" s="3507"/>
      <c r="HHL23" s="3507"/>
      <c r="HHM23" s="3507"/>
      <c r="HHN23" s="3507"/>
      <c r="HHO23" s="3507"/>
      <c r="HHP23" s="3507"/>
      <c r="HHQ23" s="3507"/>
      <c r="HHR23" s="3507"/>
      <c r="HHS23" s="3507"/>
      <c r="HHT23" s="3507"/>
      <c r="HHU23" s="3507"/>
      <c r="HHV23" s="3507"/>
      <c r="HHW23" s="3507"/>
      <c r="HHX23" s="3507"/>
      <c r="HHY23" s="3507"/>
      <c r="HHZ23" s="3507"/>
      <c r="HIA23" s="3507"/>
      <c r="HIB23" s="3507"/>
      <c r="HIC23" s="3507"/>
      <c r="HID23" s="3507"/>
      <c r="HIE23" s="3507"/>
      <c r="HIF23" s="3507"/>
      <c r="HIG23" s="3507"/>
      <c r="HIH23" s="3507"/>
      <c r="HII23" s="3507"/>
      <c r="HIJ23" s="3507"/>
      <c r="HIK23" s="3507"/>
      <c r="HIL23" s="3507"/>
      <c r="HIM23" s="3507"/>
      <c r="HIN23" s="3507"/>
      <c r="HIO23" s="3507"/>
      <c r="HIP23" s="3507"/>
      <c r="HIQ23" s="3507"/>
      <c r="HIR23" s="3507"/>
      <c r="HIS23" s="3507"/>
      <c r="HIT23" s="3507"/>
      <c r="HIU23" s="3507"/>
      <c r="HIV23" s="3507"/>
      <c r="HIW23" s="3507"/>
      <c r="HIX23" s="3507"/>
      <c r="HIY23" s="3507"/>
      <c r="HIZ23" s="3507"/>
      <c r="HJA23" s="3507"/>
      <c r="HJB23" s="3507"/>
      <c r="HJC23" s="3507"/>
      <c r="HJD23" s="3507"/>
      <c r="HJE23" s="3507"/>
      <c r="HJF23" s="3507"/>
      <c r="HJG23" s="3507"/>
      <c r="HJH23" s="3507"/>
      <c r="HJI23" s="3507"/>
      <c r="HJJ23" s="3507"/>
      <c r="HJK23" s="3507"/>
      <c r="HJL23" s="3507"/>
      <c r="HJM23" s="3507"/>
      <c r="HJN23" s="3507"/>
      <c r="HJO23" s="3507"/>
      <c r="HJP23" s="3507"/>
      <c r="HJQ23" s="3507"/>
      <c r="HJR23" s="3507"/>
      <c r="HJS23" s="3507"/>
      <c r="HJT23" s="3507"/>
      <c r="HJU23" s="3507"/>
      <c r="HJV23" s="3507"/>
      <c r="HJW23" s="3507"/>
      <c r="HJX23" s="3507"/>
      <c r="HJY23" s="3507"/>
      <c r="HJZ23" s="3507"/>
      <c r="HKA23" s="3507"/>
      <c r="HKB23" s="3507"/>
      <c r="HKC23" s="3507"/>
      <c r="HKD23" s="3507"/>
      <c r="HKE23" s="3507"/>
      <c r="HKF23" s="3507"/>
      <c r="HKG23" s="3507"/>
      <c r="HKH23" s="3507"/>
      <c r="HKI23" s="3507"/>
      <c r="HKJ23" s="3507"/>
      <c r="HKK23" s="3507"/>
      <c r="HKL23" s="3507"/>
      <c r="HKM23" s="3507"/>
      <c r="HKN23" s="3507"/>
      <c r="HKO23" s="3507"/>
      <c r="HKP23" s="3507"/>
      <c r="HKQ23" s="3507"/>
      <c r="HKR23" s="3507"/>
      <c r="HKS23" s="3507"/>
      <c r="HKT23" s="3507"/>
      <c r="HKU23" s="3507"/>
      <c r="HKV23" s="3507"/>
      <c r="HKW23" s="3507"/>
      <c r="HKX23" s="3507"/>
      <c r="HKY23" s="3507"/>
      <c r="HKZ23" s="3507"/>
      <c r="HLA23" s="3507"/>
      <c r="HLB23" s="3507"/>
      <c r="HLC23" s="3507"/>
      <c r="HLD23" s="3507"/>
      <c r="HLE23" s="3507"/>
      <c r="HLF23" s="3507"/>
      <c r="HLG23" s="3507"/>
      <c r="HLH23" s="3507"/>
      <c r="HLI23" s="3507"/>
      <c r="HLJ23" s="3507"/>
      <c r="HLK23" s="3507"/>
      <c r="HLL23" s="3507"/>
      <c r="HLM23" s="3507"/>
      <c r="HLN23" s="3507"/>
      <c r="HLO23" s="3507"/>
      <c r="HLP23" s="3507"/>
      <c r="HLQ23" s="3507"/>
      <c r="HLR23" s="3507"/>
      <c r="HLS23" s="3507"/>
      <c r="HLT23" s="3507"/>
      <c r="HLU23" s="3507"/>
      <c r="HLV23" s="3507"/>
      <c r="HLW23" s="3507"/>
      <c r="HLX23" s="3507"/>
      <c r="HLY23" s="3507"/>
      <c r="HLZ23" s="3507"/>
      <c r="HMA23" s="3507"/>
      <c r="HMB23" s="3507"/>
      <c r="HMC23" s="3507"/>
      <c r="HMD23" s="3507"/>
      <c r="HME23" s="3507"/>
      <c r="HMF23" s="3507"/>
      <c r="HMG23" s="3507"/>
      <c r="HMH23" s="3507"/>
      <c r="HMI23" s="3507"/>
      <c r="HMJ23" s="3507"/>
      <c r="HMK23" s="3507"/>
      <c r="HML23" s="3507"/>
      <c r="HMM23" s="3507"/>
      <c r="HMN23" s="3507"/>
      <c r="HMO23" s="3507"/>
      <c r="HMP23" s="3507"/>
      <c r="HMQ23" s="3507"/>
      <c r="HMR23" s="3507"/>
      <c r="HMS23" s="3507"/>
      <c r="HMT23" s="3507"/>
      <c r="HMU23" s="3507"/>
      <c r="HMV23" s="3507"/>
      <c r="HMW23" s="3507"/>
      <c r="HMX23" s="3507"/>
      <c r="HMY23" s="3507"/>
      <c r="HMZ23" s="3507"/>
      <c r="HNA23" s="3507"/>
      <c r="HNB23" s="3507"/>
      <c r="HNC23" s="3507"/>
      <c r="HND23" s="3507"/>
      <c r="HNE23" s="3507"/>
      <c r="HNF23" s="3507"/>
      <c r="HNG23" s="3507"/>
      <c r="HNH23" s="3507"/>
      <c r="HNI23" s="3507"/>
      <c r="HNJ23" s="3507"/>
      <c r="HNK23" s="3507"/>
      <c r="HNL23" s="3507"/>
      <c r="HNM23" s="3507"/>
      <c r="HNN23" s="3507"/>
      <c r="HNO23" s="3507"/>
      <c r="HNP23" s="3507"/>
      <c r="HNQ23" s="3507"/>
      <c r="HNR23" s="3507"/>
      <c r="HNS23" s="3507"/>
      <c r="HNT23" s="3507"/>
      <c r="HNU23" s="3507"/>
      <c r="HNV23" s="3507"/>
      <c r="HNW23" s="3507"/>
      <c r="HNX23" s="3507"/>
      <c r="HNY23" s="3507"/>
      <c r="HNZ23" s="3507"/>
      <c r="HOA23" s="3507"/>
      <c r="HOB23" s="3507"/>
      <c r="HOC23" s="3507"/>
      <c r="HOD23" s="3507"/>
      <c r="HOE23" s="3507"/>
      <c r="HOF23" s="3507"/>
      <c r="HOG23" s="3507"/>
      <c r="HOH23" s="3507"/>
      <c r="HOI23" s="3507"/>
      <c r="HOJ23" s="3507"/>
      <c r="HOK23" s="3507"/>
      <c r="HOL23" s="3507"/>
      <c r="HOM23" s="3507"/>
      <c r="HON23" s="3507"/>
      <c r="HOO23" s="3507"/>
      <c r="HOP23" s="3507"/>
      <c r="HOQ23" s="3507"/>
      <c r="HOR23" s="3507"/>
      <c r="HOS23" s="3507"/>
      <c r="HOT23" s="3507"/>
      <c r="HOU23" s="3507"/>
      <c r="HOV23" s="3507"/>
      <c r="HOW23" s="3507"/>
      <c r="HOX23" s="3507"/>
      <c r="HOY23" s="3507"/>
      <c r="HOZ23" s="3507"/>
      <c r="HPA23" s="3507"/>
      <c r="HPB23" s="3507"/>
      <c r="HPC23" s="3507"/>
      <c r="HPD23" s="3507"/>
      <c r="HPE23" s="3507"/>
      <c r="HPF23" s="3507"/>
      <c r="HPG23" s="3507"/>
      <c r="HPH23" s="3507"/>
      <c r="HPI23" s="3507"/>
      <c r="HPJ23" s="3507"/>
      <c r="HPK23" s="3507"/>
      <c r="HPL23" s="3507"/>
      <c r="HPM23" s="3507"/>
      <c r="HPN23" s="3507"/>
      <c r="HPO23" s="3507"/>
      <c r="HPP23" s="3507"/>
      <c r="HPQ23" s="3507"/>
      <c r="HPR23" s="3507"/>
      <c r="HPS23" s="3507"/>
      <c r="HPT23" s="3507"/>
      <c r="HPU23" s="3507"/>
      <c r="HPV23" s="3507"/>
      <c r="HPW23" s="3507"/>
      <c r="HPX23" s="3507"/>
      <c r="HPY23" s="3507"/>
      <c r="HPZ23" s="3507"/>
      <c r="HQA23" s="3507"/>
      <c r="HQB23" s="3507"/>
      <c r="HQC23" s="3507"/>
      <c r="HQD23" s="3507"/>
      <c r="HQE23" s="3507"/>
      <c r="HQF23" s="3507"/>
      <c r="HQG23" s="3507"/>
      <c r="HQH23" s="3507"/>
      <c r="HQI23" s="3507"/>
      <c r="HQJ23" s="3507"/>
      <c r="HQK23" s="3507"/>
      <c r="HQL23" s="3507"/>
      <c r="HQM23" s="3507"/>
      <c r="HQN23" s="3507"/>
      <c r="HQO23" s="3507"/>
      <c r="HQP23" s="3507"/>
      <c r="HQQ23" s="3507"/>
      <c r="HQR23" s="3507"/>
      <c r="HQS23" s="3507"/>
      <c r="HQT23" s="3507"/>
      <c r="HQU23" s="3507"/>
      <c r="HQV23" s="3507"/>
      <c r="HQW23" s="3507"/>
      <c r="HQX23" s="3507"/>
      <c r="HQY23" s="3507"/>
      <c r="HQZ23" s="3507"/>
      <c r="HRA23" s="3507"/>
      <c r="HRB23" s="3507"/>
      <c r="HRC23" s="3507"/>
      <c r="HRD23" s="3507"/>
      <c r="HRE23" s="3507"/>
      <c r="HRF23" s="3507"/>
      <c r="HRG23" s="3507"/>
      <c r="HRH23" s="3507"/>
      <c r="HRI23" s="3507"/>
      <c r="HRJ23" s="3507"/>
      <c r="HRK23" s="3507"/>
      <c r="HRL23" s="3507"/>
      <c r="HRM23" s="3507"/>
      <c r="HRN23" s="3507"/>
      <c r="HRO23" s="3507"/>
      <c r="HRP23" s="3507"/>
      <c r="HRQ23" s="3507"/>
      <c r="HRR23" s="3507"/>
      <c r="HRS23" s="3507"/>
      <c r="HRT23" s="3507"/>
      <c r="HRU23" s="3507"/>
      <c r="HRV23" s="3507"/>
      <c r="HRW23" s="3507"/>
      <c r="HRX23" s="3507"/>
      <c r="HRY23" s="3507"/>
      <c r="HRZ23" s="3507"/>
      <c r="HSA23" s="3507"/>
      <c r="HSB23" s="3507"/>
      <c r="HSC23" s="3507"/>
      <c r="HSD23" s="3507"/>
      <c r="HSE23" s="3507"/>
      <c r="HSF23" s="3507"/>
      <c r="HSG23" s="3507"/>
      <c r="HSH23" s="3507"/>
      <c r="HSI23" s="3507"/>
      <c r="HSJ23" s="3507"/>
      <c r="HSK23" s="3507"/>
      <c r="HSL23" s="3507"/>
      <c r="HSM23" s="3507"/>
      <c r="HSN23" s="3507"/>
      <c r="HSO23" s="3507"/>
      <c r="HSP23" s="3507"/>
      <c r="HSQ23" s="3507"/>
      <c r="HSR23" s="3507"/>
      <c r="HSS23" s="3507"/>
      <c r="HST23" s="3507"/>
      <c r="HSU23" s="3507"/>
      <c r="HSV23" s="3507"/>
      <c r="HSW23" s="3507"/>
      <c r="HSX23" s="3507"/>
      <c r="HSY23" s="3507"/>
      <c r="HSZ23" s="3507"/>
      <c r="HTA23" s="3507"/>
      <c r="HTB23" s="3507"/>
      <c r="HTC23" s="3507"/>
      <c r="HTD23" s="3507"/>
      <c r="HTE23" s="3507"/>
      <c r="HTF23" s="3507"/>
      <c r="HTG23" s="3507"/>
      <c r="HTH23" s="3507"/>
      <c r="HTI23" s="3507"/>
      <c r="HTJ23" s="3507"/>
      <c r="HTK23" s="3507"/>
      <c r="HTL23" s="3507"/>
      <c r="HTM23" s="3507"/>
      <c r="HTN23" s="3507"/>
      <c r="HTO23" s="3507"/>
      <c r="HTP23" s="3507"/>
      <c r="HTQ23" s="3507"/>
      <c r="HTR23" s="3507"/>
      <c r="HTS23" s="3507"/>
      <c r="HTT23" s="3507"/>
      <c r="HTU23" s="3507"/>
      <c r="HTV23" s="3507"/>
      <c r="HTW23" s="3507"/>
      <c r="HTX23" s="3507"/>
      <c r="HTY23" s="3507"/>
      <c r="HTZ23" s="3507"/>
      <c r="HUA23" s="3507"/>
      <c r="HUB23" s="3507"/>
      <c r="HUC23" s="3507"/>
      <c r="HUD23" s="3507"/>
      <c r="HUE23" s="3507"/>
      <c r="HUF23" s="3507"/>
      <c r="HUG23" s="3507"/>
      <c r="HUH23" s="3507"/>
      <c r="HUI23" s="3507"/>
      <c r="HUJ23" s="3507"/>
      <c r="HUK23" s="3507"/>
      <c r="HUL23" s="3507"/>
      <c r="HUM23" s="3507"/>
      <c r="HUN23" s="3507"/>
      <c r="HUO23" s="3507"/>
      <c r="HUP23" s="3507"/>
      <c r="HUQ23" s="3507"/>
      <c r="HUR23" s="3507"/>
      <c r="HUS23" s="3507"/>
      <c r="HUT23" s="3507"/>
      <c r="HUU23" s="3507"/>
      <c r="HUV23" s="3507"/>
      <c r="HUW23" s="3507"/>
      <c r="HUX23" s="3507"/>
      <c r="HUY23" s="3507"/>
      <c r="HUZ23" s="3507"/>
      <c r="HVA23" s="3507"/>
      <c r="HVB23" s="3507"/>
      <c r="HVC23" s="3507"/>
      <c r="HVD23" s="3507"/>
      <c r="HVE23" s="3507"/>
      <c r="HVF23" s="3507"/>
      <c r="HVG23" s="3507"/>
      <c r="HVH23" s="3507"/>
      <c r="HVI23" s="3507"/>
      <c r="HVJ23" s="3507"/>
      <c r="HVK23" s="3507"/>
      <c r="HVL23" s="3507"/>
      <c r="HVM23" s="3507"/>
      <c r="HVN23" s="3507"/>
      <c r="HVO23" s="3507"/>
      <c r="HVP23" s="3507"/>
      <c r="HVQ23" s="3507"/>
      <c r="HVR23" s="3507"/>
      <c r="HVS23" s="3507"/>
      <c r="HVT23" s="3507"/>
      <c r="HVU23" s="3507"/>
      <c r="HVV23" s="3507"/>
      <c r="HVW23" s="3507"/>
      <c r="HVX23" s="3507"/>
      <c r="HVY23" s="3507"/>
      <c r="HVZ23" s="3507"/>
      <c r="HWA23" s="3507"/>
      <c r="HWB23" s="3507"/>
      <c r="HWC23" s="3507"/>
      <c r="HWD23" s="3507"/>
      <c r="HWE23" s="3507"/>
      <c r="HWF23" s="3507"/>
      <c r="HWG23" s="3507"/>
      <c r="HWH23" s="3507"/>
      <c r="HWI23" s="3507"/>
      <c r="HWJ23" s="3507"/>
      <c r="HWK23" s="3507"/>
      <c r="HWL23" s="3507"/>
      <c r="HWM23" s="3507"/>
      <c r="HWN23" s="3507"/>
      <c r="HWO23" s="3507"/>
      <c r="HWP23" s="3507"/>
      <c r="HWQ23" s="3507"/>
      <c r="HWR23" s="3507"/>
      <c r="HWS23" s="3507"/>
      <c r="HWT23" s="3507"/>
      <c r="HWU23" s="3507"/>
      <c r="HWV23" s="3507"/>
      <c r="HWW23" s="3507"/>
      <c r="HWX23" s="3507"/>
      <c r="HWY23" s="3507"/>
      <c r="HWZ23" s="3507"/>
      <c r="HXA23" s="3507"/>
      <c r="HXB23" s="3507"/>
      <c r="HXC23" s="3507"/>
      <c r="HXD23" s="3507"/>
      <c r="HXE23" s="3507"/>
      <c r="HXF23" s="3507"/>
      <c r="HXG23" s="3507"/>
      <c r="HXH23" s="3507"/>
      <c r="HXI23" s="3507"/>
      <c r="HXJ23" s="3507"/>
      <c r="HXK23" s="3507"/>
      <c r="HXL23" s="3507"/>
      <c r="HXM23" s="3507"/>
      <c r="HXN23" s="3507"/>
      <c r="HXO23" s="3507"/>
      <c r="HXP23" s="3507"/>
      <c r="HXQ23" s="3507"/>
      <c r="HXR23" s="3507"/>
      <c r="HXS23" s="3507"/>
      <c r="HXT23" s="3507"/>
      <c r="HXU23" s="3507"/>
      <c r="HXV23" s="3507"/>
      <c r="HXW23" s="3507"/>
      <c r="HXX23" s="3507"/>
      <c r="HXY23" s="3507"/>
      <c r="HXZ23" s="3507"/>
      <c r="HYA23" s="3507"/>
      <c r="HYB23" s="3507"/>
      <c r="HYC23" s="3507"/>
      <c r="HYD23" s="3507"/>
      <c r="HYE23" s="3507"/>
      <c r="HYF23" s="3507"/>
      <c r="HYG23" s="3507"/>
      <c r="HYH23" s="3507"/>
      <c r="HYI23" s="3507"/>
      <c r="HYJ23" s="3507"/>
      <c r="HYK23" s="3507"/>
      <c r="HYL23" s="3507"/>
      <c r="HYM23" s="3507"/>
      <c r="HYN23" s="3507"/>
      <c r="HYO23" s="3507"/>
      <c r="HYP23" s="3507"/>
      <c r="HYQ23" s="3507"/>
      <c r="HYR23" s="3507"/>
      <c r="HYS23" s="3507"/>
      <c r="HYT23" s="3507"/>
      <c r="HYU23" s="3507"/>
      <c r="HYV23" s="3507"/>
      <c r="HYW23" s="3507"/>
      <c r="HYX23" s="3507"/>
      <c r="HYY23" s="3507"/>
      <c r="HYZ23" s="3507"/>
      <c r="HZA23" s="3507"/>
      <c r="HZB23" s="3507"/>
      <c r="HZC23" s="3507"/>
      <c r="HZD23" s="3507"/>
      <c r="HZE23" s="3507"/>
      <c r="HZF23" s="3507"/>
      <c r="HZG23" s="3507"/>
      <c r="HZH23" s="3507"/>
      <c r="HZI23" s="3507"/>
      <c r="HZJ23" s="3507"/>
      <c r="HZK23" s="3507"/>
      <c r="HZL23" s="3507"/>
      <c r="HZM23" s="3507"/>
      <c r="HZN23" s="3507"/>
      <c r="HZO23" s="3507"/>
      <c r="HZP23" s="3507"/>
      <c r="HZQ23" s="3507"/>
      <c r="HZR23" s="3507"/>
      <c r="HZS23" s="3507"/>
      <c r="HZT23" s="3507"/>
      <c r="HZU23" s="3507"/>
      <c r="HZV23" s="3507"/>
      <c r="HZW23" s="3507"/>
      <c r="HZX23" s="3507"/>
      <c r="HZY23" s="3507"/>
      <c r="HZZ23" s="3507"/>
      <c r="IAA23" s="3507"/>
      <c r="IAB23" s="3507"/>
      <c r="IAC23" s="3507"/>
      <c r="IAD23" s="3507"/>
      <c r="IAE23" s="3507"/>
      <c r="IAF23" s="3507"/>
      <c r="IAG23" s="3507"/>
      <c r="IAH23" s="3507"/>
      <c r="IAI23" s="3507"/>
      <c r="IAJ23" s="3507"/>
      <c r="IAK23" s="3507"/>
      <c r="IAL23" s="3507"/>
      <c r="IAM23" s="3507"/>
      <c r="IAN23" s="3507"/>
      <c r="IAO23" s="3507"/>
      <c r="IAP23" s="3507"/>
      <c r="IAQ23" s="3507"/>
      <c r="IAR23" s="3507"/>
      <c r="IAS23" s="3507"/>
      <c r="IAT23" s="3507"/>
      <c r="IAU23" s="3507"/>
      <c r="IAV23" s="3507"/>
      <c r="IAW23" s="3507"/>
      <c r="IAX23" s="3507"/>
      <c r="IAY23" s="3507"/>
      <c r="IAZ23" s="3507"/>
      <c r="IBA23" s="3507"/>
      <c r="IBB23" s="3507"/>
      <c r="IBC23" s="3507"/>
      <c r="IBD23" s="3507"/>
      <c r="IBE23" s="3507"/>
      <c r="IBF23" s="3507"/>
      <c r="IBG23" s="3507"/>
      <c r="IBH23" s="3507"/>
      <c r="IBI23" s="3507"/>
      <c r="IBJ23" s="3507"/>
      <c r="IBK23" s="3507"/>
      <c r="IBL23" s="3507"/>
      <c r="IBM23" s="3507"/>
      <c r="IBN23" s="3507"/>
      <c r="IBO23" s="3507"/>
      <c r="IBP23" s="3507"/>
      <c r="IBQ23" s="3507"/>
      <c r="IBR23" s="3507"/>
      <c r="IBS23" s="3507"/>
      <c r="IBT23" s="3507"/>
      <c r="IBU23" s="3507"/>
      <c r="IBV23" s="3507"/>
      <c r="IBW23" s="3507"/>
      <c r="IBX23" s="3507"/>
      <c r="IBY23" s="3507"/>
      <c r="IBZ23" s="3507"/>
      <c r="ICA23" s="3507"/>
      <c r="ICB23" s="3507"/>
      <c r="ICC23" s="3507"/>
      <c r="ICD23" s="3507"/>
      <c r="ICE23" s="3507"/>
      <c r="ICF23" s="3507"/>
      <c r="ICG23" s="3507"/>
      <c r="ICH23" s="3507"/>
      <c r="ICI23" s="3507"/>
      <c r="ICJ23" s="3507"/>
      <c r="ICK23" s="3507"/>
      <c r="ICL23" s="3507"/>
      <c r="ICM23" s="3507"/>
      <c r="ICN23" s="3507"/>
      <c r="ICO23" s="3507"/>
      <c r="ICP23" s="3507"/>
      <c r="ICQ23" s="3507"/>
      <c r="ICR23" s="3507"/>
      <c r="ICS23" s="3507"/>
      <c r="ICT23" s="3507"/>
      <c r="ICU23" s="3507"/>
      <c r="ICV23" s="3507"/>
      <c r="ICW23" s="3507"/>
      <c r="ICX23" s="3507"/>
      <c r="ICY23" s="3507"/>
      <c r="ICZ23" s="3507"/>
      <c r="IDA23" s="3507"/>
      <c r="IDB23" s="3507"/>
      <c r="IDC23" s="3507"/>
      <c r="IDD23" s="3507"/>
      <c r="IDE23" s="3507"/>
      <c r="IDF23" s="3507"/>
      <c r="IDG23" s="3507"/>
      <c r="IDH23" s="3507"/>
      <c r="IDI23" s="3507"/>
      <c r="IDJ23" s="3507"/>
      <c r="IDK23" s="3507"/>
      <c r="IDL23" s="3507"/>
      <c r="IDM23" s="3507"/>
      <c r="IDN23" s="3507"/>
      <c r="IDO23" s="3507"/>
      <c r="IDP23" s="3507"/>
      <c r="IDQ23" s="3507"/>
      <c r="IDR23" s="3507"/>
      <c r="IDS23" s="3507"/>
      <c r="IDT23" s="3507"/>
      <c r="IDU23" s="3507"/>
      <c r="IDV23" s="3507"/>
      <c r="IDW23" s="3507"/>
      <c r="IDX23" s="3507"/>
      <c r="IDY23" s="3507"/>
      <c r="IDZ23" s="3507"/>
      <c r="IEA23" s="3507"/>
      <c r="IEB23" s="3507"/>
      <c r="IEC23" s="3507"/>
      <c r="IED23" s="3507"/>
      <c r="IEE23" s="3507"/>
      <c r="IEF23" s="3507"/>
      <c r="IEG23" s="3507"/>
      <c r="IEH23" s="3507"/>
      <c r="IEI23" s="3507"/>
      <c r="IEJ23" s="3507"/>
      <c r="IEK23" s="3507"/>
      <c r="IEL23" s="3507"/>
      <c r="IEM23" s="3507"/>
      <c r="IEN23" s="3507"/>
      <c r="IEO23" s="3507"/>
      <c r="IEP23" s="3507"/>
      <c r="IEQ23" s="3507"/>
      <c r="IER23" s="3507"/>
      <c r="IES23" s="3507"/>
      <c r="IET23" s="3507"/>
      <c r="IEU23" s="3507"/>
      <c r="IEV23" s="3507"/>
      <c r="IEW23" s="3507"/>
      <c r="IEX23" s="3507"/>
      <c r="IEY23" s="3507"/>
      <c r="IEZ23" s="3507"/>
      <c r="IFA23" s="3507"/>
      <c r="IFB23" s="3507"/>
      <c r="IFC23" s="3507"/>
      <c r="IFD23" s="3507"/>
      <c r="IFE23" s="3507"/>
      <c r="IFF23" s="3507"/>
      <c r="IFG23" s="3507"/>
      <c r="IFH23" s="3507"/>
      <c r="IFI23" s="3507"/>
      <c r="IFJ23" s="3507"/>
      <c r="IFK23" s="3507"/>
      <c r="IFL23" s="3507"/>
      <c r="IFM23" s="3507"/>
      <c r="IFN23" s="3507"/>
      <c r="IFO23" s="3507"/>
      <c r="IFP23" s="3507"/>
      <c r="IFQ23" s="3507"/>
      <c r="IFR23" s="3507"/>
      <c r="IFS23" s="3507"/>
      <c r="IFT23" s="3507"/>
      <c r="IFU23" s="3507"/>
      <c r="IFV23" s="3507"/>
      <c r="IFW23" s="3507"/>
      <c r="IFX23" s="3507"/>
      <c r="IFY23" s="3507"/>
      <c r="IFZ23" s="3507"/>
      <c r="IGA23" s="3507"/>
      <c r="IGB23" s="3507"/>
      <c r="IGC23" s="3507"/>
      <c r="IGD23" s="3507"/>
      <c r="IGE23" s="3507"/>
      <c r="IGF23" s="3507"/>
      <c r="IGG23" s="3507"/>
      <c r="IGH23" s="3507"/>
      <c r="IGI23" s="3507"/>
      <c r="IGJ23" s="3507"/>
      <c r="IGK23" s="3507"/>
      <c r="IGL23" s="3507"/>
      <c r="IGM23" s="3507"/>
      <c r="IGN23" s="3507"/>
      <c r="IGO23" s="3507"/>
      <c r="IGP23" s="3507"/>
      <c r="IGQ23" s="3507"/>
      <c r="IGR23" s="3507"/>
      <c r="IGS23" s="3507"/>
      <c r="IGT23" s="3507"/>
      <c r="IGU23" s="3507"/>
      <c r="IGV23" s="3507"/>
      <c r="IGW23" s="3507"/>
      <c r="IGX23" s="3507"/>
      <c r="IGY23" s="3507"/>
      <c r="IGZ23" s="3507"/>
      <c r="IHA23" s="3507"/>
      <c r="IHB23" s="3507"/>
      <c r="IHC23" s="3507"/>
      <c r="IHD23" s="3507"/>
      <c r="IHE23" s="3507"/>
      <c r="IHF23" s="3507"/>
      <c r="IHG23" s="3507"/>
      <c r="IHH23" s="3507"/>
      <c r="IHI23" s="3507"/>
      <c r="IHJ23" s="3507"/>
      <c r="IHK23" s="3507"/>
      <c r="IHL23" s="3507"/>
      <c r="IHM23" s="3507"/>
      <c r="IHN23" s="3507"/>
      <c r="IHO23" s="3507"/>
      <c r="IHP23" s="3507"/>
      <c r="IHQ23" s="3507"/>
      <c r="IHR23" s="3507"/>
      <c r="IHS23" s="3507"/>
      <c r="IHT23" s="3507"/>
      <c r="IHU23" s="3507"/>
      <c r="IHV23" s="3507"/>
      <c r="IHW23" s="3507"/>
      <c r="IHX23" s="3507"/>
      <c r="IHY23" s="3507"/>
      <c r="IHZ23" s="3507"/>
      <c r="IIA23" s="3507"/>
      <c r="IIB23" s="3507"/>
      <c r="IIC23" s="3507"/>
      <c r="IID23" s="3507"/>
      <c r="IIE23" s="3507"/>
      <c r="IIF23" s="3507"/>
      <c r="IIG23" s="3507"/>
      <c r="IIH23" s="3507"/>
      <c r="III23" s="3507"/>
      <c r="IIJ23" s="3507"/>
      <c r="IIK23" s="3507"/>
      <c r="IIL23" s="3507"/>
      <c r="IIM23" s="3507"/>
      <c r="IIN23" s="3507"/>
      <c r="IIO23" s="3507"/>
      <c r="IIP23" s="3507"/>
      <c r="IIQ23" s="3507"/>
      <c r="IIR23" s="3507"/>
      <c r="IIS23" s="3507"/>
      <c r="IIT23" s="3507"/>
      <c r="IIU23" s="3507"/>
      <c r="IIV23" s="3507"/>
      <c r="IIW23" s="3507"/>
      <c r="IIX23" s="3507"/>
      <c r="IIY23" s="3507"/>
      <c r="IIZ23" s="3507"/>
      <c r="IJA23" s="3507"/>
      <c r="IJB23" s="3507"/>
      <c r="IJC23" s="3507"/>
      <c r="IJD23" s="3507"/>
      <c r="IJE23" s="3507"/>
      <c r="IJF23" s="3507"/>
      <c r="IJG23" s="3507"/>
      <c r="IJH23" s="3507"/>
      <c r="IJI23" s="3507"/>
      <c r="IJJ23" s="3507"/>
      <c r="IJK23" s="3507"/>
      <c r="IJL23" s="3507"/>
      <c r="IJM23" s="3507"/>
      <c r="IJN23" s="3507"/>
      <c r="IJO23" s="3507"/>
      <c r="IJP23" s="3507"/>
      <c r="IJQ23" s="3507"/>
      <c r="IJR23" s="3507"/>
      <c r="IJS23" s="3507"/>
      <c r="IJT23" s="3507"/>
      <c r="IJU23" s="3507"/>
      <c r="IJV23" s="3507"/>
      <c r="IJW23" s="3507"/>
      <c r="IJX23" s="3507"/>
      <c r="IJY23" s="3507"/>
      <c r="IJZ23" s="3507"/>
      <c r="IKA23" s="3507"/>
      <c r="IKB23" s="3507"/>
      <c r="IKC23" s="3507"/>
      <c r="IKD23" s="3507"/>
      <c r="IKE23" s="3507"/>
      <c r="IKF23" s="3507"/>
      <c r="IKG23" s="3507"/>
      <c r="IKH23" s="3507"/>
      <c r="IKI23" s="3507"/>
      <c r="IKJ23" s="3507"/>
      <c r="IKK23" s="3507"/>
      <c r="IKL23" s="3507"/>
      <c r="IKM23" s="3507"/>
      <c r="IKN23" s="3507"/>
      <c r="IKO23" s="3507"/>
      <c r="IKP23" s="3507"/>
      <c r="IKQ23" s="3507"/>
      <c r="IKR23" s="3507"/>
      <c r="IKS23" s="3507"/>
      <c r="IKT23" s="3507"/>
      <c r="IKU23" s="3507"/>
      <c r="IKV23" s="3507"/>
      <c r="IKW23" s="3507"/>
      <c r="IKX23" s="3507"/>
      <c r="IKY23" s="3507"/>
      <c r="IKZ23" s="3507"/>
      <c r="ILA23" s="3507"/>
      <c r="ILB23" s="3507"/>
      <c r="ILC23" s="3507"/>
      <c r="ILD23" s="3507"/>
      <c r="ILE23" s="3507"/>
      <c r="ILF23" s="3507"/>
      <c r="ILG23" s="3507"/>
      <c r="ILH23" s="3507"/>
      <c r="ILI23" s="3507"/>
      <c r="ILJ23" s="3507"/>
      <c r="ILK23" s="3507"/>
      <c r="ILL23" s="3507"/>
      <c r="ILM23" s="3507"/>
      <c r="ILN23" s="3507"/>
      <c r="ILO23" s="3507"/>
      <c r="ILP23" s="3507"/>
      <c r="ILQ23" s="3507"/>
      <c r="ILR23" s="3507"/>
      <c r="ILS23" s="3507"/>
      <c r="ILT23" s="3507"/>
      <c r="ILU23" s="3507"/>
      <c r="ILV23" s="3507"/>
      <c r="ILW23" s="3507"/>
      <c r="ILX23" s="3507"/>
      <c r="ILY23" s="3507"/>
      <c r="ILZ23" s="3507"/>
      <c r="IMA23" s="3507"/>
      <c r="IMB23" s="3507"/>
      <c r="IMC23" s="3507"/>
      <c r="IMD23" s="3507"/>
      <c r="IME23" s="3507"/>
      <c r="IMF23" s="3507"/>
      <c r="IMG23" s="3507"/>
      <c r="IMH23" s="3507"/>
      <c r="IMI23" s="3507"/>
      <c r="IMJ23" s="3507"/>
      <c r="IMK23" s="3507"/>
      <c r="IML23" s="3507"/>
      <c r="IMM23" s="3507"/>
      <c r="IMN23" s="3507"/>
      <c r="IMO23" s="3507"/>
      <c r="IMP23" s="3507"/>
      <c r="IMQ23" s="3507"/>
      <c r="IMR23" s="3507"/>
      <c r="IMS23" s="3507"/>
      <c r="IMT23" s="3507"/>
      <c r="IMU23" s="3507"/>
      <c r="IMV23" s="3507"/>
      <c r="IMW23" s="3507"/>
      <c r="IMX23" s="3507"/>
      <c r="IMY23" s="3507"/>
      <c r="IMZ23" s="3507"/>
      <c r="INA23" s="3507"/>
      <c r="INB23" s="3507"/>
      <c r="INC23" s="3507"/>
      <c r="IND23" s="3507"/>
      <c r="INE23" s="3507"/>
      <c r="INF23" s="3507"/>
      <c r="ING23" s="3507"/>
      <c r="INH23" s="3507"/>
      <c r="INI23" s="3507"/>
      <c r="INJ23" s="3507"/>
      <c r="INK23" s="3507"/>
      <c r="INL23" s="3507"/>
      <c r="INM23" s="3507"/>
      <c r="INN23" s="3507"/>
      <c r="INO23" s="3507"/>
      <c r="INP23" s="3507"/>
      <c r="INQ23" s="3507"/>
      <c r="INR23" s="3507"/>
      <c r="INS23" s="3507"/>
      <c r="INT23" s="3507"/>
      <c r="INU23" s="3507"/>
      <c r="INV23" s="3507"/>
      <c r="INW23" s="3507"/>
      <c r="INX23" s="3507"/>
      <c r="INY23" s="3507"/>
      <c r="INZ23" s="3507"/>
      <c r="IOA23" s="3507"/>
      <c r="IOB23" s="3507"/>
      <c r="IOC23" s="3507"/>
      <c r="IOD23" s="3507"/>
      <c r="IOE23" s="3507"/>
      <c r="IOF23" s="3507"/>
      <c r="IOG23" s="3507"/>
      <c r="IOH23" s="3507"/>
      <c r="IOI23" s="3507"/>
      <c r="IOJ23" s="3507"/>
      <c r="IOK23" s="3507"/>
      <c r="IOL23" s="3507"/>
      <c r="IOM23" s="3507"/>
      <c r="ION23" s="3507"/>
      <c r="IOO23" s="3507"/>
      <c r="IOP23" s="3507"/>
      <c r="IOQ23" s="3507"/>
      <c r="IOR23" s="3507"/>
      <c r="IOS23" s="3507"/>
      <c r="IOT23" s="3507"/>
      <c r="IOU23" s="3507"/>
      <c r="IOV23" s="3507"/>
      <c r="IOW23" s="3507"/>
      <c r="IOX23" s="3507"/>
      <c r="IOY23" s="3507"/>
      <c r="IOZ23" s="3507"/>
      <c r="IPA23" s="3507"/>
      <c r="IPB23" s="3507"/>
      <c r="IPC23" s="3507"/>
      <c r="IPD23" s="3507"/>
      <c r="IPE23" s="3507"/>
      <c r="IPF23" s="3507"/>
      <c r="IPG23" s="3507"/>
      <c r="IPH23" s="3507"/>
      <c r="IPI23" s="3507"/>
      <c r="IPJ23" s="3507"/>
      <c r="IPK23" s="3507"/>
      <c r="IPL23" s="3507"/>
      <c r="IPM23" s="3507"/>
      <c r="IPN23" s="3507"/>
      <c r="IPO23" s="3507"/>
      <c r="IPP23" s="3507"/>
      <c r="IPQ23" s="3507"/>
      <c r="IPR23" s="3507"/>
      <c r="IPS23" s="3507"/>
      <c r="IPT23" s="3507"/>
      <c r="IPU23" s="3507"/>
      <c r="IPV23" s="3507"/>
      <c r="IPW23" s="3507"/>
      <c r="IPX23" s="3507"/>
      <c r="IPY23" s="3507"/>
      <c r="IPZ23" s="3507"/>
      <c r="IQA23" s="3507"/>
      <c r="IQB23" s="3507"/>
      <c r="IQC23" s="3507"/>
      <c r="IQD23" s="3507"/>
      <c r="IQE23" s="3507"/>
      <c r="IQF23" s="3507"/>
      <c r="IQG23" s="3507"/>
      <c r="IQH23" s="3507"/>
      <c r="IQI23" s="3507"/>
      <c r="IQJ23" s="3507"/>
      <c r="IQK23" s="3507"/>
      <c r="IQL23" s="3507"/>
      <c r="IQM23" s="3507"/>
      <c r="IQN23" s="3507"/>
      <c r="IQO23" s="3507"/>
      <c r="IQP23" s="3507"/>
      <c r="IQQ23" s="3507"/>
      <c r="IQR23" s="3507"/>
      <c r="IQS23" s="3507"/>
      <c r="IQT23" s="3507"/>
      <c r="IQU23" s="3507"/>
      <c r="IQV23" s="3507"/>
      <c r="IQW23" s="3507"/>
      <c r="IQX23" s="3507"/>
      <c r="IQY23" s="3507"/>
      <c r="IQZ23" s="3507"/>
      <c r="IRA23" s="3507"/>
      <c r="IRB23" s="3507"/>
      <c r="IRC23" s="3507"/>
      <c r="IRD23" s="3507"/>
      <c r="IRE23" s="3507"/>
      <c r="IRF23" s="3507"/>
      <c r="IRG23" s="3507"/>
      <c r="IRH23" s="3507"/>
      <c r="IRI23" s="3507"/>
      <c r="IRJ23" s="3507"/>
      <c r="IRK23" s="3507"/>
      <c r="IRL23" s="3507"/>
      <c r="IRM23" s="3507"/>
      <c r="IRN23" s="3507"/>
      <c r="IRO23" s="3507"/>
      <c r="IRP23" s="3507"/>
      <c r="IRQ23" s="3507"/>
      <c r="IRR23" s="3507"/>
      <c r="IRS23" s="3507"/>
      <c r="IRT23" s="3507"/>
      <c r="IRU23" s="3507"/>
      <c r="IRV23" s="3507"/>
      <c r="IRW23" s="3507"/>
      <c r="IRX23" s="3507"/>
      <c r="IRY23" s="3507"/>
      <c r="IRZ23" s="3507"/>
      <c r="ISA23" s="3507"/>
      <c r="ISB23" s="3507"/>
      <c r="ISC23" s="3507"/>
      <c r="ISD23" s="3507"/>
      <c r="ISE23" s="3507"/>
      <c r="ISF23" s="3507"/>
      <c r="ISG23" s="3507"/>
      <c r="ISH23" s="3507"/>
      <c r="ISI23" s="3507"/>
      <c r="ISJ23" s="3507"/>
      <c r="ISK23" s="3507"/>
      <c r="ISL23" s="3507"/>
      <c r="ISM23" s="3507"/>
      <c r="ISN23" s="3507"/>
      <c r="ISO23" s="3507"/>
      <c r="ISP23" s="3507"/>
      <c r="ISQ23" s="3507"/>
      <c r="ISR23" s="3507"/>
      <c r="ISS23" s="3507"/>
      <c r="IST23" s="3507"/>
      <c r="ISU23" s="3507"/>
      <c r="ISV23" s="3507"/>
      <c r="ISW23" s="3507"/>
      <c r="ISX23" s="3507"/>
      <c r="ISY23" s="3507"/>
      <c r="ISZ23" s="3507"/>
      <c r="ITA23" s="3507"/>
      <c r="ITB23" s="3507"/>
      <c r="ITC23" s="3507"/>
      <c r="ITD23" s="3507"/>
      <c r="ITE23" s="3507"/>
      <c r="ITF23" s="3507"/>
      <c r="ITG23" s="3507"/>
      <c r="ITH23" s="3507"/>
      <c r="ITI23" s="3507"/>
      <c r="ITJ23" s="3507"/>
      <c r="ITK23" s="3507"/>
      <c r="ITL23" s="3507"/>
      <c r="ITM23" s="3507"/>
      <c r="ITN23" s="3507"/>
      <c r="ITO23" s="3507"/>
      <c r="ITP23" s="3507"/>
      <c r="ITQ23" s="3507"/>
      <c r="ITR23" s="3507"/>
      <c r="ITS23" s="3507"/>
      <c r="ITT23" s="3507"/>
      <c r="ITU23" s="3507"/>
      <c r="ITV23" s="3507"/>
      <c r="ITW23" s="3507"/>
      <c r="ITX23" s="3507"/>
      <c r="ITY23" s="3507"/>
      <c r="ITZ23" s="3507"/>
      <c r="IUA23" s="3507"/>
      <c r="IUB23" s="3507"/>
      <c r="IUC23" s="3507"/>
      <c r="IUD23" s="3507"/>
      <c r="IUE23" s="3507"/>
      <c r="IUF23" s="3507"/>
      <c r="IUG23" s="3507"/>
      <c r="IUH23" s="3507"/>
      <c r="IUI23" s="3507"/>
      <c r="IUJ23" s="3507"/>
      <c r="IUK23" s="3507"/>
      <c r="IUL23" s="3507"/>
      <c r="IUM23" s="3507"/>
      <c r="IUN23" s="3507"/>
      <c r="IUO23" s="3507"/>
      <c r="IUP23" s="3507"/>
      <c r="IUQ23" s="3507"/>
      <c r="IUR23" s="3507"/>
      <c r="IUS23" s="3507"/>
      <c r="IUT23" s="3507"/>
      <c r="IUU23" s="3507"/>
      <c r="IUV23" s="3507"/>
      <c r="IUW23" s="3507"/>
      <c r="IUX23" s="3507"/>
      <c r="IUY23" s="3507"/>
      <c r="IUZ23" s="3507"/>
      <c r="IVA23" s="3507"/>
      <c r="IVB23" s="3507"/>
      <c r="IVC23" s="3507"/>
      <c r="IVD23" s="3507"/>
      <c r="IVE23" s="3507"/>
      <c r="IVF23" s="3507"/>
      <c r="IVG23" s="3507"/>
      <c r="IVH23" s="3507"/>
      <c r="IVI23" s="3507"/>
      <c r="IVJ23" s="3507"/>
      <c r="IVK23" s="3507"/>
      <c r="IVL23" s="3507"/>
      <c r="IVM23" s="3507"/>
      <c r="IVN23" s="3507"/>
      <c r="IVO23" s="3507"/>
      <c r="IVP23" s="3507"/>
      <c r="IVQ23" s="3507"/>
      <c r="IVR23" s="3507"/>
      <c r="IVS23" s="3507"/>
      <c r="IVT23" s="3507"/>
      <c r="IVU23" s="3507"/>
      <c r="IVV23" s="3507"/>
      <c r="IVW23" s="3507"/>
      <c r="IVX23" s="3507"/>
      <c r="IVY23" s="3507"/>
      <c r="IVZ23" s="3507"/>
      <c r="IWA23" s="3507"/>
      <c r="IWB23" s="3507"/>
      <c r="IWC23" s="3507"/>
      <c r="IWD23" s="3507"/>
      <c r="IWE23" s="3507"/>
      <c r="IWF23" s="3507"/>
      <c r="IWG23" s="3507"/>
      <c r="IWH23" s="3507"/>
      <c r="IWI23" s="3507"/>
      <c r="IWJ23" s="3507"/>
      <c r="IWK23" s="3507"/>
      <c r="IWL23" s="3507"/>
      <c r="IWM23" s="3507"/>
      <c r="IWN23" s="3507"/>
      <c r="IWO23" s="3507"/>
      <c r="IWP23" s="3507"/>
      <c r="IWQ23" s="3507"/>
      <c r="IWR23" s="3507"/>
      <c r="IWS23" s="3507"/>
      <c r="IWT23" s="3507"/>
      <c r="IWU23" s="3507"/>
      <c r="IWV23" s="3507"/>
      <c r="IWW23" s="3507"/>
      <c r="IWX23" s="3507"/>
      <c r="IWY23" s="3507"/>
      <c r="IWZ23" s="3507"/>
      <c r="IXA23" s="3507"/>
      <c r="IXB23" s="3507"/>
      <c r="IXC23" s="3507"/>
      <c r="IXD23" s="3507"/>
      <c r="IXE23" s="3507"/>
      <c r="IXF23" s="3507"/>
      <c r="IXG23" s="3507"/>
      <c r="IXH23" s="3507"/>
      <c r="IXI23" s="3507"/>
      <c r="IXJ23" s="3507"/>
      <c r="IXK23" s="3507"/>
      <c r="IXL23" s="3507"/>
      <c r="IXM23" s="3507"/>
      <c r="IXN23" s="3507"/>
      <c r="IXO23" s="3507"/>
      <c r="IXP23" s="3507"/>
      <c r="IXQ23" s="3507"/>
      <c r="IXR23" s="3507"/>
      <c r="IXS23" s="3507"/>
      <c r="IXT23" s="3507"/>
      <c r="IXU23" s="3507"/>
      <c r="IXV23" s="3507"/>
      <c r="IXW23" s="3507"/>
      <c r="IXX23" s="3507"/>
      <c r="IXY23" s="3507"/>
      <c r="IXZ23" s="3507"/>
      <c r="IYA23" s="3507"/>
      <c r="IYB23" s="3507"/>
      <c r="IYC23" s="3507"/>
      <c r="IYD23" s="3507"/>
      <c r="IYE23" s="3507"/>
      <c r="IYF23" s="3507"/>
      <c r="IYG23" s="3507"/>
      <c r="IYH23" s="3507"/>
      <c r="IYI23" s="3507"/>
      <c r="IYJ23" s="3507"/>
      <c r="IYK23" s="3507"/>
      <c r="IYL23" s="3507"/>
      <c r="IYM23" s="3507"/>
      <c r="IYN23" s="3507"/>
      <c r="IYO23" s="3507"/>
      <c r="IYP23" s="3507"/>
      <c r="IYQ23" s="3507"/>
      <c r="IYR23" s="3507"/>
      <c r="IYS23" s="3507"/>
      <c r="IYT23" s="3507"/>
      <c r="IYU23" s="3507"/>
      <c r="IYV23" s="3507"/>
      <c r="IYW23" s="3507"/>
      <c r="IYX23" s="3507"/>
      <c r="IYY23" s="3507"/>
      <c r="IYZ23" s="3507"/>
      <c r="IZA23" s="3507"/>
      <c r="IZB23" s="3507"/>
      <c r="IZC23" s="3507"/>
      <c r="IZD23" s="3507"/>
      <c r="IZE23" s="3507"/>
      <c r="IZF23" s="3507"/>
      <c r="IZG23" s="3507"/>
      <c r="IZH23" s="3507"/>
      <c r="IZI23" s="3507"/>
      <c r="IZJ23" s="3507"/>
      <c r="IZK23" s="3507"/>
      <c r="IZL23" s="3507"/>
      <c r="IZM23" s="3507"/>
      <c r="IZN23" s="3507"/>
      <c r="IZO23" s="3507"/>
      <c r="IZP23" s="3507"/>
      <c r="IZQ23" s="3507"/>
      <c r="IZR23" s="3507"/>
      <c r="IZS23" s="3507"/>
      <c r="IZT23" s="3507"/>
      <c r="IZU23" s="3507"/>
      <c r="IZV23" s="3507"/>
      <c r="IZW23" s="3507"/>
      <c r="IZX23" s="3507"/>
      <c r="IZY23" s="3507"/>
      <c r="IZZ23" s="3507"/>
      <c r="JAA23" s="3507"/>
      <c r="JAB23" s="3507"/>
      <c r="JAC23" s="3507"/>
      <c r="JAD23" s="3507"/>
      <c r="JAE23" s="3507"/>
      <c r="JAF23" s="3507"/>
      <c r="JAG23" s="3507"/>
      <c r="JAH23" s="3507"/>
      <c r="JAI23" s="3507"/>
      <c r="JAJ23" s="3507"/>
      <c r="JAK23" s="3507"/>
      <c r="JAL23" s="3507"/>
      <c r="JAM23" s="3507"/>
      <c r="JAN23" s="3507"/>
      <c r="JAO23" s="3507"/>
      <c r="JAP23" s="3507"/>
      <c r="JAQ23" s="3507"/>
      <c r="JAR23" s="3507"/>
      <c r="JAS23" s="3507"/>
      <c r="JAT23" s="3507"/>
      <c r="JAU23" s="3507"/>
      <c r="JAV23" s="3507"/>
      <c r="JAW23" s="3507"/>
      <c r="JAX23" s="3507"/>
      <c r="JAY23" s="3507"/>
      <c r="JAZ23" s="3507"/>
      <c r="JBA23" s="3507"/>
      <c r="JBB23" s="3507"/>
      <c r="JBC23" s="3507"/>
      <c r="JBD23" s="3507"/>
      <c r="JBE23" s="3507"/>
      <c r="JBF23" s="3507"/>
      <c r="JBG23" s="3507"/>
      <c r="JBH23" s="3507"/>
      <c r="JBI23" s="3507"/>
      <c r="JBJ23" s="3507"/>
      <c r="JBK23" s="3507"/>
      <c r="JBL23" s="3507"/>
      <c r="JBM23" s="3507"/>
      <c r="JBN23" s="3507"/>
      <c r="JBO23" s="3507"/>
      <c r="JBP23" s="3507"/>
      <c r="JBQ23" s="3507"/>
      <c r="JBR23" s="3507"/>
      <c r="JBS23" s="3507"/>
      <c r="JBT23" s="3507"/>
      <c r="JBU23" s="3507"/>
      <c r="JBV23" s="3507"/>
      <c r="JBW23" s="3507"/>
      <c r="JBX23" s="3507"/>
      <c r="JBY23" s="3507"/>
      <c r="JBZ23" s="3507"/>
      <c r="JCA23" s="3507"/>
      <c r="JCB23" s="3507"/>
      <c r="JCC23" s="3507"/>
      <c r="JCD23" s="3507"/>
      <c r="JCE23" s="3507"/>
      <c r="JCF23" s="3507"/>
      <c r="JCG23" s="3507"/>
      <c r="JCH23" s="3507"/>
      <c r="JCI23" s="3507"/>
      <c r="JCJ23" s="3507"/>
      <c r="JCK23" s="3507"/>
      <c r="JCL23" s="3507"/>
      <c r="JCM23" s="3507"/>
      <c r="JCN23" s="3507"/>
      <c r="JCO23" s="3507"/>
      <c r="JCP23" s="3507"/>
      <c r="JCQ23" s="3507"/>
      <c r="JCR23" s="3507"/>
      <c r="JCS23" s="3507"/>
      <c r="JCT23" s="3507"/>
      <c r="JCU23" s="3507"/>
      <c r="JCV23" s="3507"/>
      <c r="JCW23" s="3507"/>
      <c r="JCX23" s="3507"/>
      <c r="JCY23" s="3507"/>
      <c r="JCZ23" s="3507"/>
      <c r="JDA23" s="3507"/>
      <c r="JDB23" s="3507"/>
      <c r="JDC23" s="3507"/>
      <c r="JDD23" s="3507"/>
      <c r="JDE23" s="3507"/>
      <c r="JDF23" s="3507"/>
      <c r="JDG23" s="3507"/>
      <c r="JDH23" s="3507"/>
      <c r="JDI23" s="3507"/>
      <c r="JDJ23" s="3507"/>
      <c r="JDK23" s="3507"/>
      <c r="JDL23" s="3507"/>
      <c r="JDM23" s="3507"/>
      <c r="JDN23" s="3507"/>
      <c r="JDO23" s="3507"/>
      <c r="JDP23" s="3507"/>
      <c r="JDQ23" s="3507"/>
      <c r="JDR23" s="3507"/>
      <c r="JDS23" s="3507"/>
      <c r="JDT23" s="3507"/>
      <c r="JDU23" s="3507"/>
      <c r="JDV23" s="3507"/>
      <c r="JDW23" s="3507"/>
      <c r="JDX23" s="3507"/>
      <c r="JDY23" s="3507"/>
      <c r="JDZ23" s="3507"/>
      <c r="JEA23" s="3507"/>
      <c r="JEB23" s="3507"/>
      <c r="JEC23" s="3507"/>
      <c r="JED23" s="3507"/>
      <c r="JEE23" s="3507"/>
      <c r="JEF23" s="3507"/>
      <c r="JEG23" s="3507"/>
      <c r="JEH23" s="3507"/>
      <c r="JEI23" s="3507"/>
      <c r="JEJ23" s="3507"/>
      <c r="JEK23" s="3507"/>
      <c r="JEL23" s="3507"/>
      <c r="JEM23" s="3507"/>
      <c r="JEN23" s="3507"/>
      <c r="JEO23" s="3507"/>
      <c r="JEP23" s="3507"/>
      <c r="JEQ23" s="3507"/>
      <c r="JER23" s="3507"/>
      <c r="JES23" s="3507"/>
      <c r="JET23" s="3507"/>
      <c r="JEU23" s="3507"/>
      <c r="JEV23" s="3507"/>
      <c r="JEW23" s="3507"/>
      <c r="JEX23" s="3507"/>
      <c r="JEY23" s="3507"/>
      <c r="JEZ23" s="3507"/>
      <c r="JFA23" s="3507"/>
      <c r="JFB23" s="3507"/>
      <c r="JFC23" s="3507"/>
      <c r="JFD23" s="3507"/>
      <c r="JFE23" s="3507"/>
      <c r="JFF23" s="3507"/>
      <c r="JFG23" s="3507"/>
      <c r="JFH23" s="3507"/>
      <c r="JFI23" s="3507"/>
      <c r="JFJ23" s="3507"/>
      <c r="JFK23" s="3507"/>
      <c r="JFL23" s="3507"/>
      <c r="JFM23" s="3507"/>
      <c r="JFN23" s="3507"/>
      <c r="JFO23" s="3507"/>
      <c r="JFP23" s="3507"/>
      <c r="JFQ23" s="3507"/>
      <c r="JFR23" s="3507"/>
      <c r="JFS23" s="3507"/>
      <c r="JFT23" s="3507"/>
      <c r="JFU23" s="3507"/>
      <c r="JFV23" s="3507"/>
      <c r="JFW23" s="3507"/>
      <c r="JFX23" s="3507"/>
      <c r="JFY23" s="3507"/>
      <c r="JFZ23" s="3507"/>
      <c r="JGA23" s="3507"/>
      <c r="JGB23" s="3507"/>
      <c r="JGC23" s="3507"/>
      <c r="JGD23" s="3507"/>
      <c r="JGE23" s="3507"/>
      <c r="JGF23" s="3507"/>
      <c r="JGG23" s="3507"/>
      <c r="JGH23" s="3507"/>
      <c r="JGI23" s="3507"/>
      <c r="JGJ23" s="3507"/>
      <c r="JGK23" s="3507"/>
      <c r="JGL23" s="3507"/>
      <c r="JGM23" s="3507"/>
      <c r="JGN23" s="3507"/>
      <c r="JGO23" s="3507"/>
      <c r="JGP23" s="3507"/>
      <c r="JGQ23" s="3507"/>
      <c r="JGR23" s="3507"/>
      <c r="JGS23" s="3507"/>
      <c r="JGT23" s="3507"/>
      <c r="JGU23" s="3507"/>
      <c r="JGV23" s="3507"/>
      <c r="JGW23" s="3507"/>
      <c r="JGX23" s="3507"/>
      <c r="JGY23" s="3507"/>
      <c r="JGZ23" s="3507"/>
      <c r="JHA23" s="3507"/>
      <c r="JHB23" s="3507"/>
      <c r="JHC23" s="3507"/>
      <c r="JHD23" s="3507"/>
      <c r="JHE23" s="3507"/>
      <c r="JHF23" s="3507"/>
      <c r="JHG23" s="3507"/>
      <c r="JHH23" s="3507"/>
      <c r="JHI23" s="3507"/>
      <c r="JHJ23" s="3507"/>
      <c r="JHK23" s="3507"/>
      <c r="JHL23" s="3507"/>
      <c r="JHM23" s="3507"/>
      <c r="JHN23" s="3507"/>
      <c r="JHO23" s="3507"/>
      <c r="JHP23" s="3507"/>
      <c r="JHQ23" s="3507"/>
      <c r="JHR23" s="3507"/>
      <c r="JHS23" s="3507"/>
      <c r="JHT23" s="3507"/>
      <c r="JHU23" s="3507"/>
      <c r="JHV23" s="3507"/>
      <c r="JHW23" s="3507"/>
      <c r="JHX23" s="3507"/>
      <c r="JHY23" s="3507"/>
      <c r="JHZ23" s="3507"/>
      <c r="JIA23" s="3507"/>
      <c r="JIB23" s="3507"/>
      <c r="JIC23" s="3507"/>
      <c r="JID23" s="3507"/>
      <c r="JIE23" s="3507"/>
      <c r="JIF23" s="3507"/>
      <c r="JIG23" s="3507"/>
      <c r="JIH23" s="3507"/>
      <c r="JII23" s="3507"/>
      <c r="JIJ23" s="3507"/>
      <c r="JIK23" s="3507"/>
      <c r="JIL23" s="3507"/>
      <c r="JIM23" s="3507"/>
      <c r="JIN23" s="3507"/>
      <c r="JIO23" s="3507"/>
      <c r="JIP23" s="3507"/>
      <c r="JIQ23" s="3507"/>
      <c r="JIR23" s="3507"/>
      <c r="JIS23" s="3507"/>
      <c r="JIT23" s="3507"/>
      <c r="JIU23" s="3507"/>
      <c r="JIV23" s="3507"/>
      <c r="JIW23" s="3507"/>
      <c r="JIX23" s="3507"/>
      <c r="JIY23" s="3507"/>
      <c r="JIZ23" s="3507"/>
      <c r="JJA23" s="3507"/>
      <c r="JJB23" s="3507"/>
      <c r="JJC23" s="3507"/>
      <c r="JJD23" s="3507"/>
      <c r="JJE23" s="3507"/>
      <c r="JJF23" s="3507"/>
      <c r="JJG23" s="3507"/>
      <c r="JJH23" s="3507"/>
      <c r="JJI23" s="3507"/>
      <c r="JJJ23" s="3507"/>
      <c r="JJK23" s="3507"/>
      <c r="JJL23" s="3507"/>
      <c r="JJM23" s="3507"/>
      <c r="JJN23" s="3507"/>
      <c r="JJO23" s="3507"/>
      <c r="JJP23" s="3507"/>
      <c r="JJQ23" s="3507"/>
      <c r="JJR23" s="3507"/>
      <c r="JJS23" s="3507"/>
      <c r="JJT23" s="3507"/>
      <c r="JJU23" s="3507"/>
      <c r="JJV23" s="3507"/>
      <c r="JJW23" s="3507"/>
      <c r="JJX23" s="3507"/>
      <c r="JJY23" s="3507"/>
      <c r="JJZ23" s="3507"/>
      <c r="JKA23" s="3507"/>
      <c r="JKB23" s="3507"/>
      <c r="JKC23" s="3507"/>
      <c r="JKD23" s="3507"/>
      <c r="JKE23" s="3507"/>
      <c r="JKF23" s="3507"/>
      <c r="JKG23" s="3507"/>
      <c r="JKH23" s="3507"/>
      <c r="JKI23" s="3507"/>
      <c r="JKJ23" s="3507"/>
      <c r="JKK23" s="3507"/>
      <c r="JKL23" s="3507"/>
      <c r="JKM23" s="3507"/>
      <c r="JKN23" s="3507"/>
      <c r="JKO23" s="3507"/>
      <c r="JKP23" s="3507"/>
      <c r="JKQ23" s="3507"/>
      <c r="JKR23" s="3507"/>
      <c r="JKS23" s="3507"/>
      <c r="JKT23" s="3507"/>
      <c r="JKU23" s="3507"/>
      <c r="JKV23" s="3507"/>
      <c r="JKW23" s="3507"/>
      <c r="JKX23" s="3507"/>
      <c r="JKY23" s="3507"/>
      <c r="JKZ23" s="3507"/>
      <c r="JLA23" s="3507"/>
      <c r="JLB23" s="3507"/>
      <c r="JLC23" s="3507"/>
      <c r="JLD23" s="3507"/>
      <c r="JLE23" s="3507"/>
      <c r="JLF23" s="3507"/>
      <c r="JLG23" s="3507"/>
      <c r="JLH23" s="3507"/>
      <c r="JLI23" s="3507"/>
      <c r="JLJ23" s="3507"/>
      <c r="JLK23" s="3507"/>
      <c r="JLL23" s="3507"/>
      <c r="JLM23" s="3507"/>
      <c r="JLN23" s="3507"/>
      <c r="JLO23" s="3507"/>
      <c r="JLP23" s="3507"/>
      <c r="JLQ23" s="3507"/>
      <c r="JLR23" s="3507"/>
      <c r="JLS23" s="3507"/>
      <c r="JLT23" s="3507"/>
      <c r="JLU23" s="3507"/>
      <c r="JLV23" s="3507"/>
      <c r="JLW23" s="3507"/>
      <c r="JLX23" s="3507"/>
      <c r="JLY23" s="3507"/>
      <c r="JLZ23" s="3507"/>
      <c r="JMA23" s="3507"/>
      <c r="JMB23" s="3507"/>
      <c r="JMC23" s="3507"/>
      <c r="JMD23" s="3507"/>
      <c r="JME23" s="3507"/>
      <c r="JMF23" s="3507"/>
      <c r="JMG23" s="3507"/>
      <c r="JMH23" s="3507"/>
      <c r="JMI23" s="3507"/>
      <c r="JMJ23" s="3507"/>
      <c r="JMK23" s="3507"/>
      <c r="JML23" s="3507"/>
      <c r="JMM23" s="3507"/>
      <c r="JMN23" s="3507"/>
      <c r="JMO23" s="3507"/>
      <c r="JMP23" s="3507"/>
      <c r="JMQ23" s="3507"/>
      <c r="JMR23" s="3507"/>
      <c r="JMS23" s="3507"/>
      <c r="JMT23" s="3507"/>
      <c r="JMU23" s="3507"/>
      <c r="JMV23" s="3507"/>
      <c r="JMW23" s="3507"/>
      <c r="JMX23" s="3507"/>
      <c r="JMY23" s="3507"/>
      <c r="JMZ23" s="3507"/>
      <c r="JNA23" s="3507"/>
      <c r="JNB23" s="3507"/>
      <c r="JNC23" s="3507"/>
      <c r="JND23" s="3507"/>
      <c r="JNE23" s="3507"/>
      <c r="JNF23" s="3507"/>
      <c r="JNG23" s="3507"/>
      <c r="JNH23" s="3507"/>
      <c r="JNI23" s="3507"/>
      <c r="JNJ23" s="3507"/>
      <c r="JNK23" s="3507"/>
      <c r="JNL23" s="3507"/>
      <c r="JNM23" s="3507"/>
      <c r="JNN23" s="3507"/>
      <c r="JNO23" s="3507"/>
      <c r="JNP23" s="3507"/>
      <c r="JNQ23" s="3507"/>
      <c r="JNR23" s="3507"/>
      <c r="JNS23" s="3507"/>
      <c r="JNT23" s="3507"/>
      <c r="JNU23" s="3507"/>
      <c r="JNV23" s="3507"/>
      <c r="JNW23" s="3507"/>
      <c r="JNX23" s="3507"/>
      <c r="JNY23" s="3507"/>
      <c r="JNZ23" s="3507"/>
      <c r="JOA23" s="3507"/>
      <c r="JOB23" s="3507"/>
      <c r="JOC23" s="3507"/>
      <c r="JOD23" s="3507"/>
      <c r="JOE23" s="3507"/>
      <c r="JOF23" s="3507"/>
      <c r="JOG23" s="3507"/>
      <c r="JOH23" s="3507"/>
      <c r="JOI23" s="3507"/>
      <c r="JOJ23" s="3507"/>
      <c r="JOK23" s="3507"/>
      <c r="JOL23" s="3507"/>
      <c r="JOM23" s="3507"/>
      <c r="JON23" s="3507"/>
      <c r="JOO23" s="3507"/>
      <c r="JOP23" s="3507"/>
      <c r="JOQ23" s="3507"/>
      <c r="JOR23" s="3507"/>
      <c r="JOS23" s="3507"/>
      <c r="JOT23" s="3507"/>
      <c r="JOU23" s="3507"/>
      <c r="JOV23" s="3507"/>
      <c r="JOW23" s="3507"/>
      <c r="JOX23" s="3507"/>
      <c r="JOY23" s="3507"/>
      <c r="JOZ23" s="3507"/>
      <c r="JPA23" s="3507"/>
      <c r="JPB23" s="3507"/>
      <c r="JPC23" s="3507"/>
      <c r="JPD23" s="3507"/>
      <c r="JPE23" s="3507"/>
      <c r="JPF23" s="3507"/>
      <c r="JPG23" s="3507"/>
      <c r="JPH23" s="3507"/>
      <c r="JPI23" s="3507"/>
      <c r="JPJ23" s="3507"/>
      <c r="JPK23" s="3507"/>
      <c r="JPL23" s="3507"/>
      <c r="JPM23" s="3507"/>
      <c r="JPN23" s="3507"/>
      <c r="JPO23" s="3507"/>
      <c r="JPP23" s="3507"/>
      <c r="JPQ23" s="3507"/>
      <c r="JPR23" s="3507"/>
      <c r="JPS23" s="3507"/>
      <c r="JPT23" s="3507"/>
      <c r="JPU23" s="3507"/>
      <c r="JPV23" s="3507"/>
      <c r="JPW23" s="3507"/>
      <c r="JPX23" s="3507"/>
      <c r="JPY23" s="3507"/>
      <c r="JPZ23" s="3507"/>
      <c r="JQA23" s="3507"/>
      <c r="JQB23" s="3507"/>
      <c r="JQC23" s="3507"/>
      <c r="JQD23" s="3507"/>
      <c r="JQE23" s="3507"/>
      <c r="JQF23" s="3507"/>
      <c r="JQG23" s="3507"/>
      <c r="JQH23" s="3507"/>
      <c r="JQI23" s="3507"/>
      <c r="JQJ23" s="3507"/>
      <c r="JQK23" s="3507"/>
      <c r="JQL23" s="3507"/>
      <c r="JQM23" s="3507"/>
      <c r="JQN23" s="3507"/>
      <c r="JQO23" s="3507"/>
      <c r="JQP23" s="3507"/>
      <c r="JQQ23" s="3507"/>
      <c r="JQR23" s="3507"/>
      <c r="JQS23" s="3507"/>
      <c r="JQT23" s="3507"/>
      <c r="JQU23" s="3507"/>
      <c r="JQV23" s="3507"/>
      <c r="JQW23" s="3507"/>
      <c r="JQX23" s="3507"/>
      <c r="JQY23" s="3507"/>
      <c r="JQZ23" s="3507"/>
      <c r="JRA23" s="3507"/>
      <c r="JRB23" s="3507"/>
      <c r="JRC23" s="3507"/>
      <c r="JRD23" s="3507"/>
      <c r="JRE23" s="3507"/>
      <c r="JRF23" s="3507"/>
      <c r="JRG23" s="3507"/>
      <c r="JRH23" s="3507"/>
      <c r="JRI23" s="3507"/>
      <c r="JRJ23" s="3507"/>
      <c r="JRK23" s="3507"/>
      <c r="JRL23" s="3507"/>
      <c r="JRM23" s="3507"/>
      <c r="JRN23" s="3507"/>
      <c r="JRO23" s="3507"/>
      <c r="JRP23" s="3507"/>
      <c r="JRQ23" s="3507"/>
      <c r="JRR23" s="3507"/>
      <c r="JRS23" s="3507"/>
      <c r="JRT23" s="3507"/>
      <c r="JRU23" s="3507"/>
      <c r="JRV23" s="3507"/>
      <c r="JRW23" s="3507"/>
      <c r="JRX23" s="3507"/>
      <c r="JRY23" s="3507"/>
      <c r="JRZ23" s="3507"/>
      <c r="JSA23" s="3507"/>
      <c r="JSB23" s="3507"/>
      <c r="JSC23" s="3507"/>
      <c r="JSD23" s="3507"/>
      <c r="JSE23" s="3507"/>
      <c r="JSF23" s="3507"/>
      <c r="JSG23" s="3507"/>
      <c r="JSH23" s="3507"/>
      <c r="JSI23" s="3507"/>
      <c r="JSJ23" s="3507"/>
      <c r="JSK23" s="3507"/>
      <c r="JSL23" s="3507"/>
      <c r="JSM23" s="3507"/>
      <c r="JSN23" s="3507"/>
      <c r="JSO23" s="3507"/>
      <c r="JSP23" s="3507"/>
      <c r="JSQ23" s="3507"/>
      <c r="JSR23" s="3507"/>
      <c r="JSS23" s="3507"/>
      <c r="JST23" s="3507"/>
      <c r="JSU23" s="3507"/>
      <c r="JSV23" s="3507"/>
      <c r="JSW23" s="3507"/>
      <c r="JSX23" s="3507"/>
      <c r="JSY23" s="3507"/>
      <c r="JSZ23" s="3507"/>
      <c r="JTA23" s="3507"/>
      <c r="JTB23" s="3507"/>
      <c r="JTC23" s="3507"/>
      <c r="JTD23" s="3507"/>
      <c r="JTE23" s="3507"/>
      <c r="JTF23" s="3507"/>
      <c r="JTG23" s="3507"/>
      <c r="JTH23" s="3507"/>
      <c r="JTI23" s="3507"/>
      <c r="JTJ23" s="3507"/>
      <c r="JTK23" s="3507"/>
      <c r="JTL23" s="3507"/>
      <c r="JTM23" s="3507"/>
      <c r="JTN23" s="3507"/>
      <c r="JTO23" s="3507"/>
      <c r="JTP23" s="3507"/>
      <c r="JTQ23" s="3507"/>
      <c r="JTR23" s="3507"/>
      <c r="JTS23" s="3507"/>
      <c r="JTT23" s="3507"/>
      <c r="JTU23" s="3507"/>
      <c r="JTV23" s="3507"/>
      <c r="JTW23" s="3507"/>
      <c r="JTX23" s="3507"/>
      <c r="JTY23" s="3507"/>
      <c r="JTZ23" s="3507"/>
      <c r="JUA23" s="3507"/>
      <c r="JUB23" s="3507"/>
      <c r="JUC23" s="3507"/>
      <c r="JUD23" s="3507"/>
      <c r="JUE23" s="3507"/>
      <c r="JUF23" s="3507"/>
      <c r="JUG23" s="3507"/>
      <c r="JUH23" s="3507"/>
      <c r="JUI23" s="3507"/>
      <c r="JUJ23" s="3507"/>
      <c r="JUK23" s="3507"/>
      <c r="JUL23" s="3507"/>
      <c r="JUM23" s="3507"/>
      <c r="JUN23" s="3507"/>
      <c r="JUO23" s="3507"/>
      <c r="JUP23" s="3507"/>
      <c r="JUQ23" s="3507"/>
      <c r="JUR23" s="3507"/>
      <c r="JUS23" s="3507"/>
      <c r="JUT23" s="3507"/>
      <c r="JUU23" s="3507"/>
      <c r="JUV23" s="3507"/>
      <c r="JUW23" s="3507"/>
      <c r="JUX23" s="3507"/>
      <c r="JUY23" s="3507"/>
      <c r="JUZ23" s="3507"/>
      <c r="JVA23" s="3507"/>
      <c r="JVB23" s="3507"/>
      <c r="JVC23" s="3507"/>
      <c r="JVD23" s="3507"/>
      <c r="JVE23" s="3507"/>
      <c r="JVF23" s="3507"/>
      <c r="JVG23" s="3507"/>
      <c r="JVH23" s="3507"/>
      <c r="JVI23" s="3507"/>
      <c r="JVJ23" s="3507"/>
      <c r="JVK23" s="3507"/>
      <c r="JVL23" s="3507"/>
      <c r="JVM23" s="3507"/>
      <c r="JVN23" s="3507"/>
      <c r="JVO23" s="3507"/>
      <c r="JVP23" s="3507"/>
      <c r="JVQ23" s="3507"/>
      <c r="JVR23" s="3507"/>
      <c r="JVS23" s="3507"/>
      <c r="JVT23" s="3507"/>
      <c r="JVU23" s="3507"/>
      <c r="JVV23" s="3507"/>
      <c r="JVW23" s="3507"/>
      <c r="JVX23" s="3507"/>
      <c r="JVY23" s="3507"/>
      <c r="JVZ23" s="3507"/>
      <c r="JWA23" s="3507"/>
      <c r="JWB23" s="3507"/>
      <c r="JWC23" s="3507"/>
      <c r="JWD23" s="3507"/>
      <c r="JWE23" s="3507"/>
      <c r="JWF23" s="3507"/>
      <c r="JWG23" s="3507"/>
      <c r="JWH23" s="3507"/>
      <c r="JWI23" s="3507"/>
      <c r="JWJ23" s="3507"/>
      <c r="JWK23" s="3507"/>
      <c r="JWL23" s="3507"/>
      <c r="JWM23" s="3507"/>
      <c r="JWN23" s="3507"/>
      <c r="JWO23" s="3507"/>
      <c r="JWP23" s="3507"/>
      <c r="JWQ23" s="3507"/>
      <c r="JWR23" s="3507"/>
      <c r="JWS23" s="3507"/>
      <c r="JWT23" s="3507"/>
      <c r="JWU23" s="3507"/>
      <c r="JWV23" s="3507"/>
      <c r="JWW23" s="3507"/>
      <c r="JWX23" s="3507"/>
      <c r="JWY23" s="3507"/>
      <c r="JWZ23" s="3507"/>
      <c r="JXA23" s="3507"/>
      <c r="JXB23" s="3507"/>
      <c r="JXC23" s="3507"/>
      <c r="JXD23" s="3507"/>
      <c r="JXE23" s="3507"/>
      <c r="JXF23" s="3507"/>
      <c r="JXG23" s="3507"/>
      <c r="JXH23" s="3507"/>
      <c r="JXI23" s="3507"/>
      <c r="JXJ23" s="3507"/>
      <c r="JXK23" s="3507"/>
      <c r="JXL23" s="3507"/>
      <c r="JXM23" s="3507"/>
      <c r="JXN23" s="3507"/>
      <c r="JXO23" s="3507"/>
      <c r="JXP23" s="3507"/>
      <c r="JXQ23" s="3507"/>
      <c r="JXR23" s="3507"/>
      <c r="JXS23" s="3507"/>
      <c r="JXT23" s="3507"/>
      <c r="JXU23" s="3507"/>
      <c r="JXV23" s="3507"/>
      <c r="JXW23" s="3507"/>
      <c r="JXX23" s="3507"/>
      <c r="JXY23" s="3507"/>
      <c r="JXZ23" s="3507"/>
      <c r="JYA23" s="3507"/>
      <c r="JYB23" s="3507"/>
      <c r="JYC23" s="3507"/>
      <c r="JYD23" s="3507"/>
      <c r="JYE23" s="3507"/>
      <c r="JYF23" s="3507"/>
      <c r="JYG23" s="3507"/>
      <c r="JYH23" s="3507"/>
      <c r="JYI23" s="3507"/>
      <c r="JYJ23" s="3507"/>
      <c r="JYK23" s="3507"/>
      <c r="JYL23" s="3507"/>
      <c r="JYM23" s="3507"/>
      <c r="JYN23" s="3507"/>
      <c r="JYO23" s="3507"/>
      <c r="JYP23" s="3507"/>
      <c r="JYQ23" s="3507"/>
      <c r="JYR23" s="3507"/>
      <c r="JYS23" s="3507"/>
      <c r="JYT23" s="3507"/>
      <c r="JYU23" s="3507"/>
      <c r="JYV23" s="3507"/>
      <c r="JYW23" s="3507"/>
      <c r="JYX23" s="3507"/>
      <c r="JYY23" s="3507"/>
      <c r="JYZ23" s="3507"/>
      <c r="JZA23" s="3507"/>
      <c r="JZB23" s="3507"/>
      <c r="JZC23" s="3507"/>
      <c r="JZD23" s="3507"/>
      <c r="JZE23" s="3507"/>
      <c r="JZF23" s="3507"/>
      <c r="JZG23" s="3507"/>
      <c r="JZH23" s="3507"/>
      <c r="JZI23" s="3507"/>
      <c r="JZJ23" s="3507"/>
      <c r="JZK23" s="3507"/>
      <c r="JZL23" s="3507"/>
      <c r="JZM23" s="3507"/>
      <c r="JZN23" s="3507"/>
      <c r="JZO23" s="3507"/>
      <c r="JZP23" s="3507"/>
      <c r="JZQ23" s="3507"/>
      <c r="JZR23" s="3507"/>
      <c r="JZS23" s="3507"/>
      <c r="JZT23" s="3507"/>
      <c r="JZU23" s="3507"/>
      <c r="JZV23" s="3507"/>
      <c r="JZW23" s="3507"/>
      <c r="JZX23" s="3507"/>
      <c r="JZY23" s="3507"/>
      <c r="JZZ23" s="3507"/>
      <c r="KAA23" s="3507"/>
      <c r="KAB23" s="3507"/>
      <c r="KAC23" s="3507"/>
      <c r="KAD23" s="3507"/>
      <c r="KAE23" s="3507"/>
      <c r="KAF23" s="3507"/>
      <c r="KAG23" s="3507"/>
      <c r="KAH23" s="3507"/>
      <c r="KAI23" s="3507"/>
      <c r="KAJ23" s="3507"/>
      <c r="KAK23" s="3507"/>
      <c r="KAL23" s="3507"/>
      <c r="KAM23" s="3507"/>
      <c r="KAN23" s="3507"/>
      <c r="KAO23" s="3507"/>
      <c r="KAP23" s="3507"/>
      <c r="KAQ23" s="3507"/>
      <c r="KAR23" s="3507"/>
      <c r="KAS23" s="3507"/>
      <c r="KAT23" s="3507"/>
      <c r="KAU23" s="3507"/>
      <c r="KAV23" s="3507"/>
      <c r="KAW23" s="3507"/>
      <c r="KAX23" s="3507"/>
      <c r="KAY23" s="3507"/>
      <c r="KAZ23" s="3507"/>
      <c r="KBA23" s="3507"/>
      <c r="KBB23" s="3507"/>
      <c r="KBC23" s="3507"/>
      <c r="KBD23" s="3507"/>
      <c r="KBE23" s="3507"/>
      <c r="KBF23" s="3507"/>
      <c r="KBG23" s="3507"/>
      <c r="KBH23" s="3507"/>
      <c r="KBI23" s="3507"/>
      <c r="KBJ23" s="3507"/>
      <c r="KBK23" s="3507"/>
      <c r="KBL23" s="3507"/>
      <c r="KBM23" s="3507"/>
      <c r="KBN23" s="3507"/>
      <c r="KBO23" s="3507"/>
      <c r="KBP23" s="3507"/>
      <c r="KBQ23" s="3507"/>
      <c r="KBR23" s="3507"/>
      <c r="KBS23" s="3507"/>
      <c r="KBT23" s="3507"/>
      <c r="KBU23" s="3507"/>
      <c r="KBV23" s="3507"/>
      <c r="KBW23" s="3507"/>
      <c r="KBX23" s="3507"/>
      <c r="KBY23" s="3507"/>
      <c r="KBZ23" s="3507"/>
      <c r="KCA23" s="3507"/>
      <c r="KCB23" s="3507"/>
      <c r="KCC23" s="3507"/>
      <c r="KCD23" s="3507"/>
      <c r="KCE23" s="3507"/>
      <c r="KCF23" s="3507"/>
      <c r="KCG23" s="3507"/>
      <c r="KCH23" s="3507"/>
      <c r="KCI23" s="3507"/>
      <c r="KCJ23" s="3507"/>
      <c r="KCK23" s="3507"/>
      <c r="KCL23" s="3507"/>
      <c r="KCM23" s="3507"/>
      <c r="KCN23" s="3507"/>
      <c r="KCO23" s="3507"/>
      <c r="KCP23" s="3507"/>
      <c r="KCQ23" s="3507"/>
      <c r="KCR23" s="3507"/>
      <c r="KCS23" s="3507"/>
      <c r="KCT23" s="3507"/>
      <c r="KCU23" s="3507"/>
      <c r="KCV23" s="3507"/>
      <c r="KCW23" s="3507"/>
      <c r="KCX23" s="3507"/>
      <c r="KCY23" s="3507"/>
      <c r="KCZ23" s="3507"/>
      <c r="KDA23" s="3507"/>
      <c r="KDB23" s="3507"/>
      <c r="KDC23" s="3507"/>
      <c r="KDD23" s="3507"/>
      <c r="KDE23" s="3507"/>
      <c r="KDF23" s="3507"/>
      <c r="KDG23" s="3507"/>
      <c r="KDH23" s="3507"/>
      <c r="KDI23" s="3507"/>
      <c r="KDJ23" s="3507"/>
      <c r="KDK23" s="3507"/>
      <c r="KDL23" s="3507"/>
      <c r="KDM23" s="3507"/>
      <c r="KDN23" s="3507"/>
      <c r="KDO23" s="3507"/>
      <c r="KDP23" s="3507"/>
      <c r="KDQ23" s="3507"/>
      <c r="KDR23" s="3507"/>
      <c r="KDS23" s="3507"/>
      <c r="KDT23" s="3507"/>
      <c r="KDU23" s="3507"/>
      <c r="KDV23" s="3507"/>
      <c r="KDW23" s="3507"/>
      <c r="KDX23" s="3507"/>
      <c r="KDY23" s="3507"/>
      <c r="KDZ23" s="3507"/>
      <c r="KEA23" s="3507"/>
      <c r="KEB23" s="3507"/>
      <c r="KEC23" s="3507"/>
      <c r="KED23" s="3507"/>
      <c r="KEE23" s="3507"/>
      <c r="KEF23" s="3507"/>
      <c r="KEG23" s="3507"/>
      <c r="KEH23" s="3507"/>
      <c r="KEI23" s="3507"/>
      <c r="KEJ23" s="3507"/>
      <c r="KEK23" s="3507"/>
      <c r="KEL23" s="3507"/>
      <c r="KEM23" s="3507"/>
      <c r="KEN23" s="3507"/>
      <c r="KEO23" s="3507"/>
      <c r="KEP23" s="3507"/>
      <c r="KEQ23" s="3507"/>
      <c r="KER23" s="3507"/>
      <c r="KES23" s="3507"/>
      <c r="KET23" s="3507"/>
      <c r="KEU23" s="3507"/>
      <c r="KEV23" s="3507"/>
      <c r="KEW23" s="3507"/>
      <c r="KEX23" s="3507"/>
      <c r="KEY23" s="3507"/>
      <c r="KEZ23" s="3507"/>
      <c r="KFA23" s="3507"/>
      <c r="KFB23" s="3507"/>
      <c r="KFC23" s="3507"/>
      <c r="KFD23" s="3507"/>
      <c r="KFE23" s="3507"/>
      <c r="KFF23" s="3507"/>
      <c r="KFG23" s="3507"/>
      <c r="KFH23" s="3507"/>
      <c r="KFI23" s="3507"/>
      <c r="KFJ23" s="3507"/>
      <c r="KFK23" s="3507"/>
      <c r="KFL23" s="3507"/>
      <c r="KFM23" s="3507"/>
      <c r="KFN23" s="3507"/>
      <c r="KFO23" s="3507"/>
      <c r="KFP23" s="3507"/>
      <c r="KFQ23" s="3507"/>
      <c r="KFR23" s="3507"/>
      <c r="KFS23" s="3507"/>
      <c r="KFT23" s="3507"/>
      <c r="KFU23" s="3507"/>
      <c r="KFV23" s="3507"/>
      <c r="KFW23" s="3507"/>
      <c r="KFX23" s="3507"/>
      <c r="KFY23" s="3507"/>
      <c r="KFZ23" s="3507"/>
      <c r="KGA23" s="3507"/>
      <c r="KGB23" s="3507"/>
      <c r="KGC23" s="3507"/>
      <c r="KGD23" s="3507"/>
      <c r="KGE23" s="3507"/>
      <c r="KGF23" s="3507"/>
      <c r="KGG23" s="3507"/>
      <c r="KGH23" s="3507"/>
      <c r="KGI23" s="3507"/>
      <c r="KGJ23" s="3507"/>
      <c r="KGK23" s="3507"/>
      <c r="KGL23" s="3507"/>
      <c r="KGM23" s="3507"/>
      <c r="KGN23" s="3507"/>
      <c r="KGO23" s="3507"/>
      <c r="KGP23" s="3507"/>
      <c r="KGQ23" s="3507"/>
      <c r="KGR23" s="3507"/>
      <c r="KGS23" s="3507"/>
      <c r="KGT23" s="3507"/>
      <c r="KGU23" s="3507"/>
      <c r="KGV23" s="3507"/>
      <c r="KGW23" s="3507"/>
      <c r="KGX23" s="3507"/>
      <c r="KGY23" s="3507"/>
      <c r="KGZ23" s="3507"/>
      <c r="KHA23" s="3507"/>
      <c r="KHB23" s="3507"/>
      <c r="KHC23" s="3507"/>
      <c r="KHD23" s="3507"/>
      <c r="KHE23" s="3507"/>
      <c r="KHF23" s="3507"/>
      <c r="KHG23" s="3507"/>
      <c r="KHH23" s="3507"/>
      <c r="KHI23" s="3507"/>
      <c r="KHJ23" s="3507"/>
      <c r="KHK23" s="3507"/>
      <c r="KHL23" s="3507"/>
      <c r="KHM23" s="3507"/>
      <c r="KHN23" s="3507"/>
      <c r="KHO23" s="3507"/>
      <c r="KHP23" s="3507"/>
      <c r="KHQ23" s="3507"/>
      <c r="KHR23" s="3507"/>
      <c r="KHS23" s="3507"/>
      <c r="KHT23" s="3507"/>
      <c r="KHU23" s="3507"/>
      <c r="KHV23" s="3507"/>
      <c r="KHW23" s="3507"/>
      <c r="KHX23" s="3507"/>
      <c r="KHY23" s="3507"/>
      <c r="KHZ23" s="3507"/>
      <c r="KIA23" s="3507"/>
      <c r="KIB23" s="3507"/>
      <c r="KIC23" s="3507"/>
      <c r="KID23" s="3507"/>
      <c r="KIE23" s="3507"/>
      <c r="KIF23" s="3507"/>
      <c r="KIG23" s="3507"/>
      <c r="KIH23" s="3507"/>
      <c r="KII23" s="3507"/>
      <c r="KIJ23" s="3507"/>
      <c r="KIK23" s="3507"/>
      <c r="KIL23" s="3507"/>
      <c r="KIM23" s="3507"/>
      <c r="KIN23" s="3507"/>
      <c r="KIO23" s="3507"/>
      <c r="KIP23" s="3507"/>
      <c r="KIQ23" s="3507"/>
      <c r="KIR23" s="3507"/>
      <c r="KIS23" s="3507"/>
      <c r="KIT23" s="3507"/>
      <c r="KIU23" s="3507"/>
      <c r="KIV23" s="3507"/>
      <c r="KIW23" s="3507"/>
      <c r="KIX23" s="3507"/>
      <c r="KIY23" s="3507"/>
      <c r="KIZ23" s="3507"/>
      <c r="KJA23" s="3507"/>
      <c r="KJB23" s="3507"/>
      <c r="KJC23" s="3507"/>
      <c r="KJD23" s="3507"/>
      <c r="KJE23" s="3507"/>
      <c r="KJF23" s="3507"/>
      <c r="KJG23" s="3507"/>
      <c r="KJH23" s="3507"/>
      <c r="KJI23" s="3507"/>
      <c r="KJJ23" s="3507"/>
      <c r="KJK23" s="3507"/>
      <c r="KJL23" s="3507"/>
      <c r="KJM23" s="3507"/>
      <c r="KJN23" s="3507"/>
      <c r="KJO23" s="3507"/>
      <c r="KJP23" s="3507"/>
      <c r="KJQ23" s="3507"/>
      <c r="KJR23" s="3507"/>
      <c r="KJS23" s="3507"/>
      <c r="KJT23" s="3507"/>
      <c r="KJU23" s="3507"/>
      <c r="KJV23" s="3507"/>
      <c r="KJW23" s="3507"/>
      <c r="KJX23" s="3507"/>
      <c r="KJY23" s="3507"/>
      <c r="KJZ23" s="3507"/>
      <c r="KKA23" s="3507"/>
      <c r="KKB23" s="3507"/>
      <c r="KKC23" s="3507"/>
      <c r="KKD23" s="3507"/>
      <c r="KKE23" s="3507"/>
      <c r="KKF23" s="3507"/>
      <c r="KKG23" s="3507"/>
      <c r="KKH23" s="3507"/>
      <c r="KKI23" s="3507"/>
      <c r="KKJ23" s="3507"/>
      <c r="KKK23" s="3507"/>
      <c r="KKL23" s="3507"/>
      <c r="KKM23" s="3507"/>
      <c r="KKN23" s="3507"/>
      <c r="KKO23" s="3507"/>
      <c r="KKP23" s="3507"/>
      <c r="KKQ23" s="3507"/>
      <c r="KKR23" s="3507"/>
      <c r="KKS23" s="3507"/>
      <c r="KKT23" s="3507"/>
      <c r="KKU23" s="3507"/>
      <c r="KKV23" s="3507"/>
      <c r="KKW23" s="3507"/>
      <c r="KKX23" s="3507"/>
      <c r="KKY23" s="3507"/>
      <c r="KKZ23" s="3507"/>
      <c r="KLA23" s="3507"/>
      <c r="KLB23" s="3507"/>
      <c r="KLC23" s="3507"/>
      <c r="KLD23" s="3507"/>
      <c r="KLE23" s="3507"/>
      <c r="KLF23" s="3507"/>
      <c r="KLG23" s="3507"/>
      <c r="KLH23" s="3507"/>
      <c r="KLI23" s="3507"/>
      <c r="KLJ23" s="3507"/>
      <c r="KLK23" s="3507"/>
      <c r="KLL23" s="3507"/>
      <c r="KLM23" s="3507"/>
      <c r="KLN23" s="3507"/>
      <c r="KLO23" s="3507"/>
      <c r="KLP23" s="3507"/>
      <c r="KLQ23" s="3507"/>
      <c r="KLR23" s="3507"/>
      <c r="KLS23" s="3507"/>
      <c r="KLT23" s="3507"/>
      <c r="KLU23" s="3507"/>
      <c r="KLV23" s="3507"/>
      <c r="KLW23" s="3507"/>
      <c r="KLX23" s="3507"/>
      <c r="KLY23" s="3507"/>
      <c r="KLZ23" s="3507"/>
      <c r="KMA23" s="3507"/>
      <c r="KMB23" s="3507"/>
      <c r="KMC23" s="3507"/>
      <c r="KMD23" s="3507"/>
      <c r="KME23" s="3507"/>
      <c r="KMF23" s="3507"/>
      <c r="KMG23" s="3507"/>
      <c r="KMH23" s="3507"/>
      <c r="KMI23" s="3507"/>
      <c r="KMJ23" s="3507"/>
      <c r="KMK23" s="3507"/>
      <c r="KML23" s="3507"/>
      <c r="KMM23" s="3507"/>
      <c r="KMN23" s="3507"/>
      <c r="KMO23" s="3507"/>
      <c r="KMP23" s="3507"/>
      <c r="KMQ23" s="3507"/>
      <c r="KMR23" s="3507"/>
      <c r="KMS23" s="3507"/>
      <c r="KMT23" s="3507"/>
      <c r="KMU23" s="3507"/>
      <c r="KMV23" s="3507"/>
      <c r="KMW23" s="3507"/>
      <c r="KMX23" s="3507"/>
      <c r="KMY23" s="3507"/>
      <c r="KMZ23" s="3507"/>
      <c r="KNA23" s="3507"/>
      <c r="KNB23" s="3507"/>
      <c r="KNC23" s="3507"/>
      <c r="KND23" s="3507"/>
      <c r="KNE23" s="3507"/>
      <c r="KNF23" s="3507"/>
      <c r="KNG23" s="3507"/>
      <c r="KNH23" s="3507"/>
      <c r="KNI23" s="3507"/>
      <c r="KNJ23" s="3507"/>
      <c r="KNK23" s="3507"/>
      <c r="KNL23" s="3507"/>
      <c r="KNM23" s="3507"/>
      <c r="KNN23" s="3507"/>
      <c r="KNO23" s="3507"/>
      <c r="KNP23" s="3507"/>
      <c r="KNQ23" s="3507"/>
      <c r="KNR23" s="3507"/>
      <c r="KNS23" s="3507"/>
      <c r="KNT23" s="3507"/>
      <c r="KNU23" s="3507"/>
      <c r="KNV23" s="3507"/>
      <c r="KNW23" s="3507"/>
      <c r="KNX23" s="3507"/>
      <c r="KNY23" s="3507"/>
      <c r="KNZ23" s="3507"/>
      <c r="KOA23" s="3507"/>
      <c r="KOB23" s="3507"/>
      <c r="KOC23" s="3507"/>
      <c r="KOD23" s="3507"/>
      <c r="KOE23" s="3507"/>
      <c r="KOF23" s="3507"/>
      <c r="KOG23" s="3507"/>
      <c r="KOH23" s="3507"/>
      <c r="KOI23" s="3507"/>
      <c r="KOJ23" s="3507"/>
      <c r="KOK23" s="3507"/>
      <c r="KOL23" s="3507"/>
      <c r="KOM23" s="3507"/>
      <c r="KON23" s="3507"/>
      <c r="KOO23" s="3507"/>
      <c r="KOP23" s="3507"/>
      <c r="KOQ23" s="3507"/>
      <c r="KOR23" s="3507"/>
      <c r="KOS23" s="3507"/>
      <c r="KOT23" s="3507"/>
      <c r="KOU23" s="3507"/>
      <c r="KOV23" s="3507"/>
      <c r="KOW23" s="3507"/>
      <c r="KOX23" s="3507"/>
      <c r="KOY23" s="3507"/>
      <c r="KOZ23" s="3507"/>
      <c r="KPA23" s="3507"/>
      <c r="KPB23" s="3507"/>
      <c r="KPC23" s="3507"/>
      <c r="KPD23" s="3507"/>
      <c r="KPE23" s="3507"/>
      <c r="KPF23" s="3507"/>
      <c r="KPG23" s="3507"/>
      <c r="KPH23" s="3507"/>
      <c r="KPI23" s="3507"/>
      <c r="KPJ23" s="3507"/>
      <c r="KPK23" s="3507"/>
      <c r="KPL23" s="3507"/>
      <c r="KPM23" s="3507"/>
      <c r="KPN23" s="3507"/>
      <c r="KPO23" s="3507"/>
      <c r="KPP23" s="3507"/>
      <c r="KPQ23" s="3507"/>
      <c r="KPR23" s="3507"/>
      <c r="KPS23" s="3507"/>
      <c r="KPT23" s="3507"/>
      <c r="KPU23" s="3507"/>
      <c r="KPV23" s="3507"/>
      <c r="KPW23" s="3507"/>
      <c r="KPX23" s="3507"/>
      <c r="KPY23" s="3507"/>
      <c r="KPZ23" s="3507"/>
      <c r="KQA23" s="3507"/>
      <c r="KQB23" s="3507"/>
      <c r="KQC23" s="3507"/>
      <c r="KQD23" s="3507"/>
      <c r="KQE23" s="3507"/>
      <c r="KQF23" s="3507"/>
      <c r="KQG23" s="3507"/>
      <c r="KQH23" s="3507"/>
      <c r="KQI23" s="3507"/>
      <c r="KQJ23" s="3507"/>
      <c r="KQK23" s="3507"/>
      <c r="KQL23" s="3507"/>
      <c r="KQM23" s="3507"/>
      <c r="KQN23" s="3507"/>
      <c r="KQO23" s="3507"/>
      <c r="KQP23" s="3507"/>
      <c r="KQQ23" s="3507"/>
      <c r="KQR23" s="3507"/>
      <c r="KQS23" s="3507"/>
      <c r="KQT23" s="3507"/>
      <c r="KQU23" s="3507"/>
      <c r="KQV23" s="3507"/>
      <c r="KQW23" s="3507"/>
      <c r="KQX23" s="3507"/>
      <c r="KQY23" s="3507"/>
      <c r="KQZ23" s="3507"/>
      <c r="KRA23" s="3507"/>
      <c r="KRB23" s="3507"/>
      <c r="KRC23" s="3507"/>
      <c r="KRD23" s="3507"/>
      <c r="KRE23" s="3507"/>
      <c r="KRF23" s="3507"/>
      <c r="KRG23" s="3507"/>
      <c r="KRH23" s="3507"/>
      <c r="KRI23" s="3507"/>
      <c r="KRJ23" s="3507"/>
      <c r="KRK23" s="3507"/>
      <c r="KRL23" s="3507"/>
      <c r="KRM23" s="3507"/>
      <c r="KRN23" s="3507"/>
      <c r="KRO23" s="3507"/>
      <c r="KRP23" s="3507"/>
      <c r="KRQ23" s="3507"/>
      <c r="KRR23" s="3507"/>
      <c r="KRS23" s="3507"/>
      <c r="KRT23" s="3507"/>
      <c r="KRU23" s="3507"/>
      <c r="KRV23" s="3507"/>
      <c r="KRW23" s="3507"/>
      <c r="KRX23" s="3507"/>
      <c r="KRY23" s="3507"/>
      <c r="KRZ23" s="3507"/>
      <c r="KSA23" s="3507"/>
      <c r="KSB23" s="3507"/>
      <c r="KSC23" s="3507"/>
      <c r="KSD23" s="3507"/>
      <c r="KSE23" s="3507"/>
      <c r="KSF23" s="3507"/>
      <c r="KSG23" s="3507"/>
      <c r="KSH23" s="3507"/>
      <c r="KSI23" s="3507"/>
      <c r="KSJ23" s="3507"/>
      <c r="KSK23" s="3507"/>
      <c r="KSL23" s="3507"/>
      <c r="KSM23" s="3507"/>
      <c r="KSN23" s="3507"/>
      <c r="KSO23" s="3507"/>
      <c r="KSP23" s="3507"/>
      <c r="KSQ23" s="3507"/>
      <c r="KSR23" s="3507"/>
      <c r="KSS23" s="3507"/>
      <c r="KST23" s="3507"/>
      <c r="KSU23" s="3507"/>
      <c r="KSV23" s="3507"/>
      <c r="KSW23" s="3507"/>
      <c r="KSX23" s="3507"/>
      <c r="KSY23" s="3507"/>
      <c r="KSZ23" s="3507"/>
      <c r="KTA23" s="3507"/>
      <c r="KTB23" s="3507"/>
      <c r="KTC23" s="3507"/>
      <c r="KTD23" s="3507"/>
      <c r="KTE23" s="3507"/>
      <c r="KTF23" s="3507"/>
      <c r="KTG23" s="3507"/>
      <c r="KTH23" s="3507"/>
      <c r="KTI23" s="3507"/>
      <c r="KTJ23" s="3507"/>
      <c r="KTK23" s="3507"/>
      <c r="KTL23" s="3507"/>
      <c r="KTM23" s="3507"/>
      <c r="KTN23" s="3507"/>
      <c r="KTO23" s="3507"/>
      <c r="KTP23" s="3507"/>
      <c r="KTQ23" s="3507"/>
      <c r="KTR23" s="3507"/>
      <c r="KTS23" s="3507"/>
      <c r="KTT23" s="3507"/>
      <c r="KTU23" s="3507"/>
      <c r="KTV23" s="3507"/>
      <c r="KTW23" s="3507"/>
      <c r="KTX23" s="3507"/>
      <c r="KTY23" s="3507"/>
      <c r="KTZ23" s="3507"/>
      <c r="KUA23" s="3507"/>
      <c r="KUB23" s="3507"/>
      <c r="KUC23" s="3507"/>
      <c r="KUD23" s="3507"/>
      <c r="KUE23" s="3507"/>
      <c r="KUF23" s="3507"/>
      <c r="KUG23" s="3507"/>
      <c r="KUH23" s="3507"/>
      <c r="KUI23" s="3507"/>
      <c r="KUJ23" s="3507"/>
      <c r="KUK23" s="3507"/>
      <c r="KUL23" s="3507"/>
      <c r="KUM23" s="3507"/>
      <c r="KUN23" s="3507"/>
      <c r="KUO23" s="3507"/>
      <c r="KUP23" s="3507"/>
      <c r="KUQ23" s="3507"/>
      <c r="KUR23" s="3507"/>
      <c r="KUS23" s="3507"/>
      <c r="KUT23" s="3507"/>
      <c r="KUU23" s="3507"/>
      <c r="KUV23" s="3507"/>
      <c r="KUW23" s="3507"/>
      <c r="KUX23" s="3507"/>
      <c r="KUY23" s="3507"/>
      <c r="KUZ23" s="3507"/>
      <c r="KVA23" s="3507"/>
      <c r="KVB23" s="3507"/>
      <c r="KVC23" s="3507"/>
      <c r="KVD23" s="3507"/>
      <c r="KVE23" s="3507"/>
      <c r="KVF23" s="3507"/>
      <c r="KVG23" s="3507"/>
      <c r="KVH23" s="3507"/>
      <c r="KVI23" s="3507"/>
      <c r="KVJ23" s="3507"/>
      <c r="KVK23" s="3507"/>
      <c r="KVL23" s="3507"/>
      <c r="KVM23" s="3507"/>
      <c r="KVN23" s="3507"/>
      <c r="KVO23" s="3507"/>
      <c r="KVP23" s="3507"/>
      <c r="KVQ23" s="3507"/>
      <c r="KVR23" s="3507"/>
      <c r="KVS23" s="3507"/>
      <c r="KVT23" s="3507"/>
      <c r="KVU23" s="3507"/>
      <c r="KVV23" s="3507"/>
      <c r="KVW23" s="3507"/>
      <c r="KVX23" s="3507"/>
      <c r="KVY23" s="3507"/>
      <c r="KVZ23" s="3507"/>
      <c r="KWA23" s="3507"/>
      <c r="KWB23" s="3507"/>
      <c r="KWC23" s="3507"/>
      <c r="KWD23" s="3507"/>
      <c r="KWE23" s="3507"/>
      <c r="KWF23" s="3507"/>
      <c r="KWG23" s="3507"/>
      <c r="KWH23" s="3507"/>
      <c r="KWI23" s="3507"/>
      <c r="KWJ23" s="3507"/>
      <c r="KWK23" s="3507"/>
      <c r="KWL23" s="3507"/>
      <c r="KWM23" s="3507"/>
      <c r="KWN23" s="3507"/>
      <c r="KWO23" s="3507"/>
      <c r="KWP23" s="3507"/>
      <c r="KWQ23" s="3507"/>
      <c r="KWR23" s="3507"/>
      <c r="KWS23" s="3507"/>
      <c r="KWT23" s="3507"/>
      <c r="KWU23" s="3507"/>
      <c r="KWV23" s="3507"/>
      <c r="KWW23" s="3507"/>
      <c r="KWX23" s="3507"/>
      <c r="KWY23" s="3507"/>
      <c r="KWZ23" s="3507"/>
      <c r="KXA23" s="3507"/>
      <c r="KXB23" s="3507"/>
      <c r="KXC23" s="3507"/>
      <c r="KXD23" s="3507"/>
      <c r="KXE23" s="3507"/>
      <c r="KXF23" s="3507"/>
      <c r="KXG23" s="3507"/>
      <c r="KXH23" s="3507"/>
      <c r="KXI23" s="3507"/>
      <c r="KXJ23" s="3507"/>
      <c r="KXK23" s="3507"/>
      <c r="KXL23" s="3507"/>
      <c r="KXM23" s="3507"/>
      <c r="KXN23" s="3507"/>
      <c r="KXO23" s="3507"/>
      <c r="KXP23" s="3507"/>
      <c r="KXQ23" s="3507"/>
      <c r="KXR23" s="3507"/>
      <c r="KXS23" s="3507"/>
      <c r="KXT23" s="3507"/>
      <c r="KXU23" s="3507"/>
      <c r="KXV23" s="3507"/>
      <c r="KXW23" s="3507"/>
      <c r="KXX23" s="3507"/>
      <c r="KXY23" s="3507"/>
      <c r="KXZ23" s="3507"/>
      <c r="KYA23" s="3507"/>
      <c r="KYB23" s="3507"/>
      <c r="KYC23" s="3507"/>
      <c r="KYD23" s="3507"/>
      <c r="KYE23" s="3507"/>
      <c r="KYF23" s="3507"/>
      <c r="KYG23" s="3507"/>
      <c r="KYH23" s="3507"/>
      <c r="KYI23" s="3507"/>
      <c r="KYJ23" s="3507"/>
      <c r="KYK23" s="3507"/>
      <c r="KYL23" s="3507"/>
      <c r="KYM23" s="3507"/>
      <c r="KYN23" s="3507"/>
      <c r="KYO23" s="3507"/>
      <c r="KYP23" s="3507"/>
      <c r="KYQ23" s="3507"/>
      <c r="KYR23" s="3507"/>
      <c r="KYS23" s="3507"/>
      <c r="KYT23" s="3507"/>
      <c r="KYU23" s="3507"/>
      <c r="KYV23" s="3507"/>
      <c r="KYW23" s="3507"/>
      <c r="KYX23" s="3507"/>
      <c r="KYY23" s="3507"/>
      <c r="KYZ23" s="3507"/>
      <c r="KZA23" s="3507"/>
      <c r="KZB23" s="3507"/>
      <c r="KZC23" s="3507"/>
      <c r="KZD23" s="3507"/>
      <c r="KZE23" s="3507"/>
      <c r="KZF23" s="3507"/>
      <c r="KZG23" s="3507"/>
      <c r="KZH23" s="3507"/>
      <c r="KZI23" s="3507"/>
      <c r="KZJ23" s="3507"/>
      <c r="KZK23" s="3507"/>
      <c r="KZL23" s="3507"/>
      <c r="KZM23" s="3507"/>
      <c r="KZN23" s="3507"/>
      <c r="KZO23" s="3507"/>
      <c r="KZP23" s="3507"/>
      <c r="KZQ23" s="3507"/>
      <c r="KZR23" s="3507"/>
      <c r="KZS23" s="3507"/>
      <c r="KZT23" s="3507"/>
      <c r="KZU23" s="3507"/>
      <c r="KZV23" s="3507"/>
      <c r="KZW23" s="3507"/>
      <c r="KZX23" s="3507"/>
      <c r="KZY23" s="3507"/>
      <c r="KZZ23" s="3507"/>
      <c r="LAA23" s="3507"/>
      <c r="LAB23" s="3507"/>
      <c r="LAC23" s="3507"/>
      <c r="LAD23" s="3507"/>
      <c r="LAE23" s="3507"/>
      <c r="LAF23" s="3507"/>
      <c r="LAG23" s="3507"/>
      <c r="LAH23" s="3507"/>
      <c r="LAI23" s="3507"/>
      <c r="LAJ23" s="3507"/>
      <c r="LAK23" s="3507"/>
      <c r="LAL23" s="3507"/>
      <c r="LAM23" s="3507"/>
      <c r="LAN23" s="3507"/>
      <c r="LAO23" s="3507"/>
      <c r="LAP23" s="3507"/>
      <c r="LAQ23" s="3507"/>
      <c r="LAR23" s="3507"/>
      <c r="LAS23" s="3507"/>
      <c r="LAT23" s="3507"/>
      <c r="LAU23" s="3507"/>
      <c r="LAV23" s="3507"/>
      <c r="LAW23" s="3507"/>
      <c r="LAX23" s="3507"/>
      <c r="LAY23" s="3507"/>
      <c r="LAZ23" s="3507"/>
      <c r="LBA23" s="3507"/>
      <c r="LBB23" s="3507"/>
      <c r="LBC23" s="3507"/>
      <c r="LBD23" s="3507"/>
      <c r="LBE23" s="3507"/>
      <c r="LBF23" s="3507"/>
      <c r="LBG23" s="3507"/>
      <c r="LBH23" s="3507"/>
      <c r="LBI23" s="3507"/>
      <c r="LBJ23" s="3507"/>
      <c r="LBK23" s="3507"/>
      <c r="LBL23" s="3507"/>
      <c r="LBM23" s="3507"/>
      <c r="LBN23" s="3507"/>
      <c r="LBO23" s="3507"/>
      <c r="LBP23" s="3507"/>
      <c r="LBQ23" s="3507"/>
      <c r="LBR23" s="3507"/>
      <c r="LBS23" s="3507"/>
      <c r="LBT23" s="3507"/>
      <c r="LBU23" s="3507"/>
      <c r="LBV23" s="3507"/>
      <c r="LBW23" s="3507"/>
      <c r="LBX23" s="3507"/>
      <c r="LBY23" s="3507"/>
      <c r="LBZ23" s="3507"/>
      <c r="LCA23" s="3507"/>
      <c r="LCB23" s="3507"/>
      <c r="LCC23" s="3507"/>
      <c r="LCD23" s="3507"/>
      <c r="LCE23" s="3507"/>
      <c r="LCF23" s="3507"/>
      <c r="LCG23" s="3507"/>
      <c r="LCH23" s="3507"/>
      <c r="LCI23" s="3507"/>
      <c r="LCJ23" s="3507"/>
      <c r="LCK23" s="3507"/>
      <c r="LCL23" s="3507"/>
      <c r="LCM23" s="3507"/>
      <c r="LCN23" s="3507"/>
      <c r="LCO23" s="3507"/>
      <c r="LCP23" s="3507"/>
      <c r="LCQ23" s="3507"/>
      <c r="LCR23" s="3507"/>
      <c r="LCS23" s="3507"/>
      <c r="LCT23" s="3507"/>
      <c r="LCU23" s="3507"/>
      <c r="LCV23" s="3507"/>
      <c r="LCW23" s="3507"/>
      <c r="LCX23" s="3507"/>
      <c r="LCY23" s="3507"/>
      <c r="LCZ23" s="3507"/>
      <c r="LDA23" s="3507"/>
      <c r="LDB23" s="3507"/>
      <c r="LDC23" s="3507"/>
      <c r="LDD23" s="3507"/>
      <c r="LDE23" s="3507"/>
      <c r="LDF23" s="3507"/>
      <c r="LDG23" s="3507"/>
      <c r="LDH23" s="3507"/>
      <c r="LDI23" s="3507"/>
      <c r="LDJ23" s="3507"/>
      <c r="LDK23" s="3507"/>
      <c r="LDL23" s="3507"/>
      <c r="LDM23" s="3507"/>
      <c r="LDN23" s="3507"/>
      <c r="LDO23" s="3507"/>
      <c r="LDP23" s="3507"/>
      <c r="LDQ23" s="3507"/>
      <c r="LDR23" s="3507"/>
      <c r="LDS23" s="3507"/>
      <c r="LDT23" s="3507"/>
      <c r="LDU23" s="3507"/>
      <c r="LDV23" s="3507"/>
      <c r="LDW23" s="3507"/>
      <c r="LDX23" s="3507"/>
      <c r="LDY23" s="3507"/>
      <c r="LDZ23" s="3507"/>
      <c r="LEA23" s="3507"/>
      <c r="LEB23" s="3507"/>
      <c r="LEC23" s="3507"/>
      <c r="LED23" s="3507"/>
      <c r="LEE23" s="3507"/>
      <c r="LEF23" s="3507"/>
      <c r="LEG23" s="3507"/>
      <c r="LEH23" s="3507"/>
      <c r="LEI23" s="3507"/>
      <c r="LEJ23" s="3507"/>
      <c r="LEK23" s="3507"/>
      <c r="LEL23" s="3507"/>
      <c r="LEM23" s="3507"/>
      <c r="LEN23" s="3507"/>
      <c r="LEO23" s="3507"/>
      <c r="LEP23" s="3507"/>
      <c r="LEQ23" s="3507"/>
      <c r="LER23" s="3507"/>
      <c r="LES23" s="3507"/>
      <c r="LET23" s="3507"/>
      <c r="LEU23" s="3507"/>
      <c r="LEV23" s="3507"/>
      <c r="LEW23" s="3507"/>
      <c r="LEX23" s="3507"/>
      <c r="LEY23" s="3507"/>
      <c r="LEZ23" s="3507"/>
      <c r="LFA23" s="3507"/>
      <c r="LFB23" s="3507"/>
      <c r="LFC23" s="3507"/>
      <c r="LFD23" s="3507"/>
      <c r="LFE23" s="3507"/>
      <c r="LFF23" s="3507"/>
      <c r="LFG23" s="3507"/>
      <c r="LFH23" s="3507"/>
      <c r="LFI23" s="3507"/>
      <c r="LFJ23" s="3507"/>
      <c r="LFK23" s="3507"/>
      <c r="LFL23" s="3507"/>
      <c r="LFM23" s="3507"/>
      <c r="LFN23" s="3507"/>
      <c r="LFO23" s="3507"/>
      <c r="LFP23" s="3507"/>
      <c r="LFQ23" s="3507"/>
      <c r="LFR23" s="3507"/>
      <c r="LFS23" s="3507"/>
      <c r="LFT23" s="3507"/>
      <c r="LFU23" s="3507"/>
      <c r="LFV23" s="3507"/>
      <c r="LFW23" s="3507"/>
      <c r="LFX23" s="3507"/>
      <c r="LFY23" s="3507"/>
      <c r="LFZ23" s="3507"/>
      <c r="LGA23" s="3507"/>
      <c r="LGB23" s="3507"/>
      <c r="LGC23" s="3507"/>
      <c r="LGD23" s="3507"/>
      <c r="LGE23" s="3507"/>
      <c r="LGF23" s="3507"/>
      <c r="LGG23" s="3507"/>
      <c r="LGH23" s="3507"/>
      <c r="LGI23" s="3507"/>
      <c r="LGJ23" s="3507"/>
      <c r="LGK23" s="3507"/>
      <c r="LGL23" s="3507"/>
      <c r="LGM23" s="3507"/>
      <c r="LGN23" s="3507"/>
      <c r="LGO23" s="3507"/>
      <c r="LGP23" s="3507"/>
      <c r="LGQ23" s="3507"/>
      <c r="LGR23" s="3507"/>
      <c r="LGS23" s="3507"/>
      <c r="LGT23" s="3507"/>
      <c r="LGU23" s="3507"/>
      <c r="LGV23" s="3507"/>
      <c r="LGW23" s="3507"/>
      <c r="LGX23" s="3507"/>
      <c r="LGY23" s="3507"/>
      <c r="LGZ23" s="3507"/>
      <c r="LHA23" s="3507"/>
      <c r="LHB23" s="3507"/>
      <c r="LHC23" s="3507"/>
      <c r="LHD23" s="3507"/>
      <c r="LHE23" s="3507"/>
      <c r="LHF23" s="3507"/>
      <c r="LHG23" s="3507"/>
      <c r="LHH23" s="3507"/>
      <c r="LHI23" s="3507"/>
      <c r="LHJ23" s="3507"/>
      <c r="LHK23" s="3507"/>
      <c r="LHL23" s="3507"/>
      <c r="LHM23" s="3507"/>
      <c r="LHN23" s="3507"/>
      <c r="LHO23" s="3507"/>
      <c r="LHP23" s="3507"/>
      <c r="LHQ23" s="3507"/>
      <c r="LHR23" s="3507"/>
      <c r="LHS23" s="3507"/>
      <c r="LHT23" s="3507"/>
      <c r="LHU23" s="3507"/>
      <c r="LHV23" s="3507"/>
      <c r="LHW23" s="3507"/>
      <c r="LHX23" s="3507"/>
      <c r="LHY23" s="3507"/>
      <c r="LHZ23" s="3507"/>
      <c r="LIA23" s="3507"/>
      <c r="LIB23" s="3507"/>
      <c r="LIC23" s="3507"/>
      <c r="LID23" s="3507"/>
      <c r="LIE23" s="3507"/>
      <c r="LIF23" s="3507"/>
      <c r="LIG23" s="3507"/>
      <c r="LIH23" s="3507"/>
      <c r="LII23" s="3507"/>
      <c r="LIJ23" s="3507"/>
      <c r="LIK23" s="3507"/>
      <c r="LIL23" s="3507"/>
      <c r="LIM23" s="3507"/>
      <c r="LIN23" s="3507"/>
      <c r="LIO23" s="3507"/>
      <c r="LIP23" s="3507"/>
      <c r="LIQ23" s="3507"/>
      <c r="LIR23" s="3507"/>
      <c r="LIS23" s="3507"/>
      <c r="LIT23" s="3507"/>
      <c r="LIU23" s="3507"/>
      <c r="LIV23" s="3507"/>
      <c r="LIW23" s="3507"/>
      <c r="LIX23" s="3507"/>
      <c r="LIY23" s="3507"/>
      <c r="LIZ23" s="3507"/>
      <c r="LJA23" s="3507"/>
      <c r="LJB23" s="3507"/>
      <c r="LJC23" s="3507"/>
      <c r="LJD23" s="3507"/>
      <c r="LJE23" s="3507"/>
      <c r="LJF23" s="3507"/>
      <c r="LJG23" s="3507"/>
      <c r="LJH23" s="3507"/>
      <c r="LJI23" s="3507"/>
      <c r="LJJ23" s="3507"/>
      <c r="LJK23" s="3507"/>
      <c r="LJL23" s="3507"/>
      <c r="LJM23" s="3507"/>
      <c r="LJN23" s="3507"/>
      <c r="LJO23" s="3507"/>
      <c r="LJP23" s="3507"/>
      <c r="LJQ23" s="3507"/>
      <c r="LJR23" s="3507"/>
      <c r="LJS23" s="3507"/>
      <c r="LJT23" s="3507"/>
      <c r="LJU23" s="3507"/>
      <c r="LJV23" s="3507"/>
      <c r="LJW23" s="3507"/>
      <c r="LJX23" s="3507"/>
      <c r="LJY23" s="3507"/>
      <c r="LJZ23" s="3507"/>
      <c r="LKA23" s="3507"/>
      <c r="LKB23" s="3507"/>
      <c r="LKC23" s="3507"/>
      <c r="LKD23" s="3507"/>
      <c r="LKE23" s="3507"/>
      <c r="LKF23" s="3507"/>
      <c r="LKG23" s="3507"/>
      <c r="LKH23" s="3507"/>
      <c r="LKI23" s="3507"/>
      <c r="LKJ23" s="3507"/>
      <c r="LKK23" s="3507"/>
      <c r="LKL23" s="3507"/>
      <c r="LKM23" s="3507"/>
      <c r="LKN23" s="3507"/>
      <c r="LKO23" s="3507"/>
      <c r="LKP23" s="3507"/>
      <c r="LKQ23" s="3507"/>
      <c r="LKR23" s="3507"/>
      <c r="LKS23" s="3507"/>
      <c r="LKT23" s="3507"/>
      <c r="LKU23" s="3507"/>
      <c r="LKV23" s="3507"/>
      <c r="LKW23" s="3507"/>
      <c r="LKX23" s="3507"/>
      <c r="LKY23" s="3507"/>
      <c r="LKZ23" s="3507"/>
      <c r="LLA23" s="3507"/>
      <c r="LLB23" s="3507"/>
      <c r="LLC23" s="3507"/>
      <c r="LLD23" s="3507"/>
      <c r="LLE23" s="3507"/>
      <c r="LLF23" s="3507"/>
      <c r="LLG23" s="3507"/>
      <c r="LLH23" s="3507"/>
      <c r="LLI23" s="3507"/>
      <c r="LLJ23" s="3507"/>
      <c r="LLK23" s="3507"/>
      <c r="LLL23" s="3507"/>
      <c r="LLM23" s="3507"/>
      <c r="LLN23" s="3507"/>
      <c r="LLO23" s="3507"/>
      <c r="LLP23" s="3507"/>
      <c r="LLQ23" s="3507"/>
      <c r="LLR23" s="3507"/>
      <c r="LLS23" s="3507"/>
      <c r="LLT23" s="3507"/>
      <c r="LLU23" s="3507"/>
      <c r="LLV23" s="3507"/>
      <c r="LLW23" s="3507"/>
      <c r="LLX23" s="3507"/>
      <c r="LLY23" s="3507"/>
      <c r="LLZ23" s="3507"/>
      <c r="LMA23" s="3507"/>
      <c r="LMB23" s="3507"/>
      <c r="LMC23" s="3507"/>
      <c r="LMD23" s="3507"/>
      <c r="LME23" s="3507"/>
      <c r="LMF23" s="3507"/>
      <c r="LMG23" s="3507"/>
      <c r="LMH23" s="3507"/>
      <c r="LMI23" s="3507"/>
      <c r="LMJ23" s="3507"/>
      <c r="LMK23" s="3507"/>
      <c r="LML23" s="3507"/>
      <c r="LMM23" s="3507"/>
      <c r="LMN23" s="3507"/>
      <c r="LMO23" s="3507"/>
      <c r="LMP23" s="3507"/>
      <c r="LMQ23" s="3507"/>
      <c r="LMR23" s="3507"/>
      <c r="LMS23" s="3507"/>
      <c r="LMT23" s="3507"/>
      <c r="LMU23" s="3507"/>
      <c r="LMV23" s="3507"/>
      <c r="LMW23" s="3507"/>
      <c r="LMX23" s="3507"/>
      <c r="LMY23" s="3507"/>
      <c r="LMZ23" s="3507"/>
      <c r="LNA23" s="3507"/>
      <c r="LNB23" s="3507"/>
      <c r="LNC23" s="3507"/>
      <c r="LND23" s="3507"/>
      <c r="LNE23" s="3507"/>
      <c r="LNF23" s="3507"/>
      <c r="LNG23" s="3507"/>
      <c r="LNH23" s="3507"/>
      <c r="LNI23" s="3507"/>
      <c r="LNJ23" s="3507"/>
      <c r="LNK23" s="3507"/>
      <c r="LNL23" s="3507"/>
      <c r="LNM23" s="3507"/>
      <c r="LNN23" s="3507"/>
      <c r="LNO23" s="3507"/>
      <c r="LNP23" s="3507"/>
      <c r="LNQ23" s="3507"/>
      <c r="LNR23" s="3507"/>
      <c r="LNS23" s="3507"/>
      <c r="LNT23" s="3507"/>
      <c r="LNU23" s="3507"/>
      <c r="LNV23" s="3507"/>
      <c r="LNW23" s="3507"/>
      <c r="LNX23" s="3507"/>
      <c r="LNY23" s="3507"/>
      <c r="LNZ23" s="3507"/>
      <c r="LOA23" s="3507"/>
      <c r="LOB23" s="3507"/>
      <c r="LOC23" s="3507"/>
      <c r="LOD23" s="3507"/>
      <c r="LOE23" s="3507"/>
      <c r="LOF23" s="3507"/>
      <c r="LOG23" s="3507"/>
      <c r="LOH23" s="3507"/>
      <c r="LOI23" s="3507"/>
      <c r="LOJ23" s="3507"/>
      <c r="LOK23" s="3507"/>
      <c r="LOL23" s="3507"/>
      <c r="LOM23" s="3507"/>
      <c r="LON23" s="3507"/>
      <c r="LOO23" s="3507"/>
      <c r="LOP23" s="3507"/>
      <c r="LOQ23" s="3507"/>
      <c r="LOR23" s="3507"/>
      <c r="LOS23" s="3507"/>
      <c r="LOT23" s="3507"/>
      <c r="LOU23" s="3507"/>
      <c r="LOV23" s="3507"/>
      <c r="LOW23" s="3507"/>
      <c r="LOX23" s="3507"/>
      <c r="LOY23" s="3507"/>
      <c r="LOZ23" s="3507"/>
      <c r="LPA23" s="3507"/>
      <c r="LPB23" s="3507"/>
      <c r="LPC23" s="3507"/>
      <c r="LPD23" s="3507"/>
      <c r="LPE23" s="3507"/>
      <c r="LPF23" s="3507"/>
      <c r="LPG23" s="3507"/>
      <c r="LPH23" s="3507"/>
      <c r="LPI23" s="3507"/>
      <c r="LPJ23" s="3507"/>
      <c r="LPK23" s="3507"/>
      <c r="LPL23" s="3507"/>
      <c r="LPM23" s="3507"/>
      <c r="LPN23" s="3507"/>
      <c r="LPO23" s="3507"/>
      <c r="LPP23" s="3507"/>
      <c r="LPQ23" s="3507"/>
      <c r="LPR23" s="3507"/>
      <c r="LPS23" s="3507"/>
      <c r="LPT23" s="3507"/>
      <c r="LPU23" s="3507"/>
      <c r="LPV23" s="3507"/>
      <c r="LPW23" s="3507"/>
      <c r="LPX23" s="3507"/>
      <c r="LPY23" s="3507"/>
      <c r="LPZ23" s="3507"/>
      <c r="LQA23" s="3507"/>
      <c r="LQB23" s="3507"/>
      <c r="LQC23" s="3507"/>
      <c r="LQD23" s="3507"/>
      <c r="LQE23" s="3507"/>
      <c r="LQF23" s="3507"/>
      <c r="LQG23" s="3507"/>
      <c r="LQH23" s="3507"/>
      <c r="LQI23" s="3507"/>
      <c r="LQJ23" s="3507"/>
      <c r="LQK23" s="3507"/>
      <c r="LQL23" s="3507"/>
      <c r="LQM23" s="3507"/>
      <c r="LQN23" s="3507"/>
      <c r="LQO23" s="3507"/>
      <c r="LQP23" s="3507"/>
      <c r="LQQ23" s="3507"/>
      <c r="LQR23" s="3507"/>
      <c r="LQS23" s="3507"/>
      <c r="LQT23" s="3507"/>
      <c r="LQU23" s="3507"/>
      <c r="LQV23" s="3507"/>
      <c r="LQW23" s="3507"/>
      <c r="LQX23" s="3507"/>
      <c r="LQY23" s="3507"/>
      <c r="LQZ23" s="3507"/>
      <c r="LRA23" s="3507"/>
      <c r="LRB23" s="3507"/>
      <c r="LRC23" s="3507"/>
      <c r="LRD23" s="3507"/>
      <c r="LRE23" s="3507"/>
      <c r="LRF23" s="3507"/>
      <c r="LRG23" s="3507"/>
      <c r="LRH23" s="3507"/>
      <c r="LRI23" s="3507"/>
      <c r="LRJ23" s="3507"/>
      <c r="LRK23" s="3507"/>
      <c r="LRL23" s="3507"/>
      <c r="LRM23" s="3507"/>
      <c r="LRN23" s="3507"/>
      <c r="LRO23" s="3507"/>
      <c r="LRP23" s="3507"/>
      <c r="LRQ23" s="3507"/>
      <c r="LRR23" s="3507"/>
      <c r="LRS23" s="3507"/>
      <c r="LRT23" s="3507"/>
      <c r="LRU23" s="3507"/>
      <c r="LRV23" s="3507"/>
      <c r="LRW23" s="3507"/>
      <c r="LRX23" s="3507"/>
      <c r="LRY23" s="3507"/>
      <c r="LRZ23" s="3507"/>
      <c r="LSA23" s="3507"/>
      <c r="LSB23" s="3507"/>
      <c r="LSC23" s="3507"/>
      <c r="LSD23" s="3507"/>
      <c r="LSE23" s="3507"/>
      <c r="LSF23" s="3507"/>
      <c r="LSG23" s="3507"/>
      <c r="LSH23" s="3507"/>
      <c r="LSI23" s="3507"/>
      <c r="LSJ23" s="3507"/>
      <c r="LSK23" s="3507"/>
      <c r="LSL23" s="3507"/>
      <c r="LSM23" s="3507"/>
      <c r="LSN23" s="3507"/>
      <c r="LSO23" s="3507"/>
      <c r="LSP23" s="3507"/>
      <c r="LSQ23" s="3507"/>
      <c r="LSR23" s="3507"/>
      <c r="LSS23" s="3507"/>
      <c r="LST23" s="3507"/>
      <c r="LSU23" s="3507"/>
      <c r="LSV23" s="3507"/>
      <c r="LSW23" s="3507"/>
      <c r="LSX23" s="3507"/>
      <c r="LSY23" s="3507"/>
      <c r="LSZ23" s="3507"/>
      <c r="LTA23" s="3507"/>
      <c r="LTB23" s="3507"/>
      <c r="LTC23" s="3507"/>
      <c r="LTD23" s="3507"/>
      <c r="LTE23" s="3507"/>
      <c r="LTF23" s="3507"/>
      <c r="LTG23" s="3507"/>
      <c r="LTH23" s="3507"/>
      <c r="LTI23" s="3507"/>
      <c r="LTJ23" s="3507"/>
      <c r="LTK23" s="3507"/>
      <c r="LTL23" s="3507"/>
      <c r="LTM23" s="3507"/>
      <c r="LTN23" s="3507"/>
      <c r="LTO23" s="3507"/>
      <c r="LTP23" s="3507"/>
      <c r="LTQ23" s="3507"/>
      <c r="LTR23" s="3507"/>
      <c r="LTS23" s="3507"/>
      <c r="LTT23" s="3507"/>
      <c r="LTU23" s="3507"/>
      <c r="LTV23" s="3507"/>
      <c r="LTW23" s="3507"/>
      <c r="LTX23" s="3507"/>
      <c r="LTY23" s="3507"/>
      <c r="LTZ23" s="3507"/>
      <c r="LUA23" s="3507"/>
      <c r="LUB23" s="3507"/>
      <c r="LUC23" s="3507"/>
      <c r="LUD23" s="3507"/>
      <c r="LUE23" s="3507"/>
      <c r="LUF23" s="3507"/>
      <c r="LUG23" s="3507"/>
      <c r="LUH23" s="3507"/>
      <c r="LUI23" s="3507"/>
      <c r="LUJ23" s="3507"/>
      <c r="LUK23" s="3507"/>
      <c r="LUL23" s="3507"/>
      <c r="LUM23" s="3507"/>
      <c r="LUN23" s="3507"/>
      <c r="LUO23" s="3507"/>
      <c r="LUP23" s="3507"/>
      <c r="LUQ23" s="3507"/>
      <c r="LUR23" s="3507"/>
      <c r="LUS23" s="3507"/>
      <c r="LUT23" s="3507"/>
      <c r="LUU23" s="3507"/>
      <c r="LUV23" s="3507"/>
      <c r="LUW23" s="3507"/>
      <c r="LUX23" s="3507"/>
      <c r="LUY23" s="3507"/>
      <c r="LUZ23" s="3507"/>
      <c r="LVA23" s="3507"/>
      <c r="LVB23" s="3507"/>
      <c r="LVC23" s="3507"/>
      <c r="LVD23" s="3507"/>
      <c r="LVE23" s="3507"/>
      <c r="LVF23" s="3507"/>
      <c r="LVG23" s="3507"/>
      <c r="LVH23" s="3507"/>
      <c r="LVI23" s="3507"/>
      <c r="LVJ23" s="3507"/>
      <c r="LVK23" s="3507"/>
      <c r="LVL23" s="3507"/>
      <c r="LVM23" s="3507"/>
      <c r="LVN23" s="3507"/>
      <c r="LVO23" s="3507"/>
      <c r="LVP23" s="3507"/>
      <c r="LVQ23" s="3507"/>
      <c r="LVR23" s="3507"/>
      <c r="LVS23" s="3507"/>
      <c r="LVT23" s="3507"/>
      <c r="LVU23" s="3507"/>
      <c r="LVV23" s="3507"/>
      <c r="LVW23" s="3507"/>
      <c r="LVX23" s="3507"/>
      <c r="LVY23" s="3507"/>
      <c r="LVZ23" s="3507"/>
      <c r="LWA23" s="3507"/>
      <c r="LWB23" s="3507"/>
      <c r="LWC23" s="3507"/>
      <c r="LWD23" s="3507"/>
      <c r="LWE23" s="3507"/>
      <c r="LWF23" s="3507"/>
      <c r="LWG23" s="3507"/>
      <c r="LWH23" s="3507"/>
      <c r="LWI23" s="3507"/>
      <c r="LWJ23" s="3507"/>
      <c r="LWK23" s="3507"/>
      <c r="LWL23" s="3507"/>
      <c r="LWM23" s="3507"/>
      <c r="LWN23" s="3507"/>
      <c r="LWO23" s="3507"/>
      <c r="LWP23" s="3507"/>
      <c r="LWQ23" s="3507"/>
      <c r="LWR23" s="3507"/>
      <c r="LWS23" s="3507"/>
      <c r="LWT23" s="3507"/>
      <c r="LWU23" s="3507"/>
      <c r="LWV23" s="3507"/>
      <c r="LWW23" s="3507"/>
      <c r="LWX23" s="3507"/>
      <c r="LWY23" s="3507"/>
      <c r="LWZ23" s="3507"/>
      <c r="LXA23" s="3507"/>
      <c r="LXB23" s="3507"/>
      <c r="LXC23" s="3507"/>
      <c r="LXD23" s="3507"/>
      <c r="LXE23" s="3507"/>
      <c r="LXF23" s="3507"/>
      <c r="LXG23" s="3507"/>
      <c r="LXH23" s="3507"/>
      <c r="LXI23" s="3507"/>
      <c r="LXJ23" s="3507"/>
      <c r="LXK23" s="3507"/>
      <c r="LXL23" s="3507"/>
      <c r="LXM23" s="3507"/>
      <c r="LXN23" s="3507"/>
      <c r="LXO23" s="3507"/>
      <c r="LXP23" s="3507"/>
      <c r="LXQ23" s="3507"/>
      <c r="LXR23" s="3507"/>
      <c r="LXS23" s="3507"/>
      <c r="LXT23" s="3507"/>
      <c r="LXU23" s="3507"/>
      <c r="LXV23" s="3507"/>
      <c r="LXW23" s="3507"/>
      <c r="LXX23" s="3507"/>
      <c r="LXY23" s="3507"/>
      <c r="LXZ23" s="3507"/>
      <c r="LYA23" s="3507"/>
      <c r="LYB23" s="3507"/>
      <c r="LYC23" s="3507"/>
      <c r="LYD23" s="3507"/>
      <c r="LYE23" s="3507"/>
      <c r="LYF23" s="3507"/>
      <c r="LYG23" s="3507"/>
      <c r="LYH23" s="3507"/>
      <c r="LYI23" s="3507"/>
      <c r="LYJ23" s="3507"/>
      <c r="LYK23" s="3507"/>
      <c r="LYL23" s="3507"/>
      <c r="LYM23" s="3507"/>
      <c r="LYN23" s="3507"/>
      <c r="LYO23" s="3507"/>
      <c r="LYP23" s="3507"/>
      <c r="LYQ23" s="3507"/>
      <c r="LYR23" s="3507"/>
      <c r="LYS23" s="3507"/>
      <c r="LYT23" s="3507"/>
      <c r="LYU23" s="3507"/>
      <c r="LYV23" s="3507"/>
      <c r="LYW23" s="3507"/>
      <c r="LYX23" s="3507"/>
      <c r="LYY23" s="3507"/>
      <c r="LYZ23" s="3507"/>
      <c r="LZA23" s="3507"/>
      <c r="LZB23" s="3507"/>
      <c r="LZC23" s="3507"/>
      <c r="LZD23" s="3507"/>
      <c r="LZE23" s="3507"/>
      <c r="LZF23" s="3507"/>
      <c r="LZG23" s="3507"/>
      <c r="LZH23" s="3507"/>
      <c r="LZI23" s="3507"/>
      <c r="LZJ23" s="3507"/>
      <c r="LZK23" s="3507"/>
      <c r="LZL23" s="3507"/>
      <c r="LZM23" s="3507"/>
      <c r="LZN23" s="3507"/>
      <c r="LZO23" s="3507"/>
      <c r="LZP23" s="3507"/>
      <c r="LZQ23" s="3507"/>
      <c r="LZR23" s="3507"/>
      <c r="LZS23" s="3507"/>
      <c r="LZT23" s="3507"/>
      <c r="LZU23" s="3507"/>
      <c r="LZV23" s="3507"/>
      <c r="LZW23" s="3507"/>
      <c r="LZX23" s="3507"/>
      <c r="LZY23" s="3507"/>
      <c r="LZZ23" s="3507"/>
      <c r="MAA23" s="3507"/>
      <c r="MAB23" s="3507"/>
      <c r="MAC23" s="3507"/>
      <c r="MAD23" s="3507"/>
      <c r="MAE23" s="3507"/>
      <c r="MAF23" s="3507"/>
      <c r="MAG23" s="3507"/>
      <c r="MAH23" s="3507"/>
      <c r="MAI23" s="3507"/>
      <c r="MAJ23" s="3507"/>
      <c r="MAK23" s="3507"/>
      <c r="MAL23" s="3507"/>
      <c r="MAM23" s="3507"/>
      <c r="MAN23" s="3507"/>
      <c r="MAO23" s="3507"/>
      <c r="MAP23" s="3507"/>
      <c r="MAQ23" s="3507"/>
      <c r="MAR23" s="3507"/>
      <c r="MAS23" s="3507"/>
      <c r="MAT23" s="3507"/>
      <c r="MAU23" s="3507"/>
      <c r="MAV23" s="3507"/>
      <c r="MAW23" s="3507"/>
      <c r="MAX23" s="3507"/>
      <c r="MAY23" s="3507"/>
      <c r="MAZ23" s="3507"/>
      <c r="MBA23" s="3507"/>
      <c r="MBB23" s="3507"/>
      <c r="MBC23" s="3507"/>
      <c r="MBD23" s="3507"/>
      <c r="MBE23" s="3507"/>
      <c r="MBF23" s="3507"/>
      <c r="MBG23" s="3507"/>
      <c r="MBH23" s="3507"/>
      <c r="MBI23" s="3507"/>
      <c r="MBJ23" s="3507"/>
      <c r="MBK23" s="3507"/>
      <c r="MBL23" s="3507"/>
      <c r="MBM23" s="3507"/>
      <c r="MBN23" s="3507"/>
      <c r="MBO23" s="3507"/>
      <c r="MBP23" s="3507"/>
      <c r="MBQ23" s="3507"/>
      <c r="MBR23" s="3507"/>
      <c r="MBS23" s="3507"/>
      <c r="MBT23" s="3507"/>
      <c r="MBU23" s="3507"/>
      <c r="MBV23" s="3507"/>
      <c r="MBW23" s="3507"/>
      <c r="MBX23" s="3507"/>
      <c r="MBY23" s="3507"/>
      <c r="MBZ23" s="3507"/>
      <c r="MCA23" s="3507"/>
      <c r="MCB23" s="3507"/>
      <c r="MCC23" s="3507"/>
      <c r="MCD23" s="3507"/>
      <c r="MCE23" s="3507"/>
      <c r="MCF23" s="3507"/>
      <c r="MCG23" s="3507"/>
      <c r="MCH23" s="3507"/>
      <c r="MCI23" s="3507"/>
      <c r="MCJ23" s="3507"/>
      <c r="MCK23" s="3507"/>
      <c r="MCL23" s="3507"/>
      <c r="MCM23" s="3507"/>
      <c r="MCN23" s="3507"/>
      <c r="MCO23" s="3507"/>
      <c r="MCP23" s="3507"/>
      <c r="MCQ23" s="3507"/>
      <c r="MCR23" s="3507"/>
      <c r="MCS23" s="3507"/>
      <c r="MCT23" s="3507"/>
      <c r="MCU23" s="3507"/>
      <c r="MCV23" s="3507"/>
      <c r="MCW23" s="3507"/>
      <c r="MCX23" s="3507"/>
      <c r="MCY23" s="3507"/>
      <c r="MCZ23" s="3507"/>
      <c r="MDA23" s="3507"/>
      <c r="MDB23" s="3507"/>
      <c r="MDC23" s="3507"/>
      <c r="MDD23" s="3507"/>
      <c r="MDE23" s="3507"/>
      <c r="MDF23" s="3507"/>
      <c r="MDG23" s="3507"/>
      <c r="MDH23" s="3507"/>
      <c r="MDI23" s="3507"/>
      <c r="MDJ23" s="3507"/>
      <c r="MDK23" s="3507"/>
      <c r="MDL23" s="3507"/>
      <c r="MDM23" s="3507"/>
      <c r="MDN23" s="3507"/>
      <c r="MDO23" s="3507"/>
      <c r="MDP23" s="3507"/>
      <c r="MDQ23" s="3507"/>
      <c r="MDR23" s="3507"/>
      <c r="MDS23" s="3507"/>
      <c r="MDT23" s="3507"/>
      <c r="MDU23" s="3507"/>
      <c r="MDV23" s="3507"/>
      <c r="MDW23" s="3507"/>
      <c r="MDX23" s="3507"/>
      <c r="MDY23" s="3507"/>
      <c r="MDZ23" s="3507"/>
      <c r="MEA23" s="3507"/>
      <c r="MEB23" s="3507"/>
      <c r="MEC23" s="3507"/>
      <c r="MED23" s="3507"/>
      <c r="MEE23" s="3507"/>
      <c r="MEF23" s="3507"/>
      <c r="MEG23" s="3507"/>
      <c r="MEH23" s="3507"/>
      <c r="MEI23" s="3507"/>
      <c r="MEJ23" s="3507"/>
      <c r="MEK23" s="3507"/>
      <c r="MEL23" s="3507"/>
      <c r="MEM23" s="3507"/>
      <c r="MEN23" s="3507"/>
      <c r="MEO23" s="3507"/>
      <c r="MEP23" s="3507"/>
      <c r="MEQ23" s="3507"/>
      <c r="MER23" s="3507"/>
      <c r="MES23" s="3507"/>
      <c r="MET23" s="3507"/>
      <c r="MEU23" s="3507"/>
      <c r="MEV23" s="3507"/>
      <c r="MEW23" s="3507"/>
      <c r="MEX23" s="3507"/>
      <c r="MEY23" s="3507"/>
      <c r="MEZ23" s="3507"/>
      <c r="MFA23" s="3507"/>
      <c r="MFB23" s="3507"/>
      <c r="MFC23" s="3507"/>
      <c r="MFD23" s="3507"/>
      <c r="MFE23" s="3507"/>
      <c r="MFF23" s="3507"/>
      <c r="MFG23" s="3507"/>
      <c r="MFH23" s="3507"/>
      <c r="MFI23" s="3507"/>
      <c r="MFJ23" s="3507"/>
      <c r="MFK23" s="3507"/>
      <c r="MFL23" s="3507"/>
      <c r="MFM23" s="3507"/>
      <c r="MFN23" s="3507"/>
      <c r="MFO23" s="3507"/>
      <c r="MFP23" s="3507"/>
      <c r="MFQ23" s="3507"/>
      <c r="MFR23" s="3507"/>
      <c r="MFS23" s="3507"/>
      <c r="MFT23" s="3507"/>
      <c r="MFU23" s="3507"/>
      <c r="MFV23" s="3507"/>
      <c r="MFW23" s="3507"/>
      <c r="MFX23" s="3507"/>
      <c r="MFY23" s="3507"/>
      <c r="MFZ23" s="3507"/>
      <c r="MGA23" s="3507"/>
      <c r="MGB23" s="3507"/>
      <c r="MGC23" s="3507"/>
      <c r="MGD23" s="3507"/>
      <c r="MGE23" s="3507"/>
      <c r="MGF23" s="3507"/>
      <c r="MGG23" s="3507"/>
      <c r="MGH23" s="3507"/>
      <c r="MGI23" s="3507"/>
      <c r="MGJ23" s="3507"/>
      <c r="MGK23" s="3507"/>
      <c r="MGL23" s="3507"/>
      <c r="MGM23" s="3507"/>
      <c r="MGN23" s="3507"/>
      <c r="MGO23" s="3507"/>
      <c r="MGP23" s="3507"/>
      <c r="MGQ23" s="3507"/>
      <c r="MGR23" s="3507"/>
      <c r="MGS23" s="3507"/>
      <c r="MGT23" s="3507"/>
      <c r="MGU23" s="3507"/>
      <c r="MGV23" s="3507"/>
      <c r="MGW23" s="3507"/>
      <c r="MGX23" s="3507"/>
      <c r="MGY23" s="3507"/>
      <c r="MGZ23" s="3507"/>
      <c r="MHA23" s="3507"/>
      <c r="MHB23" s="3507"/>
      <c r="MHC23" s="3507"/>
      <c r="MHD23" s="3507"/>
      <c r="MHE23" s="3507"/>
      <c r="MHF23" s="3507"/>
      <c r="MHG23" s="3507"/>
      <c r="MHH23" s="3507"/>
      <c r="MHI23" s="3507"/>
      <c r="MHJ23" s="3507"/>
      <c r="MHK23" s="3507"/>
      <c r="MHL23" s="3507"/>
      <c r="MHM23" s="3507"/>
      <c r="MHN23" s="3507"/>
      <c r="MHO23" s="3507"/>
      <c r="MHP23" s="3507"/>
      <c r="MHQ23" s="3507"/>
      <c r="MHR23" s="3507"/>
      <c r="MHS23" s="3507"/>
      <c r="MHT23" s="3507"/>
      <c r="MHU23" s="3507"/>
      <c r="MHV23" s="3507"/>
      <c r="MHW23" s="3507"/>
      <c r="MHX23" s="3507"/>
      <c r="MHY23" s="3507"/>
      <c r="MHZ23" s="3507"/>
      <c r="MIA23" s="3507"/>
      <c r="MIB23" s="3507"/>
      <c r="MIC23" s="3507"/>
      <c r="MID23" s="3507"/>
      <c r="MIE23" s="3507"/>
      <c r="MIF23" s="3507"/>
      <c r="MIG23" s="3507"/>
      <c r="MIH23" s="3507"/>
      <c r="MII23" s="3507"/>
      <c r="MIJ23" s="3507"/>
      <c r="MIK23" s="3507"/>
      <c r="MIL23" s="3507"/>
      <c r="MIM23" s="3507"/>
      <c r="MIN23" s="3507"/>
      <c r="MIO23" s="3507"/>
      <c r="MIP23" s="3507"/>
      <c r="MIQ23" s="3507"/>
      <c r="MIR23" s="3507"/>
      <c r="MIS23" s="3507"/>
      <c r="MIT23" s="3507"/>
      <c r="MIU23" s="3507"/>
      <c r="MIV23" s="3507"/>
      <c r="MIW23" s="3507"/>
      <c r="MIX23" s="3507"/>
      <c r="MIY23" s="3507"/>
      <c r="MIZ23" s="3507"/>
      <c r="MJA23" s="3507"/>
      <c r="MJB23" s="3507"/>
      <c r="MJC23" s="3507"/>
      <c r="MJD23" s="3507"/>
      <c r="MJE23" s="3507"/>
      <c r="MJF23" s="3507"/>
      <c r="MJG23" s="3507"/>
      <c r="MJH23" s="3507"/>
      <c r="MJI23" s="3507"/>
      <c r="MJJ23" s="3507"/>
      <c r="MJK23" s="3507"/>
      <c r="MJL23" s="3507"/>
      <c r="MJM23" s="3507"/>
      <c r="MJN23" s="3507"/>
      <c r="MJO23" s="3507"/>
      <c r="MJP23" s="3507"/>
      <c r="MJQ23" s="3507"/>
      <c r="MJR23" s="3507"/>
      <c r="MJS23" s="3507"/>
      <c r="MJT23" s="3507"/>
      <c r="MJU23" s="3507"/>
      <c r="MJV23" s="3507"/>
      <c r="MJW23" s="3507"/>
      <c r="MJX23" s="3507"/>
      <c r="MJY23" s="3507"/>
      <c r="MJZ23" s="3507"/>
      <c r="MKA23" s="3507"/>
      <c r="MKB23" s="3507"/>
      <c r="MKC23" s="3507"/>
      <c r="MKD23" s="3507"/>
      <c r="MKE23" s="3507"/>
      <c r="MKF23" s="3507"/>
      <c r="MKG23" s="3507"/>
      <c r="MKH23" s="3507"/>
      <c r="MKI23" s="3507"/>
      <c r="MKJ23" s="3507"/>
      <c r="MKK23" s="3507"/>
      <c r="MKL23" s="3507"/>
      <c r="MKM23" s="3507"/>
      <c r="MKN23" s="3507"/>
      <c r="MKO23" s="3507"/>
      <c r="MKP23" s="3507"/>
      <c r="MKQ23" s="3507"/>
      <c r="MKR23" s="3507"/>
      <c r="MKS23" s="3507"/>
      <c r="MKT23" s="3507"/>
      <c r="MKU23" s="3507"/>
      <c r="MKV23" s="3507"/>
      <c r="MKW23" s="3507"/>
      <c r="MKX23" s="3507"/>
      <c r="MKY23" s="3507"/>
      <c r="MKZ23" s="3507"/>
      <c r="MLA23" s="3507"/>
      <c r="MLB23" s="3507"/>
      <c r="MLC23" s="3507"/>
      <c r="MLD23" s="3507"/>
      <c r="MLE23" s="3507"/>
      <c r="MLF23" s="3507"/>
      <c r="MLG23" s="3507"/>
      <c r="MLH23" s="3507"/>
      <c r="MLI23" s="3507"/>
      <c r="MLJ23" s="3507"/>
      <c r="MLK23" s="3507"/>
      <c r="MLL23" s="3507"/>
      <c r="MLM23" s="3507"/>
      <c r="MLN23" s="3507"/>
      <c r="MLO23" s="3507"/>
      <c r="MLP23" s="3507"/>
      <c r="MLQ23" s="3507"/>
      <c r="MLR23" s="3507"/>
      <c r="MLS23" s="3507"/>
      <c r="MLT23" s="3507"/>
      <c r="MLU23" s="3507"/>
      <c r="MLV23" s="3507"/>
      <c r="MLW23" s="3507"/>
      <c r="MLX23" s="3507"/>
      <c r="MLY23" s="3507"/>
      <c r="MLZ23" s="3507"/>
      <c r="MMA23" s="3507"/>
      <c r="MMB23" s="3507"/>
      <c r="MMC23" s="3507"/>
      <c r="MMD23" s="3507"/>
      <c r="MME23" s="3507"/>
      <c r="MMF23" s="3507"/>
      <c r="MMG23" s="3507"/>
      <c r="MMH23" s="3507"/>
      <c r="MMI23" s="3507"/>
      <c r="MMJ23" s="3507"/>
      <c r="MMK23" s="3507"/>
      <c r="MML23" s="3507"/>
      <c r="MMM23" s="3507"/>
      <c r="MMN23" s="3507"/>
      <c r="MMO23" s="3507"/>
      <c r="MMP23" s="3507"/>
      <c r="MMQ23" s="3507"/>
      <c r="MMR23" s="3507"/>
      <c r="MMS23" s="3507"/>
      <c r="MMT23" s="3507"/>
      <c r="MMU23" s="3507"/>
      <c r="MMV23" s="3507"/>
      <c r="MMW23" s="3507"/>
      <c r="MMX23" s="3507"/>
      <c r="MMY23" s="3507"/>
      <c r="MMZ23" s="3507"/>
      <c r="MNA23" s="3507"/>
      <c r="MNB23" s="3507"/>
      <c r="MNC23" s="3507"/>
      <c r="MND23" s="3507"/>
      <c r="MNE23" s="3507"/>
      <c r="MNF23" s="3507"/>
      <c r="MNG23" s="3507"/>
      <c r="MNH23" s="3507"/>
      <c r="MNI23" s="3507"/>
      <c r="MNJ23" s="3507"/>
      <c r="MNK23" s="3507"/>
      <c r="MNL23" s="3507"/>
      <c r="MNM23" s="3507"/>
      <c r="MNN23" s="3507"/>
      <c r="MNO23" s="3507"/>
      <c r="MNP23" s="3507"/>
      <c r="MNQ23" s="3507"/>
      <c r="MNR23" s="3507"/>
      <c r="MNS23" s="3507"/>
      <c r="MNT23" s="3507"/>
      <c r="MNU23" s="3507"/>
      <c r="MNV23" s="3507"/>
      <c r="MNW23" s="3507"/>
      <c r="MNX23" s="3507"/>
      <c r="MNY23" s="3507"/>
      <c r="MNZ23" s="3507"/>
      <c r="MOA23" s="3507"/>
      <c r="MOB23" s="3507"/>
      <c r="MOC23" s="3507"/>
      <c r="MOD23" s="3507"/>
      <c r="MOE23" s="3507"/>
      <c r="MOF23" s="3507"/>
      <c r="MOG23" s="3507"/>
      <c r="MOH23" s="3507"/>
      <c r="MOI23" s="3507"/>
      <c r="MOJ23" s="3507"/>
      <c r="MOK23" s="3507"/>
      <c r="MOL23" s="3507"/>
      <c r="MOM23" s="3507"/>
      <c r="MON23" s="3507"/>
      <c r="MOO23" s="3507"/>
      <c r="MOP23" s="3507"/>
      <c r="MOQ23" s="3507"/>
      <c r="MOR23" s="3507"/>
      <c r="MOS23" s="3507"/>
      <c r="MOT23" s="3507"/>
      <c r="MOU23" s="3507"/>
      <c r="MOV23" s="3507"/>
      <c r="MOW23" s="3507"/>
      <c r="MOX23" s="3507"/>
      <c r="MOY23" s="3507"/>
      <c r="MOZ23" s="3507"/>
      <c r="MPA23" s="3507"/>
      <c r="MPB23" s="3507"/>
      <c r="MPC23" s="3507"/>
      <c r="MPD23" s="3507"/>
      <c r="MPE23" s="3507"/>
      <c r="MPF23" s="3507"/>
      <c r="MPG23" s="3507"/>
      <c r="MPH23" s="3507"/>
      <c r="MPI23" s="3507"/>
      <c r="MPJ23" s="3507"/>
      <c r="MPK23" s="3507"/>
      <c r="MPL23" s="3507"/>
      <c r="MPM23" s="3507"/>
      <c r="MPN23" s="3507"/>
      <c r="MPO23" s="3507"/>
      <c r="MPP23" s="3507"/>
      <c r="MPQ23" s="3507"/>
      <c r="MPR23" s="3507"/>
      <c r="MPS23" s="3507"/>
      <c r="MPT23" s="3507"/>
      <c r="MPU23" s="3507"/>
      <c r="MPV23" s="3507"/>
      <c r="MPW23" s="3507"/>
      <c r="MPX23" s="3507"/>
      <c r="MPY23" s="3507"/>
      <c r="MPZ23" s="3507"/>
      <c r="MQA23" s="3507"/>
      <c r="MQB23" s="3507"/>
      <c r="MQC23" s="3507"/>
      <c r="MQD23" s="3507"/>
      <c r="MQE23" s="3507"/>
      <c r="MQF23" s="3507"/>
      <c r="MQG23" s="3507"/>
      <c r="MQH23" s="3507"/>
      <c r="MQI23" s="3507"/>
      <c r="MQJ23" s="3507"/>
      <c r="MQK23" s="3507"/>
      <c r="MQL23" s="3507"/>
      <c r="MQM23" s="3507"/>
      <c r="MQN23" s="3507"/>
      <c r="MQO23" s="3507"/>
      <c r="MQP23" s="3507"/>
      <c r="MQQ23" s="3507"/>
      <c r="MQR23" s="3507"/>
      <c r="MQS23" s="3507"/>
      <c r="MQT23" s="3507"/>
      <c r="MQU23" s="3507"/>
      <c r="MQV23" s="3507"/>
      <c r="MQW23" s="3507"/>
      <c r="MQX23" s="3507"/>
      <c r="MQY23" s="3507"/>
      <c r="MQZ23" s="3507"/>
      <c r="MRA23" s="3507"/>
      <c r="MRB23" s="3507"/>
      <c r="MRC23" s="3507"/>
      <c r="MRD23" s="3507"/>
      <c r="MRE23" s="3507"/>
      <c r="MRF23" s="3507"/>
      <c r="MRG23" s="3507"/>
      <c r="MRH23" s="3507"/>
      <c r="MRI23" s="3507"/>
      <c r="MRJ23" s="3507"/>
      <c r="MRK23" s="3507"/>
      <c r="MRL23" s="3507"/>
      <c r="MRM23" s="3507"/>
      <c r="MRN23" s="3507"/>
      <c r="MRO23" s="3507"/>
      <c r="MRP23" s="3507"/>
      <c r="MRQ23" s="3507"/>
      <c r="MRR23" s="3507"/>
      <c r="MRS23" s="3507"/>
      <c r="MRT23" s="3507"/>
      <c r="MRU23" s="3507"/>
      <c r="MRV23" s="3507"/>
      <c r="MRW23" s="3507"/>
      <c r="MRX23" s="3507"/>
      <c r="MRY23" s="3507"/>
      <c r="MRZ23" s="3507"/>
      <c r="MSA23" s="3507"/>
      <c r="MSB23" s="3507"/>
      <c r="MSC23" s="3507"/>
      <c r="MSD23" s="3507"/>
      <c r="MSE23" s="3507"/>
      <c r="MSF23" s="3507"/>
      <c r="MSG23" s="3507"/>
      <c r="MSH23" s="3507"/>
      <c r="MSI23" s="3507"/>
      <c r="MSJ23" s="3507"/>
      <c r="MSK23" s="3507"/>
      <c r="MSL23" s="3507"/>
      <c r="MSM23" s="3507"/>
      <c r="MSN23" s="3507"/>
      <c r="MSO23" s="3507"/>
      <c r="MSP23" s="3507"/>
      <c r="MSQ23" s="3507"/>
      <c r="MSR23" s="3507"/>
      <c r="MSS23" s="3507"/>
      <c r="MST23" s="3507"/>
      <c r="MSU23" s="3507"/>
      <c r="MSV23" s="3507"/>
      <c r="MSW23" s="3507"/>
      <c r="MSX23" s="3507"/>
      <c r="MSY23" s="3507"/>
      <c r="MSZ23" s="3507"/>
      <c r="MTA23" s="3507"/>
      <c r="MTB23" s="3507"/>
      <c r="MTC23" s="3507"/>
      <c r="MTD23" s="3507"/>
      <c r="MTE23" s="3507"/>
      <c r="MTF23" s="3507"/>
      <c r="MTG23" s="3507"/>
      <c r="MTH23" s="3507"/>
      <c r="MTI23" s="3507"/>
      <c r="MTJ23" s="3507"/>
      <c r="MTK23" s="3507"/>
      <c r="MTL23" s="3507"/>
      <c r="MTM23" s="3507"/>
      <c r="MTN23" s="3507"/>
      <c r="MTO23" s="3507"/>
      <c r="MTP23" s="3507"/>
      <c r="MTQ23" s="3507"/>
      <c r="MTR23" s="3507"/>
      <c r="MTS23" s="3507"/>
      <c r="MTT23" s="3507"/>
      <c r="MTU23" s="3507"/>
      <c r="MTV23" s="3507"/>
      <c r="MTW23" s="3507"/>
      <c r="MTX23" s="3507"/>
      <c r="MTY23" s="3507"/>
      <c r="MTZ23" s="3507"/>
      <c r="MUA23" s="3507"/>
      <c r="MUB23" s="3507"/>
      <c r="MUC23" s="3507"/>
      <c r="MUD23" s="3507"/>
      <c r="MUE23" s="3507"/>
      <c r="MUF23" s="3507"/>
      <c r="MUG23" s="3507"/>
      <c r="MUH23" s="3507"/>
      <c r="MUI23" s="3507"/>
      <c r="MUJ23" s="3507"/>
      <c r="MUK23" s="3507"/>
      <c r="MUL23" s="3507"/>
      <c r="MUM23" s="3507"/>
      <c r="MUN23" s="3507"/>
      <c r="MUO23" s="3507"/>
      <c r="MUP23" s="3507"/>
      <c r="MUQ23" s="3507"/>
      <c r="MUR23" s="3507"/>
      <c r="MUS23" s="3507"/>
      <c r="MUT23" s="3507"/>
      <c r="MUU23" s="3507"/>
      <c r="MUV23" s="3507"/>
      <c r="MUW23" s="3507"/>
      <c r="MUX23" s="3507"/>
      <c r="MUY23" s="3507"/>
      <c r="MUZ23" s="3507"/>
      <c r="MVA23" s="3507"/>
      <c r="MVB23" s="3507"/>
      <c r="MVC23" s="3507"/>
      <c r="MVD23" s="3507"/>
      <c r="MVE23" s="3507"/>
      <c r="MVF23" s="3507"/>
      <c r="MVG23" s="3507"/>
      <c r="MVH23" s="3507"/>
      <c r="MVI23" s="3507"/>
      <c r="MVJ23" s="3507"/>
      <c r="MVK23" s="3507"/>
      <c r="MVL23" s="3507"/>
      <c r="MVM23" s="3507"/>
      <c r="MVN23" s="3507"/>
      <c r="MVO23" s="3507"/>
      <c r="MVP23" s="3507"/>
      <c r="MVQ23" s="3507"/>
      <c r="MVR23" s="3507"/>
      <c r="MVS23" s="3507"/>
      <c r="MVT23" s="3507"/>
      <c r="MVU23" s="3507"/>
      <c r="MVV23" s="3507"/>
      <c r="MVW23" s="3507"/>
      <c r="MVX23" s="3507"/>
      <c r="MVY23" s="3507"/>
      <c r="MVZ23" s="3507"/>
      <c r="MWA23" s="3507"/>
      <c r="MWB23" s="3507"/>
      <c r="MWC23" s="3507"/>
      <c r="MWD23" s="3507"/>
      <c r="MWE23" s="3507"/>
      <c r="MWF23" s="3507"/>
      <c r="MWG23" s="3507"/>
      <c r="MWH23" s="3507"/>
      <c r="MWI23" s="3507"/>
      <c r="MWJ23" s="3507"/>
      <c r="MWK23" s="3507"/>
      <c r="MWL23" s="3507"/>
      <c r="MWM23" s="3507"/>
      <c r="MWN23" s="3507"/>
      <c r="MWO23" s="3507"/>
      <c r="MWP23" s="3507"/>
      <c r="MWQ23" s="3507"/>
      <c r="MWR23" s="3507"/>
      <c r="MWS23" s="3507"/>
      <c r="MWT23" s="3507"/>
      <c r="MWU23" s="3507"/>
      <c r="MWV23" s="3507"/>
      <c r="MWW23" s="3507"/>
      <c r="MWX23" s="3507"/>
      <c r="MWY23" s="3507"/>
      <c r="MWZ23" s="3507"/>
      <c r="MXA23" s="3507"/>
      <c r="MXB23" s="3507"/>
      <c r="MXC23" s="3507"/>
      <c r="MXD23" s="3507"/>
      <c r="MXE23" s="3507"/>
      <c r="MXF23" s="3507"/>
      <c r="MXG23" s="3507"/>
      <c r="MXH23" s="3507"/>
      <c r="MXI23" s="3507"/>
      <c r="MXJ23" s="3507"/>
      <c r="MXK23" s="3507"/>
      <c r="MXL23" s="3507"/>
      <c r="MXM23" s="3507"/>
      <c r="MXN23" s="3507"/>
      <c r="MXO23" s="3507"/>
      <c r="MXP23" s="3507"/>
      <c r="MXQ23" s="3507"/>
      <c r="MXR23" s="3507"/>
      <c r="MXS23" s="3507"/>
      <c r="MXT23" s="3507"/>
      <c r="MXU23" s="3507"/>
      <c r="MXV23" s="3507"/>
      <c r="MXW23" s="3507"/>
      <c r="MXX23" s="3507"/>
      <c r="MXY23" s="3507"/>
      <c r="MXZ23" s="3507"/>
      <c r="MYA23" s="3507"/>
      <c r="MYB23" s="3507"/>
      <c r="MYC23" s="3507"/>
      <c r="MYD23" s="3507"/>
      <c r="MYE23" s="3507"/>
      <c r="MYF23" s="3507"/>
      <c r="MYG23" s="3507"/>
      <c r="MYH23" s="3507"/>
      <c r="MYI23" s="3507"/>
      <c r="MYJ23" s="3507"/>
      <c r="MYK23" s="3507"/>
      <c r="MYL23" s="3507"/>
      <c r="MYM23" s="3507"/>
      <c r="MYN23" s="3507"/>
      <c r="MYO23" s="3507"/>
      <c r="MYP23" s="3507"/>
      <c r="MYQ23" s="3507"/>
      <c r="MYR23" s="3507"/>
      <c r="MYS23" s="3507"/>
      <c r="MYT23" s="3507"/>
      <c r="MYU23" s="3507"/>
      <c r="MYV23" s="3507"/>
      <c r="MYW23" s="3507"/>
      <c r="MYX23" s="3507"/>
      <c r="MYY23" s="3507"/>
      <c r="MYZ23" s="3507"/>
      <c r="MZA23" s="3507"/>
      <c r="MZB23" s="3507"/>
      <c r="MZC23" s="3507"/>
      <c r="MZD23" s="3507"/>
      <c r="MZE23" s="3507"/>
      <c r="MZF23" s="3507"/>
      <c r="MZG23" s="3507"/>
      <c r="MZH23" s="3507"/>
      <c r="MZI23" s="3507"/>
      <c r="MZJ23" s="3507"/>
      <c r="MZK23" s="3507"/>
      <c r="MZL23" s="3507"/>
      <c r="MZM23" s="3507"/>
      <c r="MZN23" s="3507"/>
      <c r="MZO23" s="3507"/>
      <c r="MZP23" s="3507"/>
      <c r="MZQ23" s="3507"/>
      <c r="MZR23" s="3507"/>
      <c r="MZS23" s="3507"/>
      <c r="MZT23" s="3507"/>
      <c r="MZU23" s="3507"/>
      <c r="MZV23" s="3507"/>
      <c r="MZW23" s="3507"/>
      <c r="MZX23" s="3507"/>
      <c r="MZY23" s="3507"/>
      <c r="MZZ23" s="3507"/>
      <c r="NAA23" s="3507"/>
      <c r="NAB23" s="3507"/>
      <c r="NAC23" s="3507"/>
      <c r="NAD23" s="3507"/>
      <c r="NAE23" s="3507"/>
      <c r="NAF23" s="3507"/>
      <c r="NAG23" s="3507"/>
      <c r="NAH23" s="3507"/>
      <c r="NAI23" s="3507"/>
      <c r="NAJ23" s="3507"/>
      <c r="NAK23" s="3507"/>
      <c r="NAL23" s="3507"/>
      <c r="NAM23" s="3507"/>
      <c r="NAN23" s="3507"/>
      <c r="NAO23" s="3507"/>
      <c r="NAP23" s="3507"/>
      <c r="NAQ23" s="3507"/>
      <c r="NAR23" s="3507"/>
      <c r="NAS23" s="3507"/>
      <c r="NAT23" s="3507"/>
      <c r="NAU23" s="3507"/>
      <c r="NAV23" s="3507"/>
      <c r="NAW23" s="3507"/>
      <c r="NAX23" s="3507"/>
      <c r="NAY23" s="3507"/>
      <c r="NAZ23" s="3507"/>
      <c r="NBA23" s="3507"/>
      <c r="NBB23" s="3507"/>
      <c r="NBC23" s="3507"/>
      <c r="NBD23" s="3507"/>
      <c r="NBE23" s="3507"/>
      <c r="NBF23" s="3507"/>
      <c r="NBG23" s="3507"/>
      <c r="NBH23" s="3507"/>
      <c r="NBI23" s="3507"/>
      <c r="NBJ23" s="3507"/>
      <c r="NBK23" s="3507"/>
      <c r="NBL23" s="3507"/>
      <c r="NBM23" s="3507"/>
      <c r="NBN23" s="3507"/>
      <c r="NBO23" s="3507"/>
      <c r="NBP23" s="3507"/>
      <c r="NBQ23" s="3507"/>
      <c r="NBR23" s="3507"/>
      <c r="NBS23" s="3507"/>
      <c r="NBT23" s="3507"/>
      <c r="NBU23" s="3507"/>
      <c r="NBV23" s="3507"/>
      <c r="NBW23" s="3507"/>
      <c r="NBX23" s="3507"/>
      <c r="NBY23" s="3507"/>
      <c r="NBZ23" s="3507"/>
      <c r="NCA23" s="3507"/>
      <c r="NCB23" s="3507"/>
      <c r="NCC23" s="3507"/>
      <c r="NCD23" s="3507"/>
      <c r="NCE23" s="3507"/>
      <c r="NCF23" s="3507"/>
      <c r="NCG23" s="3507"/>
      <c r="NCH23" s="3507"/>
      <c r="NCI23" s="3507"/>
      <c r="NCJ23" s="3507"/>
      <c r="NCK23" s="3507"/>
      <c r="NCL23" s="3507"/>
      <c r="NCM23" s="3507"/>
      <c r="NCN23" s="3507"/>
      <c r="NCO23" s="3507"/>
      <c r="NCP23" s="3507"/>
      <c r="NCQ23" s="3507"/>
      <c r="NCR23" s="3507"/>
      <c r="NCS23" s="3507"/>
      <c r="NCT23" s="3507"/>
      <c r="NCU23" s="3507"/>
      <c r="NCV23" s="3507"/>
      <c r="NCW23" s="3507"/>
      <c r="NCX23" s="3507"/>
      <c r="NCY23" s="3507"/>
      <c r="NCZ23" s="3507"/>
      <c r="NDA23" s="3507"/>
      <c r="NDB23" s="3507"/>
      <c r="NDC23" s="3507"/>
      <c r="NDD23" s="3507"/>
      <c r="NDE23" s="3507"/>
      <c r="NDF23" s="3507"/>
      <c r="NDG23" s="3507"/>
      <c r="NDH23" s="3507"/>
      <c r="NDI23" s="3507"/>
      <c r="NDJ23" s="3507"/>
      <c r="NDK23" s="3507"/>
      <c r="NDL23" s="3507"/>
      <c r="NDM23" s="3507"/>
      <c r="NDN23" s="3507"/>
      <c r="NDO23" s="3507"/>
      <c r="NDP23" s="3507"/>
      <c r="NDQ23" s="3507"/>
      <c r="NDR23" s="3507"/>
      <c r="NDS23" s="3507"/>
      <c r="NDT23" s="3507"/>
      <c r="NDU23" s="3507"/>
      <c r="NDV23" s="3507"/>
      <c r="NDW23" s="3507"/>
      <c r="NDX23" s="3507"/>
      <c r="NDY23" s="3507"/>
      <c r="NDZ23" s="3507"/>
      <c r="NEA23" s="3507"/>
      <c r="NEB23" s="3507"/>
      <c r="NEC23" s="3507"/>
      <c r="NED23" s="3507"/>
      <c r="NEE23" s="3507"/>
      <c r="NEF23" s="3507"/>
      <c r="NEG23" s="3507"/>
      <c r="NEH23" s="3507"/>
      <c r="NEI23" s="3507"/>
      <c r="NEJ23" s="3507"/>
      <c r="NEK23" s="3507"/>
      <c r="NEL23" s="3507"/>
      <c r="NEM23" s="3507"/>
      <c r="NEN23" s="3507"/>
      <c r="NEO23" s="3507"/>
      <c r="NEP23" s="3507"/>
      <c r="NEQ23" s="3507"/>
      <c r="NER23" s="3507"/>
      <c r="NES23" s="3507"/>
      <c r="NET23" s="3507"/>
      <c r="NEU23" s="3507"/>
      <c r="NEV23" s="3507"/>
      <c r="NEW23" s="3507"/>
      <c r="NEX23" s="3507"/>
      <c r="NEY23" s="3507"/>
      <c r="NEZ23" s="3507"/>
      <c r="NFA23" s="3507"/>
      <c r="NFB23" s="3507"/>
      <c r="NFC23" s="3507"/>
      <c r="NFD23" s="3507"/>
      <c r="NFE23" s="3507"/>
      <c r="NFF23" s="3507"/>
      <c r="NFG23" s="3507"/>
      <c r="NFH23" s="3507"/>
      <c r="NFI23" s="3507"/>
      <c r="NFJ23" s="3507"/>
      <c r="NFK23" s="3507"/>
      <c r="NFL23" s="3507"/>
      <c r="NFM23" s="3507"/>
      <c r="NFN23" s="3507"/>
      <c r="NFO23" s="3507"/>
      <c r="NFP23" s="3507"/>
      <c r="NFQ23" s="3507"/>
      <c r="NFR23" s="3507"/>
      <c r="NFS23" s="3507"/>
      <c r="NFT23" s="3507"/>
      <c r="NFU23" s="3507"/>
      <c r="NFV23" s="3507"/>
      <c r="NFW23" s="3507"/>
      <c r="NFX23" s="3507"/>
      <c r="NFY23" s="3507"/>
      <c r="NFZ23" s="3507"/>
      <c r="NGA23" s="3507"/>
      <c r="NGB23" s="3507"/>
      <c r="NGC23" s="3507"/>
      <c r="NGD23" s="3507"/>
      <c r="NGE23" s="3507"/>
      <c r="NGF23" s="3507"/>
      <c r="NGG23" s="3507"/>
      <c r="NGH23" s="3507"/>
      <c r="NGI23" s="3507"/>
      <c r="NGJ23" s="3507"/>
      <c r="NGK23" s="3507"/>
      <c r="NGL23" s="3507"/>
      <c r="NGM23" s="3507"/>
      <c r="NGN23" s="3507"/>
      <c r="NGO23" s="3507"/>
      <c r="NGP23" s="3507"/>
      <c r="NGQ23" s="3507"/>
      <c r="NGR23" s="3507"/>
      <c r="NGS23" s="3507"/>
      <c r="NGT23" s="3507"/>
      <c r="NGU23" s="3507"/>
      <c r="NGV23" s="3507"/>
      <c r="NGW23" s="3507"/>
      <c r="NGX23" s="3507"/>
      <c r="NGY23" s="3507"/>
      <c r="NGZ23" s="3507"/>
      <c r="NHA23" s="3507"/>
      <c r="NHB23" s="3507"/>
      <c r="NHC23" s="3507"/>
      <c r="NHD23" s="3507"/>
      <c r="NHE23" s="3507"/>
      <c r="NHF23" s="3507"/>
      <c r="NHG23" s="3507"/>
      <c r="NHH23" s="3507"/>
      <c r="NHI23" s="3507"/>
      <c r="NHJ23" s="3507"/>
      <c r="NHK23" s="3507"/>
      <c r="NHL23" s="3507"/>
      <c r="NHM23" s="3507"/>
      <c r="NHN23" s="3507"/>
      <c r="NHO23" s="3507"/>
      <c r="NHP23" s="3507"/>
      <c r="NHQ23" s="3507"/>
      <c r="NHR23" s="3507"/>
      <c r="NHS23" s="3507"/>
      <c r="NHT23" s="3507"/>
      <c r="NHU23" s="3507"/>
      <c r="NHV23" s="3507"/>
      <c r="NHW23" s="3507"/>
      <c r="NHX23" s="3507"/>
      <c r="NHY23" s="3507"/>
      <c r="NHZ23" s="3507"/>
      <c r="NIA23" s="3507"/>
      <c r="NIB23" s="3507"/>
      <c r="NIC23" s="3507"/>
      <c r="NID23" s="3507"/>
      <c r="NIE23" s="3507"/>
      <c r="NIF23" s="3507"/>
      <c r="NIG23" s="3507"/>
      <c r="NIH23" s="3507"/>
      <c r="NII23" s="3507"/>
      <c r="NIJ23" s="3507"/>
      <c r="NIK23" s="3507"/>
      <c r="NIL23" s="3507"/>
      <c r="NIM23" s="3507"/>
      <c r="NIN23" s="3507"/>
      <c r="NIO23" s="3507"/>
      <c r="NIP23" s="3507"/>
      <c r="NIQ23" s="3507"/>
      <c r="NIR23" s="3507"/>
      <c r="NIS23" s="3507"/>
      <c r="NIT23" s="3507"/>
      <c r="NIU23" s="3507"/>
      <c r="NIV23" s="3507"/>
      <c r="NIW23" s="3507"/>
      <c r="NIX23" s="3507"/>
      <c r="NIY23" s="3507"/>
      <c r="NIZ23" s="3507"/>
      <c r="NJA23" s="3507"/>
      <c r="NJB23" s="3507"/>
      <c r="NJC23" s="3507"/>
      <c r="NJD23" s="3507"/>
      <c r="NJE23" s="3507"/>
      <c r="NJF23" s="3507"/>
      <c r="NJG23" s="3507"/>
      <c r="NJH23" s="3507"/>
      <c r="NJI23" s="3507"/>
      <c r="NJJ23" s="3507"/>
      <c r="NJK23" s="3507"/>
      <c r="NJL23" s="3507"/>
      <c r="NJM23" s="3507"/>
      <c r="NJN23" s="3507"/>
      <c r="NJO23" s="3507"/>
      <c r="NJP23" s="3507"/>
      <c r="NJQ23" s="3507"/>
      <c r="NJR23" s="3507"/>
      <c r="NJS23" s="3507"/>
      <c r="NJT23" s="3507"/>
      <c r="NJU23" s="3507"/>
      <c r="NJV23" s="3507"/>
      <c r="NJW23" s="3507"/>
      <c r="NJX23" s="3507"/>
      <c r="NJY23" s="3507"/>
      <c r="NJZ23" s="3507"/>
      <c r="NKA23" s="3507"/>
      <c r="NKB23" s="3507"/>
      <c r="NKC23" s="3507"/>
      <c r="NKD23" s="3507"/>
      <c r="NKE23" s="3507"/>
      <c r="NKF23" s="3507"/>
      <c r="NKG23" s="3507"/>
      <c r="NKH23" s="3507"/>
      <c r="NKI23" s="3507"/>
      <c r="NKJ23" s="3507"/>
      <c r="NKK23" s="3507"/>
      <c r="NKL23" s="3507"/>
      <c r="NKM23" s="3507"/>
      <c r="NKN23" s="3507"/>
      <c r="NKO23" s="3507"/>
      <c r="NKP23" s="3507"/>
      <c r="NKQ23" s="3507"/>
      <c r="NKR23" s="3507"/>
      <c r="NKS23" s="3507"/>
      <c r="NKT23" s="3507"/>
      <c r="NKU23" s="3507"/>
      <c r="NKV23" s="3507"/>
      <c r="NKW23" s="3507"/>
      <c r="NKX23" s="3507"/>
      <c r="NKY23" s="3507"/>
      <c r="NKZ23" s="3507"/>
      <c r="NLA23" s="3507"/>
      <c r="NLB23" s="3507"/>
      <c r="NLC23" s="3507"/>
      <c r="NLD23" s="3507"/>
      <c r="NLE23" s="3507"/>
      <c r="NLF23" s="3507"/>
      <c r="NLG23" s="3507"/>
      <c r="NLH23" s="3507"/>
      <c r="NLI23" s="3507"/>
      <c r="NLJ23" s="3507"/>
      <c r="NLK23" s="3507"/>
      <c r="NLL23" s="3507"/>
      <c r="NLM23" s="3507"/>
      <c r="NLN23" s="3507"/>
      <c r="NLO23" s="3507"/>
      <c r="NLP23" s="3507"/>
      <c r="NLQ23" s="3507"/>
      <c r="NLR23" s="3507"/>
      <c r="NLS23" s="3507"/>
      <c r="NLT23" s="3507"/>
      <c r="NLU23" s="3507"/>
      <c r="NLV23" s="3507"/>
      <c r="NLW23" s="3507"/>
      <c r="NLX23" s="3507"/>
      <c r="NLY23" s="3507"/>
      <c r="NLZ23" s="3507"/>
      <c r="NMA23" s="3507"/>
      <c r="NMB23" s="3507"/>
      <c r="NMC23" s="3507"/>
      <c r="NMD23" s="3507"/>
      <c r="NME23" s="3507"/>
      <c r="NMF23" s="3507"/>
      <c r="NMG23" s="3507"/>
      <c r="NMH23" s="3507"/>
      <c r="NMI23" s="3507"/>
      <c r="NMJ23" s="3507"/>
      <c r="NMK23" s="3507"/>
      <c r="NML23" s="3507"/>
      <c r="NMM23" s="3507"/>
      <c r="NMN23" s="3507"/>
      <c r="NMO23" s="3507"/>
      <c r="NMP23" s="3507"/>
      <c r="NMQ23" s="3507"/>
      <c r="NMR23" s="3507"/>
      <c r="NMS23" s="3507"/>
      <c r="NMT23" s="3507"/>
      <c r="NMU23" s="3507"/>
      <c r="NMV23" s="3507"/>
      <c r="NMW23" s="3507"/>
      <c r="NMX23" s="3507"/>
      <c r="NMY23" s="3507"/>
      <c r="NMZ23" s="3507"/>
      <c r="NNA23" s="3507"/>
      <c r="NNB23" s="3507"/>
      <c r="NNC23" s="3507"/>
      <c r="NND23" s="3507"/>
      <c r="NNE23" s="3507"/>
      <c r="NNF23" s="3507"/>
      <c r="NNG23" s="3507"/>
      <c r="NNH23" s="3507"/>
      <c r="NNI23" s="3507"/>
      <c r="NNJ23" s="3507"/>
      <c r="NNK23" s="3507"/>
      <c r="NNL23" s="3507"/>
      <c r="NNM23" s="3507"/>
      <c r="NNN23" s="3507"/>
      <c r="NNO23" s="3507"/>
      <c r="NNP23" s="3507"/>
      <c r="NNQ23" s="3507"/>
      <c r="NNR23" s="3507"/>
      <c r="NNS23" s="3507"/>
      <c r="NNT23" s="3507"/>
      <c r="NNU23" s="3507"/>
      <c r="NNV23" s="3507"/>
      <c r="NNW23" s="3507"/>
      <c r="NNX23" s="3507"/>
      <c r="NNY23" s="3507"/>
      <c r="NNZ23" s="3507"/>
      <c r="NOA23" s="3507"/>
      <c r="NOB23" s="3507"/>
      <c r="NOC23" s="3507"/>
      <c r="NOD23" s="3507"/>
      <c r="NOE23" s="3507"/>
      <c r="NOF23" s="3507"/>
      <c r="NOG23" s="3507"/>
      <c r="NOH23" s="3507"/>
      <c r="NOI23" s="3507"/>
      <c r="NOJ23" s="3507"/>
      <c r="NOK23" s="3507"/>
      <c r="NOL23" s="3507"/>
      <c r="NOM23" s="3507"/>
      <c r="NON23" s="3507"/>
      <c r="NOO23" s="3507"/>
      <c r="NOP23" s="3507"/>
      <c r="NOQ23" s="3507"/>
      <c r="NOR23" s="3507"/>
      <c r="NOS23" s="3507"/>
      <c r="NOT23" s="3507"/>
      <c r="NOU23" s="3507"/>
      <c r="NOV23" s="3507"/>
      <c r="NOW23" s="3507"/>
      <c r="NOX23" s="3507"/>
      <c r="NOY23" s="3507"/>
      <c r="NOZ23" s="3507"/>
      <c r="NPA23" s="3507"/>
      <c r="NPB23" s="3507"/>
      <c r="NPC23" s="3507"/>
      <c r="NPD23" s="3507"/>
      <c r="NPE23" s="3507"/>
      <c r="NPF23" s="3507"/>
      <c r="NPG23" s="3507"/>
      <c r="NPH23" s="3507"/>
      <c r="NPI23" s="3507"/>
      <c r="NPJ23" s="3507"/>
      <c r="NPK23" s="3507"/>
      <c r="NPL23" s="3507"/>
      <c r="NPM23" s="3507"/>
      <c r="NPN23" s="3507"/>
      <c r="NPO23" s="3507"/>
      <c r="NPP23" s="3507"/>
      <c r="NPQ23" s="3507"/>
      <c r="NPR23" s="3507"/>
      <c r="NPS23" s="3507"/>
      <c r="NPT23" s="3507"/>
      <c r="NPU23" s="3507"/>
      <c r="NPV23" s="3507"/>
      <c r="NPW23" s="3507"/>
      <c r="NPX23" s="3507"/>
      <c r="NPY23" s="3507"/>
      <c r="NPZ23" s="3507"/>
      <c r="NQA23" s="3507"/>
      <c r="NQB23" s="3507"/>
      <c r="NQC23" s="3507"/>
      <c r="NQD23" s="3507"/>
      <c r="NQE23" s="3507"/>
      <c r="NQF23" s="3507"/>
      <c r="NQG23" s="3507"/>
      <c r="NQH23" s="3507"/>
      <c r="NQI23" s="3507"/>
      <c r="NQJ23" s="3507"/>
      <c r="NQK23" s="3507"/>
      <c r="NQL23" s="3507"/>
      <c r="NQM23" s="3507"/>
      <c r="NQN23" s="3507"/>
      <c r="NQO23" s="3507"/>
      <c r="NQP23" s="3507"/>
      <c r="NQQ23" s="3507"/>
      <c r="NQR23" s="3507"/>
      <c r="NQS23" s="3507"/>
      <c r="NQT23" s="3507"/>
      <c r="NQU23" s="3507"/>
      <c r="NQV23" s="3507"/>
      <c r="NQW23" s="3507"/>
      <c r="NQX23" s="3507"/>
      <c r="NQY23" s="3507"/>
      <c r="NQZ23" s="3507"/>
      <c r="NRA23" s="3507"/>
      <c r="NRB23" s="3507"/>
      <c r="NRC23" s="3507"/>
      <c r="NRD23" s="3507"/>
      <c r="NRE23" s="3507"/>
      <c r="NRF23" s="3507"/>
      <c r="NRG23" s="3507"/>
      <c r="NRH23" s="3507"/>
      <c r="NRI23" s="3507"/>
      <c r="NRJ23" s="3507"/>
      <c r="NRK23" s="3507"/>
      <c r="NRL23" s="3507"/>
      <c r="NRM23" s="3507"/>
      <c r="NRN23" s="3507"/>
      <c r="NRO23" s="3507"/>
      <c r="NRP23" s="3507"/>
      <c r="NRQ23" s="3507"/>
      <c r="NRR23" s="3507"/>
      <c r="NRS23" s="3507"/>
      <c r="NRT23" s="3507"/>
      <c r="NRU23" s="3507"/>
      <c r="NRV23" s="3507"/>
      <c r="NRW23" s="3507"/>
      <c r="NRX23" s="3507"/>
      <c r="NRY23" s="3507"/>
      <c r="NRZ23" s="3507"/>
      <c r="NSA23" s="3507"/>
      <c r="NSB23" s="3507"/>
      <c r="NSC23" s="3507"/>
      <c r="NSD23" s="3507"/>
      <c r="NSE23" s="3507"/>
      <c r="NSF23" s="3507"/>
      <c r="NSG23" s="3507"/>
      <c r="NSH23" s="3507"/>
      <c r="NSI23" s="3507"/>
      <c r="NSJ23" s="3507"/>
      <c r="NSK23" s="3507"/>
      <c r="NSL23" s="3507"/>
      <c r="NSM23" s="3507"/>
      <c r="NSN23" s="3507"/>
      <c r="NSO23" s="3507"/>
      <c r="NSP23" s="3507"/>
      <c r="NSQ23" s="3507"/>
      <c r="NSR23" s="3507"/>
      <c r="NSS23" s="3507"/>
      <c r="NST23" s="3507"/>
      <c r="NSU23" s="3507"/>
      <c r="NSV23" s="3507"/>
      <c r="NSW23" s="3507"/>
      <c r="NSX23" s="3507"/>
      <c r="NSY23" s="3507"/>
      <c r="NSZ23" s="3507"/>
      <c r="NTA23" s="3507"/>
      <c r="NTB23" s="3507"/>
      <c r="NTC23" s="3507"/>
      <c r="NTD23" s="3507"/>
      <c r="NTE23" s="3507"/>
      <c r="NTF23" s="3507"/>
      <c r="NTG23" s="3507"/>
      <c r="NTH23" s="3507"/>
      <c r="NTI23" s="3507"/>
      <c r="NTJ23" s="3507"/>
      <c r="NTK23" s="3507"/>
      <c r="NTL23" s="3507"/>
      <c r="NTM23" s="3507"/>
      <c r="NTN23" s="3507"/>
      <c r="NTO23" s="3507"/>
      <c r="NTP23" s="3507"/>
      <c r="NTQ23" s="3507"/>
      <c r="NTR23" s="3507"/>
      <c r="NTS23" s="3507"/>
      <c r="NTT23" s="3507"/>
      <c r="NTU23" s="3507"/>
      <c r="NTV23" s="3507"/>
      <c r="NTW23" s="3507"/>
      <c r="NTX23" s="3507"/>
      <c r="NTY23" s="3507"/>
      <c r="NTZ23" s="3507"/>
      <c r="NUA23" s="3507"/>
      <c r="NUB23" s="3507"/>
      <c r="NUC23" s="3507"/>
      <c r="NUD23" s="3507"/>
      <c r="NUE23" s="3507"/>
      <c r="NUF23" s="3507"/>
      <c r="NUG23" s="3507"/>
      <c r="NUH23" s="3507"/>
      <c r="NUI23" s="3507"/>
      <c r="NUJ23" s="3507"/>
      <c r="NUK23" s="3507"/>
      <c r="NUL23" s="3507"/>
      <c r="NUM23" s="3507"/>
      <c r="NUN23" s="3507"/>
      <c r="NUO23" s="3507"/>
      <c r="NUP23" s="3507"/>
      <c r="NUQ23" s="3507"/>
      <c r="NUR23" s="3507"/>
      <c r="NUS23" s="3507"/>
      <c r="NUT23" s="3507"/>
      <c r="NUU23" s="3507"/>
      <c r="NUV23" s="3507"/>
      <c r="NUW23" s="3507"/>
      <c r="NUX23" s="3507"/>
      <c r="NUY23" s="3507"/>
      <c r="NUZ23" s="3507"/>
      <c r="NVA23" s="3507"/>
      <c r="NVB23" s="3507"/>
      <c r="NVC23" s="3507"/>
      <c r="NVD23" s="3507"/>
      <c r="NVE23" s="3507"/>
      <c r="NVF23" s="3507"/>
      <c r="NVG23" s="3507"/>
      <c r="NVH23" s="3507"/>
      <c r="NVI23" s="3507"/>
      <c r="NVJ23" s="3507"/>
      <c r="NVK23" s="3507"/>
      <c r="NVL23" s="3507"/>
      <c r="NVM23" s="3507"/>
      <c r="NVN23" s="3507"/>
      <c r="NVO23" s="3507"/>
      <c r="NVP23" s="3507"/>
      <c r="NVQ23" s="3507"/>
      <c r="NVR23" s="3507"/>
      <c r="NVS23" s="3507"/>
      <c r="NVT23" s="3507"/>
      <c r="NVU23" s="3507"/>
      <c r="NVV23" s="3507"/>
      <c r="NVW23" s="3507"/>
      <c r="NVX23" s="3507"/>
      <c r="NVY23" s="3507"/>
      <c r="NVZ23" s="3507"/>
      <c r="NWA23" s="3507"/>
      <c r="NWB23" s="3507"/>
      <c r="NWC23" s="3507"/>
      <c r="NWD23" s="3507"/>
      <c r="NWE23" s="3507"/>
      <c r="NWF23" s="3507"/>
      <c r="NWG23" s="3507"/>
      <c r="NWH23" s="3507"/>
      <c r="NWI23" s="3507"/>
      <c r="NWJ23" s="3507"/>
      <c r="NWK23" s="3507"/>
      <c r="NWL23" s="3507"/>
      <c r="NWM23" s="3507"/>
      <c r="NWN23" s="3507"/>
      <c r="NWO23" s="3507"/>
      <c r="NWP23" s="3507"/>
      <c r="NWQ23" s="3507"/>
      <c r="NWR23" s="3507"/>
      <c r="NWS23" s="3507"/>
      <c r="NWT23" s="3507"/>
      <c r="NWU23" s="3507"/>
      <c r="NWV23" s="3507"/>
      <c r="NWW23" s="3507"/>
      <c r="NWX23" s="3507"/>
      <c r="NWY23" s="3507"/>
      <c r="NWZ23" s="3507"/>
      <c r="NXA23" s="3507"/>
      <c r="NXB23" s="3507"/>
      <c r="NXC23" s="3507"/>
      <c r="NXD23" s="3507"/>
      <c r="NXE23" s="3507"/>
      <c r="NXF23" s="3507"/>
      <c r="NXG23" s="3507"/>
      <c r="NXH23" s="3507"/>
      <c r="NXI23" s="3507"/>
      <c r="NXJ23" s="3507"/>
      <c r="NXK23" s="3507"/>
      <c r="NXL23" s="3507"/>
      <c r="NXM23" s="3507"/>
      <c r="NXN23" s="3507"/>
      <c r="NXO23" s="3507"/>
      <c r="NXP23" s="3507"/>
      <c r="NXQ23" s="3507"/>
      <c r="NXR23" s="3507"/>
      <c r="NXS23" s="3507"/>
      <c r="NXT23" s="3507"/>
      <c r="NXU23" s="3507"/>
      <c r="NXV23" s="3507"/>
      <c r="NXW23" s="3507"/>
      <c r="NXX23" s="3507"/>
      <c r="NXY23" s="3507"/>
      <c r="NXZ23" s="3507"/>
      <c r="NYA23" s="3507"/>
      <c r="NYB23" s="3507"/>
      <c r="NYC23" s="3507"/>
      <c r="NYD23" s="3507"/>
      <c r="NYE23" s="3507"/>
      <c r="NYF23" s="3507"/>
      <c r="NYG23" s="3507"/>
      <c r="NYH23" s="3507"/>
      <c r="NYI23" s="3507"/>
      <c r="NYJ23" s="3507"/>
      <c r="NYK23" s="3507"/>
      <c r="NYL23" s="3507"/>
      <c r="NYM23" s="3507"/>
      <c r="NYN23" s="3507"/>
      <c r="NYO23" s="3507"/>
      <c r="NYP23" s="3507"/>
      <c r="NYQ23" s="3507"/>
      <c r="NYR23" s="3507"/>
      <c r="NYS23" s="3507"/>
      <c r="NYT23" s="3507"/>
      <c r="NYU23" s="3507"/>
      <c r="NYV23" s="3507"/>
      <c r="NYW23" s="3507"/>
      <c r="NYX23" s="3507"/>
      <c r="NYY23" s="3507"/>
      <c r="NYZ23" s="3507"/>
      <c r="NZA23" s="3507"/>
      <c r="NZB23" s="3507"/>
      <c r="NZC23" s="3507"/>
      <c r="NZD23" s="3507"/>
      <c r="NZE23" s="3507"/>
      <c r="NZF23" s="3507"/>
      <c r="NZG23" s="3507"/>
      <c r="NZH23" s="3507"/>
      <c r="NZI23" s="3507"/>
      <c r="NZJ23" s="3507"/>
      <c r="NZK23" s="3507"/>
      <c r="NZL23" s="3507"/>
      <c r="NZM23" s="3507"/>
      <c r="NZN23" s="3507"/>
      <c r="NZO23" s="3507"/>
      <c r="NZP23" s="3507"/>
      <c r="NZQ23" s="3507"/>
      <c r="NZR23" s="3507"/>
      <c r="NZS23" s="3507"/>
      <c r="NZT23" s="3507"/>
      <c r="NZU23" s="3507"/>
      <c r="NZV23" s="3507"/>
      <c r="NZW23" s="3507"/>
      <c r="NZX23" s="3507"/>
      <c r="NZY23" s="3507"/>
      <c r="NZZ23" s="3507"/>
      <c r="OAA23" s="3507"/>
      <c r="OAB23" s="3507"/>
      <c r="OAC23" s="3507"/>
      <c r="OAD23" s="3507"/>
      <c r="OAE23" s="3507"/>
      <c r="OAF23" s="3507"/>
      <c r="OAG23" s="3507"/>
      <c r="OAH23" s="3507"/>
      <c r="OAI23" s="3507"/>
      <c r="OAJ23" s="3507"/>
      <c r="OAK23" s="3507"/>
      <c r="OAL23" s="3507"/>
      <c r="OAM23" s="3507"/>
      <c r="OAN23" s="3507"/>
      <c r="OAO23" s="3507"/>
      <c r="OAP23" s="3507"/>
      <c r="OAQ23" s="3507"/>
      <c r="OAR23" s="3507"/>
      <c r="OAS23" s="3507"/>
      <c r="OAT23" s="3507"/>
      <c r="OAU23" s="3507"/>
      <c r="OAV23" s="3507"/>
      <c r="OAW23" s="3507"/>
      <c r="OAX23" s="3507"/>
      <c r="OAY23" s="3507"/>
      <c r="OAZ23" s="3507"/>
      <c r="OBA23" s="3507"/>
      <c r="OBB23" s="3507"/>
      <c r="OBC23" s="3507"/>
      <c r="OBD23" s="3507"/>
      <c r="OBE23" s="3507"/>
      <c r="OBF23" s="3507"/>
      <c r="OBG23" s="3507"/>
      <c r="OBH23" s="3507"/>
      <c r="OBI23" s="3507"/>
      <c r="OBJ23" s="3507"/>
      <c r="OBK23" s="3507"/>
      <c r="OBL23" s="3507"/>
      <c r="OBM23" s="3507"/>
      <c r="OBN23" s="3507"/>
      <c r="OBO23" s="3507"/>
      <c r="OBP23" s="3507"/>
      <c r="OBQ23" s="3507"/>
      <c r="OBR23" s="3507"/>
      <c r="OBS23" s="3507"/>
      <c r="OBT23" s="3507"/>
      <c r="OBU23" s="3507"/>
      <c r="OBV23" s="3507"/>
      <c r="OBW23" s="3507"/>
      <c r="OBX23" s="3507"/>
      <c r="OBY23" s="3507"/>
      <c r="OBZ23" s="3507"/>
      <c r="OCA23" s="3507"/>
      <c r="OCB23" s="3507"/>
      <c r="OCC23" s="3507"/>
      <c r="OCD23" s="3507"/>
      <c r="OCE23" s="3507"/>
      <c r="OCF23" s="3507"/>
      <c r="OCG23" s="3507"/>
      <c r="OCH23" s="3507"/>
      <c r="OCI23" s="3507"/>
      <c r="OCJ23" s="3507"/>
      <c r="OCK23" s="3507"/>
      <c r="OCL23" s="3507"/>
      <c r="OCM23" s="3507"/>
      <c r="OCN23" s="3507"/>
      <c r="OCO23" s="3507"/>
      <c r="OCP23" s="3507"/>
      <c r="OCQ23" s="3507"/>
      <c r="OCR23" s="3507"/>
      <c r="OCS23" s="3507"/>
      <c r="OCT23" s="3507"/>
      <c r="OCU23" s="3507"/>
      <c r="OCV23" s="3507"/>
      <c r="OCW23" s="3507"/>
      <c r="OCX23" s="3507"/>
      <c r="OCY23" s="3507"/>
      <c r="OCZ23" s="3507"/>
      <c r="ODA23" s="3507"/>
      <c r="ODB23" s="3507"/>
      <c r="ODC23" s="3507"/>
      <c r="ODD23" s="3507"/>
      <c r="ODE23" s="3507"/>
      <c r="ODF23" s="3507"/>
      <c r="ODG23" s="3507"/>
      <c r="ODH23" s="3507"/>
      <c r="ODI23" s="3507"/>
      <c r="ODJ23" s="3507"/>
      <c r="ODK23" s="3507"/>
      <c r="ODL23" s="3507"/>
      <c r="ODM23" s="3507"/>
      <c r="ODN23" s="3507"/>
      <c r="ODO23" s="3507"/>
      <c r="ODP23" s="3507"/>
      <c r="ODQ23" s="3507"/>
      <c r="ODR23" s="3507"/>
      <c r="ODS23" s="3507"/>
      <c r="ODT23" s="3507"/>
      <c r="ODU23" s="3507"/>
      <c r="ODV23" s="3507"/>
      <c r="ODW23" s="3507"/>
      <c r="ODX23" s="3507"/>
      <c r="ODY23" s="3507"/>
      <c r="ODZ23" s="3507"/>
      <c r="OEA23" s="3507"/>
      <c r="OEB23" s="3507"/>
      <c r="OEC23" s="3507"/>
      <c r="OED23" s="3507"/>
      <c r="OEE23" s="3507"/>
      <c r="OEF23" s="3507"/>
      <c r="OEG23" s="3507"/>
      <c r="OEH23" s="3507"/>
      <c r="OEI23" s="3507"/>
      <c r="OEJ23" s="3507"/>
      <c r="OEK23" s="3507"/>
      <c r="OEL23" s="3507"/>
      <c r="OEM23" s="3507"/>
      <c r="OEN23" s="3507"/>
      <c r="OEO23" s="3507"/>
      <c r="OEP23" s="3507"/>
      <c r="OEQ23" s="3507"/>
      <c r="OER23" s="3507"/>
      <c r="OES23" s="3507"/>
      <c r="OET23" s="3507"/>
      <c r="OEU23" s="3507"/>
      <c r="OEV23" s="3507"/>
      <c r="OEW23" s="3507"/>
      <c r="OEX23" s="3507"/>
      <c r="OEY23" s="3507"/>
      <c r="OEZ23" s="3507"/>
      <c r="OFA23" s="3507"/>
      <c r="OFB23" s="3507"/>
      <c r="OFC23" s="3507"/>
      <c r="OFD23" s="3507"/>
      <c r="OFE23" s="3507"/>
      <c r="OFF23" s="3507"/>
      <c r="OFG23" s="3507"/>
      <c r="OFH23" s="3507"/>
      <c r="OFI23" s="3507"/>
      <c r="OFJ23" s="3507"/>
      <c r="OFK23" s="3507"/>
      <c r="OFL23" s="3507"/>
      <c r="OFM23" s="3507"/>
      <c r="OFN23" s="3507"/>
      <c r="OFO23" s="3507"/>
      <c r="OFP23" s="3507"/>
      <c r="OFQ23" s="3507"/>
      <c r="OFR23" s="3507"/>
      <c r="OFS23" s="3507"/>
      <c r="OFT23" s="3507"/>
      <c r="OFU23" s="3507"/>
      <c r="OFV23" s="3507"/>
      <c r="OFW23" s="3507"/>
      <c r="OFX23" s="3507"/>
      <c r="OFY23" s="3507"/>
      <c r="OFZ23" s="3507"/>
      <c r="OGA23" s="3507"/>
      <c r="OGB23" s="3507"/>
      <c r="OGC23" s="3507"/>
      <c r="OGD23" s="3507"/>
      <c r="OGE23" s="3507"/>
      <c r="OGF23" s="3507"/>
      <c r="OGG23" s="3507"/>
      <c r="OGH23" s="3507"/>
      <c r="OGI23" s="3507"/>
      <c r="OGJ23" s="3507"/>
      <c r="OGK23" s="3507"/>
      <c r="OGL23" s="3507"/>
      <c r="OGM23" s="3507"/>
      <c r="OGN23" s="3507"/>
      <c r="OGO23" s="3507"/>
      <c r="OGP23" s="3507"/>
      <c r="OGQ23" s="3507"/>
      <c r="OGR23" s="3507"/>
      <c r="OGS23" s="3507"/>
      <c r="OGT23" s="3507"/>
      <c r="OGU23" s="3507"/>
      <c r="OGV23" s="3507"/>
      <c r="OGW23" s="3507"/>
      <c r="OGX23" s="3507"/>
      <c r="OGY23" s="3507"/>
      <c r="OGZ23" s="3507"/>
      <c r="OHA23" s="3507"/>
      <c r="OHB23" s="3507"/>
      <c r="OHC23" s="3507"/>
      <c r="OHD23" s="3507"/>
      <c r="OHE23" s="3507"/>
      <c r="OHF23" s="3507"/>
      <c r="OHG23" s="3507"/>
      <c r="OHH23" s="3507"/>
      <c r="OHI23" s="3507"/>
      <c r="OHJ23" s="3507"/>
      <c r="OHK23" s="3507"/>
      <c r="OHL23" s="3507"/>
      <c r="OHM23" s="3507"/>
      <c r="OHN23" s="3507"/>
      <c r="OHO23" s="3507"/>
      <c r="OHP23" s="3507"/>
      <c r="OHQ23" s="3507"/>
      <c r="OHR23" s="3507"/>
      <c r="OHS23" s="3507"/>
      <c r="OHT23" s="3507"/>
      <c r="OHU23" s="3507"/>
      <c r="OHV23" s="3507"/>
      <c r="OHW23" s="3507"/>
      <c r="OHX23" s="3507"/>
      <c r="OHY23" s="3507"/>
      <c r="OHZ23" s="3507"/>
      <c r="OIA23" s="3507"/>
      <c r="OIB23" s="3507"/>
      <c r="OIC23" s="3507"/>
      <c r="OID23" s="3507"/>
      <c r="OIE23" s="3507"/>
      <c r="OIF23" s="3507"/>
      <c r="OIG23" s="3507"/>
      <c r="OIH23" s="3507"/>
      <c r="OII23" s="3507"/>
      <c r="OIJ23" s="3507"/>
      <c r="OIK23" s="3507"/>
      <c r="OIL23" s="3507"/>
      <c r="OIM23" s="3507"/>
      <c r="OIN23" s="3507"/>
      <c r="OIO23" s="3507"/>
      <c r="OIP23" s="3507"/>
      <c r="OIQ23" s="3507"/>
      <c r="OIR23" s="3507"/>
      <c r="OIS23" s="3507"/>
      <c r="OIT23" s="3507"/>
      <c r="OIU23" s="3507"/>
      <c r="OIV23" s="3507"/>
      <c r="OIW23" s="3507"/>
      <c r="OIX23" s="3507"/>
      <c r="OIY23" s="3507"/>
      <c r="OIZ23" s="3507"/>
      <c r="OJA23" s="3507"/>
      <c r="OJB23" s="3507"/>
      <c r="OJC23" s="3507"/>
      <c r="OJD23" s="3507"/>
      <c r="OJE23" s="3507"/>
      <c r="OJF23" s="3507"/>
      <c r="OJG23" s="3507"/>
      <c r="OJH23" s="3507"/>
      <c r="OJI23" s="3507"/>
      <c r="OJJ23" s="3507"/>
      <c r="OJK23" s="3507"/>
      <c r="OJL23" s="3507"/>
      <c r="OJM23" s="3507"/>
      <c r="OJN23" s="3507"/>
      <c r="OJO23" s="3507"/>
      <c r="OJP23" s="3507"/>
      <c r="OJQ23" s="3507"/>
      <c r="OJR23" s="3507"/>
      <c r="OJS23" s="3507"/>
      <c r="OJT23" s="3507"/>
      <c r="OJU23" s="3507"/>
      <c r="OJV23" s="3507"/>
      <c r="OJW23" s="3507"/>
      <c r="OJX23" s="3507"/>
      <c r="OJY23" s="3507"/>
      <c r="OJZ23" s="3507"/>
      <c r="OKA23" s="3507"/>
      <c r="OKB23" s="3507"/>
      <c r="OKC23" s="3507"/>
      <c r="OKD23" s="3507"/>
      <c r="OKE23" s="3507"/>
      <c r="OKF23" s="3507"/>
      <c r="OKG23" s="3507"/>
      <c r="OKH23" s="3507"/>
      <c r="OKI23" s="3507"/>
      <c r="OKJ23" s="3507"/>
      <c r="OKK23" s="3507"/>
      <c r="OKL23" s="3507"/>
      <c r="OKM23" s="3507"/>
      <c r="OKN23" s="3507"/>
      <c r="OKO23" s="3507"/>
      <c r="OKP23" s="3507"/>
      <c r="OKQ23" s="3507"/>
      <c r="OKR23" s="3507"/>
      <c r="OKS23" s="3507"/>
      <c r="OKT23" s="3507"/>
      <c r="OKU23" s="3507"/>
      <c r="OKV23" s="3507"/>
      <c r="OKW23" s="3507"/>
      <c r="OKX23" s="3507"/>
      <c r="OKY23" s="3507"/>
      <c r="OKZ23" s="3507"/>
      <c r="OLA23" s="3507"/>
      <c r="OLB23" s="3507"/>
      <c r="OLC23" s="3507"/>
      <c r="OLD23" s="3507"/>
      <c r="OLE23" s="3507"/>
      <c r="OLF23" s="3507"/>
      <c r="OLG23" s="3507"/>
      <c r="OLH23" s="3507"/>
      <c r="OLI23" s="3507"/>
      <c r="OLJ23" s="3507"/>
      <c r="OLK23" s="3507"/>
      <c r="OLL23" s="3507"/>
      <c r="OLM23" s="3507"/>
      <c r="OLN23" s="3507"/>
      <c r="OLO23" s="3507"/>
      <c r="OLP23" s="3507"/>
      <c r="OLQ23" s="3507"/>
      <c r="OLR23" s="3507"/>
      <c r="OLS23" s="3507"/>
      <c r="OLT23" s="3507"/>
      <c r="OLU23" s="3507"/>
      <c r="OLV23" s="3507"/>
      <c r="OLW23" s="3507"/>
      <c r="OLX23" s="3507"/>
      <c r="OLY23" s="3507"/>
      <c r="OLZ23" s="3507"/>
      <c r="OMA23" s="3507"/>
      <c r="OMB23" s="3507"/>
      <c r="OMC23" s="3507"/>
      <c r="OMD23" s="3507"/>
      <c r="OME23" s="3507"/>
      <c r="OMF23" s="3507"/>
      <c r="OMG23" s="3507"/>
      <c r="OMH23" s="3507"/>
      <c r="OMI23" s="3507"/>
      <c r="OMJ23" s="3507"/>
      <c r="OMK23" s="3507"/>
      <c r="OML23" s="3507"/>
      <c r="OMM23" s="3507"/>
      <c r="OMN23" s="3507"/>
      <c r="OMO23" s="3507"/>
      <c r="OMP23" s="3507"/>
      <c r="OMQ23" s="3507"/>
      <c r="OMR23" s="3507"/>
      <c r="OMS23" s="3507"/>
      <c r="OMT23" s="3507"/>
      <c r="OMU23" s="3507"/>
      <c r="OMV23" s="3507"/>
      <c r="OMW23" s="3507"/>
      <c r="OMX23" s="3507"/>
      <c r="OMY23" s="3507"/>
      <c r="OMZ23" s="3507"/>
      <c r="ONA23" s="3507"/>
      <c r="ONB23" s="3507"/>
      <c r="ONC23" s="3507"/>
      <c r="OND23" s="3507"/>
      <c r="ONE23" s="3507"/>
      <c r="ONF23" s="3507"/>
      <c r="ONG23" s="3507"/>
      <c r="ONH23" s="3507"/>
      <c r="ONI23" s="3507"/>
      <c r="ONJ23" s="3507"/>
      <c r="ONK23" s="3507"/>
      <c r="ONL23" s="3507"/>
      <c r="ONM23" s="3507"/>
      <c r="ONN23" s="3507"/>
      <c r="ONO23" s="3507"/>
      <c r="ONP23" s="3507"/>
      <c r="ONQ23" s="3507"/>
      <c r="ONR23" s="3507"/>
      <c r="ONS23" s="3507"/>
      <c r="ONT23" s="3507"/>
      <c r="ONU23" s="3507"/>
      <c r="ONV23" s="3507"/>
      <c r="ONW23" s="3507"/>
      <c r="ONX23" s="3507"/>
      <c r="ONY23" s="3507"/>
      <c r="ONZ23" s="3507"/>
      <c r="OOA23" s="3507"/>
      <c r="OOB23" s="3507"/>
      <c r="OOC23" s="3507"/>
      <c r="OOD23" s="3507"/>
      <c r="OOE23" s="3507"/>
      <c r="OOF23" s="3507"/>
      <c r="OOG23" s="3507"/>
      <c r="OOH23" s="3507"/>
      <c r="OOI23" s="3507"/>
      <c r="OOJ23" s="3507"/>
      <c r="OOK23" s="3507"/>
      <c r="OOL23" s="3507"/>
      <c r="OOM23" s="3507"/>
      <c r="OON23" s="3507"/>
      <c r="OOO23" s="3507"/>
      <c r="OOP23" s="3507"/>
      <c r="OOQ23" s="3507"/>
      <c r="OOR23" s="3507"/>
      <c r="OOS23" s="3507"/>
      <c r="OOT23" s="3507"/>
      <c r="OOU23" s="3507"/>
      <c r="OOV23" s="3507"/>
      <c r="OOW23" s="3507"/>
      <c r="OOX23" s="3507"/>
      <c r="OOY23" s="3507"/>
      <c r="OOZ23" s="3507"/>
      <c r="OPA23" s="3507"/>
      <c r="OPB23" s="3507"/>
      <c r="OPC23" s="3507"/>
      <c r="OPD23" s="3507"/>
      <c r="OPE23" s="3507"/>
      <c r="OPF23" s="3507"/>
      <c r="OPG23" s="3507"/>
      <c r="OPH23" s="3507"/>
      <c r="OPI23" s="3507"/>
      <c r="OPJ23" s="3507"/>
      <c r="OPK23" s="3507"/>
      <c r="OPL23" s="3507"/>
      <c r="OPM23" s="3507"/>
      <c r="OPN23" s="3507"/>
      <c r="OPO23" s="3507"/>
      <c r="OPP23" s="3507"/>
      <c r="OPQ23" s="3507"/>
      <c r="OPR23" s="3507"/>
      <c r="OPS23" s="3507"/>
      <c r="OPT23" s="3507"/>
      <c r="OPU23" s="3507"/>
      <c r="OPV23" s="3507"/>
      <c r="OPW23" s="3507"/>
      <c r="OPX23" s="3507"/>
      <c r="OPY23" s="3507"/>
      <c r="OPZ23" s="3507"/>
      <c r="OQA23" s="3507"/>
      <c r="OQB23" s="3507"/>
      <c r="OQC23" s="3507"/>
      <c r="OQD23" s="3507"/>
      <c r="OQE23" s="3507"/>
      <c r="OQF23" s="3507"/>
      <c r="OQG23" s="3507"/>
      <c r="OQH23" s="3507"/>
      <c r="OQI23" s="3507"/>
      <c r="OQJ23" s="3507"/>
      <c r="OQK23" s="3507"/>
      <c r="OQL23" s="3507"/>
      <c r="OQM23" s="3507"/>
      <c r="OQN23" s="3507"/>
      <c r="OQO23" s="3507"/>
      <c r="OQP23" s="3507"/>
      <c r="OQQ23" s="3507"/>
      <c r="OQR23" s="3507"/>
      <c r="OQS23" s="3507"/>
      <c r="OQT23" s="3507"/>
      <c r="OQU23" s="3507"/>
      <c r="OQV23" s="3507"/>
      <c r="OQW23" s="3507"/>
      <c r="OQX23" s="3507"/>
      <c r="OQY23" s="3507"/>
      <c r="OQZ23" s="3507"/>
      <c r="ORA23" s="3507"/>
      <c r="ORB23" s="3507"/>
      <c r="ORC23" s="3507"/>
      <c r="ORD23" s="3507"/>
      <c r="ORE23" s="3507"/>
      <c r="ORF23" s="3507"/>
      <c r="ORG23" s="3507"/>
      <c r="ORH23" s="3507"/>
      <c r="ORI23" s="3507"/>
      <c r="ORJ23" s="3507"/>
      <c r="ORK23" s="3507"/>
      <c r="ORL23" s="3507"/>
      <c r="ORM23" s="3507"/>
      <c r="ORN23" s="3507"/>
      <c r="ORO23" s="3507"/>
      <c r="ORP23" s="3507"/>
      <c r="ORQ23" s="3507"/>
      <c r="ORR23" s="3507"/>
      <c r="ORS23" s="3507"/>
      <c r="ORT23" s="3507"/>
      <c r="ORU23" s="3507"/>
      <c r="ORV23" s="3507"/>
      <c r="ORW23" s="3507"/>
      <c r="ORX23" s="3507"/>
      <c r="ORY23" s="3507"/>
      <c r="ORZ23" s="3507"/>
      <c r="OSA23" s="3507"/>
      <c r="OSB23" s="3507"/>
      <c r="OSC23" s="3507"/>
      <c r="OSD23" s="3507"/>
      <c r="OSE23" s="3507"/>
      <c r="OSF23" s="3507"/>
      <c r="OSG23" s="3507"/>
      <c r="OSH23" s="3507"/>
      <c r="OSI23" s="3507"/>
      <c r="OSJ23" s="3507"/>
      <c r="OSK23" s="3507"/>
      <c r="OSL23" s="3507"/>
      <c r="OSM23" s="3507"/>
      <c r="OSN23" s="3507"/>
      <c r="OSO23" s="3507"/>
      <c r="OSP23" s="3507"/>
      <c r="OSQ23" s="3507"/>
      <c r="OSR23" s="3507"/>
      <c r="OSS23" s="3507"/>
      <c r="OST23" s="3507"/>
      <c r="OSU23" s="3507"/>
      <c r="OSV23" s="3507"/>
      <c r="OSW23" s="3507"/>
      <c r="OSX23" s="3507"/>
      <c r="OSY23" s="3507"/>
      <c r="OSZ23" s="3507"/>
      <c r="OTA23" s="3507"/>
      <c r="OTB23" s="3507"/>
      <c r="OTC23" s="3507"/>
      <c r="OTD23" s="3507"/>
      <c r="OTE23" s="3507"/>
      <c r="OTF23" s="3507"/>
      <c r="OTG23" s="3507"/>
      <c r="OTH23" s="3507"/>
      <c r="OTI23" s="3507"/>
      <c r="OTJ23" s="3507"/>
      <c r="OTK23" s="3507"/>
      <c r="OTL23" s="3507"/>
      <c r="OTM23" s="3507"/>
      <c r="OTN23" s="3507"/>
      <c r="OTO23" s="3507"/>
      <c r="OTP23" s="3507"/>
      <c r="OTQ23" s="3507"/>
      <c r="OTR23" s="3507"/>
      <c r="OTS23" s="3507"/>
      <c r="OTT23" s="3507"/>
      <c r="OTU23" s="3507"/>
      <c r="OTV23" s="3507"/>
      <c r="OTW23" s="3507"/>
      <c r="OTX23" s="3507"/>
      <c r="OTY23" s="3507"/>
      <c r="OTZ23" s="3507"/>
      <c r="OUA23" s="3507"/>
      <c r="OUB23" s="3507"/>
      <c r="OUC23" s="3507"/>
      <c r="OUD23" s="3507"/>
      <c r="OUE23" s="3507"/>
      <c r="OUF23" s="3507"/>
      <c r="OUG23" s="3507"/>
      <c r="OUH23" s="3507"/>
      <c r="OUI23" s="3507"/>
      <c r="OUJ23" s="3507"/>
      <c r="OUK23" s="3507"/>
      <c r="OUL23" s="3507"/>
      <c r="OUM23" s="3507"/>
      <c r="OUN23" s="3507"/>
      <c r="OUO23" s="3507"/>
      <c r="OUP23" s="3507"/>
      <c r="OUQ23" s="3507"/>
      <c r="OUR23" s="3507"/>
      <c r="OUS23" s="3507"/>
      <c r="OUT23" s="3507"/>
      <c r="OUU23" s="3507"/>
      <c r="OUV23" s="3507"/>
      <c r="OUW23" s="3507"/>
      <c r="OUX23" s="3507"/>
      <c r="OUY23" s="3507"/>
      <c r="OUZ23" s="3507"/>
      <c r="OVA23" s="3507"/>
      <c r="OVB23" s="3507"/>
      <c r="OVC23" s="3507"/>
      <c r="OVD23" s="3507"/>
      <c r="OVE23" s="3507"/>
      <c r="OVF23" s="3507"/>
      <c r="OVG23" s="3507"/>
      <c r="OVH23" s="3507"/>
      <c r="OVI23" s="3507"/>
      <c r="OVJ23" s="3507"/>
      <c r="OVK23" s="3507"/>
      <c r="OVL23" s="3507"/>
      <c r="OVM23" s="3507"/>
      <c r="OVN23" s="3507"/>
      <c r="OVO23" s="3507"/>
      <c r="OVP23" s="3507"/>
      <c r="OVQ23" s="3507"/>
      <c r="OVR23" s="3507"/>
      <c r="OVS23" s="3507"/>
      <c r="OVT23" s="3507"/>
      <c r="OVU23" s="3507"/>
      <c r="OVV23" s="3507"/>
      <c r="OVW23" s="3507"/>
      <c r="OVX23" s="3507"/>
      <c r="OVY23" s="3507"/>
      <c r="OVZ23" s="3507"/>
      <c r="OWA23" s="3507"/>
      <c r="OWB23" s="3507"/>
      <c r="OWC23" s="3507"/>
      <c r="OWD23" s="3507"/>
      <c r="OWE23" s="3507"/>
      <c r="OWF23" s="3507"/>
      <c r="OWG23" s="3507"/>
      <c r="OWH23" s="3507"/>
      <c r="OWI23" s="3507"/>
      <c r="OWJ23" s="3507"/>
      <c r="OWK23" s="3507"/>
      <c r="OWL23" s="3507"/>
      <c r="OWM23" s="3507"/>
      <c r="OWN23" s="3507"/>
      <c r="OWO23" s="3507"/>
      <c r="OWP23" s="3507"/>
      <c r="OWQ23" s="3507"/>
      <c r="OWR23" s="3507"/>
      <c r="OWS23" s="3507"/>
      <c r="OWT23" s="3507"/>
      <c r="OWU23" s="3507"/>
      <c r="OWV23" s="3507"/>
      <c r="OWW23" s="3507"/>
      <c r="OWX23" s="3507"/>
      <c r="OWY23" s="3507"/>
      <c r="OWZ23" s="3507"/>
      <c r="OXA23" s="3507"/>
      <c r="OXB23" s="3507"/>
      <c r="OXC23" s="3507"/>
      <c r="OXD23" s="3507"/>
      <c r="OXE23" s="3507"/>
      <c r="OXF23" s="3507"/>
      <c r="OXG23" s="3507"/>
      <c r="OXH23" s="3507"/>
      <c r="OXI23" s="3507"/>
      <c r="OXJ23" s="3507"/>
      <c r="OXK23" s="3507"/>
      <c r="OXL23" s="3507"/>
      <c r="OXM23" s="3507"/>
      <c r="OXN23" s="3507"/>
      <c r="OXO23" s="3507"/>
      <c r="OXP23" s="3507"/>
      <c r="OXQ23" s="3507"/>
      <c r="OXR23" s="3507"/>
      <c r="OXS23" s="3507"/>
      <c r="OXT23" s="3507"/>
      <c r="OXU23" s="3507"/>
      <c r="OXV23" s="3507"/>
      <c r="OXW23" s="3507"/>
      <c r="OXX23" s="3507"/>
      <c r="OXY23" s="3507"/>
      <c r="OXZ23" s="3507"/>
      <c r="OYA23" s="3507"/>
      <c r="OYB23" s="3507"/>
      <c r="OYC23" s="3507"/>
      <c r="OYD23" s="3507"/>
      <c r="OYE23" s="3507"/>
      <c r="OYF23" s="3507"/>
      <c r="OYG23" s="3507"/>
      <c r="OYH23" s="3507"/>
      <c r="OYI23" s="3507"/>
      <c r="OYJ23" s="3507"/>
      <c r="OYK23" s="3507"/>
      <c r="OYL23" s="3507"/>
      <c r="OYM23" s="3507"/>
      <c r="OYN23" s="3507"/>
      <c r="OYO23" s="3507"/>
      <c r="OYP23" s="3507"/>
      <c r="OYQ23" s="3507"/>
      <c r="OYR23" s="3507"/>
      <c r="OYS23" s="3507"/>
      <c r="OYT23" s="3507"/>
      <c r="OYU23" s="3507"/>
      <c r="OYV23" s="3507"/>
      <c r="OYW23" s="3507"/>
      <c r="OYX23" s="3507"/>
      <c r="OYY23" s="3507"/>
      <c r="OYZ23" s="3507"/>
      <c r="OZA23" s="3507"/>
      <c r="OZB23" s="3507"/>
      <c r="OZC23" s="3507"/>
      <c r="OZD23" s="3507"/>
      <c r="OZE23" s="3507"/>
      <c r="OZF23" s="3507"/>
      <c r="OZG23" s="3507"/>
      <c r="OZH23" s="3507"/>
      <c r="OZI23" s="3507"/>
      <c r="OZJ23" s="3507"/>
      <c r="OZK23" s="3507"/>
      <c r="OZL23" s="3507"/>
      <c r="OZM23" s="3507"/>
      <c r="OZN23" s="3507"/>
      <c r="OZO23" s="3507"/>
      <c r="OZP23" s="3507"/>
      <c r="OZQ23" s="3507"/>
      <c r="OZR23" s="3507"/>
      <c r="OZS23" s="3507"/>
      <c r="OZT23" s="3507"/>
      <c r="OZU23" s="3507"/>
      <c r="OZV23" s="3507"/>
      <c r="OZW23" s="3507"/>
      <c r="OZX23" s="3507"/>
      <c r="OZY23" s="3507"/>
      <c r="OZZ23" s="3507"/>
      <c r="PAA23" s="3507"/>
      <c r="PAB23" s="3507"/>
      <c r="PAC23" s="3507"/>
      <c r="PAD23" s="3507"/>
      <c r="PAE23" s="3507"/>
      <c r="PAF23" s="3507"/>
      <c r="PAG23" s="3507"/>
      <c r="PAH23" s="3507"/>
      <c r="PAI23" s="3507"/>
      <c r="PAJ23" s="3507"/>
      <c r="PAK23" s="3507"/>
      <c r="PAL23" s="3507"/>
      <c r="PAM23" s="3507"/>
      <c r="PAN23" s="3507"/>
      <c r="PAO23" s="3507"/>
      <c r="PAP23" s="3507"/>
      <c r="PAQ23" s="3507"/>
      <c r="PAR23" s="3507"/>
      <c r="PAS23" s="3507"/>
      <c r="PAT23" s="3507"/>
      <c r="PAU23" s="3507"/>
      <c r="PAV23" s="3507"/>
      <c r="PAW23" s="3507"/>
      <c r="PAX23" s="3507"/>
      <c r="PAY23" s="3507"/>
      <c r="PAZ23" s="3507"/>
      <c r="PBA23" s="3507"/>
      <c r="PBB23" s="3507"/>
      <c r="PBC23" s="3507"/>
      <c r="PBD23" s="3507"/>
      <c r="PBE23" s="3507"/>
      <c r="PBF23" s="3507"/>
      <c r="PBG23" s="3507"/>
      <c r="PBH23" s="3507"/>
      <c r="PBI23" s="3507"/>
      <c r="PBJ23" s="3507"/>
      <c r="PBK23" s="3507"/>
      <c r="PBL23" s="3507"/>
      <c r="PBM23" s="3507"/>
      <c r="PBN23" s="3507"/>
      <c r="PBO23" s="3507"/>
      <c r="PBP23" s="3507"/>
      <c r="PBQ23" s="3507"/>
      <c r="PBR23" s="3507"/>
      <c r="PBS23" s="3507"/>
      <c r="PBT23" s="3507"/>
      <c r="PBU23" s="3507"/>
      <c r="PBV23" s="3507"/>
      <c r="PBW23" s="3507"/>
      <c r="PBX23" s="3507"/>
      <c r="PBY23" s="3507"/>
      <c r="PBZ23" s="3507"/>
      <c r="PCA23" s="3507"/>
      <c r="PCB23" s="3507"/>
      <c r="PCC23" s="3507"/>
      <c r="PCD23" s="3507"/>
      <c r="PCE23" s="3507"/>
      <c r="PCF23" s="3507"/>
      <c r="PCG23" s="3507"/>
      <c r="PCH23" s="3507"/>
      <c r="PCI23" s="3507"/>
      <c r="PCJ23" s="3507"/>
      <c r="PCK23" s="3507"/>
      <c r="PCL23" s="3507"/>
      <c r="PCM23" s="3507"/>
      <c r="PCN23" s="3507"/>
      <c r="PCO23" s="3507"/>
      <c r="PCP23" s="3507"/>
      <c r="PCQ23" s="3507"/>
      <c r="PCR23" s="3507"/>
      <c r="PCS23" s="3507"/>
      <c r="PCT23" s="3507"/>
      <c r="PCU23" s="3507"/>
      <c r="PCV23" s="3507"/>
      <c r="PCW23" s="3507"/>
      <c r="PCX23" s="3507"/>
      <c r="PCY23" s="3507"/>
      <c r="PCZ23" s="3507"/>
      <c r="PDA23" s="3507"/>
      <c r="PDB23" s="3507"/>
      <c r="PDC23" s="3507"/>
      <c r="PDD23" s="3507"/>
      <c r="PDE23" s="3507"/>
      <c r="PDF23" s="3507"/>
      <c r="PDG23" s="3507"/>
      <c r="PDH23" s="3507"/>
      <c r="PDI23" s="3507"/>
      <c r="PDJ23" s="3507"/>
      <c r="PDK23" s="3507"/>
      <c r="PDL23" s="3507"/>
      <c r="PDM23" s="3507"/>
      <c r="PDN23" s="3507"/>
      <c r="PDO23" s="3507"/>
      <c r="PDP23" s="3507"/>
      <c r="PDQ23" s="3507"/>
      <c r="PDR23" s="3507"/>
      <c r="PDS23" s="3507"/>
      <c r="PDT23" s="3507"/>
      <c r="PDU23" s="3507"/>
      <c r="PDV23" s="3507"/>
      <c r="PDW23" s="3507"/>
      <c r="PDX23" s="3507"/>
      <c r="PDY23" s="3507"/>
      <c r="PDZ23" s="3507"/>
      <c r="PEA23" s="3507"/>
      <c r="PEB23" s="3507"/>
      <c r="PEC23" s="3507"/>
      <c r="PED23" s="3507"/>
      <c r="PEE23" s="3507"/>
      <c r="PEF23" s="3507"/>
      <c r="PEG23" s="3507"/>
      <c r="PEH23" s="3507"/>
      <c r="PEI23" s="3507"/>
      <c r="PEJ23" s="3507"/>
      <c r="PEK23" s="3507"/>
      <c r="PEL23" s="3507"/>
      <c r="PEM23" s="3507"/>
      <c r="PEN23" s="3507"/>
      <c r="PEO23" s="3507"/>
      <c r="PEP23" s="3507"/>
      <c r="PEQ23" s="3507"/>
      <c r="PER23" s="3507"/>
      <c r="PES23" s="3507"/>
      <c r="PET23" s="3507"/>
      <c r="PEU23" s="3507"/>
      <c r="PEV23" s="3507"/>
      <c r="PEW23" s="3507"/>
      <c r="PEX23" s="3507"/>
      <c r="PEY23" s="3507"/>
      <c r="PEZ23" s="3507"/>
      <c r="PFA23" s="3507"/>
      <c r="PFB23" s="3507"/>
      <c r="PFC23" s="3507"/>
      <c r="PFD23" s="3507"/>
      <c r="PFE23" s="3507"/>
      <c r="PFF23" s="3507"/>
      <c r="PFG23" s="3507"/>
      <c r="PFH23" s="3507"/>
      <c r="PFI23" s="3507"/>
      <c r="PFJ23" s="3507"/>
      <c r="PFK23" s="3507"/>
      <c r="PFL23" s="3507"/>
      <c r="PFM23" s="3507"/>
      <c r="PFN23" s="3507"/>
      <c r="PFO23" s="3507"/>
      <c r="PFP23" s="3507"/>
      <c r="PFQ23" s="3507"/>
      <c r="PFR23" s="3507"/>
      <c r="PFS23" s="3507"/>
      <c r="PFT23" s="3507"/>
      <c r="PFU23" s="3507"/>
      <c r="PFV23" s="3507"/>
      <c r="PFW23" s="3507"/>
      <c r="PFX23" s="3507"/>
      <c r="PFY23" s="3507"/>
      <c r="PFZ23" s="3507"/>
      <c r="PGA23" s="3507"/>
      <c r="PGB23" s="3507"/>
      <c r="PGC23" s="3507"/>
      <c r="PGD23" s="3507"/>
      <c r="PGE23" s="3507"/>
      <c r="PGF23" s="3507"/>
      <c r="PGG23" s="3507"/>
      <c r="PGH23" s="3507"/>
      <c r="PGI23" s="3507"/>
      <c r="PGJ23" s="3507"/>
      <c r="PGK23" s="3507"/>
      <c r="PGL23" s="3507"/>
      <c r="PGM23" s="3507"/>
      <c r="PGN23" s="3507"/>
      <c r="PGO23" s="3507"/>
      <c r="PGP23" s="3507"/>
      <c r="PGQ23" s="3507"/>
      <c r="PGR23" s="3507"/>
      <c r="PGS23" s="3507"/>
      <c r="PGT23" s="3507"/>
      <c r="PGU23" s="3507"/>
      <c r="PGV23" s="3507"/>
      <c r="PGW23" s="3507"/>
      <c r="PGX23" s="3507"/>
      <c r="PGY23" s="3507"/>
      <c r="PGZ23" s="3507"/>
      <c r="PHA23" s="3507"/>
      <c r="PHB23" s="3507"/>
      <c r="PHC23" s="3507"/>
      <c r="PHD23" s="3507"/>
      <c r="PHE23" s="3507"/>
      <c r="PHF23" s="3507"/>
      <c r="PHG23" s="3507"/>
      <c r="PHH23" s="3507"/>
      <c r="PHI23" s="3507"/>
      <c r="PHJ23" s="3507"/>
      <c r="PHK23" s="3507"/>
      <c r="PHL23" s="3507"/>
      <c r="PHM23" s="3507"/>
      <c r="PHN23" s="3507"/>
      <c r="PHO23" s="3507"/>
      <c r="PHP23" s="3507"/>
      <c r="PHQ23" s="3507"/>
      <c r="PHR23" s="3507"/>
      <c r="PHS23" s="3507"/>
      <c r="PHT23" s="3507"/>
      <c r="PHU23" s="3507"/>
      <c r="PHV23" s="3507"/>
      <c r="PHW23" s="3507"/>
      <c r="PHX23" s="3507"/>
      <c r="PHY23" s="3507"/>
      <c r="PHZ23" s="3507"/>
      <c r="PIA23" s="3507"/>
      <c r="PIB23" s="3507"/>
      <c r="PIC23" s="3507"/>
      <c r="PID23" s="3507"/>
      <c r="PIE23" s="3507"/>
      <c r="PIF23" s="3507"/>
      <c r="PIG23" s="3507"/>
      <c r="PIH23" s="3507"/>
      <c r="PII23" s="3507"/>
      <c r="PIJ23" s="3507"/>
      <c r="PIK23" s="3507"/>
      <c r="PIL23" s="3507"/>
      <c r="PIM23" s="3507"/>
      <c r="PIN23" s="3507"/>
      <c r="PIO23" s="3507"/>
      <c r="PIP23" s="3507"/>
      <c r="PIQ23" s="3507"/>
      <c r="PIR23" s="3507"/>
      <c r="PIS23" s="3507"/>
      <c r="PIT23" s="3507"/>
      <c r="PIU23" s="3507"/>
      <c r="PIV23" s="3507"/>
      <c r="PIW23" s="3507"/>
      <c r="PIX23" s="3507"/>
      <c r="PIY23" s="3507"/>
      <c r="PIZ23" s="3507"/>
      <c r="PJA23" s="3507"/>
      <c r="PJB23" s="3507"/>
      <c r="PJC23" s="3507"/>
      <c r="PJD23" s="3507"/>
      <c r="PJE23" s="3507"/>
      <c r="PJF23" s="3507"/>
      <c r="PJG23" s="3507"/>
      <c r="PJH23" s="3507"/>
      <c r="PJI23" s="3507"/>
      <c r="PJJ23" s="3507"/>
      <c r="PJK23" s="3507"/>
      <c r="PJL23" s="3507"/>
      <c r="PJM23" s="3507"/>
      <c r="PJN23" s="3507"/>
      <c r="PJO23" s="3507"/>
      <c r="PJP23" s="3507"/>
      <c r="PJQ23" s="3507"/>
      <c r="PJR23" s="3507"/>
      <c r="PJS23" s="3507"/>
      <c r="PJT23" s="3507"/>
      <c r="PJU23" s="3507"/>
      <c r="PJV23" s="3507"/>
      <c r="PJW23" s="3507"/>
      <c r="PJX23" s="3507"/>
      <c r="PJY23" s="3507"/>
      <c r="PJZ23" s="3507"/>
      <c r="PKA23" s="3507"/>
      <c r="PKB23" s="3507"/>
      <c r="PKC23" s="3507"/>
      <c r="PKD23" s="3507"/>
      <c r="PKE23" s="3507"/>
      <c r="PKF23" s="3507"/>
      <c r="PKG23" s="3507"/>
      <c r="PKH23" s="3507"/>
      <c r="PKI23" s="3507"/>
      <c r="PKJ23" s="3507"/>
      <c r="PKK23" s="3507"/>
      <c r="PKL23" s="3507"/>
      <c r="PKM23" s="3507"/>
      <c r="PKN23" s="3507"/>
      <c r="PKO23" s="3507"/>
      <c r="PKP23" s="3507"/>
      <c r="PKQ23" s="3507"/>
      <c r="PKR23" s="3507"/>
      <c r="PKS23" s="3507"/>
      <c r="PKT23" s="3507"/>
      <c r="PKU23" s="3507"/>
      <c r="PKV23" s="3507"/>
      <c r="PKW23" s="3507"/>
      <c r="PKX23" s="3507"/>
      <c r="PKY23" s="3507"/>
      <c r="PKZ23" s="3507"/>
      <c r="PLA23" s="3507"/>
      <c r="PLB23" s="3507"/>
      <c r="PLC23" s="3507"/>
      <c r="PLD23" s="3507"/>
      <c r="PLE23" s="3507"/>
      <c r="PLF23" s="3507"/>
      <c r="PLG23" s="3507"/>
      <c r="PLH23" s="3507"/>
      <c r="PLI23" s="3507"/>
      <c r="PLJ23" s="3507"/>
      <c r="PLK23" s="3507"/>
      <c r="PLL23" s="3507"/>
      <c r="PLM23" s="3507"/>
      <c r="PLN23" s="3507"/>
      <c r="PLO23" s="3507"/>
      <c r="PLP23" s="3507"/>
      <c r="PLQ23" s="3507"/>
      <c r="PLR23" s="3507"/>
      <c r="PLS23" s="3507"/>
      <c r="PLT23" s="3507"/>
      <c r="PLU23" s="3507"/>
      <c r="PLV23" s="3507"/>
      <c r="PLW23" s="3507"/>
      <c r="PLX23" s="3507"/>
      <c r="PLY23" s="3507"/>
      <c r="PLZ23" s="3507"/>
      <c r="PMA23" s="3507"/>
      <c r="PMB23" s="3507"/>
      <c r="PMC23" s="3507"/>
      <c r="PMD23" s="3507"/>
      <c r="PME23" s="3507"/>
      <c r="PMF23" s="3507"/>
      <c r="PMG23" s="3507"/>
      <c r="PMH23" s="3507"/>
      <c r="PMI23" s="3507"/>
      <c r="PMJ23" s="3507"/>
      <c r="PMK23" s="3507"/>
      <c r="PML23" s="3507"/>
      <c r="PMM23" s="3507"/>
      <c r="PMN23" s="3507"/>
      <c r="PMO23" s="3507"/>
      <c r="PMP23" s="3507"/>
      <c r="PMQ23" s="3507"/>
      <c r="PMR23" s="3507"/>
      <c r="PMS23" s="3507"/>
      <c r="PMT23" s="3507"/>
      <c r="PMU23" s="3507"/>
      <c r="PMV23" s="3507"/>
      <c r="PMW23" s="3507"/>
      <c r="PMX23" s="3507"/>
      <c r="PMY23" s="3507"/>
      <c r="PMZ23" s="3507"/>
      <c r="PNA23" s="3507"/>
      <c r="PNB23" s="3507"/>
      <c r="PNC23" s="3507"/>
      <c r="PND23" s="3507"/>
      <c r="PNE23" s="3507"/>
      <c r="PNF23" s="3507"/>
      <c r="PNG23" s="3507"/>
      <c r="PNH23" s="3507"/>
      <c r="PNI23" s="3507"/>
      <c r="PNJ23" s="3507"/>
      <c r="PNK23" s="3507"/>
      <c r="PNL23" s="3507"/>
      <c r="PNM23" s="3507"/>
      <c r="PNN23" s="3507"/>
      <c r="PNO23" s="3507"/>
      <c r="PNP23" s="3507"/>
      <c r="PNQ23" s="3507"/>
      <c r="PNR23" s="3507"/>
      <c r="PNS23" s="3507"/>
      <c r="PNT23" s="3507"/>
      <c r="PNU23" s="3507"/>
      <c r="PNV23" s="3507"/>
      <c r="PNW23" s="3507"/>
      <c r="PNX23" s="3507"/>
      <c r="PNY23" s="3507"/>
      <c r="PNZ23" s="3507"/>
      <c r="POA23" s="3507"/>
      <c r="POB23" s="3507"/>
      <c r="POC23" s="3507"/>
      <c r="POD23" s="3507"/>
      <c r="POE23" s="3507"/>
      <c r="POF23" s="3507"/>
      <c r="POG23" s="3507"/>
      <c r="POH23" s="3507"/>
      <c r="POI23" s="3507"/>
      <c r="POJ23" s="3507"/>
      <c r="POK23" s="3507"/>
      <c r="POL23" s="3507"/>
      <c r="POM23" s="3507"/>
      <c r="PON23" s="3507"/>
      <c r="POO23" s="3507"/>
      <c r="POP23" s="3507"/>
      <c r="POQ23" s="3507"/>
      <c r="POR23" s="3507"/>
      <c r="POS23" s="3507"/>
      <c r="POT23" s="3507"/>
      <c r="POU23" s="3507"/>
      <c r="POV23" s="3507"/>
      <c r="POW23" s="3507"/>
      <c r="POX23" s="3507"/>
      <c r="POY23" s="3507"/>
      <c r="POZ23" s="3507"/>
      <c r="PPA23" s="3507"/>
      <c r="PPB23" s="3507"/>
      <c r="PPC23" s="3507"/>
      <c r="PPD23" s="3507"/>
      <c r="PPE23" s="3507"/>
      <c r="PPF23" s="3507"/>
      <c r="PPG23" s="3507"/>
      <c r="PPH23" s="3507"/>
      <c r="PPI23" s="3507"/>
      <c r="PPJ23" s="3507"/>
      <c r="PPK23" s="3507"/>
      <c r="PPL23" s="3507"/>
      <c r="PPM23" s="3507"/>
      <c r="PPN23" s="3507"/>
      <c r="PPO23" s="3507"/>
      <c r="PPP23" s="3507"/>
      <c r="PPQ23" s="3507"/>
      <c r="PPR23" s="3507"/>
      <c r="PPS23" s="3507"/>
      <c r="PPT23" s="3507"/>
      <c r="PPU23" s="3507"/>
      <c r="PPV23" s="3507"/>
      <c r="PPW23" s="3507"/>
      <c r="PPX23" s="3507"/>
      <c r="PPY23" s="3507"/>
      <c r="PPZ23" s="3507"/>
      <c r="PQA23" s="3507"/>
      <c r="PQB23" s="3507"/>
      <c r="PQC23" s="3507"/>
      <c r="PQD23" s="3507"/>
      <c r="PQE23" s="3507"/>
      <c r="PQF23" s="3507"/>
      <c r="PQG23" s="3507"/>
      <c r="PQH23" s="3507"/>
      <c r="PQI23" s="3507"/>
      <c r="PQJ23" s="3507"/>
      <c r="PQK23" s="3507"/>
      <c r="PQL23" s="3507"/>
      <c r="PQM23" s="3507"/>
      <c r="PQN23" s="3507"/>
      <c r="PQO23" s="3507"/>
      <c r="PQP23" s="3507"/>
      <c r="PQQ23" s="3507"/>
      <c r="PQR23" s="3507"/>
      <c r="PQS23" s="3507"/>
      <c r="PQT23" s="3507"/>
      <c r="PQU23" s="3507"/>
      <c r="PQV23" s="3507"/>
      <c r="PQW23" s="3507"/>
      <c r="PQX23" s="3507"/>
      <c r="PQY23" s="3507"/>
      <c r="PQZ23" s="3507"/>
      <c r="PRA23" s="3507"/>
      <c r="PRB23" s="3507"/>
      <c r="PRC23" s="3507"/>
      <c r="PRD23" s="3507"/>
      <c r="PRE23" s="3507"/>
      <c r="PRF23" s="3507"/>
      <c r="PRG23" s="3507"/>
      <c r="PRH23" s="3507"/>
      <c r="PRI23" s="3507"/>
      <c r="PRJ23" s="3507"/>
      <c r="PRK23" s="3507"/>
      <c r="PRL23" s="3507"/>
      <c r="PRM23" s="3507"/>
      <c r="PRN23" s="3507"/>
      <c r="PRO23" s="3507"/>
      <c r="PRP23" s="3507"/>
      <c r="PRQ23" s="3507"/>
      <c r="PRR23" s="3507"/>
      <c r="PRS23" s="3507"/>
      <c r="PRT23" s="3507"/>
      <c r="PRU23" s="3507"/>
      <c r="PRV23" s="3507"/>
      <c r="PRW23" s="3507"/>
      <c r="PRX23" s="3507"/>
      <c r="PRY23" s="3507"/>
      <c r="PRZ23" s="3507"/>
      <c r="PSA23" s="3507"/>
      <c r="PSB23" s="3507"/>
      <c r="PSC23" s="3507"/>
      <c r="PSD23" s="3507"/>
      <c r="PSE23" s="3507"/>
      <c r="PSF23" s="3507"/>
      <c r="PSG23" s="3507"/>
      <c r="PSH23" s="3507"/>
      <c r="PSI23" s="3507"/>
      <c r="PSJ23" s="3507"/>
      <c r="PSK23" s="3507"/>
      <c r="PSL23" s="3507"/>
      <c r="PSM23" s="3507"/>
      <c r="PSN23" s="3507"/>
      <c r="PSO23" s="3507"/>
      <c r="PSP23" s="3507"/>
      <c r="PSQ23" s="3507"/>
      <c r="PSR23" s="3507"/>
      <c r="PSS23" s="3507"/>
      <c r="PST23" s="3507"/>
      <c r="PSU23" s="3507"/>
      <c r="PSV23" s="3507"/>
      <c r="PSW23" s="3507"/>
      <c r="PSX23" s="3507"/>
      <c r="PSY23" s="3507"/>
      <c r="PSZ23" s="3507"/>
      <c r="PTA23" s="3507"/>
      <c r="PTB23" s="3507"/>
      <c r="PTC23" s="3507"/>
      <c r="PTD23" s="3507"/>
      <c r="PTE23" s="3507"/>
      <c r="PTF23" s="3507"/>
      <c r="PTG23" s="3507"/>
      <c r="PTH23" s="3507"/>
      <c r="PTI23" s="3507"/>
      <c r="PTJ23" s="3507"/>
      <c r="PTK23" s="3507"/>
      <c r="PTL23" s="3507"/>
      <c r="PTM23" s="3507"/>
      <c r="PTN23" s="3507"/>
      <c r="PTO23" s="3507"/>
      <c r="PTP23" s="3507"/>
      <c r="PTQ23" s="3507"/>
      <c r="PTR23" s="3507"/>
      <c r="PTS23" s="3507"/>
      <c r="PTT23" s="3507"/>
      <c r="PTU23" s="3507"/>
      <c r="PTV23" s="3507"/>
      <c r="PTW23" s="3507"/>
      <c r="PTX23" s="3507"/>
      <c r="PTY23" s="3507"/>
      <c r="PTZ23" s="3507"/>
      <c r="PUA23" s="3507"/>
      <c r="PUB23" s="3507"/>
      <c r="PUC23" s="3507"/>
      <c r="PUD23" s="3507"/>
      <c r="PUE23" s="3507"/>
      <c r="PUF23" s="3507"/>
      <c r="PUG23" s="3507"/>
      <c r="PUH23" s="3507"/>
      <c r="PUI23" s="3507"/>
      <c r="PUJ23" s="3507"/>
      <c r="PUK23" s="3507"/>
      <c r="PUL23" s="3507"/>
      <c r="PUM23" s="3507"/>
      <c r="PUN23" s="3507"/>
      <c r="PUO23" s="3507"/>
      <c r="PUP23" s="3507"/>
      <c r="PUQ23" s="3507"/>
      <c r="PUR23" s="3507"/>
      <c r="PUS23" s="3507"/>
      <c r="PUT23" s="3507"/>
      <c r="PUU23" s="3507"/>
      <c r="PUV23" s="3507"/>
      <c r="PUW23" s="3507"/>
      <c r="PUX23" s="3507"/>
      <c r="PUY23" s="3507"/>
      <c r="PUZ23" s="3507"/>
      <c r="PVA23" s="3507"/>
      <c r="PVB23" s="3507"/>
      <c r="PVC23" s="3507"/>
      <c r="PVD23" s="3507"/>
      <c r="PVE23" s="3507"/>
      <c r="PVF23" s="3507"/>
      <c r="PVG23" s="3507"/>
      <c r="PVH23" s="3507"/>
      <c r="PVI23" s="3507"/>
      <c r="PVJ23" s="3507"/>
      <c r="PVK23" s="3507"/>
      <c r="PVL23" s="3507"/>
      <c r="PVM23" s="3507"/>
      <c r="PVN23" s="3507"/>
      <c r="PVO23" s="3507"/>
      <c r="PVP23" s="3507"/>
      <c r="PVQ23" s="3507"/>
      <c r="PVR23" s="3507"/>
      <c r="PVS23" s="3507"/>
      <c r="PVT23" s="3507"/>
      <c r="PVU23" s="3507"/>
      <c r="PVV23" s="3507"/>
      <c r="PVW23" s="3507"/>
      <c r="PVX23" s="3507"/>
      <c r="PVY23" s="3507"/>
      <c r="PVZ23" s="3507"/>
      <c r="PWA23" s="3507"/>
      <c r="PWB23" s="3507"/>
      <c r="PWC23" s="3507"/>
      <c r="PWD23" s="3507"/>
      <c r="PWE23" s="3507"/>
      <c r="PWF23" s="3507"/>
      <c r="PWG23" s="3507"/>
      <c r="PWH23" s="3507"/>
      <c r="PWI23" s="3507"/>
      <c r="PWJ23" s="3507"/>
      <c r="PWK23" s="3507"/>
      <c r="PWL23" s="3507"/>
      <c r="PWM23" s="3507"/>
      <c r="PWN23" s="3507"/>
      <c r="PWO23" s="3507"/>
      <c r="PWP23" s="3507"/>
      <c r="PWQ23" s="3507"/>
      <c r="PWR23" s="3507"/>
      <c r="PWS23" s="3507"/>
      <c r="PWT23" s="3507"/>
      <c r="PWU23" s="3507"/>
      <c r="PWV23" s="3507"/>
      <c r="PWW23" s="3507"/>
      <c r="PWX23" s="3507"/>
      <c r="PWY23" s="3507"/>
      <c r="PWZ23" s="3507"/>
      <c r="PXA23" s="3507"/>
      <c r="PXB23" s="3507"/>
      <c r="PXC23" s="3507"/>
      <c r="PXD23" s="3507"/>
      <c r="PXE23" s="3507"/>
      <c r="PXF23" s="3507"/>
      <c r="PXG23" s="3507"/>
      <c r="PXH23" s="3507"/>
      <c r="PXI23" s="3507"/>
      <c r="PXJ23" s="3507"/>
      <c r="PXK23" s="3507"/>
      <c r="PXL23" s="3507"/>
      <c r="PXM23" s="3507"/>
      <c r="PXN23" s="3507"/>
      <c r="PXO23" s="3507"/>
      <c r="PXP23" s="3507"/>
      <c r="PXQ23" s="3507"/>
      <c r="PXR23" s="3507"/>
      <c r="PXS23" s="3507"/>
      <c r="PXT23" s="3507"/>
      <c r="PXU23" s="3507"/>
      <c r="PXV23" s="3507"/>
      <c r="PXW23" s="3507"/>
      <c r="PXX23" s="3507"/>
      <c r="PXY23" s="3507"/>
      <c r="PXZ23" s="3507"/>
      <c r="PYA23" s="3507"/>
      <c r="PYB23" s="3507"/>
      <c r="PYC23" s="3507"/>
      <c r="PYD23" s="3507"/>
      <c r="PYE23" s="3507"/>
      <c r="PYF23" s="3507"/>
      <c r="PYG23" s="3507"/>
      <c r="PYH23" s="3507"/>
      <c r="PYI23" s="3507"/>
      <c r="PYJ23" s="3507"/>
      <c r="PYK23" s="3507"/>
      <c r="PYL23" s="3507"/>
      <c r="PYM23" s="3507"/>
      <c r="PYN23" s="3507"/>
      <c r="PYO23" s="3507"/>
      <c r="PYP23" s="3507"/>
      <c r="PYQ23" s="3507"/>
      <c r="PYR23" s="3507"/>
      <c r="PYS23" s="3507"/>
      <c r="PYT23" s="3507"/>
      <c r="PYU23" s="3507"/>
      <c r="PYV23" s="3507"/>
      <c r="PYW23" s="3507"/>
      <c r="PYX23" s="3507"/>
      <c r="PYY23" s="3507"/>
      <c r="PYZ23" s="3507"/>
      <c r="PZA23" s="3507"/>
      <c r="PZB23" s="3507"/>
      <c r="PZC23" s="3507"/>
      <c r="PZD23" s="3507"/>
      <c r="PZE23" s="3507"/>
      <c r="PZF23" s="3507"/>
      <c r="PZG23" s="3507"/>
      <c r="PZH23" s="3507"/>
      <c r="PZI23" s="3507"/>
      <c r="PZJ23" s="3507"/>
      <c r="PZK23" s="3507"/>
      <c r="PZL23" s="3507"/>
      <c r="PZM23" s="3507"/>
      <c r="PZN23" s="3507"/>
      <c r="PZO23" s="3507"/>
      <c r="PZP23" s="3507"/>
      <c r="PZQ23" s="3507"/>
      <c r="PZR23" s="3507"/>
      <c r="PZS23" s="3507"/>
      <c r="PZT23" s="3507"/>
      <c r="PZU23" s="3507"/>
      <c r="PZV23" s="3507"/>
      <c r="PZW23" s="3507"/>
      <c r="PZX23" s="3507"/>
      <c r="PZY23" s="3507"/>
      <c r="PZZ23" s="3507"/>
      <c r="QAA23" s="3507"/>
      <c r="QAB23" s="3507"/>
      <c r="QAC23" s="3507"/>
      <c r="QAD23" s="3507"/>
      <c r="QAE23" s="3507"/>
      <c r="QAF23" s="3507"/>
      <c r="QAG23" s="3507"/>
      <c r="QAH23" s="3507"/>
      <c r="QAI23" s="3507"/>
      <c r="QAJ23" s="3507"/>
      <c r="QAK23" s="3507"/>
      <c r="QAL23" s="3507"/>
      <c r="QAM23" s="3507"/>
      <c r="QAN23" s="3507"/>
      <c r="QAO23" s="3507"/>
      <c r="QAP23" s="3507"/>
      <c r="QAQ23" s="3507"/>
      <c r="QAR23" s="3507"/>
      <c r="QAS23" s="3507"/>
      <c r="QAT23" s="3507"/>
      <c r="QAU23" s="3507"/>
      <c r="QAV23" s="3507"/>
      <c r="QAW23" s="3507"/>
      <c r="QAX23" s="3507"/>
      <c r="QAY23" s="3507"/>
      <c r="QAZ23" s="3507"/>
      <c r="QBA23" s="3507"/>
      <c r="QBB23" s="3507"/>
      <c r="QBC23" s="3507"/>
      <c r="QBD23" s="3507"/>
      <c r="QBE23" s="3507"/>
      <c r="QBF23" s="3507"/>
      <c r="QBG23" s="3507"/>
      <c r="QBH23" s="3507"/>
      <c r="QBI23" s="3507"/>
      <c r="QBJ23" s="3507"/>
      <c r="QBK23" s="3507"/>
      <c r="QBL23" s="3507"/>
      <c r="QBM23" s="3507"/>
      <c r="QBN23" s="3507"/>
      <c r="QBO23" s="3507"/>
      <c r="QBP23" s="3507"/>
      <c r="QBQ23" s="3507"/>
      <c r="QBR23" s="3507"/>
      <c r="QBS23" s="3507"/>
      <c r="QBT23" s="3507"/>
      <c r="QBU23" s="3507"/>
      <c r="QBV23" s="3507"/>
      <c r="QBW23" s="3507"/>
      <c r="QBX23" s="3507"/>
      <c r="QBY23" s="3507"/>
      <c r="QBZ23" s="3507"/>
      <c r="QCA23" s="3507"/>
      <c r="QCB23" s="3507"/>
      <c r="QCC23" s="3507"/>
      <c r="QCD23" s="3507"/>
      <c r="QCE23" s="3507"/>
      <c r="QCF23" s="3507"/>
      <c r="QCG23" s="3507"/>
      <c r="QCH23" s="3507"/>
      <c r="QCI23" s="3507"/>
      <c r="QCJ23" s="3507"/>
      <c r="QCK23" s="3507"/>
      <c r="QCL23" s="3507"/>
      <c r="QCM23" s="3507"/>
      <c r="QCN23" s="3507"/>
      <c r="QCO23" s="3507"/>
      <c r="QCP23" s="3507"/>
      <c r="QCQ23" s="3507"/>
      <c r="QCR23" s="3507"/>
      <c r="QCS23" s="3507"/>
      <c r="QCT23" s="3507"/>
      <c r="QCU23" s="3507"/>
      <c r="QCV23" s="3507"/>
      <c r="QCW23" s="3507"/>
      <c r="QCX23" s="3507"/>
      <c r="QCY23" s="3507"/>
      <c r="QCZ23" s="3507"/>
      <c r="QDA23" s="3507"/>
      <c r="QDB23" s="3507"/>
      <c r="QDC23" s="3507"/>
      <c r="QDD23" s="3507"/>
      <c r="QDE23" s="3507"/>
      <c r="QDF23" s="3507"/>
      <c r="QDG23" s="3507"/>
      <c r="QDH23" s="3507"/>
      <c r="QDI23" s="3507"/>
      <c r="QDJ23" s="3507"/>
      <c r="QDK23" s="3507"/>
      <c r="QDL23" s="3507"/>
      <c r="QDM23" s="3507"/>
      <c r="QDN23" s="3507"/>
      <c r="QDO23" s="3507"/>
      <c r="QDP23" s="3507"/>
      <c r="QDQ23" s="3507"/>
      <c r="QDR23" s="3507"/>
      <c r="QDS23" s="3507"/>
      <c r="QDT23" s="3507"/>
      <c r="QDU23" s="3507"/>
      <c r="QDV23" s="3507"/>
      <c r="QDW23" s="3507"/>
      <c r="QDX23" s="3507"/>
      <c r="QDY23" s="3507"/>
      <c r="QDZ23" s="3507"/>
      <c r="QEA23" s="3507"/>
      <c r="QEB23" s="3507"/>
      <c r="QEC23" s="3507"/>
      <c r="QED23" s="3507"/>
      <c r="QEE23" s="3507"/>
      <c r="QEF23" s="3507"/>
      <c r="QEG23" s="3507"/>
      <c r="QEH23" s="3507"/>
      <c r="QEI23" s="3507"/>
      <c r="QEJ23" s="3507"/>
      <c r="QEK23" s="3507"/>
      <c r="QEL23" s="3507"/>
      <c r="QEM23" s="3507"/>
      <c r="QEN23" s="3507"/>
      <c r="QEO23" s="3507"/>
      <c r="QEP23" s="3507"/>
      <c r="QEQ23" s="3507"/>
      <c r="QER23" s="3507"/>
      <c r="QES23" s="3507"/>
      <c r="QET23" s="3507"/>
      <c r="QEU23" s="3507"/>
      <c r="QEV23" s="3507"/>
      <c r="QEW23" s="3507"/>
      <c r="QEX23" s="3507"/>
      <c r="QEY23" s="3507"/>
      <c r="QEZ23" s="3507"/>
      <c r="QFA23" s="3507"/>
      <c r="QFB23" s="3507"/>
      <c r="QFC23" s="3507"/>
      <c r="QFD23" s="3507"/>
      <c r="QFE23" s="3507"/>
      <c r="QFF23" s="3507"/>
      <c r="QFG23" s="3507"/>
      <c r="QFH23" s="3507"/>
      <c r="QFI23" s="3507"/>
      <c r="QFJ23" s="3507"/>
      <c r="QFK23" s="3507"/>
      <c r="QFL23" s="3507"/>
      <c r="QFM23" s="3507"/>
      <c r="QFN23" s="3507"/>
      <c r="QFO23" s="3507"/>
      <c r="QFP23" s="3507"/>
      <c r="QFQ23" s="3507"/>
      <c r="QFR23" s="3507"/>
      <c r="QFS23" s="3507"/>
      <c r="QFT23" s="3507"/>
      <c r="QFU23" s="3507"/>
      <c r="QFV23" s="3507"/>
      <c r="QFW23" s="3507"/>
      <c r="QFX23" s="3507"/>
      <c r="QFY23" s="3507"/>
      <c r="QFZ23" s="3507"/>
      <c r="QGA23" s="3507"/>
      <c r="QGB23" s="3507"/>
      <c r="QGC23" s="3507"/>
      <c r="QGD23" s="3507"/>
      <c r="QGE23" s="3507"/>
      <c r="QGF23" s="3507"/>
      <c r="QGG23" s="3507"/>
      <c r="QGH23" s="3507"/>
      <c r="QGI23" s="3507"/>
      <c r="QGJ23" s="3507"/>
      <c r="QGK23" s="3507"/>
      <c r="QGL23" s="3507"/>
      <c r="QGM23" s="3507"/>
      <c r="QGN23" s="3507"/>
      <c r="QGO23" s="3507"/>
      <c r="QGP23" s="3507"/>
      <c r="QGQ23" s="3507"/>
      <c r="QGR23" s="3507"/>
      <c r="QGS23" s="3507"/>
      <c r="QGT23" s="3507"/>
      <c r="QGU23" s="3507"/>
      <c r="QGV23" s="3507"/>
      <c r="QGW23" s="3507"/>
      <c r="QGX23" s="3507"/>
      <c r="QGY23" s="3507"/>
      <c r="QGZ23" s="3507"/>
      <c r="QHA23" s="3507"/>
      <c r="QHB23" s="3507"/>
      <c r="QHC23" s="3507"/>
      <c r="QHD23" s="3507"/>
      <c r="QHE23" s="3507"/>
      <c r="QHF23" s="3507"/>
      <c r="QHG23" s="3507"/>
      <c r="QHH23" s="3507"/>
      <c r="QHI23" s="3507"/>
      <c r="QHJ23" s="3507"/>
      <c r="QHK23" s="3507"/>
      <c r="QHL23" s="3507"/>
      <c r="QHM23" s="3507"/>
      <c r="QHN23" s="3507"/>
      <c r="QHO23" s="3507"/>
      <c r="QHP23" s="3507"/>
      <c r="QHQ23" s="3507"/>
      <c r="QHR23" s="3507"/>
      <c r="QHS23" s="3507"/>
      <c r="QHT23" s="3507"/>
      <c r="QHU23" s="3507"/>
      <c r="QHV23" s="3507"/>
      <c r="QHW23" s="3507"/>
      <c r="QHX23" s="3507"/>
      <c r="QHY23" s="3507"/>
      <c r="QHZ23" s="3507"/>
      <c r="QIA23" s="3507"/>
      <c r="QIB23" s="3507"/>
      <c r="QIC23" s="3507"/>
      <c r="QID23" s="3507"/>
      <c r="QIE23" s="3507"/>
      <c r="QIF23" s="3507"/>
      <c r="QIG23" s="3507"/>
      <c r="QIH23" s="3507"/>
      <c r="QII23" s="3507"/>
      <c r="QIJ23" s="3507"/>
      <c r="QIK23" s="3507"/>
      <c r="QIL23" s="3507"/>
      <c r="QIM23" s="3507"/>
      <c r="QIN23" s="3507"/>
      <c r="QIO23" s="3507"/>
      <c r="QIP23" s="3507"/>
      <c r="QIQ23" s="3507"/>
      <c r="QIR23" s="3507"/>
      <c r="QIS23" s="3507"/>
      <c r="QIT23" s="3507"/>
      <c r="QIU23" s="3507"/>
      <c r="QIV23" s="3507"/>
      <c r="QIW23" s="3507"/>
      <c r="QIX23" s="3507"/>
      <c r="QIY23" s="3507"/>
      <c r="QIZ23" s="3507"/>
      <c r="QJA23" s="3507"/>
      <c r="QJB23" s="3507"/>
      <c r="QJC23" s="3507"/>
      <c r="QJD23" s="3507"/>
      <c r="QJE23" s="3507"/>
      <c r="QJF23" s="3507"/>
      <c r="QJG23" s="3507"/>
      <c r="QJH23" s="3507"/>
      <c r="QJI23" s="3507"/>
      <c r="QJJ23" s="3507"/>
      <c r="QJK23" s="3507"/>
      <c r="QJL23" s="3507"/>
      <c r="QJM23" s="3507"/>
      <c r="QJN23" s="3507"/>
      <c r="QJO23" s="3507"/>
      <c r="QJP23" s="3507"/>
      <c r="QJQ23" s="3507"/>
      <c r="QJR23" s="3507"/>
      <c r="QJS23" s="3507"/>
      <c r="QJT23" s="3507"/>
      <c r="QJU23" s="3507"/>
      <c r="QJV23" s="3507"/>
      <c r="QJW23" s="3507"/>
      <c r="QJX23" s="3507"/>
      <c r="QJY23" s="3507"/>
      <c r="QJZ23" s="3507"/>
      <c r="QKA23" s="3507"/>
      <c r="QKB23" s="3507"/>
      <c r="QKC23" s="3507"/>
      <c r="QKD23" s="3507"/>
      <c r="QKE23" s="3507"/>
      <c r="QKF23" s="3507"/>
      <c r="QKG23" s="3507"/>
      <c r="QKH23" s="3507"/>
      <c r="QKI23" s="3507"/>
      <c r="QKJ23" s="3507"/>
      <c r="QKK23" s="3507"/>
      <c r="QKL23" s="3507"/>
      <c r="QKM23" s="3507"/>
      <c r="QKN23" s="3507"/>
      <c r="QKO23" s="3507"/>
      <c r="QKP23" s="3507"/>
      <c r="QKQ23" s="3507"/>
      <c r="QKR23" s="3507"/>
      <c r="QKS23" s="3507"/>
      <c r="QKT23" s="3507"/>
      <c r="QKU23" s="3507"/>
      <c r="QKV23" s="3507"/>
      <c r="QKW23" s="3507"/>
      <c r="QKX23" s="3507"/>
      <c r="QKY23" s="3507"/>
      <c r="QKZ23" s="3507"/>
      <c r="QLA23" s="3507"/>
      <c r="QLB23" s="3507"/>
      <c r="QLC23" s="3507"/>
      <c r="QLD23" s="3507"/>
      <c r="QLE23" s="3507"/>
      <c r="QLF23" s="3507"/>
      <c r="QLG23" s="3507"/>
      <c r="QLH23" s="3507"/>
      <c r="QLI23" s="3507"/>
      <c r="QLJ23" s="3507"/>
      <c r="QLK23" s="3507"/>
      <c r="QLL23" s="3507"/>
      <c r="QLM23" s="3507"/>
      <c r="QLN23" s="3507"/>
      <c r="QLO23" s="3507"/>
      <c r="QLP23" s="3507"/>
      <c r="QLQ23" s="3507"/>
      <c r="QLR23" s="3507"/>
      <c r="QLS23" s="3507"/>
      <c r="QLT23" s="3507"/>
      <c r="QLU23" s="3507"/>
      <c r="QLV23" s="3507"/>
      <c r="QLW23" s="3507"/>
      <c r="QLX23" s="3507"/>
      <c r="QLY23" s="3507"/>
      <c r="QLZ23" s="3507"/>
      <c r="QMA23" s="3507"/>
      <c r="QMB23" s="3507"/>
      <c r="QMC23" s="3507"/>
      <c r="QMD23" s="3507"/>
      <c r="QME23" s="3507"/>
      <c r="QMF23" s="3507"/>
      <c r="QMG23" s="3507"/>
      <c r="QMH23" s="3507"/>
      <c r="QMI23" s="3507"/>
      <c r="QMJ23" s="3507"/>
      <c r="QMK23" s="3507"/>
      <c r="QML23" s="3507"/>
      <c r="QMM23" s="3507"/>
      <c r="QMN23" s="3507"/>
      <c r="QMO23" s="3507"/>
      <c r="QMP23" s="3507"/>
      <c r="QMQ23" s="3507"/>
      <c r="QMR23" s="3507"/>
      <c r="QMS23" s="3507"/>
      <c r="QMT23" s="3507"/>
      <c r="QMU23" s="3507"/>
      <c r="QMV23" s="3507"/>
      <c r="QMW23" s="3507"/>
      <c r="QMX23" s="3507"/>
      <c r="QMY23" s="3507"/>
      <c r="QMZ23" s="3507"/>
      <c r="QNA23" s="3507"/>
      <c r="QNB23" s="3507"/>
      <c r="QNC23" s="3507"/>
      <c r="QND23" s="3507"/>
      <c r="QNE23" s="3507"/>
      <c r="QNF23" s="3507"/>
      <c r="QNG23" s="3507"/>
      <c r="QNH23" s="3507"/>
      <c r="QNI23" s="3507"/>
      <c r="QNJ23" s="3507"/>
      <c r="QNK23" s="3507"/>
      <c r="QNL23" s="3507"/>
      <c r="QNM23" s="3507"/>
      <c r="QNN23" s="3507"/>
      <c r="QNO23" s="3507"/>
      <c r="QNP23" s="3507"/>
      <c r="QNQ23" s="3507"/>
      <c r="QNR23" s="3507"/>
      <c r="QNS23" s="3507"/>
      <c r="QNT23" s="3507"/>
      <c r="QNU23" s="3507"/>
      <c r="QNV23" s="3507"/>
      <c r="QNW23" s="3507"/>
      <c r="QNX23" s="3507"/>
      <c r="QNY23" s="3507"/>
      <c r="QNZ23" s="3507"/>
      <c r="QOA23" s="3507"/>
      <c r="QOB23" s="3507"/>
      <c r="QOC23" s="3507"/>
      <c r="QOD23" s="3507"/>
      <c r="QOE23" s="3507"/>
      <c r="QOF23" s="3507"/>
      <c r="QOG23" s="3507"/>
      <c r="QOH23" s="3507"/>
      <c r="QOI23" s="3507"/>
      <c r="QOJ23" s="3507"/>
      <c r="QOK23" s="3507"/>
      <c r="QOL23" s="3507"/>
      <c r="QOM23" s="3507"/>
      <c r="QON23" s="3507"/>
      <c r="QOO23" s="3507"/>
      <c r="QOP23" s="3507"/>
      <c r="QOQ23" s="3507"/>
      <c r="QOR23" s="3507"/>
      <c r="QOS23" s="3507"/>
      <c r="QOT23" s="3507"/>
      <c r="QOU23" s="3507"/>
      <c r="QOV23" s="3507"/>
      <c r="QOW23" s="3507"/>
      <c r="QOX23" s="3507"/>
      <c r="QOY23" s="3507"/>
      <c r="QOZ23" s="3507"/>
      <c r="QPA23" s="3507"/>
      <c r="QPB23" s="3507"/>
      <c r="QPC23" s="3507"/>
      <c r="QPD23" s="3507"/>
      <c r="QPE23" s="3507"/>
      <c r="QPF23" s="3507"/>
      <c r="QPG23" s="3507"/>
      <c r="QPH23" s="3507"/>
      <c r="QPI23" s="3507"/>
      <c r="QPJ23" s="3507"/>
      <c r="QPK23" s="3507"/>
      <c r="QPL23" s="3507"/>
      <c r="QPM23" s="3507"/>
      <c r="QPN23" s="3507"/>
      <c r="QPO23" s="3507"/>
      <c r="QPP23" s="3507"/>
      <c r="QPQ23" s="3507"/>
      <c r="QPR23" s="3507"/>
      <c r="QPS23" s="3507"/>
      <c r="QPT23" s="3507"/>
      <c r="QPU23" s="3507"/>
      <c r="QPV23" s="3507"/>
      <c r="QPW23" s="3507"/>
      <c r="QPX23" s="3507"/>
      <c r="QPY23" s="3507"/>
      <c r="QPZ23" s="3507"/>
      <c r="QQA23" s="3507"/>
      <c r="QQB23" s="3507"/>
      <c r="QQC23" s="3507"/>
      <c r="QQD23" s="3507"/>
      <c r="QQE23" s="3507"/>
      <c r="QQF23" s="3507"/>
      <c r="QQG23" s="3507"/>
      <c r="QQH23" s="3507"/>
      <c r="QQI23" s="3507"/>
      <c r="QQJ23" s="3507"/>
      <c r="QQK23" s="3507"/>
      <c r="QQL23" s="3507"/>
      <c r="QQM23" s="3507"/>
      <c r="QQN23" s="3507"/>
      <c r="QQO23" s="3507"/>
      <c r="QQP23" s="3507"/>
      <c r="QQQ23" s="3507"/>
      <c r="QQR23" s="3507"/>
      <c r="QQS23" s="3507"/>
      <c r="QQT23" s="3507"/>
      <c r="QQU23" s="3507"/>
      <c r="QQV23" s="3507"/>
      <c r="QQW23" s="3507"/>
      <c r="QQX23" s="3507"/>
      <c r="QQY23" s="3507"/>
      <c r="QQZ23" s="3507"/>
      <c r="QRA23" s="3507"/>
      <c r="QRB23" s="3507"/>
      <c r="QRC23" s="3507"/>
      <c r="QRD23" s="3507"/>
      <c r="QRE23" s="3507"/>
      <c r="QRF23" s="3507"/>
      <c r="QRG23" s="3507"/>
      <c r="QRH23" s="3507"/>
      <c r="QRI23" s="3507"/>
      <c r="QRJ23" s="3507"/>
      <c r="QRK23" s="3507"/>
      <c r="QRL23" s="3507"/>
      <c r="QRM23" s="3507"/>
      <c r="QRN23" s="3507"/>
      <c r="QRO23" s="3507"/>
      <c r="QRP23" s="3507"/>
      <c r="QRQ23" s="3507"/>
      <c r="QRR23" s="3507"/>
      <c r="QRS23" s="3507"/>
      <c r="QRT23" s="3507"/>
      <c r="QRU23" s="3507"/>
      <c r="QRV23" s="3507"/>
      <c r="QRW23" s="3507"/>
      <c r="QRX23" s="3507"/>
      <c r="QRY23" s="3507"/>
      <c r="QRZ23" s="3507"/>
      <c r="QSA23" s="3507"/>
      <c r="QSB23" s="3507"/>
      <c r="QSC23" s="3507"/>
      <c r="QSD23" s="3507"/>
      <c r="QSE23" s="3507"/>
      <c r="QSF23" s="3507"/>
      <c r="QSG23" s="3507"/>
      <c r="QSH23" s="3507"/>
      <c r="QSI23" s="3507"/>
      <c r="QSJ23" s="3507"/>
      <c r="QSK23" s="3507"/>
      <c r="QSL23" s="3507"/>
      <c r="QSM23" s="3507"/>
      <c r="QSN23" s="3507"/>
      <c r="QSO23" s="3507"/>
      <c r="QSP23" s="3507"/>
      <c r="QSQ23" s="3507"/>
      <c r="QSR23" s="3507"/>
      <c r="QSS23" s="3507"/>
      <c r="QST23" s="3507"/>
      <c r="QSU23" s="3507"/>
      <c r="QSV23" s="3507"/>
      <c r="QSW23" s="3507"/>
      <c r="QSX23" s="3507"/>
      <c r="QSY23" s="3507"/>
      <c r="QSZ23" s="3507"/>
      <c r="QTA23" s="3507"/>
      <c r="QTB23" s="3507"/>
      <c r="QTC23" s="3507"/>
      <c r="QTD23" s="3507"/>
      <c r="QTE23" s="3507"/>
      <c r="QTF23" s="3507"/>
      <c r="QTG23" s="3507"/>
      <c r="QTH23" s="3507"/>
      <c r="QTI23" s="3507"/>
      <c r="QTJ23" s="3507"/>
      <c r="QTK23" s="3507"/>
      <c r="QTL23" s="3507"/>
      <c r="QTM23" s="3507"/>
      <c r="QTN23" s="3507"/>
      <c r="QTO23" s="3507"/>
      <c r="QTP23" s="3507"/>
      <c r="QTQ23" s="3507"/>
      <c r="QTR23" s="3507"/>
      <c r="QTS23" s="3507"/>
      <c r="QTT23" s="3507"/>
      <c r="QTU23" s="3507"/>
      <c r="QTV23" s="3507"/>
      <c r="QTW23" s="3507"/>
      <c r="QTX23" s="3507"/>
      <c r="QTY23" s="3507"/>
      <c r="QTZ23" s="3507"/>
      <c r="QUA23" s="3507"/>
      <c r="QUB23" s="3507"/>
      <c r="QUC23" s="3507"/>
      <c r="QUD23" s="3507"/>
      <c r="QUE23" s="3507"/>
      <c r="QUF23" s="3507"/>
      <c r="QUG23" s="3507"/>
      <c r="QUH23" s="3507"/>
      <c r="QUI23" s="3507"/>
      <c r="QUJ23" s="3507"/>
      <c r="QUK23" s="3507"/>
      <c r="QUL23" s="3507"/>
      <c r="QUM23" s="3507"/>
      <c r="QUN23" s="3507"/>
      <c r="QUO23" s="3507"/>
      <c r="QUP23" s="3507"/>
      <c r="QUQ23" s="3507"/>
      <c r="QUR23" s="3507"/>
      <c r="QUS23" s="3507"/>
      <c r="QUT23" s="3507"/>
      <c r="QUU23" s="3507"/>
      <c r="QUV23" s="3507"/>
      <c r="QUW23" s="3507"/>
      <c r="QUX23" s="3507"/>
      <c r="QUY23" s="3507"/>
      <c r="QUZ23" s="3507"/>
      <c r="QVA23" s="3507"/>
      <c r="QVB23" s="3507"/>
      <c r="QVC23" s="3507"/>
      <c r="QVD23" s="3507"/>
      <c r="QVE23" s="3507"/>
      <c r="QVF23" s="3507"/>
      <c r="QVG23" s="3507"/>
      <c r="QVH23" s="3507"/>
      <c r="QVI23" s="3507"/>
      <c r="QVJ23" s="3507"/>
      <c r="QVK23" s="3507"/>
      <c r="QVL23" s="3507"/>
      <c r="QVM23" s="3507"/>
      <c r="QVN23" s="3507"/>
      <c r="QVO23" s="3507"/>
      <c r="QVP23" s="3507"/>
      <c r="QVQ23" s="3507"/>
      <c r="QVR23" s="3507"/>
      <c r="QVS23" s="3507"/>
      <c r="QVT23" s="3507"/>
      <c r="QVU23" s="3507"/>
      <c r="QVV23" s="3507"/>
      <c r="QVW23" s="3507"/>
      <c r="QVX23" s="3507"/>
      <c r="QVY23" s="3507"/>
      <c r="QVZ23" s="3507"/>
      <c r="QWA23" s="3507"/>
      <c r="QWB23" s="3507"/>
      <c r="QWC23" s="3507"/>
      <c r="QWD23" s="3507"/>
      <c r="QWE23" s="3507"/>
      <c r="QWF23" s="3507"/>
      <c r="QWG23" s="3507"/>
      <c r="QWH23" s="3507"/>
      <c r="QWI23" s="3507"/>
      <c r="QWJ23" s="3507"/>
      <c r="QWK23" s="3507"/>
      <c r="QWL23" s="3507"/>
      <c r="QWM23" s="3507"/>
      <c r="QWN23" s="3507"/>
      <c r="QWO23" s="3507"/>
      <c r="QWP23" s="3507"/>
      <c r="QWQ23" s="3507"/>
      <c r="QWR23" s="3507"/>
      <c r="QWS23" s="3507"/>
      <c r="QWT23" s="3507"/>
      <c r="QWU23" s="3507"/>
      <c r="QWV23" s="3507"/>
      <c r="QWW23" s="3507"/>
      <c r="QWX23" s="3507"/>
      <c r="QWY23" s="3507"/>
      <c r="QWZ23" s="3507"/>
      <c r="QXA23" s="3507"/>
      <c r="QXB23" s="3507"/>
      <c r="QXC23" s="3507"/>
      <c r="QXD23" s="3507"/>
      <c r="QXE23" s="3507"/>
      <c r="QXF23" s="3507"/>
      <c r="QXG23" s="3507"/>
      <c r="QXH23" s="3507"/>
      <c r="QXI23" s="3507"/>
      <c r="QXJ23" s="3507"/>
      <c r="QXK23" s="3507"/>
      <c r="QXL23" s="3507"/>
      <c r="QXM23" s="3507"/>
      <c r="QXN23" s="3507"/>
      <c r="QXO23" s="3507"/>
      <c r="QXP23" s="3507"/>
      <c r="QXQ23" s="3507"/>
      <c r="QXR23" s="3507"/>
      <c r="QXS23" s="3507"/>
      <c r="QXT23" s="3507"/>
      <c r="QXU23" s="3507"/>
      <c r="QXV23" s="3507"/>
      <c r="QXW23" s="3507"/>
      <c r="QXX23" s="3507"/>
      <c r="QXY23" s="3507"/>
      <c r="QXZ23" s="3507"/>
      <c r="QYA23" s="3507"/>
      <c r="QYB23" s="3507"/>
      <c r="QYC23" s="3507"/>
      <c r="QYD23" s="3507"/>
      <c r="QYE23" s="3507"/>
      <c r="QYF23" s="3507"/>
      <c r="QYG23" s="3507"/>
      <c r="QYH23" s="3507"/>
      <c r="QYI23" s="3507"/>
      <c r="QYJ23" s="3507"/>
      <c r="QYK23" s="3507"/>
      <c r="QYL23" s="3507"/>
      <c r="QYM23" s="3507"/>
      <c r="QYN23" s="3507"/>
      <c r="QYO23" s="3507"/>
      <c r="QYP23" s="3507"/>
      <c r="QYQ23" s="3507"/>
      <c r="QYR23" s="3507"/>
      <c r="QYS23" s="3507"/>
      <c r="QYT23" s="3507"/>
      <c r="QYU23" s="3507"/>
      <c r="QYV23" s="3507"/>
      <c r="QYW23" s="3507"/>
      <c r="QYX23" s="3507"/>
      <c r="QYY23" s="3507"/>
      <c r="QYZ23" s="3507"/>
      <c r="QZA23" s="3507"/>
      <c r="QZB23" s="3507"/>
      <c r="QZC23" s="3507"/>
      <c r="QZD23" s="3507"/>
      <c r="QZE23" s="3507"/>
      <c r="QZF23" s="3507"/>
      <c r="QZG23" s="3507"/>
      <c r="QZH23" s="3507"/>
      <c r="QZI23" s="3507"/>
      <c r="QZJ23" s="3507"/>
      <c r="QZK23" s="3507"/>
      <c r="QZL23" s="3507"/>
      <c r="QZM23" s="3507"/>
      <c r="QZN23" s="3507"/>
      <c r="QZO23" s="3507"/>
      <c r="QZP23" s="3507"/>
      <c r="QZQ23" s="3507"/>
      <c r="QZR23" s="3507"/>
      <c r="QZS23" s="3507"/>
      <c r="QZT23" s="3507"/>
      <c r="QZU23" s="3507"/>
      <c r="QZV23" s="3507"/>
      <c r="QZW23" s="3507"/>
      <c r="QZX23" s="3507"/>
      <c r="QZY23" s="3507"/>
      <c r="QZZ23" s="3507"/>
      <c r="RAA23" s="3507"/>
      <c r="RAB23" s="3507"/>
      <c r="RAC23" s="3507"/>
      <c r="RAD23" s="3507"/>
      <c r="RAE23" s="3507"/>
      <c r="RAF23" s="3507"/>
      <c r="RAG23" s="3507"/>
      <c r="RAH23" s="3507"/>
      <c r="RAI23" s="3507"/>
      <c r="RAJ23" s="3507"/>
      <c r="RAK23" s="3507"/>
      <c r="RAL23" s="3507"/>
      <c r="RAM23" s="3507"/>
      <c r="RAN23" s="3507"/>
      <c r="RAO23" s="3507"/>
      <c r="RAP23" s="3507"/>
      <c r="RAQ23" s="3507"/>
      <c r="RAR23" s="3507"/>
      <c r="RAS23" s="3507"/>
      <c r="RAT23" s="3507"/>
      <c r="RAU23" s="3507"/>
      <c r="RAV23" s="3507"/>
      <c r="RAW23" s="3507"/>
      <c r="RAX23" s="3507"/>
      <c r="RAY23" s="3507"/>
      <c r="RAZ23" s="3507"/>
      <c r="RBA23" s="3507"/>
      <c r="RBB23" s="3507"/>
      <c r="RBC23" s="3507"/>
      <c r="RBD23" s="3507"/>
      <c r="RBE23" s="3507"/>
      <c r="RBF23" s="3507"/>
      <c r="RBG23" s="3507"/>
      <c r="RBH23" s="3507"/>
      <c r="RBI23" s="3507"/>
      <c r="RBJ23" s="3507"/>
      <c r="RBK23" s="3507"/>
      <c r="RBL23" s="3507"/>
      <c r="RBM23" s="3507"/>
      <c r="RBN23" s="3507"/>
      <c r="RBO23" s="3507"/>
      <c r="RBP23" s="3507"/>
      <c r="RBQ23" s="3507"/>
      <c r="RBR23" s="3507"/>
      <c r="RBS23" s="3507"/>
      <c r="RBT23" s="3507"/>
      <c r="RBU23" s="3507"/>
      <c r="RBV23" s="3507"/>
      <c r="RBW23" s="3507"/>
      <c r="RBX23" s="3507"/>
      <c r="RBY23" s="3507"/>
      <c r="RBZ23" s="3507"/>
      <c r="RCA23" s="3507"/>
      <c r="RCB23" s="3507"/>
      <c r="RCC23" s="3507"/>
      <c r="RCD23" s="3507"/>
      <c r="RCE23" s="3507"/>
      <c r="RCF23" s="3507"/>
      <c r="RCG23" s="3507"/>
      <c r="RCH23" s="3507"/>
      <c r="RCI23" s="3507"/>
      <c r="RCJ23" s="3507"/>
      <c r="RCK23" s="3507"/>
      <c r="RCL23" s="3507"/>
      <c r="RCM23" s="3507"/>
      <c r="RCN23" s="3507"/>
      <c r="RCO23" s="3507"/>
      <c r="RCP23" s="3507"/>
      <c r="RCQ23" s="3507"/>
      <c r="RCR23" s="3507"/>
      <c r="RCS23" s="3507"/>
      <c r="RCT23" s="3507"/>
      <c r="RCU23" s="3507"/>
      <c r="RCV23" s="3507"/>
      <c r="RCW23" s="3507"/>
      <c r="RCX23" s="3507"/>
      <c r="RCY23" s="3507"/>
      <c r="RCZ23" s="3507"/>
      <c r="RDA23" s="3507"/>
      <c r="RDB23" s="3507"/>
      <c r="RDC23" s="3507"/>
      <c r="RDD23" s="3507"/>
      <c r="RDE23" s="3507"/>
      <c r="RDF23" s="3507"/>
      <c r="RDG23" s="3507"/>
      <c r="RDH23" s="3507"/>
      <c r="RDI23" s="3507"/>
      <c r="RDJ23" s="3507"/>
      <c r="RDK23" s="3507"/>
      <c r="RDL23" s="3507"/>
      <c r="RDM23" s="3507"/>
      <c r="RDN23" s="3507"/>
      <c r="RDO23" s="3507"/>
      <c r="RDP23" s="3507"/>
      <c r="RDQ23" s="3507"/>
      <c r="RDR23" s="3507"/>
      <c r="RDS23" s="3507"/>
      <c r="RDT23" s="3507"/>
      <c r="RDU23" s="3507"/>
      <c r="RDV23" s="3507"/>
      <c r="RDW23" s="3507"/>
      <c r="RDX23" s="3507"/>
      <c r="RDY23" s="3507"/>
      <c r="RDZ23" s="3507"/>
      <c r="REA23" s="3507"/>
      <c r="REB23" s="3507"/>
      <c r="REC23" s="3507"/>
      <c r="RED23" s="3507"/>
      <c r="REE23" s="3507"/>
      <c r="REF23" s="3507"/>
      <c r="REG23" s="3507"/>
      <c r="REH23" s="3507"/>
      <c r="REI23" s="3507"/>
      <c r="REJ23" s="3507"/>
      <c r="REK23" s="3507"/>
      <c r="REL23" s="3507"/>
      <c r="REM23" s="3507"/>
      <c r="REN23" s="3507"/>
      <c r="REO23" s="3507"/>
      <c r="REP23" s="3507"/>
      <c r="REQ23" s="3507"/>
      <c r="RER23" s="3507"/>
      <c r="RES23" s="3507"/>
      <c r="RET23" s="3507"/>
      <c r="REU23" s="3507"/>
      <c r="REV23" s="3507"/>
      <c r="REW23" s="3507"/>
      <c r="REX23" s="3507"/>
      <c r="REY23" s="3507"/>
      <c r="REZ23" s="3507"/>
      <c r="RFA23" s="3507"/>
      <c r="RFB23" s="3507"/>
      <c r="RFC23" s="3507"/>
      <c r="RFD23" s="3507"/>
      <c r="RFE23" s="3507"/>
      <c r="RFF23" s="3507"/>
      <c r="RFG23" s="3507"/>
      <c r="RFH23" s="3507"/>
      <c r="RFI23" s="3507"/>
      <c r="RFJ23" s="3507"/>
      <c r="RFK23" s="3507"/>
      <c r="RFL23" s="3507"/>
      <c r="RFM23" s="3507"/>
      <c r="RFN23" s="3507"/>
      <c r="RFO23" s="3507"/>
      <c r="RFP23" s="3507"/>
      <c r="RFQ23" s="3507"/>
      <c r="RFR23" s="3507"/>
      <c r="RFS23" s="3507"/>
      <c r="RFT23" s="3507"/>
      <c r="RFU23" s="3507"/>
      <c r="RFV23" s="3507"/>
      <c r="RFW23" s="3507"/>
      <c r="RFX23" s="3507"/>
      <c r="RFY23" s="3507"/>
      <c r="RFZ23" s="3507"/>
      <c r="RGA23" s="3507"/>
      <c r="RGB23" s="3507"/>
      <c r="RGC23" s="3507"/>
      <c r="RGD23" s="3507"/>
      <c r="RGE23" s="3507"/>
      <c r="RGF23" s="3507"/>
      <c r="RGG23" s="3507"/>
      <c r="RGH23" s="3507"/>
      <c r="RGI23" s="3507"/>
      <c r="RGJ23" s="3507"/>
      <c r="RGK23" s="3507"/>
      <c r="RGL23" s="3507"/>
      <c r="RGM23" s="3507"/>
      <c r="RGN23" s="3507"/>
      <c r="RGO23" s="3507"/>
      <c r="RGP23" s="3507"/>
      <c r="RGQ23" s="3507"/>
      <c r="RGR23" s="3507"/>
      <c r="RGS23" s="3507"/>
      <c r="RGT23" s="3507"/>
      <c r="RGU23" s="3507"/>
      <c r="RGV23" s="3507"/>
      <c r="RGW23" s="3507"/>
      <c r="RGX23" s="3507"/>
      <c r="RGY23" s="3507"/>
      <c r="RGZ23" s="3507"/>
      <c r="RHA23" s="3507"/>
      <c r="RHB23" s="3507"/>
      <c r="RHC23" s="3507"/>
      <c r="RHD23" s="3507"/>
      <c r="RHE23" s="3507"/>
      <c r="RHF23" s="3507"/>
      <c r="RHG23" s="3507"/>
      <c r="RHH23" s="3507"/>
      <c r="RHI23" s="3507"/>
      <c r="RHJ23" s="3507"/>
      <c r="RHK23" s="3507"/>
      <c r="RHL23" s="3507"/>
      <c r="RHM23" s="3507"/>
      <c r="RHN23" s="3507"/>
      <c r="RHO23" s="3507"/>
      <c r="RHP23" s="3507"/>
      <c r="RHQ23" s="3507"/>
      <c r="RHR23" s="3507"/>
      <c r="RHS23" s="3507"/>
      <c r="RHT23" s="3507"/>
      <c r="RHU23" s="3507"/>
      <c r="RHV23" s="3507"/>
      <c r="RHW23" s="3507"/>
      <c r="RHX23" s="3507"/>
      <c r="RHY23" s="3507"/>
      <c r="RHZ23" s="3507"/>
      <c r="RIA23" s="3507"/>
      <c r="RIB23" s="3507"/>
      <c r="RIC23" s="3507"/>
      <c r="RID23" s="3507"/>
      <c r="RIE23" s="3507"/>
      <c r="RIF23" s="3507"/>
      <c r="RIG23" s="3507"/>
      <c r="RIH23" s="3507"/>
      <c r="RII23" s="3507"/>
      <c r="RIJ23" s="3507"/>
      <c r="RIK23" s="3507"/>
      <c r="RIL23" s="3507"/>
      <c r="RIM23" s="3507"/>
      <c r="RIN23" s="3507"/>
      <c r="RIO23" s="3507"/>
      <c r="RIP23" s="3507"/>
      <c r="RIQ23" s="3507"/>
      <c r="RIR23" s="3507"/>
      <c r="RIS23" s="3507"/>
      <c r="RIT23" s="3507"/>
      <c r="RIU23" s="3507"/>
      <c r="RIV23" s="3507"/>
      <c r="RIW23" s="3507"/>
      <c r="RIX23" s="3507"/>
      <c r="RIY23" s="3507"/>
      <c r="RIZ23" s="3507"/>
      <c r="RJA23" s="3507"/>
      <c r="RJB23" s="3507"/>
      <c r="RJC23" s="3507"/>
      <c r="RJD23" s="3507"/>
      <c r="RJE23" s="3507"/>
      <c r="RJF23" s="3507"/>
      <c r="RJG23" s="3507"/>
      <c r="RJH23" s="3507"/>
      <c r="RJI23" s="3507"/>
      <c r="RJJ23" s="3507"/>
      <c r="RJK23" s="3507"/>
      <c r="RJL23" s="3507"/>
      <c r="RJM23" s="3507"/>
      <c r="RJN23" s="3507"/>
      <c r="RJO23" s="3507"/>
      <c r="RJP23" s="3507"/>
      <c r="RJQ23" s="3507"/>
      <c r="RJR23" s="3507"/>
      <c r="RJS23" s="3507"/>
      <c r="RJT23" s="3507"/>
      <c r="RJU23" s="3507"/>
      <c r="RJV23" s="3507"/>
      <c r="RJW23" s="3507"/>
      <c r="RJX23" s="3507"/>
      <c r="RJY23" s="3507"/>
      <c r="RJZ23" s="3507"/>
      <c r="RKA23" s="3507"/>
      <c r="RKB23" s="3507"/>
      <c r="RKC23" s="3507"/>
      <c r="RKD23" s="3507"/>
      <c r="RKE23" s="3507"/>
      <c r="RKF23" s="3507"/>
      <c r="RKG23" s="3507"/>
      <c r="RKH23" s="3507"/>
      <c r="RKI23" s="3507"/>
      <c r="RKJ23" s="3507"/>
      <c r="RKK23" s="3507"/>
      <c r="RKL23" s="3507"/>
      <c r="RKM23" s="3507"/>
      <c r="RKN23" s="3507"/>
      <c r="RKO23" s="3507"/>
      <c r="RKP23" s="3507"/>
      <c r="RKQ23" s="3507"/>
      <c r="RKR23" s="3507"/>
      <c r="RKS23" s="3507"/>
      <c r="RKT23" s="3507"/>
      <c r="RKU23" s="3507"/>
      <c r="RKV23" s="3507"/>
      <c r="RKW23" s="3507"/>
      <c r="RKX23" s="3507"/>
      <c r="RKY23" s="3507"/>
      <c r="RKZ23" s="3507"/>
      <c r="RLA23" s="3507"/>
      <c r="RLB23" s="3507"/>
      <c r="RLC23" s="3507"/>
      <c r="RLD23" s="3507"/>
      <c r="RLE23" s="3507"/>
      <c r="RLF23" s="3507"/>
      <c r="RLG23" s="3507"/>
      <c r="RLH23" s="3507"/>
      <c r="RLI23" s="3507"/>
      <c r="RLJ23" s="3507"/>
      <c r="RLK23" s="3507"/>
      <c r="RLL23" s="3507"/>
      <c r="RLM23" s="3507"/>
      <c r="RLN23" s="3507"/>
      <c r="RLO23" s="3507"/>
      <c r="RLP23" s="3507"/>
      <c r="RLQ23" s="3507"/>
      <c r="RLR23" s="3507"/>
      <c r="RLS23" s="3507"/>
      <c r="RLT23" s="3507"/>
      <c r="RLU23" s="3507"/>
      <c r="RLV23" s="3507"/>
      <c r="RLW23" s="3507"/>
      <c r="RLX23" s="3507"/>
      <c r="RLY23" s="3507"/>
      <c r="RLZ23" s="3507"/>
      <c r="RMA23" s="3507"/>
      <c r="RMB23" s="3507"/>
      <c r="RMC23" s="3507"/>
      <c r="RMD23" s="3507"/>
      <c r="RME23" s="3507"/>
      <c r="RMF23" s="3507"/>
      <c r="RMG23" s="3507"/>
      <c r="RMH23" s="3507"/>
      <c r="RMI23" s="3507"/>
      <c r="RMJ23" s="3507"/>
      <c r="RMK23" s="3507"/>
      <c r="RML23" s="3507"/>
      <c r="RMM23" s="3507"/>
      <c r="RMN23" s="3507"/>
      <c r="RMO23" s="3507"/>
      <c r="RMP23" s="3507"/>
      <c r="RMQ23" s="3507"/>
      <c r="RMR23" s="3507"/>
      <c r="RMS23" s="3507"/>
      <c r="RMT23" s="3507"/>
      <c r="RMU23" s="3507"/>
      <c r="RMV23" s="3507"/>
      <c r="RMW23" s="3507"/>
      <c r="RMX23" s="3507"/>
      <c r="RMY23" s="3507"/>
      <c r="RMZ23" s="3507"/>
      <c r="RNA23" s="3507"/>
      <c r="RNB23" s="3507"/>
      <c r="RNC23" s="3507"/>
      <c r="RND23" s="3507"/>
      <c r="RNE23" s="3507"/>
      <c r="RNF23" s="3507"/>
      <c r="RNG23" s="3507"/>
      <c r="RNH23" s="3507"/>
      <c r="RNI23" s="3507"/>
      <c r="RNJ23" s="3507"/>
      <c r="RNK23" s="3507"/>
      <c r="RNL23" s="3507"/>
      <c r="RNM23" s="3507"/>
      <c r="RNN23" s="3507"/>
      <c r="RNO23" s="3507"/>
      <c r="RNP23" s="3507"/>
      <c r="RNQ23" s="3507"/>
      <c r="RNR23" s="3507"/>
      <c r="RNS23" s="3507"/>
      <c r="RNT23" s="3507"/>
      <c r="RNU23" s="3507"/>
      <c r="RNV23" s="3507"/>
      <c r="RNW23" s="3507"/>
      <c r="RNX23" s="3507"/>
      <c r="RNY23" s="3507"/>
      <c r="RNZ23" s="3507"/>
      <c r="ROA23" s="3507"/>
      <c r="ROB23" s="3507"/>
      <c r="ROC23" s="3507"/>
      <c r="ROD23" s="3507"/>
      <c r="ROE23" s="3507"/>
      <c r="ROF23" s="3507"/>
      <c r="ROG23" s="3507"/>
      <c r="ROH23" s="3507"/>
      <c r="ROI23" s="3507"/>
      <c r="ROJ23" s="3507"/>
      <c r="ROK23" s="3507"/>
      <c r="ROL23" s="3507"/>
      <c r="ROM23" s="3507"/>
      <c r="RON23" s="3507"/>
      <c r="ROO23" s="3507"/>
      <c r="ROP23" s="3507"/>
      <c r="ROQ23" s="3507"/>
      <c r="ROR23" s="3507"/>
      <c r="ROS23" s="3507"/>
      <c r="ROT23" s="3507"/>
      <c r="ROU23" s="3507"/>
      <c r="ROV23" s="3507"/>
      <c r="ROW23" s="3507"/>
      <c r="ROX23" s="3507"/>
      <c r="ROY23" s="3507"/>
      <c r="ROZ23" s="3507"/>
      <c r="RPA23" s="3507"/>
      <c r="RPB23" s="3507"/>
      <c r="RPC23" s="3507"/>
      <c r="RPD23" s="3507"/>
      <c r="RPE23" s="3507"/>
      <c r="RPF23" s="3507"/>
      <c r="RPG23" s="3507"/>
      <c r="RPH23" s="3507"/>
      <c r="RPI23" s="3507"/>
      <c r="RPJ23" s="3507"/>
      <c r="RPK23" s="3507"/>
      <c r="RPL23" s="3507"/>
      <c r="RPM23" s="3507"/>
      <c r="RPN23" s="3507"/>
      <c r="RPO23" s="3507"/>
      <c r="RPP23" s="3507"/>
      <c r="RPQ23" s="3507"/>
      <c r="RPR23" s="3507"/>
      <c r="RPS23" s="3507"/>
      <c r="RPT23" s="3507"/>
      <c r="RPU23" s="3507"/>
      <c r="RPV23" s="3507"/>
      <c r="RPW23" s="3507"/>
      <c r="RPX23" s="3507"/>
      <c r="RPY23" s="3507"/>
      <c r="RPZ23" s="3507"/>
      <c r="RQA23" s="3507"/>
      <c r="RQB23" s="3507"/>
      <c r="RQC23" s="3507"/>
      <c r="RQD23" s="3507"/>
      <c r="RQE23" s="3507"/>
      <c r="RQF23" s="3507"/>
      <c r="RQG23" s="3507"/>
      <c r="RQH23" s="3507"/>
      <c r="RQI23" s="3507"/>
      <c r="RQJ23" s="3507"/>
      <c r="RQK23" s="3507"/>
      <c r="RQL23" s="3507"/>
      <c r="RQM23" s="3507"/>
      <c r="RQN23" s="3507"/>
      <c r="RQO23" s="3507"/>
      <c r="RQP23" s="3507"/>
      <c r="RQQ23" s="3507"/>
      <c r="RQR23" s="3507"/>
      <c r="RQS23" s="3507"/>
      <c r="RQT23" s="3507"/>
      <c r="RQU23" s="3507"/>
      <c r="RQV23" s="3507"/>
      <c r="RQW23" s="3507"/>
      <c r="RQX23" s="3507"/>
      <c r="RQY23" s="3507"/>
      <c r="RQZ23" s="3507"/>
      <c r="RRA23" s="3507"/>
      <c r="RRB23" s="3507"/>
      <c r="RRC23" s="3507"/>
      <c r="RRD23" s="3507"/>
      <c r="RRE23" s="3507"/>
      <c r="RRF23" s="3507"/>
      <c r="RRG23" s="3507"/>
      <c r="RRH23" s="3507"/>
      <c r="RRI23" s="3507"/>
      <c r="RRJ23" s="3507"/>
      <c r="RRK23" s="3507"/>
      <c r="RRL23" s="3507"/>
      <c r="RRM23" s="3507"/>
      <c r="RRN23" s="3507"/>
      <c r="RRO23" s="3507"/>
      <c r="RRP23" s="3507"/>
      <c r="RRQ23" s="3507"/>
      <c r="RRR23" s="3507"/>
      <c r="RRS23" s="3507"/>
      <c r="RRT23" s="3507"/>
      <c r="RRU23" s="3507"/>
      <c r="RRV23" s="3507"/>
      <c r="RRW23" s="3507"/>
      <c r="RRX23" s="3507"/>
      <c r="RRY23" s="3507"/>
      <c r="RRZ23" s="3507"/>
      <c r="RSA23" s="3507"/>
      <c r="RSB23" s="3507"/>
      <c r="RSC23" s="3507"/>
      <c r="RSD23" s="3507"/>
      <c r="RSE23" s="3507"/>
      <c r="RSF23" s="3507"/>
      <c r="RSG23" s="3507"/>
      <c r="RSH23" s="3507"/>
      <c r="RSI23" s="3507"/>
      <c r="RSJ23" s="3507"/>
      <c r="RSK23" s="3507"/>
      <c r="RSL23" s="3507"/>
      <c r="RSM23" s="3507"/>
      <c r="RSN23" s="3507"/>
      <c r="RSO23" s="3507"/>
      <c r="RSP23" s="3507"/>
      <c r="RSQ23" s="3507"/>
      <c r="RSR23" s="3507"/>
      <c r="RSS23" s="3507"/>
      <c r="RST23" s="3507"/>
      <c r="RSU23" s="3507"/>
      <c r="RSV23" s="3507"/>
      <c r="RSW23" s="3507"/>
      <c r="RSX23" s="3507"/>
      <c r="RSY23" s="3507"/>
      <c r="RSZ23" s="3507"/>
      <c r="RTA23" s="3507"/>
      <c r="RTB23" s="3507"/>
      <c r="RTC23" s="3507"/>
      <c r="RTD23" s="3507"/>
      <c r="RTE23" s="3507"/>
      <c r="RTF23" s="3507"/>
      <c r="RTG23" s="3507"/>
      <c r="RTH23" s="3507"/>
      <c r="RTI23" s="3507"/>
      <c r="RTJ23" s="3507"/>
      <c r="RTK23" s="3507"/>
      <c r="RTL23" s="3507"/>
      <c r="RTM23" s="3507"/>
      <c r="RTN23" s="3507"/>
      <c r="RTO23" s="3507"/>
      <c r="RTP23" s="3507"/>
      <c r="RTQ23" s="3507"/>
      <c r="RTR23" s="3507"/>
      <c r="RTS23" s="3507"/>
      <c r="RTT23" s="3507"/>
      <c r="RTU23" s="3507"/>
      <c r="RTV23" s="3507"/>
      <c r="RTW23" s="3507"/>
      <c r="RTX23" s="3507"/>
      <c r="RTY23" s="3507"/>
      <c r="RTZ23" s="3507"/>
      <c r="RUA23" s="3507"/>
      <c r="RUB23" s="3507"/>
      <c r="RUC23" s="3507"/>
      <c r="RUD23" s="3507"/>
      <c r="RUE23" s="3507"/>
      <c r="RUF23" s="3507"/>
      <c r="RUG23" s="3507"/>
      <c r="RUH23" s="3507"/>
      <c r="RUI23" s="3507"/>
      <c r="RUJ23" s="3507"/>
      <c r="RUK23" s="3507"/>
      <c r="RUL23" s="3507"/>
      <c r="RUM23" s="3507"/>
      <c r="RUN23" s="3507"/>
      <c r="RUO23" s="3507"/>
      <c r="RUP23" s="3507"/>
      <c r="RUQ23" s="3507"/>
      <c r="RUR23" s="3507"/>
      <c r="RUS23" s="3507"/>
      <c r="RUT23" s="3507"/>
      <c r="RUU23" s="3507"/>
      <c r="RUV23" s="3507"/>
      <c r="RUW23" s="3507"/>
      <c r="RUX23" s="3507"/>
      <c r="RUY23" s="3507"/>
      <c r="RUZ23" s="3507"/>
      <c r="RVA23" s="3507"/>
      <c r="RVB23" s="3507"/>
      <c r="RVC23" s="3507"/>
      <c r="RVD23" s="3507"/>
      <c r="RVE23" s="3507"/>
      <c r="RVF23" s="3507"/>
      <c r="RVG23" s="3507"/>
      <c r="RVH23" s="3507"/>
      <c r="RVI23" s="3507"/>
      <c r="RVJ23" s="3507"/>
      <c r="RVK23" s="3507"/>
      <c r="RVL23" s="3507"/>
      <c r="RVM23" s="3507"/>
      <c r="RVN23" s="3507"/>
      <c r="RVO23" s="3507"/>
      <c r="RVP23" s="3507"/>
      <c r="RVQ23" s="3507"/>
      <c r="RVR23" s="3507"/>
      <c r="RVS23" s="3507"/>
      <c r="RVT23" s="3507"/>
      <c r="RVU23" s="3507"/>
      <c r="RVV23" s="3507"/>
      <c r="RVW23" s="3507"/>
      <c r="RVX23" s="3507"/>
      <c r="RVY23" s="3507"/>
      <c r="RVZ23" s="3507"/>
      <c r="RWA23" s="3507"/>
      <c r="RWB23" s="3507"/>
      <c r="RWC23" s="3507"/>
      <c r="RWD23" s="3507"/>
      <c r="RWE23" s="3507"/>
      <c r="RWF23" s="3507"/>
      <c r="RWG23" s="3507"/>
      <c r="RWH23" s="3507"/>
      <c r="RWI23" s="3507"/>
      <c r="RWJ23" s="3507"/>
      <c r="RWK23" s="3507"/>
      <c r="RWL23" s="3507"/>
      <c r="RWM23" s="3507"/>
      <c r="RWN23" s="3507"/>
      <c r="RWO23" s="3507"/>
      <c r="RWP23" s="3507"/>
      <c r="RWQ23" s="3507"/>
      <c r="RWR23" s="3507"/>
      <c r="RWS23" s="3507"/>
      <c r="RWT23" s="3507"/>
      <c r="RWU23" s="3507"/>
      <c r="RWV23" s="3507"/>
      <c r="RWW23" s="3507"/>
      <c r="RWX23" s="3507"/>
      <c r="RWY23" s="3507"/>
      <c r="RWZ23" s="3507"/>
      <c r="RXA23" s="3507"/>
      <c r="RXB23" s="3507"/>
      <c r="RXC23" s="3507"/>
      <c r="RXD23" s="3507"/>
      <c r="RXE23" s="3507"/>
      <c r="RXF23" s="3507"/>
      <c r="RXG23" s="3507"/>
      <c r="RXH23" s="3507"/>
      <c r="RXI23" s="3507"/>
      <c r="RXJ23" s="3507"/>
      <c r="RXK23" s="3507"/>
      <c r="RXL23" s="3507"/>
      <c r="RXM23" s="3507"/>
      <c r="RXN23" s="3507"/>
      <c r="RXO23" s="3507"/>
      <c r="RXP23" s="3507"/>
      <c r="RXQ23" s="3507"/>
      <c r="RXR23" s="3507"/>
      <c r="RXS23" s="3507"/>
      <c r="RXT23" s="3507"/>
      <c r="RXU23" s="3507"/>
      <c r="RXV23" s="3507"/>
      <c r="RXW23" s="3507"/>
      <c r="RXX23" s="3507"/>
      <c r="RXY23" s="3507"/>
      <c r="RXZ23" s="3507"/>
      <c r="RYA23" s="3507"/>
      <c r="RYB23" s="3507"/>
      <c r="RYC23" s="3507"/>
      <c r="RYD23" s="3507"/>
      <c r="RYE23" s="3507"/>
      <c r="RYF23" s="3507"/>
      <c r="RYG23" s="3507"/>
      <c r="RYH23" s="3507"/>
      <c r="RYI23" s="3507"/>
      <c r="RYJ23" s="3507"/>
      <c r="RYK23" s="3507"/>
      <c r="RYL23" s="3507"/>
      <c r="RYM23" s="3507"/>
      <c r="RYN23" s="3507"/>
      <c r="RYO23" s="3507"/>
      <c r="RYP23" s="3507"/>
      <c r="RYQ23" s="3507"/>
      <c r="RYR23" s="3507"/>
      <c r="RYS23" s="3507"/>
      <c r="RYT23" s="3507"/>
      <c r="RYU23" s="3507"/>
      <c r="RYV23" s="3507"/>
      <c r="RYW23" s="3507"/>
      <c r="RYX23" s="3507"/>
      <c r="RYY23" s="3507"/>
      <c r="RYZ23" s="3507"/>
      <c r="RZA23" s="3507"/>
      <c r="RZB23" s="3507"/>
      <c r="RZC23" s="3507"/>
      <c r="RZD23" s="3507"/>
      <c r="RZE23" s="3507"/>
      <c r="RZF23" s="3507"/>
      <c r="RZG23" s="3507"/>
      <c r="RZH23" s="3507"/>
      <c r="RZI23" s="3507"/>
      <c r="RZJ23" s="3507"/>
      <c r="RZK23" s="3507"/>
      <c r="RZL23" s="3507"/>
      <c r="RZM23" s="3507"/>
      <c r="RZN23" s="3507"/>
      <c r="RZO23" s="3507"/>
      <c r="RZP23" s="3507"/>
      <c r="RZQ23" s="3507"/>
      <c r="RZR23" s="3507"/>
      <c r="RZS23" s="3507"/>
      <c r="RZT23" s="3507"/>
      <c r="RZU23" s="3507"/>
      <c r="RZV23" s="3507"/>
      <c r="RZW23" s="3507"/>
      <c r="RZX23" s="3507"/>
      <c r="RZY23" s="3507"/>
      <c r="RZZ23" s="3507"/>
      <c r="SAA23" s="3507"/>
      <c r="SAB23" s="3507"/>
      <c r="SAC23" s="3507"/>
      <c r="SAD23" s="3507"/>
      <c r="SAE23" s="3507"/>
      <c r="SAF23" s="3507"/>
      <c r="SAG23" s="3507"/>
      <c r="SAH23" s="3507"/>
      <c r="SAI23" s="3507"/>
      <c r="SAJ23" s="3507"/>
      <c r="SAK23" s="3507"/>
      <c r="SAL23" s="3507"/>
      <c r="SAM23" s="3507"/>
      <c r="SAN23" s="3507"/>
      <c r="SAO23" s="3507"/>
      <c r="SAP23" s="3507"/>
      <c r="SAQ23" s="3507"/>
      <c r="SAR23" s="3507"/>
      <c r="SAS23" s="3507"/>
      <c r="SAT23" s="3507"/>
      <c r="SAU23" s="3507"/>
      <c r="SAV23" s="3507"/>
      <c r="SAW23" s="3507"/>
      <c r="SAX23" s="3507"/>
      <c r="SAY23" s="3507"/>
      <c r="SAZ23" s="3507"/>
      <c r="SBA23" s="3507"/>
      <c r="SBB23" s="3507"/>
      <c r="SBC23" s="3507"/>
      <c r="SBD23" s="3507"/>
      <c r="SBE23" s="3507"/>
      <c r="SBF23" s="3507"/>
      <c r="SBG23" s="3507"/>
      <c r="SBH23" s="3507"/>
      <c r="SBI23" s="3507"/>
      <c r="SBJ23" s="3507"/>
      <c r="SBK23" s="3507"/>
      <c r="SBL23" s="3507"/>
      <c r="SBM23" s="3507"/>
      <c r="SBN23" s="3507"/>
      <c r="SBO23" s="3507"/>
      <c r="SBP23" s="3507"/>
      <c r="SBQ23" s="3507"/>
      <c r="SBR23" s="3507"/>
      <c r="SBS23" s="3507"/>
      <c r="SBT23" s="3507"/>
      <c r="SBU23" s="3507"/>
      <c r="SBV23" s="3507"/>
      <c r="SBW23" s="3507"/>
      <c r="SBX23" s="3507"/>
      <c r="SBY23" s="3507"/>
      <c r="SBZ23" s="3507"/>
      <c r="SCA23" s="3507"/>
      <c r="SCB23" s="3507"/>
      <c r="SCC23" s="3507"/>
      <c r="SCD23" s="3507"/>
      <c r="SCE23" s="3507"/>
      <c r="SCF23" s="3507"/>
      <c r="SCG23" s="3507"/>
      <c r="SCH23" s="3507"/>
      <c r="SCI23" s="3507"/>
      <c r="SCJ23" s="3507"/>
      <c r="SCK23" s="3507"/>
      <c r="SCL23" s="3507"/>
      <c r="SCM23" s="3507"/>
      <c r="SCN23" s="3507"/>
      <c r="SCO23" s="3507"/>
      <c r="SCP23" s="3507"/>
      <c r="SCQ23" s="3507"/>
      <c r="SCR23" s="3507"/>
      <c r="SCS23" s="3507"/>
      <c r="SCT23" s="3507"/>
      <c r="SCU23" s="3507"/>
      <c r="SCV23" s="3507"/>
      <c r="SCW23" s="3507"/>
      <c r="SCX23" s="3507"/>
      <c r="SCY23" s="3507"/>
      <c r="SCZ23" s="3507"/>
      <c r="SDA23" s="3507"/>
      <c r="SDB23" s="3507"/>
      <c r="SDC23" s="3507"/>
      <c r="SDD23" s="3507"/>
      <c r="SDE23" s="3507"/>
      <c r="SDF23" s="3507"/>
      <c r="SDG23" s="3507"/>
      <c r="SDH23" s="3507"/>
      <c r="SDI23" s="3507"/>
      <c r="SDJ23" s="3507"/>
      <c r="SDK23" s="3507"/>
      <c r="SDL23" s="3507"/>
      <c r="SDM23" s="3507"/>
      <c r="SDN23" s="3507"/>
      <c r="SDO23" s="3507"/>
      <c r="SDP23" s="3507"/>
      <c r="SDQ23" s="3507"/>
      <c r="SDR23" s="3507"/>
      <c r="SDS23" s="3507"/>
      <c r="SDT23" s="3507"/>
      <c r="SDU23" s="3507"/>
      <c r="SDV23" s="3507"/>
      <c r="SDW23" s="3507"/>
      <c r="SDX23" s="3507"/>
      <c r="SDY23" s="3507"/>
      <c r="SDZ23" s="3507"/>
      <c r="SEA23" s="3507"/>
      <c r="SEB23" s="3507"/>
      <c r="SEC23" s="3507"/>
      <c r="SED23" s="3507"/>
      <c r="SEE23" s="3507"/>
      <c r="SEF23" s="3507"/>
      <c r="SEG23" s="3507"/>
      <c r="SEH23" s="3507"/>
      <c r="SEI23" s="3507"/>
      <c r="SEJ23" s="3507"/>
      <c r="SEK23" s="3507"/>
      <c r="SEL23" s="3507"/>
      <c r="SEM23" s="3507"/>
      <c r="SEN23" s="3507"/>
      <c r="SEO23" s="3507"/>
      <c r="SEP23" s="3507"/>
      <c r="SEQ23" s="3507"/>
      <c r="SER23" s="3507"/>
      <c r="SES23" s="3507"/>
      <c r="SET23" s="3507"/>
      <c r="SEU23" s="3507"/>
      <c r="SEV23" s="3507"/>
      <c r="SEW23" s="3507"/>
      <c r="SEX23" s="3507"/>
      <c r="SEY23" s="3507"/>
      <c r="SEZ23" s="3507"/>
      <c r="SFA23" s="3507"/>
      <c r="SFB23" s="3507"/>
      <c r="SFC23" s="3507"/>
      <c r="SFD23" s="3507"/>
      <c r="SFE23" s="3507"/>
      <c r="SFF23" s="3507"/>
      <c r="SFG23" s="3507"/>
      <c r="SFH23" s="3507"/>
      <c r="SFI23" s="3507"/>
      <c r="SFJ23" s="3507"/>
      <c r="SFK23" s="3507"/>
      <c r="SFL23" s="3507"/>
      <c r="SFM23" s="3507"/>
      <c r="SFN23" s="3507"/>
      <c r="SFO23" s="3507"/>
      <c r="SFP23" s="3507"/>
      <c r="SFQ23" s="3507"/>
      <c r="SFR23" s="3507"/>
      <c r="SFS23" s="3507"/>
      <c r="SFT23" s="3507"/>
      <c r="SFU23" s="3507"/>
      <c r="SFV23" s="3507"/>
      <c r="SFW23" s="3507"/>
      <c r="SFX23" s="3507"/>
      <c r="SFY23" s="3507"/>
      <c r="SFZ23" s="3507"/>
      <c r="SGA23" s="3507"/>
      <c r="SGB23" s="3507"/>
      <c r="SGC23" s="3507"/>
      <c r="SGD23" s="3507"/>
      <c r="SGE23" s="3507"/>
      <c r="SGF23" s="3507"/>
      <c r="SGG23" s="3507"/>
      <c r="SGH23" s="3507"/>
      <c r="SGI23" s="3507"/>
      <c r="SGJ23" s="3507"/>
      <c r="SGK23" s="3507"/>
      <c r="SGL23" s="3507"/>
      <c r="SGM23" s="3507"/>
      <c r="SGN23" s="3507"/>
      <c r="SGO23" s="3507"/>
      <c r="SGP23" s="3507"/>
      <c r="SGQ23" s="3507"/>
      <c r="SGR23" s="3507"/>
      <c r="SGS23" s="3507"/>
      <c r="SGT23" s="3507"/>
      <c r="SGU23" s="3507"/>
      <c r="SGV23" s="3507"/>
      <c r="SGW23" s="3507"/>
      <c r="SGX23" s="3507"/>
      <c r="SGY23" s="3507"/>
      <c r="SGZ23" s="3507"/>
      <c r="SHA23" s="3507"/>
      <c r="SHB23" s="3507"/>
      <c r="SHC23" s="3507"/>
      <c r="SHD23" s="3507"/>
      <c r="SHE23" s="3507"/>
      <c r="SHF23" s="3507"/>
      <c r="SHG23" s="3507"/>
      <c r="SHH23" s="3507"/>
      <c r="SHI23" s="3507"/>
      <c r="SHJ23" s="3507"/>
      <c r="SHK23" s="3507"/>
      <c r="SHL23" s="3507"/>
      <c r="SHM23" s="3507"/>
      <c r="SHN23" s="3507"/>
      <c r="SHO23" s="3507"/>
      <c r="SHP23" s="3507"/>
      <c r="SHQ23" s="3507"/>
      <c r="SHR23" s="3507"/>
      <c r="SHS23" s="3507"/>
      <c r="SHT23" s="3507"/>
      <c r="SHU23" s="3507"/>
      <c r="SHV23" s="3507"/>
      <c r="SHW23" s="3507"/>
      <c r="SHX23" s="3507"/>
      <c r="SHY23" s="3507"/>
      <c r="SHZ23" s="3507"/>
      <c r="SIA23" s="3507"/>
      <c r="SIB23" s="3507"/>
      <c r="SIC23" s="3507"/>
      <c r="SID23" s="3507"/>
      <c r="SIE23" s="3507"/>
      <c r="SIF23" s="3507"/>
      <c r="SIG23" s="3507"/>
      <c r="SIH23" s="3507"/>
      <c r="SII23" s="3507"/>
      <c r="SIJ23" s="3507"/>
      <c r="SIK23" s="3507"/>
      <c r="SIL23" s="3507"/>
      <c r="SIM23" s="3507"/>
      <c r="SIN23" s="3507"/>
      <c r="SIO23" s="3507"/>
      <c r="SIP23" s="3507"/>
      <c r="SIQ23" s="3507"/>
      <c r="SIR23" s="3507"/>
      <c r="SIS23" s="3507"/>
      <c r="SIT23" s="3507"/>
      <c r="SIU23" s="3507"/>
      <c r="SIV23" s="3507"/>
      <c r="SIW23" s="3507"/>
      <c r="SIX23" s="3507"/>
      <c r="SIY23" s="3507"/>
      <c r="SIZ23" s="3507"/>
      <c r="SJA23" s="3507"/>
      <c r="SJB23" s="3507"/>
      <c r="SJC23" s="3507"/>
      <c r="SJD23" s="3507"/>
      <c r="SJE23" s="3507"/>
      <c r="SJF23" s="3507"/>
      <c r="SJG23" s="3507"/>
      <c r="SJH23" s="3507"/>
      <c r="SJI23" s="3507"/>
      <c r="SJJ23" s="3507"/>
      <c r="SJK23" s="3507"/>
      <c r="SJL23" s="3507"/>
      <c r="SJM23" s="3507"/>
      <c r="SJN23" s="3507"/>
      <c r="SJO23" s="3507"/>
      <c r="SJP23" s="3507"/>
      <c r="SJQ23" s="3507"/>
      <c r="SJR23" s="3507"/>
      <c r="SJS23" s="3507"/>
      <c r="SJT23" s="3507"/>
      <c r="SJU23" s="3507"/>
      <c r="SJV23" s="3507"/>
      <c r="SJW23" s="3507"/>
      <c r="SJX23" s="3507"/>
      <c r="SJY23" s="3507"/>
      <c r="SJZ23" s="3507"/>
      <c r="SKA23" s="3507"/>
      <c r="SKB23" s="3507"/>
      <c r="SKC23" s="3507"/>
      <c r="SKD23" s="3507"/>
      <c r="SKE23" s="3507"/>
      <c r="SKF23" s="3507"/>
      <c r="SKG23" s="3507"/>
      <c r="SKH23" s="3507"/>
      <c r="SKI23" s="3507"/>
      <c r="SKJ23" s="3507"/>
      <c r="SKK23" s="3507"/>
      <c r="SKL23" s="3507"/>
      <c r="SKM23" s="3507"/>
      <c r="SKN23" s="3507"/>
      <c r="SKO23" s="3507"/>
      <c r="SKP23" s="3507"/>
      <c r="SKQ23" s="3507"/>
      <c r="SKR23" s="3507"/>
      <c r="SKS23" s="3507"/>
      <c r="SKT23" s="3507"/>
      <c r="SKU23" s="3507"/>
      <c r="SKV23" s="3507"/>
      <c r="SKW23" s="3507"/>
      <c r="SKX23" s="3507"/>
      <c r="SKY23" s="3507"/>
      <c r="SKZ23" s="3507"/>
      <c r="SLA23" s="3507"/>
      <c r="SLB23" s="3507"/>
      <c r="SLC23" s="3507"/>
      <c r="SLD23" s="3507"/>
      <c r="SLE23" s="3507"/>
      <c r="SLF23" s="3507"/>
      <c r="SLG23" s="3507"/>
      <c r="SLH23" s="3507"/>
      <c r="SLI23" s="3507"/>
      <c r="SLJ23" s="3507"/>
      <c r="SLK23" s="3507"/>
      <c r="SLL23" s="3507"/>
      <c r="SLM23" s="3507"/>
      <c r="SLN23" s="3507"/>
      <c r="SLO23" s="3507"/>
      <c r="SLP23" s="3507"/>
      <c r="SLQ23" s="3507"/>
      <c r="SLR23" s="3507"/>
      <c r="SLS23" s="3507"/>
      <c r="SLT23" s="3507"/>
      <c r="SLU23" s="3507"/>
      <c r="SLV23" s="3507"/>
      <c r="SLW23" s="3507"/>
      <c r="SLX23" s="3507"/>
      <c r="SLY23" s="3507"/>
      <c r="SLZ23" s="3507"/>
      <c r="SMA23" s="3507"/>
      <c r="SMB23" s="3507"/>
      <c r="SMC23" s="3507"/>
      <c r="SMD23" s="3507"/>
      <c r="SME23" s="3507"/>
      <c r="SMF23" s="3507"/>
      <c r="SMG23" s="3507"/>
      <c r="SMH23" s="3507"/>
      <c r="SMI23" s="3507"/>
      <c r="SMJ23" s="3507"/>
      <c r="SMK23" s="3507"/>
      <c r="SML23" s="3507"/>
      <c r="SMM23" s="3507"/>
      <c r="SMN23" s="3507"/>
      <c r="SMO23" s="3507"/>
      <c r="SMP23" s="3507"/>
      <c r="SMQ23" s="3507"/>
      <c r="SMR23" s="3507"/>
      <c r="SMS23" s="3507"/>
      <c r="SMT23" s="3507"/>
      <c r="SMU23" s="3507"/>
      <c r="SMV23" s="3507"/>
      <c r="SMW23" s="3507"/>
      <c r="SMX23" s="3507"/>
      <c r="SMY23" s="3507"/>
      <c r="SMZ23" s="3507"/>
      <c r="SNA23" s="3507"/>
      <c r="SNB23" s="3507"/>
      <c r="SNC23" s="3507"/>
      <c r="SND23" s="3507"/>
      <c r="SNE23" s="3507"/>
      <c r="SNF23" s="3507"/>
      <c r="SNG23" s="3507"/>
      <c r="SNH23" s="3507"/>
      <c r="SNI23" s="3507"/>
      <c r="SNJ23" s="3507"/>
      <c r="SNK23" s="3507"/>
      <c r="SNL23" s="3507"/>
      <c r="SNM23" s="3507"/>
      <c r="SNN23" s="3507"/>
      <c r="SNO23" s="3507"/>
      <c r="SNP23" s="3507"/>
      <c r="SNQ23" s="3507"/>
      <c r="SNR23" s="3507"/>
      <c r="SNS23" s="3507"/>
      <c r="SNT23" s="3507"/>
      <c r="SNU23" s="3507"/>
      <c r="SNV23" s="3507"/>
      <c r="SNW23" s="3507"/>
      <c r="SNX23" s="3507"/>
      <c r="SNY23" s="3507"/>
      <c r="SNZ23" s="3507"/>
      <c r="SOA23" s="3507"/>
      <c r="SOB23" s="3507"/>
      <c r="SOC23" s="3507"/>
      <c r="SOD23" s="3507"/>
      <c r="SOE23" s="3507"/>
      <c r="SOF23" s="3507"/>
      <c r="SOG23" s="3507"/>
      <c r="SOH23" s="3507"/>
      <c r="SOI23" s="3507"/>
      <c r="SOJ23" s="3507"/>
      <c r="SOK23" s="3507"/>
      <c r="SOL23" s="3507"/>
      <c r="SOM23" s="3507"/>
      <c r="SON23" s="3507"/>
      <c r="SOO23" s="3507"/>
      <c r="SOP23" s="3507"/>
      <c r="SOQ23" s="3507"/>
      <c r="SOR23" s="3507"/>
      <c r="SOS23" s="3507"/>
      <c r="SOT23" s="3507"/>
      <c r="SOU23" s="3507"/>
      <c r="SOV23" s="3507"/>
      <c r="SOW23" s="3507"/>
      <c r="SOX23" s="3507"/>
      <c r="SOY23" s="3507"/>
      <c r="SOZ23" s="3507"/>
      <c r="SPA23" s="3507"/>
      <c r="SPB23" s="3507"/>
      <c r="SPC23" s="3507"/>
      <c r="SPD23" s="3507"/>
      <c r="SPE23" s="3507"/>
      <c r="SPF23" s="3507"/>
      <c r="SPG23" s="3507"/>
      <c r="SPH23" s="3507"/>
      <c r="SPI23" s="3507"/>
      <c r="SPJ23" s="3507"/>
      <c r="SPK23" s="3507"/>
      <c r="SPL23" s="3507"/>
      <c r="SPM23" s="3507"/>
      <c r="SPN23" s="3507"/>
      <c r="SPO23" s="3507"/>
      <c r="SPP23" s="3507"/>
      <c r="SPQ23" s="3507"/>
      <c r="SPR23" s="3507"/>
      <c r="SPS23" s="3507"/>
      <c r="SPT23" s="3507"/>
      <c r="SPU23" s="3507"/>
      <c r="SPV23" s="3507"/>
      <c r="SPW23" s="3507"/>
      <c r="SPX23" s="3507"/>
      <c r="SPY23" s="3507"/>
      <c r="SPZ23" s="3507"/>
      <c r="SQA23" s="3507"/>
      <c r="SQB23" s="3507"/>
      <c r="SQC23" s="3507"/>
      <c r="SQD23" s="3507"/>
      <c r="SQE23" s="3507"/>
      <c r="SQF23" s="3507"/>
      <c r="SQG23" s="3507"/>
      <c r="SQH23" s="3507"/>
      <c r="SQI23" s="3507"/>
      <c r="SQJ23" s="3507"/>
      <c r="SQK23" s="3507"/>
      <c r="SQL23" s="3507"/>
      <c r="SQM23" s="3507"/>
      <c r="SQN23" s="3507"/>
      <c r="SQO23" s="3507"/>
      <c r="SQP23" s="3507"/>
      <c r="SQQ23" s="3507"/>
      <c r="SQR23" s="3507"/>
      <c r="SQS23" s="3507"/>
      <c r="SQT23" s="3507"/>
      <c r="SQU23" s="3507"/>
      <c r="SQV23" s="3507"/>
      <c r="SQW23" s="3507"/>
      <c r="SQX23" s="3507"/>
      <c r="SQY23" s="3507"/>
      <c r="SQZ23" s="3507"/>
      <c r="SRA23" s="3507"/>
      <c r="SRB23" s="3507"/>
      <c r="SRC23" s="3507"/>
      <c r="SRD23" s="3507"/>
      <c r="SRE23" s="3507"/>
      <c r="SRF23" s="3507"/>
      <c r="SRG23" s="3507"/>
      <c r="SRH23" s="3507"/>
      <c r="SRI23" s="3507"/>
      <c r="SRJ23" s="3507"/>
      <c r="SRK23" s="3507"/>
      <c r="SRL23" s="3507"/>
      <c r="SRM23" s="3507"/>
      <c r="SRN23" s="3507"/>
      <c r="SRO23" s="3507"/>
      <c r="SRP23" s="3507"/>
      <c r="SRQ23" s="3507"/>
      <c r="SRR23" s="3507"/>
      <c r="SRS23" s="3507"/>
      <c r="SRT23" s="3507"/>
      <c r="SRU23" s="3507"/>
      <c r="SRV23" s="3507"/>
      <c r="SRW23" s="3507"/>
      <c r="SRX23" s="3507"/>
      <c r="SRY23" s="3507"/>
      <c r="SRZ23" s="3507"/>
      <c r="SSA23" s="3507"/>
      <c r="SSB23" s="3507"/>
      <c r="SSC23" s="3507"/>
      <c r="SSD23" s="3507"/>
      <c r="SSE23" s="3507"/>
      <c r="SSF23" s="3507"/>
      <c r="SSG23" s="3507"/>
      <c r="SSH23" s="3507"/>
      <c r="SSI23" s="3507"/>
      <c r="SSJ23" s="3507"/>
      <c r="SSK23" s="3507"/>
      <c r="SSL23" s="3507"/>
      <c r="SSM23" s="3507"/>
      <c r="SSN23" s="3507"/>
      <c r="SSO23" s="3507"/>
      <c r="SSP23" s="3507"/>
      <c r="SSQ23" s="3507"/>
      <c r="SSR23" s="3507"/>
      <c r="SSS23" s="3507"/>
      <c r="SST23" s="3507"/>
      <c r="SSU23" s="3507"/>
      <c r="SSV23" s="3507"/>
      <c r="SSW23" s="3507"/>
      <c r="SSX23" s="3507"/>
      <c r="SSY23" s="3507"/>
      <c r="SSZ23" s="3507"/>
      <c r="STA23" s="3507"/>
      <c r="STB23" s="3507"/>
      <c r="STC23" s="3507"/>
      <c r="STD23" s="3507"/>
      <c r="STE23" s="3507"/>
      <c r="STF23" s="3507"/>
      <c r="STG23" s="3507"/>
      <c r="STH23" s="3507"/>
      <c r="STI23" s="3507"/>
      <c r="STJ23" s="3507"/>
      <c r="STK23" s="3507"/>
      <c r="STL23" s="3507"/>
      <c r="STM23" s="3507"/>
      <c r="STN23" s="3507"/>
      <c r="STO23" s="3507"/>
      <c r="STP23" s="3507"/>
      <c r="STQ23" s="3507"/>
      <c r="STR23" s="3507"/>
      <c r="STS23" s="3507"/>
      <c r="STT23" s="3507"/>
      <c r="STU23" s="3507"/>
      <c r="STV23" s="3507"/>
      <c r="STW23" s="3507"/>
      <c r="STX23" s="3507"/>
      <c r="STY23" s="3507"/>
      <c r="STZ23" s="3507"/>
      <c r="SUA23" s="3507"/>
      <c r="SUB23" s="3507"/>
      <c r="SUC23" s="3507"/>
      <c r="SUD23" s="3507"/>
      <c r="SUE23" s="3507"/>
      <c r="SUF23" s="3507"/>
      <c r="SUG23" s="3507"/>
      <c r="SUH23" s="3507"/>
      <c r="SUI23" s="3507"/>
      <c r="SUJ23" s="3507"/>
      <c r="SUK23" s="3507"/>
      <c r="SUL23" s="3507"/>
      <c r="SUM23" s="3507"/>
      <c r="SUN23" s="3507"/>
      <c r="SUO23" s="3507"/>
      <c r="SUP23" s="3507"/>
      <c r="SUQ23" s="3507"/>
      <c r="SUR23" s="3507"/>
      <c r="SUS23" s="3507"/>
      <c r="SUT23" s="3507"/>
      <c r="SUU23" s="3507"/>
      <c r="SUV23" s="3507"/>
      <c r="SUW23" s="3507"/>
      <c r="SUX23" s="3507"/>
      <c r="SUY23" s="3507"/>
      <c r="SUZ23" s="3507"/>
      <c r="SVA23" s="3507"/>
      <c r="SVB23" s="3507"/>
      <c r="SVC23" s="3507"/>
      <c r="SVD23" s="3507"/>
      <c r="SVE23" s="3507"/>
      <c r="SVF23" s="3507"/>
      <c r="SVG23" s="3507"/>
      <c r="SVH23" s="3507"/>
      <c r="SVI23" s="3507"/>
      <c r="SVJ23" s="3507"/>
      <c r="SVK23" s="3507"/>
      <c r="SVL23" s="3507"/>
      <c r="SVM23" s="3507"/>
      <c r="SVN23" s="3507"/>
      <c r="SVO23" s="3507"/>
      <c r="SVP23" s="3507"/>
      <c r="SVQ23" s="3507"/>
      <c r="SVR23" s="3507"/>
      <c r="SVS23" s="3507"/>
      <c r="SVT23" s="3507"/>
      <c r="SVU23" s="3507"/>
      <c r="SVV23" s="3507"/>
      <c r="SVW23" s="3507"/>
      <c r="SVX23" s="3507"/>
      <c r="SVY23" s="3507"/>
      <c r="SVZ23" s="3507"/>
      <c r="SWA23" s="3507"/>
      <c r="SWB23" s="3507"/>
      <c r="SWC23" s="3507"/>
      <c r="SWD23" s="3507"/>
      <c r="SWE23" s="3507"/>
      <c r="SWF23" s="3507"/>
      <c r="SWG23" s="3507"/>
      <c r="SWH23" s="3507"/>
      <c r="SWI23" s="3507"/>
      <c r="SWJ23" s="3507"/>
      <c r="SWK23" s="3507"/>
      <c r="SWL23" s="3507"/>
      <c r="SWM23" s="3507"/>
      <c r="SWN23" s="3507"/>
      <c r="SWO23" s="3507"/>
      <c r="SWP23" s="3507"/>
      <c r="SWQ23" s="3507"/>
      <c r="SWR23" s="3507"/>
      <c r="SWS23" s="3507"/>
      <c r="SWT23" s="3507"/>
      <c r="SWU23" s="3507"/>
      <c r="SWV23" s="3507"/>
      <c r="SWW23" s="3507"/>
      <c r="SWX23" s="3507"/>
      <c r="SWY23" s="3507"/>
      <c r="SWZ23" s="3507"/>
      <c r="SXA23" s="3507"/>
      <c r="SXB23" s="3507"/>
      <c r="SXC23" s="3507"/>
      <c r="SXD23" s="3507"/>
      <c r="SXE23" s="3507"/>
      <c r="SXF23" s="3507"/>
      <c r="SXG23" s="3507"/>
      <c r="SXH23" s="3507"/>
      <c r="SXI23" s="3507"/>
      <c r="SXJ23" s="3507"/>
      <c r="SXK23" s="3507"/>
      <c r="SXL23" s="3507"/>
      <c r="SXM23" s="3507"/>
      <c r="SXN23" s="3507"/>
      <c r="SXO23" s="3507"/>
      <c r="SXP23" s="3507"/>
      <c r="SXQ23" s="3507"/>
      <c r="SXR23" s="3507"/>
      <c r="SXS23" s="3507"/>
      <c r="SXT23" s="3507"/>
      <c r="SXU23" s="3507"/>
      <c r="SXV23" s="3507"/>
      <c r="SXW23" s="3507"/>
      <c r="SXX23" s="3507"/>
      <c r="SXY23" s="3507"/>
      <c r="SXZ23" s="3507"/>
      <c r="SYA23" s="3507"/>
      <c r="SYB23" s="3507"/>
      <c r="SYC23" s="3507"/>
      <c r="SYD23" s="3507"/>
      <c r="SYE23" s="3507"/>
      <c r="SYF23" s="3507"/>
      <c r="SYG23" s="3507"/>
      <c r="SYH23" s="3507"/>
      <c r="SYI23" s="3507"/>
      <c r="SYJ23" s="3507"/>
      <c r="SYK23" s="3507"/>
      <c r="SYL23" s="3507"/>
      <c r="SYM23" s="3507"/>
      <c r="SYN23" s="3507"/>
      <c r="SYO23" s="3507"/>
      <c r="SYP23" s="3507"/>
      <c r="SYQ23" s="3507"/>
      <c r="SYR23" s="3507"/>
      <c r="SYS23" s="3507"/>
      <c r="SYT23" s="3507"/>
      <c r="SYU23" s="3507"/>
      <c r="SYV23" s="3507"/>
      <c r="SYW23" s="3507"/>
      <c r="SYX23" s="3507"/>
      <c r="SYY23" s="3507"/>
      <c r="SYZ23" s="3507"/>
      <c r="SZA23" s="3507"/>
      <c r="SZB23" s="3507"/>
      <c r="SZC23" s="3507"/>
      <c r="SZD23" s="3507"/>
      <c r="SZE23" s="3507"/>
      <c r="SZF23" s="3507"/>
      <c r="SZG23" s="3507"/>
      <c r="SZH23" s="3507"/>
      <c r="SZI23" s="3507"/>
      <c r="SZJ23" s="3507"/>
      <c r="SZK23" s="3507"/>
      <c r="SZL23" s="3507"/>
      <c r="SZM23" s="3507"/>
      <c r="SZN23" s="3507"/>
      <c r="SZO23" s="3507"/>
      <c r="SZP23" s="3507"/>
      <c r="SZQ23" s="3507"/>
      <c r="SZR23" s="3507"/>
      <c r="SZS23" s="3507"/>
      <c r="SZT23" s="3507"/>
      <c r="SZU23" s="3507"/>
      <c r="SZV23" s="3507"/>
      <c r="SZW23" s="3507"/>
      <c r="SZX23" s="3507"/>
      <c r="SZY23" s="3507"/>
      <c r="SZZ23" s="3507"/>
      <c r="TAA23" s="3507"/>
      <c r="TAB23" s="3507"/>
      <c r="TAC23" s="3507"/>
      <c r="TAD23" s="3507"/>
      <c r="TAE23" s="3507"/>
      <c r="TAF23" s="3507"/>
      <c r="TAG23" s="3507"/>
      <c r="TAH23" s="3507"/>
      <c r="TAI23" s="3507"/>
      <c r="TAJ23" s="3507"/>
      <c r="TAK23" s="3507"/>
      <c r="TAL23" s="3507"/>
      <c r="TAM23" s="3507"/>
      <c r="TAN23" s="3507"/>
      <c r="TAO23" s="3507"/>
      <c r="TAP23" s="3507"/>
      <c r="TAQ23" s="3507"/>
      <c r="TAR23" s="3507"/>
      <c r="TAS23" s="3507"/>
      <c r="TAT23" s="3507"/>
      <c r="TAU23" s="3507"/>
      <c r="TAV23" s="3507"/>
      <c r="TAW23" s="3507"/>
      <c r="TAX23" s="3507"/>
      <c r="TAY23" s="3507"/>
      <c r="TAZ23" s="3507"/>
      <c r="TBA23" s="3507"/>
      <c r="TBB23" s="3507"/>
      <c r="TBC23" s="3507"/>
      <c r="TBD23" s="3507"/>
      <c r="TBE23" s="3507"/>
      <c r="TBF23" s="3507"/>
      <c r="TBG23" s="3507"/>
      <c r="TBH23" s="3507"/>
      <c r="TBI23" s="3507"/>
      <c r="TBJ23" s="3507"/>
      <c r="TBK23" s="3507"/>
      <c r="TBL23" s="3507"/>
      <c r="TBM23" s="3507"/>
      <c r="TBN23" s="3507"/>
      <c r="TBO23" s="3507"/>
      <c r="TBP23" s="3507"/>
      <c r="TBQ23" s="3507"/>
      <c r="TBR23" s="3507"/>
      <c r="TBS23" s="3507"/>
      <c r="TBT23" s="3507"/>
      <c r="TBU23" s="3507"/>
      <c r="TBV23" s="3507"/>
      <c r="TBW23" s="3507"/>
      <c r="TBX23" s="3507"/>
      <c r="TBY23" s="3507"/>
      <c r="TBZ23" s="3507"/>
      <c r="TCA23" s="3507"/>
      <c r="TCB23" s="3507"/>
      <c r="TCC23" s="3507"/>
      <c r="TCD23" s="3507"/>
      <c r="TCE23" s="3507"/>
      <c r="TCF23" s="3507"/>
      <c r="TCG23" s="3507"/>
      <c r="TCH23" s="3507"/>
      <c r="TCI23" s="3507"/>
      <c r="TCJ23" s="3507"/>
      <c r="TCK23" s="3507"/>
      <c r="TCL23" s="3507"/>
      <c r="TCM23" s="3507"/>
      <c r="TCN23" s="3507"/>
      <c r="TCO23" s="3507"/>
      <c r="TCP23" s="3507"/>
      <c r="TCQ23" s="3507"/>
      <c r="TCR23" s="3507"/>
      <c r="TCS23" s="3507"/>
      <c r="TCT23" s="3507"/>
      <c r="TCU23" s="3507"/>
      <c r="TCV23" s="3507"/>
      <c r="TCW23" s="3507"/>
      <c r="TCX23" s="3507"/>
      <c r="TCY23" s="3507"/>
      <c r="TCZ23" s="3507"/>
      <c r="TDA23" s="3507"/>
      <c r="TDB23" s="3507"/>
      <c r="TDC23" s="3507"/>
      <c r="TDD23" s="3507"/>
      <c r="TDE23" s="3507"/>
      <c r="TDF23" s="3507"/>
      <c r="TDG23" s="3507"/>
      <c r="TDH23" s="3507"/>
      <c r="TDI23" s="3507"/>
      <c r="TDJ23" s="3507"/>
      <c r="TDK23" s="3507"/>
      <c r="TDL23" s="3507"/>
      <c r="TDM23" s="3507"/>
      <c r="TDN23" s="3507"/>
      <c r="TDO23" s="3507"/>
      <c r="TDP23" s="3507"/>
      <c r="TDQ23" s="3507"/>
      <c r="TDR23" s="3507"/>
      <c r="TDS23" s="3507"/>
      <c r="TDT23" s="3507"/>
      <c r="TDU23" s="3507"/>
      <c r="TDV23" s="3507"/>
      <c r="TDW23" s="3507"/>
      <c r="TDX23" s="3507"/>
      <c r="TDY23" s="3507"/>
      <c r="TDZ23" s="3507"/>
      <c r="TEA23" s="3507"/>
      <c r="TEB23" s="3507"/>
      <c r="TEC23" s="3507"/>
      <c r="TED23" s="3507"/>
      <c r="TEE23" s="3507"/>
      <c r="TEF23" s="3507"/>
      <c r="TEG23" s="3507"/>
      <c r="TEH23" s="3507"/>
      <c r="TEI23" s="3507"/>
      <c r="TEJ23" s="3507"/>
      <c r="TEK23" s="3507"/>
      <c r="TEL23" s="3507"/>
      <c r="TEM23" s="3507"/>
      <c r="TEN23" s="3507"/>
      <c r="TEO23" s="3507"/>
      <c r="TEP23" s="3507"/>
      <c r="TEQ23" s="3507"/>
      <c r="TER23" s="3507"/>
      <c r="TES23" s="3507"/>
      <c r="TET23" s="3507"/>
      <c r="TEU23" s="3507"/>
      <c r="TEV23" s="3507"/>
      <c r="TEW23" s="3507"/>
      <c r="TEX23" s="3507"/>
      <c r="TEY23" s="3507"/>
      <c r="TEZ23" s="3507"/>
      <c r="TFA23" s="3507"/>
      <c r="TFB23" s="3507"/>
      <c r="TFC23" s="3507"/>
      <c r="TFD23" s="3507"/>
      <c r="TFE23" s="3507"/>
      <c r="TFF23" s="3507"/>
      <c r="TFG23" s="3507"/>
      <c r="TFH23" s="3507"/>
      <c r="TFI23" s="3507"/>
      <c r="TFJ23" s="3507"/>
      <c r="TFK23" s="3507"/>
      <c r="TFL23" s="3507"/>
      <c r="TFM23" s="3507"/>
      <c r="TFN23" s="3507"/>
      <c r="TFO23" s="3507"/>
      <c r="TFP23" s="3507"/>
      <c r="TFQ23" s="3507"/>
      <c r="TFR23" s="3507"/>
      <c r="TFS23" s="3507"/>
      <c r="TFT23" s="3507"/>
      <c r="TFU23" s="3507"/>
      <c r="TFV23" s="3507"/>
      <c r="TFW23" s="3507"/>
      <c r="TFX23" s="3507"/>
      <c r="TFY23" s="3507"/>
      <c r="TFZ23" s="3507"/>
      <c r="TGA23" s="3507"/>
      <c r="TGB23" s="3507"/>
      <c r="TGC23" s="3507"/>
      <c r="TGD23" s="3507"/>
      <c r="TGE23" s="3507"/>
      <c r="TGF23" s="3507"/>
      <c r="TGG23" s="3507"/>
      <c r="TGH23" s="3507"/>
      <c r="TGI23" s="3507"/>
      <c r="TGJ23" s="3507"/>
      <c r="TGK23" s="3507"/>
      <c r="TGL23" s="3507"/>
      <c r="TGM23" s="3507"/>
      <c r="TGN23" s="3507"/>
      <c r="TGO23" s="3507"/>
      <c r="TGP23" s="3507"/>
      <c r="TGQ23" s="3507"/>
      <c r="TGR23" s="3507"/>
      <c r="TGS23" s="3507"/>
      <c r="TGT23" s="3507"/>
      <c r="TGU23" s="3507"/>
      <c r="TGV23" s="3507"/>
      <c r="TGW23" s="3507"/>
      <c r="TGX23" s="3507"/>
      <c r="TGY23" s="3507"/>
      <c r="TGZ23" s="3507"/>
      <c r="THA23" s="3507"/>
      <c r="THB23" s="3507"/>
      <c r="THC23" s="3507"/>
      <c r="THD23" s="3507"/>
      <c r="THE23" s="3507"/>
      <c r="THF23" s="3507"/>
      <c r="THG23" s="3507"/>
      <c r="THH23" s="3507"/>
      <c r="THI23" s="3507"/>
      <c r="THJ23" s="3507"/>
      <c r="THK23" s="3507"/>
      <c r="THL23" s="3507"/>
      <c r="THM23" s="3507"/>
      <c r="THN23" s="3507"/>
      <c r="THO23" s="3507"/>
      <c r="THP23" s="3507"/>
      <c r="THQ23" s="3507"/>
      <c r="THR23" s="3507"/>
      <c r="THS23" s="3507"/>
      <c r="THT23" s="3507"/>
      <c r="THU23" s="3507"/>
      <c r="THV23" s="3507"/>
      <c r="THW23" s="3507"/>
      <c r="THX23" s="3507"/>
      <c r="THY23" s="3507"/>
      <c r="THZ23" s="3507"/>
      <c r="TIA23" s="3507"/>
      <c r="TIB23" s="3507"/>
      <c r="TIC23" s="3507"/>
      <c r="TID23" s="3507"/>
      <c r="TIE23" s="3507"/>
      <c r="TIF23" s="3507"/>
      <c r="TIG23" s="3507"/>
      <c r="TIH23" s="3507"/>
      <c r="TII23" s="3507"/>
      <c r="TIJ23" s="3507"/>
      <c r="TIK23" s="3507"/>
      <c r="TIL23" s="3507"/>
      <c r="TIM23" s="3507"/>
      <c r="TIN23" s="3507"/>
      <c r="TIO23" s="3507"/>
      <c r="TIP23" s="3507"/>
      <c r="TIQ23" s="3507"/>
      <c r="TIR23" s="3507"/>
      <c r="TIS23" s="3507"/>
      <c r="TIT23" s="3507"/>
      <c r="TIU23" s="3507"/>
      <c r="TIV23" s="3507"/>
      <c r="TIW23" s="3507"/>
      <c r="TIX23" s="3507"/>
      <c r="TIY23" s="3507"/>
      <c r="TIZ23" s="3507"/>
      <c r="TJA23" s="3507"/>
      <c r="TJB23" s="3507"/>
      <c r="TJC23" s="3507"/>
      <c r="TJD23" s="3507"/>
      <c r="TJE23" s="3507"/>
      <c r="TJF23" s="3507"/>
      <c r="TJG23" s="3507"/>
      <c r="TJH23" s="3507"/>
      <c r="TJI23" s="3507"/>
      <c r="TJJ23" s="3507"/>
      <c r="TJK23" s="3507"/>
      <c r="TJL23" s="3507"/>
      <c r="TJM23" s="3507"/>
      <c r="TJN23" s="3507"/>
      <c r="TJO23" s="3507"/>
      <c r="TJP23" s="3507"/>
      <c r="TJQ23" s="3507"/>
      <c r="TJR23" s="3507"/>
      <c r="TJS23" s="3507"/>
      <c r="TJT23" s="3507"/>
      <c r="TJU23" s="3507"/>
      <c r="TJV23" s="3507"/>
      <c r="TJW23" s="3507"/>
      <c r="TJX23" s="3507"/>
      <c r="TJY23" s="3507"/>
      <c r="TJZ23" s="3507"/>
      <c r="TKA23" s="3507"/>
      <c r="TKB23" s="3507"/>
      <c r="TKC23" s="3507"/>
      <c r="TKD23" s="3507"/>
      <c r="TKE23" s="3507"/>
      <c r="TKF23" s="3507"/>
      <c r="TKG23" s="3507"/>
      <c r="TKH23" s="3507"/>
      <c r="TKI23" s="3507"/>
      <c r="TKJ23" s="3507"/>
      <c r="TKK23" s="3507"/>
      <c r="TKL23" s="3507"/>
      <c r="TKM23" s="3507"/>
      <c r="TKN23" s="3507"/>
      <c r="TKO23" s="3507"/>
      <c r="TKP23" s="3507"/>
      <c r="TKQ23" s="3507"/>
      <c r="TKR23" s="3507"/>
      <c r="TKS23" s="3507"/>
      <c r="TKT23" s="3507"/>
      <c r="TKU23" s="3507"/>
      <c r="TKV23" s="3507"/>
      <c r="TKW23" s="3507"/>
      <c r="TKX23" s="3507"/>
      <c r="TKY23" s="3507"/>
      <c r="TKZ23" s="3507"/>
      <c r="TLA23" s="3507"/>
      <c r="TLB23" s="3507"/>
      <c r="TLC23" s="3507"/>
      <c r="TLD23" s="3507"/>
      <c r="TLE23" s="3507"/>
      <c r="TLF23" s="3507"/>
      <c r="TLG23" s="3507"/>
      <c r="TLH23" s="3507"/>
      <c r="TLI23" s="3507"/>
      <c r="TLJ23" s="3507"/>
      <c r="TLK23" s="3507"/>
      <c r="TLL23" s="3507"/>
      <c r="TLM23" s="3507"/>
      <c r="TLN23" s="3507"/>
      <c r="TLO23" s="3507"/>
      <c r="TLP23" s="3507"/>
      <c r="TLQ23" s="3507"/>
      <c r="TLR23" s="3507"/>
      <c r="TLS23" s="3507"/>
      <c r="TLT23" s="3507"/>
      <c r="TLU23" s="3507"/>
      <c r="TLV23" s="3507"/>
      <c r="TLW23" s="3507"/>
      <c r="TLX23" s="3507"/>
      <c r="TLY23" s="3507"/>
      <c r="TLZ23" s="3507"/>
      <c r="TMA23" s="3507"/>
      <c r="TMB23" s="3507"/>
      <c r="TMC23" s="3507"/>
      <c r="TMD23" s="3507"/>
      <c r="TME23" s="3507"/>
      <c r="TMF23" s="3507"/>
      <c r="TMG23" s="3507"/>
      <c r="TMH23" s="3507"/>
      <c r="TMI23" s="3507"/>
      <c r="TMJ23" s="3507"/>
      <c r="TMK23" s="3507"/>
      <c r="TML23" s="3507"/>
      <c r="TMM23" s="3507"/>
      <c r="TMN23" s="3507"/>
      <c r="TMO23" s="3507"/>
      <c r="TMP23" s="3507"/>
      <c r="TMQ23" s="3507"/>
      <c r="TMR23" s="3507"/>
      <c r="TMS23" s="3507"/>
      <c r="TMT23" s="3507"/>
      <c r="TMU23" s="3507"/>
      <c r="TMV23" s="3507"/>
      <c r="TMW23" s="3507"/>
      <c r="TMX23" s="3507"/>
      <c r="TMY23" s="3507"/>
      <c r="TMZ23" s="3507"/>
      <c r="TNA23" s="3507"/>
      <c r="TNB23" s="3507"/>
      <c r="TNC23" s="3507"/>
      <c r="TND23" s="3507"/>
      <c r="TNE23" s="3507"/>
      <c r="TNF23" s="3507"/>
      <c r="TNG23" s="3507"/>
      <c r="TNH23" s="3507"/>
      <c r="TNI23" s="3507"/>
      <c r="TNJ23" s="3507"/>
      <c r="TNK23" s="3507"/>
      <c r="TNL23" s="3507"/>
      <c r="TNM23" s="3507"/>
      <c r="TNN23" s="3507"/>
      <c r="TNO23" s="3507"/>
      <c r="TNP23" s="3507"/>
      <c r="TNQ23" s="3507"/>
      <c r="TNR23" s="3507"/>
      <c r="TNS23" s="3507"/>
      <c r="TNT23" s="3507"/>
      <c r="TNU23" s="3507"/>
      <c r="TNV23" s="3507"/>
      <c r="TNW23" s="3507"/>
      <c r="TNX23" s="3507"/>
      <c r="TNY23" s="3507"/>
      <c r="TNZ23" s="3507"/>
      <c r="TOA23" s="3507"/>
      <c r="TOB23" s="3507"/>
      <c r="TOC23" s="3507"/>
      <c r="TOD23" s="3507"/>
      <c r="TOE23" s="3507"/>
      <c r="TOF23" s="3507"/>
      <c r="TOG23" s="3507"/>
      <c r="TOH23" s="3507"/>
      <c r="TOI23" s="3507"/>
      <c r="TOJ23" s="3507"/>
      <c r="TOK23" s="3507"/>
      <c r="TOL23" s="3507"/>
      <c r="TOM23" s="3507"/>
      <c r="TON23" s="3507"/>
      <c r="TOO23" s="3507"/>
      <c r="TOP23" s="3507"/>
      <c r="TOQ23" s="3507"/>
      <c r="TOR23" s="3507"/>
      <c r="TOS23" s="3507"/>
      <c r="TOT23" s="3507"/>
      <c r="TOU23" s="3507"/>
      <c r="TOV23" s="3507"/>
      <c r="TOW23" s="3507"/>
      <c r="TOX23" s="3507"/>
      <c r="TOY23" s="3507"/>
      <c r="TOZ23" s="3507"/>
      <c r="TPA23" s="3507"/>
      <c r="TPB23" s="3507"/>
      <c r="TPC23" s="3507"/>
      <c r="TPD23" s="3507"/>
      <c r="TPE23" s="3507"/>
      <c r="TPF23" s="3507"/>
      <c r="TPG23" s="3507"/>
      <c r="TPH23" s="3507"/>
      <c r="TPI23" s="3507"/>
      <c r="TPJ23" s="3507"/>
      <c r="TPK23" s="3507"/>
      <c r="TPL23" s="3507"/>
      <c r="TPM23" s="3507"/>
      <c r="TPN23" s="3507"/>
      <c r="TPO23" s="3507"/>
      <c r="TPP23" s="3507"/>
      <c r="TPQ23" s="3507"/>
      <c r="TPR23" s="3507"/>
      <c r="TPS23" s="3507"/>
      <c r="TPT23" s="3507"/>
      <c r="TPU23" s="3507"/>
      <c r="TPV23" s="3507"/>
      <c r="TPW23" s="3507"/>
      <c r="TPX23" s="3507"/>
      <c r="TPY23" s="3507"/>
      <c r="TPZ23" s="3507"/>
      <c r="TQA23" s="3507"/>
      <c r="TQB23" s="3507"/>
      <c r="TQC23" s="3507"/>
      <c r="TQD23" s="3507"/>
      <c r="TQE23" s="3507"/>
      <c r="TQF23" s="3507"/>
      <c r="TQG23" s="3507"/>
      <c r="TQH23" s="3507"/>
      <c r="TQI23" s="3507"/>
      <c r="TQJ23" s="3507"/>
      <c r="TQK23" s="3507"/>
      <c r="TQL23" s="3507"/>
      <c r="TQM23" s="3507"/>
      <c r="TQN23" s="3507"/>
      <c r="TQO23" s="3507"/>
      <c r="TQP23" s="3507"/>
      <c r="TQQ23" s="3507"/>
      <c r="TQR23" s="3507"/>
      <c r="TQS23" s="3507"/>
      <c r="TQT23" s="3507"/>
      <c r="TQU23" s="3507"/>
      <c r="TQV23" s="3507"/>
      <c r="TQW23" s="3507"/>
      <c r="TQX23" s="3507"/>
      <c r="TQY23" s="3507"/>
      <c r="TQZ23" s="3507"/>
      <c r="TRA23" s="3507"/>
      <c r="TRB23" s="3507"/>
      <c r="TRC23" s="3507"/>
      <c r="TRD23" s="3507"/>
      <c r="TRE23" s="3507"/>
      <c r="TRF23" s="3507"/>
      <c r="TRG23" s="3507"/>
      <c r="TRH23" s="3507"/>
      <c r="TRI23" s="3507"/>
      <c r="TRJ23" s="3507"/>
      <c r="TRK23" s="3507"/>
      <c r="TRL23" s="3507"/>
      <c r="TRM23" s="3507"/>
      <c r="TRN23" s="3507"/>
      <c r="TRO23" s="3507"/>
      <c r="TRP23" s="3507"/>
      <c r="TRQ23" s="3507"/>
      <c r="TRR23" s="3507"/>
      <c r="TRS23" s="3507"/>
      <c r="TRT23" s="3507"/>
      <c r="TRU23" s="3507"/>
      <c r="TRV23" s="3507"/>
      <c r="TRW23" s="3507"/>
      <c r="TRX23" s="3507"/>
      <c r="TRY23" s="3507"/>
      <c r="TRZ23" s="3507"/>
      <c r="TSA23" s="3507"/>
      <c r="TSB23" s="3507"/>
      <c r="TSC23" s="3507"/>
      <c r="TSD23" s="3507"/>
      <c r="TSE23" s="3507"/>
      <c r="TSF23" s="3507"/>
      <c r="TSG23" s="3507"/>
      <c r="TSH23" s="3507"/>
      <c r="TSI23" s="3507"/>
      <c r="TSJ23" s="3507"/>
      <c r="TSK23" s="3507"/>
      <c r="TSL23" s="3507"/>
      <c r="TSM23" s="3507"/>
      <c r="TSN23" s="3507"/>
      <c r="TSO23" s="3507"/>
      <c r="TSP23" s="3507"/>
      <c r="TSQ23" s="3507"/>
      <c r="TSR23" s="3507"/>
      <c r="TSS23" s="3507"/>
      <c r="TST23" s="3507"/>
      <c r="TSU23" s="3507"/>
      <c r="TSV23" s="3507"/>
      <c r="TSW23" s="3507"/>
      <c r="TSX23" s="3507"/>
      <c r="TSY23" s="3507"/>
      <c r="TSZ23" s="3507"/>
      <c r="TTA23" s="3507"/>
      <c r="TTB23" s="3507"/>
      <c r="TTC23" s="3507"/>
      <c r="TTD23" s="3507"/>
      <c r="TTE23" s="3507"/>
      <c r="TTF23" s="3507"/>
      <c r="TTG23" s="3507"/>
      <c r="TTH23" s="3507"/>
      <c r="TTI23" s="3507"/>
      <c r="TTJ23" s="3507"/>
      <c r="TTK23" s="3507"/>
      <c r="TTL23" s="3507"/>
      <c r="TTM23" s="3507"/>
      <c r="TTN23" s="3507"/>
      <c r="TTO23" s="3507"/>
      <c r="TTP23" s="3507"/>
      <c r="TTQ23" s="3507"/>
      <c r="TTR23" s="3507"/>
      <c r="TTS23" s="3507"/>
      <c r="TTT23" s="3507"/>
      <c r="TTU23" s="3507"/>
      <c r="TTV23" s="3507"/>
      <c r="TTW23" s="3507"/>
      <c r="TTX23" s="3507"/>
      <c r="TTY23" s="3507"/>
      <c r="TTZ23" s="3507"/>
      <c r="TUA23" s="3507"/>
      <c r="TUB23" s="3507"/>
      <c r="TUC23" s="3507"/>
      <c r="TUD23" s="3507"/>
      <c r="TUE23" s="3507"/>
      <c r="TUF23" s="3507"/>
      <c r="TUG23" s="3507"/>
      <c r="TUH23" s="3507"/>
      <c r="TUI23" s="3507"/>
      <c r="TUJ23" s="3507"/>
      <c r="TUK23" s="3507"/>
      <c r="TUL23" s="3507"/>
      <c r="TUM23" s="3507"/>
      <c r="TUN23" s="3507"/>
      <c r="TUO23" s="3507"/>
      <c r="TUP23" s="3507"/>
      <c r="TUQ23" s="3507"/>
      <c r="TUR23" s="3507"/>
      <c r="TUS23" s="3507"/>
      <c r="TUT23" s="3507"/>
      <c r="TUU23" s="3507"/>
      <c r="TUV23" s="3507"/>
      <c r="TUW23" s="3507"/>
      <c r="TUX23" s="3507"/>
      <c r="TUY23" s="3507"/>
      <c r="TUZ23" s="3507"/>
      <c r="TVA23" s="3507"/>
      <c r="TVB23" s="3507"/>
      <c r="TVC23" s="3507"/>
      <c r="TVD23" s="3507"/>
      <c r="TVE23" s="3507"/>
      <c r="TVF23" s="3507"/>
      <c r="TVG23" s="3507"/>
      <c r="TVH23" s="3507"/>
      <c r="TVI23" s="3507"/>
      <c r="TVJ23" s="3507"/>
      <c r="TVK23" s="3507"/>
      <c r="TVL23" s="3507"/>
      <c r="TVM23" s="3507"/>
      <c r="TVN23" s="3507"/>
      <c r="TVO23" s="3507"/>
      <c r="TVP23" s="3507"/>
      <c r="TVQ23" s="3507"/>
      <c r="TVR23" s="3507"/>
      <c r="TVS23" s="3507"/>
      <c r="TVT23" s="3507"/>
      <c r="TVU23" s="3507"/>
      <c r="TVV23" s="3507"/>
      <c r="TVW23" s="3507"/>
      <c r="TVX23" s="3507"/>
      <c r="TVY23" s="3507"/>
      <c r="TVZ23" s="3507"/>
      <c r="TWA23" s="3507"/>
      <c r="TWB23" s="3507"/>
      <c r="TWC23" s="3507"/>
      <c r="TWD23" s="3507"/>
      <c r="TWE23" s="3507"/>
      <c r="TWF23" s="3507"/>
      <c r="TWG23" s="3507"/>
      <c r="TWH23" s="3507"/>
      <c r="TWI23" s="3507"/>
      <c r="TWJ23" s="3507"/>
      <c r="TWK23" s="3507"/>
      <c r="TWL23" s="3507"/>
      <c r="TWM23" s="3507"/>
      <c r="TWN23" s="3507"/>
      <c r="TWO23" s="3507"/>
      <c r="TWP23" s="3507"/>
      <c r="TWQ23" s="3507"/>
      <c r="TWR23" s="3507"/>
      <c r="TWS23" s="3507"/>
      <c r="TWT23" s="3507"/>
      <c r="TWU23" s="3507"/>
      <c r="TWV23" s="3507"/>
      <c r="TWW23" s="3507"/>
      <c r="TWX23" s="3507"/>
      <c r="TWY23" s="3507"/>
      <c r="TWZ23" s="3507"/>
      <c r="TXA23" s="3507"/>
      <c r="TXB23" s="3507"/>
      <c r="TXC23" s="3507"/>
      <c r="TXD23" s="3507"/>
      <c r="TXE23" s="3507"/>
      <c r="TXF23" s="3507"/>
      <c r="TXG23" s="3507"/>
      <c r="TXH23" s="3507"/>
      <c r="TXI23" s="3507"/>
      <c r="TXJ23" s="3507"/>
      <c r="TXK23" s="3507"/>
      <c r="TXL23" s="3507"/>
      <c r="TXM23" s="3507"/>
      <c r="TXN23" s="3507"/>
      <c r="TXO23" s="3507"/>
      <c r="TXP23" s="3507"/>
      <c r="TXQ23" s="3507"/>
      <c r="TXR23" s="3507"/>
      <c r="TXS23" s="3507"/>
      <c r="TXT23" s="3507"/>
      <c r="TXU23" s="3507"/>
      <c r="TXV23" s="3507"/>
      <c r="TXW23" s="3507"/>
      <c r="TXX23" s="3507"/>
      <c r="TXY23" s="3507"/>
      <c r="TXZ23" s="3507"/>
      <c r="TYA23" s="3507"/>
      <c r="TYB23" s="3507"/>
      <c r="TYC23" s="3507"/>
      <c r="TYD23" s="3507"/>
      <c r="TYE23" s="3507"/>
      <c r="TYF23" s="3507"/>
      <c r="TYG23" s="3507"/>
      <c r="TYH23" s="3507"/>
      <c r="TYI23" s="3507"/>
      <c r="TYJ23" s="3507"/>
      <c r="TYK23" s="3507"/>
      <c r="TYL23" s="3507"/>
      <c r="TYM23" s="3507"/>
      <c r="TYN23" s="3507"/>
      <c r="TYO23" s="3507"/>
      <c r="TYP23" s="3507"/>
      <c r="TYQ23" s="3507"/>
      <c r="TYR23" s="3507"/>
      <c r="TYS23" s="3507"/>
      <c r="TYT23" s="3507"/>
      <c r="TYU23" s="3507"/>
      <c r="TYV23" s="3507"/>
      <c r="TYW23" s="3507"/>
      <c r="TYX23" s="3507"/>
      <c r="TYY23" s="3507"/>
      <c r="TYZ23" s="3507"/>
      <c r="TZA23" s="3507"/>
      <c r="TZB23" s="3507"/>
      <c r="TZC23" s="3507"/>
      <c r="TZD23" s="3507"/>
      <c r="TZE23" s="3507"/>
      <c r="TZF23" s="3507"/>
      <c r="TZG23" s="3507"/>
      <c r="TZH23" s="3507"/>
      <c r="TZI23" s="3507"/>
      <c r="TZJ23" s="3507"/>
      <c r="TZK23" s="3507"/>
      <c r="TZL23" s="3507"/>
      <c r="TZM23" s="3507"/>
      <c r="TZN23" s="3507"/>
      <c r="TZO23" s="3507"/>
      <c r="TZP23" s="3507"/>
      <c r="TZQ23" s="3507"/>
      <c r="TZR23" s="3507"/>
      <c r="TZS23" s="3507"/>
      <c r="TZT23" s="3507"/>
      <c r="TZU23" s="3507"/>
      <c r="TZV23" s="3507"/>
      <c r="TZW23" s="3507"/>
      <c r="TZX23" s="3507"/>
      <c r="TZY23" s="3507"/>
      <c r="TZZ23" s="3507"/>
      <c r="UAA23" s="3507"/>
      <c r="UAB23" s="3507"/>
      <c r="UAC23" s="3507"/>
      <c r="UAD23" s="3507"/>
      <c r="UAE23" s="3507"/>
      <c r="UAF23" s="3507"/>
      <c r="UAG23" s="3507"/>
      <c r="UAH23" s="3507"/>
      <c r="UAI23" s="3507"/>
      <c r="UAJ23" s="3507"/>
      <c r="UAK23" s="3507"/>
      <c r="UAL23" s="3507"/>
      <c r="UAM23" s="3507"/>
      <c r="UAN23" s="3507"/>
      <c r="UAO23" s="3507"/>
      <c r="UAP23" s="3507"/>
      <c r="UAQ23" s="3507"/>
      <c r="UAR23" s="3507"/>
      <c r="UAS23" s="3507"/>
      <c r="UAT23" s="3507"/>
      <c r="UAU23" s="3507"/>
      <c r="UAV23" s="3507"/>
      <c r="UAW23" s="3507"/>
      <c r="UAX23" s="3507"/>
      <c r="UAY23" s="3507"/>
      <c r="UAZ23" s="3507"/>
      <c r="UBA23" s="3507"/>
      <c r="UBB23" s="3507"/>
      <c r="UBC23" s="3507"/>
      <c r="UBD23" s="3507"/>
      <c r="UBE23" s="3507"/>
      <c r="UBF23" s="3507"/>
      <c r="UBG23" s="3507"/>
      <c r="UBH23" s="3507"/>
      <c r="UBI23" s="3507"/>
      <c r="UBJ23" s="3507"/>
      <c r="UBK23" s="3507"/>
      <c r="UBL23" s="3507"/>
      <c r="UBM23" s="3507"/>
      <c r="UBN23" s="3507"/>
      <c r="UBO23" s="3507"/>
      <c r="UBP23" s="3507"/>
      <c r="UBQ23" s="3507"/>
      <c r="UBR23" s="3507"/>
      <c r="UBS23" s="3507"/>
      <c r="UBT23" s="3507"/>
      <c r="UBU23" s="3507"/>
      <c r="UBV23" s="3507"/>
      <c r="UBW23" s="3507"/>
      <c r="UBX23" s="3507"/>
      <c r="UBY23" s="3507"/>
      <c r="UBZ23" s="3507"/>
      <c r="UCA23" s="3507"/>
      <c r="UCB23" s="3507"/>
      <c r="UCC23" s="3507"/>
      <c r="UCD23" s="3507"/>
      <c r="UCE23" s="3507"/>
      <c r="UCF23" s="3507"/>
      <c r="UCG23" s="3507"/>
      <c r="UCH23" s="3507"/>
      <c r="UCI23" s="3507"/>
      <c r="UCJ23" s="3507"/>
      <c r="UCK23" s="3507"/>
      <c r="UCL23" s="3507"/>
      <c r="UCM23" s="3507"/>
      <c r="UCN23" s="3507"/>
      <c r="UCO23" s="3507"/>
      <c r="UCP23" s="3507"/>
      <c r="UCQ23" s="3507"/>
      <c r="UCR23" s="3507"/>
      <c r="UCS23" s="3507"/>
      <c r="UCT23" s="3507"/>
      <c r="UCU23" s="3507"/>
      <c r="UCV23" s="3507"/>
      <c r="UCW23" s="3507"/>
      <c r="UCX23" s="3507"/>
      <c r="UCY23" s="3507"/>
      <c r="UCZ23" s="3507"/>
      <c r="UDA23" s="3507"/>
      <c r="UDB23" s="3507"/>
      <c r="UDC23" s="3507"/>
      <c r="UDD23" s="3507"/>
      <c r="UDE23" s="3507"/>
      <c r="UDF23" s="3507"/>
      <c r="UDG23" s="3507"/>
      <c r="UDH23" s="3507"/>
      <c r="UDI23" s="3507"/>
      <c r="UDJ23" s="3507"/>
      <c r="UDK23" s="3507"/>
      <c r="UDL23" s="3507"/>
      <c r="UDM23" s="3507"/>
      <c r="UDN23" s="3507"/>
      <c r="UDO23" s="3507"/>
      <c r="UDP23" s="3507"/>
      <c r="UDQ23" s="3507"/>
      <c r="UDR23" s="3507"/>
      <c r="UDS23" s="3507"/>
      <c r="UDT23" s="3507"/>
      <c r="UDU23" s="3507"/>
      <c r="UDV23" s="3507"/>
      <c r="UDW23" s="3507"/>
      <c r="UDX23" s="3507"/>
      <c r="UDY23" s="3507"/>
      <c r="UDZ23" s="3507"/>
      <c r="UEA23" s="3507"/>
      <c r="UEB23" s="3507"/>
      <c r="UEC23" s="3507"/>
      <c r="UED23" s="3507"/>
      <c r="UEE23" s="3507"/>
      <c r="UEF23" s="3507"/>
      <c r="UEG23" s="3507"/>
      <c r="UEH23" s="3507"/>
      <c r="UEI23" s="3507"/>
      <c r="UEJ23" s="3507"/>
      <c r="UEK23" s="3507"/>
      <c r="UEL23" s="3507"/>
      <c r="UEM23" s="3507"/>
      <c r="UEN23" s="3507"/>
      <c r="UEO23" s="3507"/>
      <c r="UEP23" s="3507"/>
      <c r="UEQ23" s="3507"/>
      <c r="UER23" s="3507"/>
      <c r="UES23" s="3507"/>
      <c r="UET23" s="3507"/>
      <c r="UEU23" s="3507"/>
      <c r="UEV23" s="3507"/>
      <c r="UEW23" s="3507"/>
      <c r="UEX23" s="3507"/>
      <c r="UEY23" s="3507"/>
      <c r="UEZ23" s="3507"/>
      <c r="UFA23" s="3507"/>
      <c r="UFB23" s="3507"/>
      <c r="UFC23" s="3507"/>
      <c r="UFD23" s="3507"/>
      <c r="UFE23" s="3507"/>
      <c r="UFF23" s="3507"/>
      <c r="UFG23" s="3507"/>
      <c r="UFH23" s="3507"/>
      <c r="UFI23" s="3507"/>
      <c r="UFJ23" s="3507"/>
      <c r="UFK23" s="3507"/>
      <c r="UFL23" s="3507"/>
      <c r="UFM23" s="3507"/>
      <c r="UFN23" s="3507"/>
      <c r="UFO23" s="3507"/>
      <c r="UFP23" s="3507"/>
      <c r="UFQ23" s="3507"/>
      <c r="UFR23" s="3507"/>
      <c r="UFS23" s="3507"/>
      <c r="UFT23" s="3507"/>
      <c r="UFU23" s="3507"/>
      <c r="UFV23" s="3507"/>
      <c r="UFW23" s="3507"/>
      <c r="UFX23" s="3507"/>
      <c r="UFY23" s="3507"/>
      <c r="UFZ23" s="3507"/>
      <c r="UGA23" s="3507"/>
      <c r="UGB23" s="3507"/>
      <c r="UGC23" s="3507"/>
      <c r="UGD23" s="3507"/>
      <c r="UGE23" s="3507"/>
      <c r="UGF23" s="3507"/>
      <c r="UGG23" s="3507"/>
      <c r="UGH23" s="3507"/>
      <c r="UGI23" s="3507"/>
      <c r="UGJ23" s="3507"/>
      <c r="UGK23" s="3507"/>
      <c r="UGL23" s="3507"/>
      <c r="UGM23" s="3507"/>
      <c r="UGN23" s="3507"/>
      <c r="UGO23" s="3507"/>
      <c r="UGP23" s="3507"/>
      <c r="UGQ23" s="3507"/>
      <c r="UGR23" s="3507"/>
      <c r="UGS23" s="3507"/>
      <c r="UGT23" s="3507"/>
      <c r="UGU23" s="3507"/>
      <c r="UGV23" s="3507"/>
      <c r="UGW23" s="3507"/>
      <c r="UGX23" s="3507"/>
      <c r="UGY23" s="3507"/>
      <c r="UGZ23" s="3507"/>
      <c r="UHA23" s="3507"/>
      <c r="UHB23" s="3507"/>
      <c r="UHC23" s="3507"/>
      <c r="UHD23" s="3507"/>
      <c r="UHE23" s="3507"/>
      <c r="UHF23" s="3507"/>
      <c r="UHG23" s="3507"/>
      <c r="UHH23" s="3507"/>
      <c r="UHI23" s="3507"/>
      <c r="UHJ23" s="3507"/>
      <c r="UHK23" s="3507"/>
      <c r="UHL23" s="3507"/>
      <c r="UHM23" s="3507"/>
      <c r="UHN23" s="3507"/>
      <c r="UHO23" s="3507"/>
      <c r="UHP23" s="3507"/>
      <c r="UHQ23" s="3507"/>
      <c r="UHR23" s="3507"/>
      <c r="UHS23" s="3507"/>
      <c r="UHT23" s="3507"/>
      <c r="UHU23" s="3507"/>
      <c r="UHV23" s="3507"/>
      <c r="UHW23" s="3507"/>
      <c r="UHX23" s="3507"/>
      <c r="UHY23" s="3507"/>
      <c r="UHZ23" s="3507"/>
      <c r="UIA23" s="3507"/>
      <c r="UIB23" s="3507"/>
      <c r="UIC23" s="3507"/>
      <c r="UID23" s="3507"/>
      <c r="UIE23" s="3507"/>
      <c r="UIF23" s="3507"/>
      <c r="UIG23" s="3507"/>
      <c r="UIH23" s="3507"/>
      <c r="UII23" s="3507"/>
      <c r="UIJ23" s="3507"/>
      <c r="UIK23" s="3507"/>
      <c r="UIL23" s="3507"/>
      <c r="UIM23" s="3507"/>
      <c r="UIN23" s="3507"/>
      <c r="UIO23" s="3507"/>
      <c r="UIP23" s="3507"/>
      <c r="UIQ23" s="3507"/>
      <c r="UIR23" s="3507"/>
      <c r="UIS23" s="3507"/>
      <c r="UIT23" s="3507"/>
      <c r="UIU23" s="3507"/>
      <c r="UIV23" s="3507"/>
      <c r="UIW23" s="3507"/>
      <c r="UIX23" s="3507"/>
      <c r="UIY23" s="3507"/>
      <c r="UIZ23" s="3507"/>
      <c r="UJA23" s="3507"/>
      <c r="UJB23" s="3507"/>
      <c r="UJC23" s="3507"/>
      <c r="UJD23" s="3507"/>
      <c r="UJE23" s="3507"/>
      <c r="UJF23" s="3507"/>
      <c r="UJG23" s="3507"/>
      <c r="UJH23" s="3507"/>
      <c r="UJI23" s="3507"/>
      <c r="UJJ23" s="3507"/>
      <c r="UJK23" s="3507"/>
      <c r="UJL23" s="3507"/>
      <c r="UJM23" s="3507"/>
      <c r="UJN23" s="3507"/>
      <c r="UJO23" s="3507"/>
      <c r="UJP23" s="3507"/>
      <c r="UJQ23" s="3507"/>
      <c r="UJR23" s="3507"/>
      <c r="UJS23" s="3507"/>
      <c r="UJT23" s="3507"/>
      <c r="UJU23" s="3507"/>
      <c r="UJV23" s="3507"/>
      <c r="UJW23" s="3507"/>
      <c r="UJX23" s="3507"/>
      <c r="UJY23" s="3507"/>
      <c r="UJZ23" s="3507"/>
      <c r="UKA23" s="3507"/>
      <c r="UKB23" s="3507"/>
      <c r="UKC23" s="3507"/>
      <c r="UKD23" s="3507"/>
      <c r="UKE23" s="3507"/>
      <c r="UKF23" s="3507"/>
      <c r="UKG23" s="3507"/>
      <c r="UKH23" s="3507"/>
      <c r="UKI23" s="3507"/>
      <c r="UKJ23" s="3507"/>
      <c r="UKK23" s="3507"/>
      <c r="UKL23" s="3507"/>
      <c r="UKM23" s="3507"/>
      <c r="UKN23" s="3507"/>
      <c r="UKO23" s="3507"/>
      <c r="UKP23" s="3507"/>
      <c r="UKQ23" s="3507"/>
      <c r="UKR23" s="3507"/>
      <c r="UKS23" s="3507"/>
      <c r="UKT23" s="3507"/>
      <c r="UKU23" s="3507"/>
      <c r="UKV23" s="3507"/>
      <c r="UKW23" s="3507"/>
      <c r="UKX23" s="3507"/>
      <c r="UKY23" s="3507"/>
      <c r="UKZ23" s="3507"/>
      <c r="ULA23" s="3507"/>
      <c r="ULB23" s="3507"/>
      <c r="ULC23" s="3507"/>
      <c r="ULD23" s="3507"/>
      <c r="ULE23" s="3507"/>
      <c r="ULF23" s="3507"/>
      <c r="ULG23" s="3507"/>
      <c r="ULH23" s="3507"/>
      <c r="ULI23" s="3507"/>
      <c r="ULJ23" s="3507"/>
      <c r="ULK23" s="3507"/>
      <c r="ULL23" s="3507"/>
      <c r="ULM23" s="3507"/>
      <c r="ULN23" s="3507"/>
      <c r="ULO23" s="3507"/>
      <c r="ULP23" s="3507"/>
      <c r="ULQ23" s="3507"/>
      <c r="ULR23" s="3507"/>
      <c r="ULS23" s="3507"/>
      <c r="ULT23" s="3507"/>
      <c r="ULU23" s="3507"/>
      <c r="ULV23" s="3507"/>
      <c r="ULW23" s="3507"/>
      <c r="ULX23" s="3507"/>
      <c r="ULY23" s="3507"/>
      <c r="ULZ23" s="3507"/>
      <c r="UMA23" s="3507"/>
      <c r="UMB23" s="3507"/>
      <c r="UMC23" s="3507"/>
      <c r="UMD23" s="3507"/>
      <c r="UME23" s="3507"/>
      <c r="UMF23" s="3507"/>
      <c r="UMG23" s="3507"/>
      <c r="UMH23" s="3507"/>
      <c r="UMI23" s="3507"/>
      <c r="UMJ23" s="3507"/>
      <c r="UMK23" s="3507"/>
      <c r="UML23" s="3507"/>
      <c r="UMM23" s="3507"/>
      <c r="UMN23" s="3507"/>
      <c r="UMO23" s="3507"/>
      <c r="UMP23" s="3507"/>
      <c r="UMQ23" s="3507"/>
      <c r="UMR23" s="3507"/>
      <c r="UMS23" s="3507"/>
      <c r="UMT23" s="3507"/>
      <c r="UMU23" s="3507"/>
      <c r="UMV23" s="3507"/>
      <c r="UMW23" s="3507"/>
      <c r="UMX23" s="3507"/>
      <c r="UMY23" s="3507"/>
      <c r="UMZ23" s="3507"/>
      <c r="UNA23" s="3507"/>
      <c r="UNB23" s="3507"/>
      <c r="UNC23" s="3507"/>
      <c r="UND23" s="3507"/>
      <c r="UNE23" s="3507"/>
      <c r="UNF23" s="3507"/>
      <c r="UNG23" s="3507"/>
      <c r="UNH23" s="3507"/>
      <c r="UNI23" s="3507"/>
      <c r="UNJ23" s="3507"/>
      <c r="UNK23" s="3507"/>
      <c r="UNL23" s="3507"/>
      <c r="UNM23" s="3507"/>
      <c r="UNN23" s="3507"/>
      <c r="UNO23" s="3507"/>
      <c r="UNP23" s="3507"/>
      <c r="UNQ23" s="3507"/>
      <c r="UNR23" s="3507"/>
      <c r="UNS23" s="3507"/>
      <c r="UNT23" s="3507"/>
      <c r="UNU23" s="3507"/>
      <c r="UNV23" s="3507"/>
      <c r="UNW23" s="3507"/>
      <c r="UNX23" s="3507"/>
      <c r="UNY23" s="3507"/>
      <c r="UNZ23" s="3507"/>
      <c r="UOA23" s="3507"/>
      <c r="UOB23" s="3507"/>
      <c r="UOC23" s="3507"/>
      <c r="UOD23" s="3507"/>
      <c r="UOE23" s="3507"/>
      <c r="UOF23" s="3507"/>
      <c r="UOG23" s="3507"/>
      <c r="UOH23" s="3507"/>
      <c r="UOI23" s="3507"/>
      <c r="UOJ23" s="3507"/>
      <c r="UOK23" s="3507"/>
      <c r="UOL23" s="3507"/>
      <c r="UOM23" s="3507"/>
      <c r="UON23" s="3507"/>
      <c r="UOO23" s="3507"/>
      <c r="UOP23" s="3507"/>
      <c r="UOQ23" s="3507"/>
      <c r="UOR23" s="3507"/>
      <c r="UOS23" s="3507"/>
      <c r="UOT23" s="3507"/>
      <c r="UOU23" s="3507"/>
      <c r="UOV23" s="3507"/>
      <c r="UOW23" s="3507"/>
      <c r="UOX23" s="3507"/>
      <c r="UOY23" s="3507"/>
      <c r="UOZ23" s="3507"/>
      <c r="UPA23" s="3507"/>
      <c r="UPB23" s="3507"/>
      <c r="UPC23" s="3507"/>
      <c r="UPD23" s="3507"/>
      <c r="UPE23" s="3507"/>
      <c r="UPF23" s="3507"/>
      <c r="UPG23" s="3507"/>
      <c r="UPH23" s="3507"/>
      <c r="UPI23" s="3507"/>
      <c r="UPJ23" s="3507"/>
      <c r="UPK23" s="3507"/>
      <c r="UPL23" s="3507"/>
      <c r="UPM23" s="3507"/>
      <c r="UPN23" s="3507"/>
      <c r="UPO23" s="3507"/>
      <c r="UPP23" s="3507"/>
      <c r="UPQ23" s="3507"/>
      <c r="UPR23" s="3507"/>
      <c r="UPS23" s="3507"/>
      <c r="UPT23" s="3507"/>
      <c r="UPU23" s="3507"/>
      <c r="UPV23" s="3507"/>
      <c r="UPW23" s="3507"/>
      <c r="UPX23" s="3507"/>
      <c r="UPY23" s="3507"/>
      <c r="UPZ23" s="3507"/>
      <c r="UQA23" s="3507"/>
      <c r="UQB23" s="3507"/>
      <c r="UQC23" s="3507"/>
      <c r="UQD23" s="3507"/>
      <c r="UQE23" s="3507"/>
      <c r="UQF23" s="3507"/>
      <c r="UQG23" s="3507"/>
      <c r="UQH23" s="3507"/>
      <c r="UQI23" s="3507"/>
      <c r="UQJ23" s="3507"/>
      <c r="UQK23" s="3507"/>
      <c r="UQL23" s="3507"/>
      <c r="UQM23" s="3507"/>
      <c r="UQN23" s="3507"/>
      <c r="UQO23" s="3507"/>
      <c r="UQP23" s="3507"/>
      <c r="UQQ23" s="3507"/>
      <c r="UQR23" s="3507"/>
      <c r="UQS23" s="3507"/>
      <c r="UQT23" s="3507"/>
      <c r="UQU23" s="3507"/>
      <c r="UQV23" s="3507"/>
      <c r="UQW23" s="3507"/>
      <c r="UQX23" s="3507"/>
      <c r="UQY23" s="3507"/>
      <c r="UQZ23" s="3507"/>
      <c r="URA23" s="3507"/>
      <c r="URB23" s="3507"/>
      <c r="URC23" s="3507"/>
      <c r="URD23" s="3507"/>
      <c r="URE23" s="3507"/>
      <c r="URF23" s="3507"/>
      <c r="URG23" s="3507"/>
      <c r="URH23" s="3507"/>
      <c r="URI23" s="3507"/>
      <c r="URJ23" s="3507"/>
      <c r="URK23" s="3507"/>
      <c r="URL23" s="3507"/>
      <c r="URM23" s="3507"/>
      <c r="URN23" s="3507"/>
      <c r="URO23" s="3507"/>
      <c r="URP23" s="3507"/>
      <c r="URQ23" s="3507"/>
      <c r="URR23" s="3507"/>
      <c r="URS23" s="3507"/>
      <c r="URT23" s="3507"/>
      <c r="URU23" s="3507"/>
      <c r="URV23" s="3507"/>
      <c r="URW23" s="3507"/>
      <c r="URX23" s="3507"/>
      <c r="URY23" s="3507"/>
      <c r="URZ23" s="3507"/>
      <c r="USA23" s="3507"/>
      <c r="USB23" s="3507"/>
      <c r="USC23" s="3507"/>
      <c r="USD23" s="3507"/>
      <c r="USE23" s="3507"/>
      <c r="USF23" s="3507"/>
      <c r="USG23" s="3507"/>
      <c r="USH23" s="3507"/>
      <c r="USI23" s="3507"/>
      <c r="USJ23" s="3507"/>
      <c r="USK23" s="3507"/>
      <c r="USL23" s="3507"/>
      <c r="USM23" s="3507"/>
      <c r="USN23" s="3507"/>
      <c r="USO23" s="3507"/>
      <c r="USP23" s="3507"/>
      <c r="USQ23" s="3507"/>
      <c r="USR23" s="3507"/>
      <c r="USS23" s="3507"/>
      <c r="UST23" s="3507"/>
      <c r="USU23" s="3507"/>
      <c r="USV23" s="3507"/>
      <c r="USW23" s="3507"/>
      <c r="USX23" s="3507"/>
      <c r="USY23" s="3507"/>
      <c r="USZ23" s="3507"/>
      <c r="UTA23" s="3507"/>
      <c r="UTB23" s="3507"/>
      <c r="UTC23" s="3507"/>
      <c r="UTD23" s="3507"/>
      <c r="UTE23" s="3507"/>
      <c r="UTF23" s="3507"/>
      <c r="UTG23" s="3507"/>
      <c r="UTH23" s="3507"/>
      <c r="UTI23" s="3507"/>
      <c r="UTJ23" s="3507"/>
      <c r="UTK23" s="3507"/>
      <c r="UTL23" s="3507"/>
      <c r="UTM23" s="3507"/>
      <c r="UTN23" s="3507"/>
      <c r="UTO23" s="3507"/>
      <c r="UTP23" s="3507"/>
      <c r="UTQ23" s="3507"/>
      <c r="UTR23" s="3507"/>
      <c r="UTS23" s="3507"/>
      <c r="UTT23" s="3507"/>
      <c r="UTU23" s="3507"/>
      <c r="UTV23" s="3507"/>
      <c r="UTW23" s="3507"/>
      <c r="UTX23" s="3507"/>
      <c r="UTY23" s="3507"/>
      <c r="UTZ23" s="3507"/>
      <c r="UUA23" s="3507"/>
      <c r="UUB23" s="3507"/>
      <c r="UUC23" s="3507"/>
      <c r="UUD23" s="3507"/>
      <c r="UUE23" s="3507"/>
      <c r="UUF23" s="3507"/>
      <c r="UUG23" s="3507"/>
      <c r="UUH23" s="3507"/>
      <c r="UUI23" s="3507"/>
      <c r="UUJ23" s="3507"/>
      <c r="UUK23" s="3507"/>
      <c r="UUL23" s="3507"/>
      <c r="UUM23" s="3507"/>
      <c r="UUN23" s="3507"/>
      <c r="UUO23" s="3507"/>
      <c r="UUP23" s="3507"/>
      <c r="UUQ23" s="3507"/>
      <c r="UUR23" s="3507"/>
      <c r="UUS23" s="3507"/>
      <c r="UUT23" s="3507"/>
      <c r="UUU23" s="3507"/>
      <c r="UUV23" s="3507"/>
      <c r="UUW23" s="3507"/>
      <c r="UUX23" s="3507"/>
      <c r="UUY23" s="3507"/>
      <c r="UUZ23" s="3507"/>
      <c r="UVA23" s="3507"/>
      <c r="UVB23" s="3507"/>
      <c r="UVC23" s="3507"/>
      <c r="UVD23" s="3507"/>
      <c r="UVE23" s="3507"/>
      <c r="UVF23" s="3507"/>
      <c r="UVG23" s="3507"/>
      <c r="UVH23" s="3507"/>
      <c r="UVI23" s="3507"/>
      <c r="UVJ23" s="3507"/>
      <c r="UVK23" s="3507"/>
      <c r="UVL23" s="3507"/>
      <c r="UVM23" s="3507"/>
      <c r="UVN23" s="3507"/>
      <c r="UVO23" s="3507"/>
      <c r="UVP23" s="3507"/>
      <c r="UVQ23" s="3507"/>
      <c r="UVR23" s="3507"/>
      <c r="UVS23" s="3507"/>
      <c r="UVT23" s="3507"/>
      <c r="UVU23" s="3507"/>
      <c r="UVV23" s="3507"/>
      <c r="UVW23" s="3507"/>
      <c r="UVX23" s="3507"/>
      <c r="UVY23" s="3507"/>
      <c r="UVZ23" s="3507"/>
      <c r="UWA23" s="3507"/>
      <c r="UWB23" s="3507"/>
      <c r="UWC23" s="3507"/>
      <c r="UWD23" s="3507"/>
      <c r="UWE23" s="3507"/>
      <c r="UWF23" s="3507"/>
      <c r="UWG23" s="3507"/>
      <c r="UWH23" s="3507"/>
      <c r="UWI23" s="3507"/>
      <c r="UWJ23" s="3507"/>
      <c r="UWK23" s="3507"/>
      <c r="UWL23" s="3507"/>
      <c r="UWM23" s="3507"/>
      <c r="UWN23" s="3507"/>
      <c r="UWO23" s="3507"/>
      <c r="UWP23" s="3507"/>
      <c r="UWQ23" s="3507"/>
      <c r="UWR23" s="3507"/>
      <c r="UWS23" s="3507"/>
      <c r="UWT23" s="3507"/>
      <c r="UWU23" s="3507"/>
      <c r="UWV23" s="3507"/>
      <c r="UWW23" s="3507"/>
      <c r="UWX23" s="3507"/>
      <c r="UWY23" s="3507"/>
      <c r="UWZ23" s="3507"/>
      <c r="UXA23" s="3507"/>
      <c r="UXB23" s="3507"/>
      <c r="UXC23" s="3507"/>
      <c r="UXD23" s="3507"/>
      <c r="UXE23" s="3507"/>
      <c r="UXF23" s="3507"/>
      <c r="UXG23" s="3507"/>
      <c r="UXH23" s="3507"/>
      <c r="UXI23" s="3507"/>
      <c r="UXJ23" s="3507"/>
      <c r="UXK23" s="3507"/>
      <c r="UXL23" s="3507"/>
      <c r="UXM23" s="3507"/>
      <c r="UXN23" s="3507"/>
      <c r="UXO23" s="3507"/>
      <c r="UXP23" s="3507"/>
      <c r="UXQ23" s="3507"/>
      <c r="UXR23" s="3507"/>
      <c r="UXS23" s="3507"/>
      <c r="UXT23" s="3507"/>
      <c r="UXU23" s="3507"/>
      <c r="UXV23" s="3507"/>
      <c r="UXW23" s="3507"/>
      <c r="UXX23" s="3507"/>
      <c r="UXY23" s="3507"/>
      <c r="UXZ23" s="3507"/>
      <c r="UYA23" s="3507"/>
      <c r="UYB23" s="3507"/>
      <c r="UYC23" s="3507"/>
      <c r="UYD23" s="3507"/>
      <c r="UYE23" s="3507"/>
      <c r="UYF23" s="3507"/>
      <c r="UYG23" s="3507"/>
      <c r="UYH23" s="3507"/>
      <c r="UYI23" s="3507"/>
      <c r="UYJ23" s="3507"/>
      <c r="UYK23" s="3507"/>
      <c r="UYL23" s="3507"/>
      <c r="UYM23" s="3507"/>
      <c r="UYN23" s="3507"/>
      <c r="UYO23" s="3507"/>
      <c r="UYP23" s="3507"/>
      <c r="UYQ23" s="3507"/>
      <c r="UYR23" s="3507"/>
      <c r="UYS23" s="3507"/>
      <c r="UYT23" s="3507"/>
      <c r="UYU23" s="3507"/>
      <c r="UYV23" s="3507"/>
      <c r="UYW23" s="3507"/>
      <c r="UYX23" s="3507"/>
      <c r="UYY23" s="3507"/>
      <c r="UYZ23" s="3507"/>
      <c r="UZA23" s="3507"/>
      <c r="UZB23" s="3507"/>
      <c r="UZC23" s="3507"/>
      <c r="UZD23" s="3507"/>
      <c r="UZE23" s="3507"/>
      <c r="UZF23" s="3507"/>
      <c r="UZG23" s="3507"/>
      <c r="UZH23" s="3507"/>
      <c r="UZI23" s="3507"/>
      <c r="UZJ23" s="3507"/>
      <c r="UZK23" s="3507"/>
      <c r="UZL23" s="3507"/>
      <c r="UZM23" s="3507"/>
      <c r="UZN23" s="3507"/>
      <c r="UZO23" s="3507"/>
      <c r="UZP23" s="3507"/>
      <c r="UZQ23" s="3507"/>
      <c r="UZR23" s="3507"/>
      <c r="UZS23" s="3507"/>
      <c r="UZT23" s="3507"/>
      <c r="UZU23" s="3507"/>
      <c r="UZV23" s="3507"/>
      <c r="UZW23" s="3507"/>
      <c r="UZX23" s="3507"/>
      <c r="UZY23" s="3507"/>
      <c r="UZZ23" s="3507"/>
      <c r="VAA23" s="3507"/>
      <c r="VAB23" s="3507"/>
      <c r="VAC23" s="3507"/>
      <c r="VAD23" s="3507"/>
      <c r="VAE23" s="3507"/>
      <c r="VAF23" s="3507"/>
      <c r="VAG23" s="3507"/>
      <c r="VAH23" s="3507"/>
      <c r="VAI23" s="3507"/>
      <c r="VAJ23" s="3507"/>
      <c r="VAK23" s="3507"/>
      <c r="VAL23" s="3507"/>
      <c r="VAM23" s="3507"/>
      <c r="VAN23" s="3507"/>
      <c r="VAO23" s="3507"/>
      <c r="VAP23" s="3507"/>
      <c r="VAQ23" s="3507"/>
      <c r="VAR23" s="3507"/>
      <c r="VAS23" s="3507"/>
      <c r="VAT23" s="3507"/>
      <c r="VAU23" s="3507"/>
      <c r="VAV23" s="3507"/>
      <c r="VAW23" s="3507"/>
      <c r="VAX23" s="3507"/>
      <c r="VAY23" s="3507"/>
      <c r="VAZ23" s="3507"/>
      <c r="VBA23" s="3507"/>
      <c r="VBB23" s="3507"/>
      <c r="VBC23" s="3507"/>
      <c r="VBD23" s="3507"/>
      <c r="VBE23" s="3507"/>
      <c r="VBF23" s="3507"/>
      <c r="VBG23" s="3507"/>
      <c r="VBH23" s="3507"/>
      <c r="VBI23" s="3507"/>
      <c r="VBJ23" s="3507"/>
      <c r="VBK23" s="3507"/>
      <c r="VBL23" s="3507"/>
      <c r="VBM23" s="3507"/>
      <c r="VBN23" s="3507"/>
      <c r="VBO23" s="3507"/>
      <c r="VBP23" s="3507"/>
      <c r="VBQ23" s="3507"/>
      <c r="VBR23" s="3507"/>
      <c r="VBS23" s="3507"/>
      <c r="VBT23" s="3507"/>
      <c r="VBU23" s="3507"/>
      <c r="VBV23" s="3507"/>
      <c r="VBW23" s="3507"/>
      <c r="VBX23" s="3507"/>
      <c r="VBY23" s="3507"/>
      <c r="VBZ23" s="3507"/>
      <c r="VCA23" s="3507"/>
      <c r="VCB23" s="3507"/>
      <c r="VCC23" s="3507"/>
      <c r="VCD23" s="3507"/>
      <c r="VCE23" s="3507"/>
      <c r="VCF23" s="3507"/>
      <c r="VCG23" s="3507"/>
      <c r="VCH23" s="3507"/>
      <c r="VCI23" s="3507"/>
      <c r="VCJ23" s="3507"/>
      <c r="VCK23" s="3507"/>
      <c r="VCL23" s="3507"/>
      <c r="VCM23" s="3507"/>
      <c r="VCN23" s="3507"/>
      <c r="VCO23" s="3507"/>
      <c r="VCP23" s="3507"/>
      <c r="VCQ23" s="3507"/>
      <c r="VCR23" s="3507"/>
      <c r="VCS23" s="3507"/>
      <c r="VCT23" s="3507"/>
      <c r="VCU23" s="3507"/>
      <c r="VCV23" s="3507"/>
      <c r="VCW23" s="3507"/>
      <c r="VCX23" s="3507"/>
      <c r="VCY23" s="3507"/>
      <c r="VCZ23" s="3507"/>
      <c r="VDA23" s="3507"/>
      <c r="VDB23" s="3507"/>
      <c r="VDC23" s="3507"/>
      <c r="VDD23" s="3507"/>
      <c r="VDE23" s="3507"/>
      <c r="VDF23" s="3507"/>
      <c r="VDG23" s="3507"/>
      <c r="VDH23" s="3507"/>
      <c r="VDI23" s="3507"/>
      <c r="VDJ23" s="3507"/>
      <c r="VDK23" s="3507"/>
      <c r="VDL23" s="3507"/>
      <c r="VDM23" s="3507"/>
      <c r="VDN23" s="3507"/>
      <c r="VDO23" s="3507"/>
      <c r="VDP23" s="3507"/>
      <c r="VDQ23" s="3507"/>
      <c r="VDR23" s="3507"/>
      <c r="VDS23" s="3507"/>
      <c r="VDT23" s="3507"/>
      <c r="VDU23" s="3507"/>
      <c r="VDV23" s="3507"/>
      <c r="VDW23" s="3507"/>
      <c r="VDX23" s="3507"/>
      <c r="VDY23" s="3507"/>
      <c r="VDZ23" s="3507"/>
      <c r="VEA23" s="3507"/>
      <c r="VEB23" s="3507"/>
      <c r="VEC23" s="3507"/>
      <c r="VED23" s="3507"/>
      <c r="VEE23" s="3507"/>
      <c r="VEF23" s="3507"/>
      <c r="VEG23" s="3507"/>
      <c r="VEH23" s="3507"/>
      <c r="VEI23" s="3507"/>
      <c r="VEJ23" s="3507"/>
      <c r="VEK23" s="3507"/>
      <c r="VEL23" s="3507"/>
      <c r="VEM23" s="3507"/>
      <c r="VEN23" s="3507"/>
      <c r="VEO23" s="3507"/>
      <c r="VEP23" s="3507"/>
      <c r="VEQ23" s="3507"/>
      <c r="VER23" s="3507"/>
      <c r="VES23" s="3507"/>
      <c r="VET23" s="3507"/>
      <c r="VEU23" s="3507"/>
      <c r="VEV23" s="3507"/>
      <c r="VEW23" s="3507"/>
      <c r="VEX23" s="3507"/>
      <c r="VEY23" s="3507"/>
      <c r="VEZ23" s="3507"/>
      <c r="VFA23" s="3507"/>
      <c r="VFB23" s="3507"/>
      <c r="VFC23" s="3507"/>
      <c r="VFD23" s="3507"/>
      <c r="VFE23" s="3507"/>
      <c r="VFF23" s="3507"/>
      <c r="VFG23" s="3507"/>
      <c r="VFH23" s="3507"/>
      <c r="VFI23" s="3507"/>
      <c r="VFJ23" s="3507"/>
      <c r="VFK23" s="3507"/>
      <c r="VFL23" s="3507"/>
      <c r="VFM23" s="3507"/>
      <c r="VFN23" s="3507"/>
      <c r="VFO23" s="3507"/>
      <c r="VFP23" s="3507"/>
      <c r="VFQ23" s="3507"/>
      <c r="VFR23" s="3507"/>
      <c r="VFS23" s="3507"/>
      <c r="VFT23" s="3507"/>
      <c r="VFU23" s="3507"/>
      <c r="VFV23" s="3507"/>
      <c r="VFW23" s="3507"/>
      <c r="VFX23" s="3507"/>
      <c r="VFY23" s="3507"/>
      <c r="VFZ23" s="3507"/>
      <c r="VGA23" s="3507"/>
      <c r="VGB23" s="3507"/>
      <c r="VGC23" s="3507"/>
      <c r="VGD23" s="3507"/>
      <c r="VGE23" s="3507"/>
      <c r="VGF23" s="3507"/>
      <c r="VGG23" s="3507"/>
      <c r="VGH23" s="3507"/>
      <c r="VGI23" s="3507"/>
      <c r="VGJ23" s="3507"/>
      <c r="VGK23" s="3507"/>
      <c r="VGL23" s="3507"/>
      <c r="VGM23" s="3507"/>
      <c r="VGN23" s="3507"/>
      <c r="VGO23" s="3507"/>
      <c r="VGP23" s="3507"/>
      <c r="VGQ23" s="3507"/>
      <c r="VGR23" s="3507"/>
      <c r="VGS23" s="3507"/>
      <c r="VGT23" s="3507"/>
      <c r="VGU23" s="3507"/>
      <c r="VGV23" s="3507"/>
      <c r="VGW23" s="3507"/>
      <c r="VGX23" s="3507"/>
      <c r="VGY23" s="3507"/>
      <c r="VGZ23" s="3507"/>
      <c r="VHA23" s="3507"/>
      <c r="VHB23" s="3507"/>
      <c r="VHC23" s="3507"/>
      <c r="VHD23" s="3507"/>
      <c r="VHE23" s="3507"/>
      <c r="VHF23" s="3507"/>
      <c r="VHG23" s="3507"/>
      <c r="VHH23" s="3507"/>
      <c r="VHI23" s="3507"/>
      <c r="VHJ23" s="3507"/>
      <c r="VHK23" s="3507"/>
      <c r="VHL23" s="3507"/>
      <c r="VHM23" s="3507"/>
      <c r="VHN23" s="3507"/>
      <c r="VHO23" s="3507"/>
      <c r="VHP23" s="3507"/>
      <c r="VHQ23" s="3507"/>
      <c r="VHR23" s="3507"/>
      <c r="VHS23" s="3507"/>
      <c r="VHT23" s="3507"/>
      <c r="VHU23" s="3507"/>
      <c r="VHV23" s="3507"/>
      <c r="VHW23" s="3507"/>
      <c r="VHX23" s="3507"/>
      <c r="VHY23" s="3507"/>
      <c r="VHZ23" s="3507"/>
      <c r="VIA23" s="3507"/>
      <c r="VIB23" s="3507"/>
      <c r="VIC23" s="3507"/>
      <c r="VID23" s="3507"/>
      <c r="VIE23" s="3507"/>
      <c r="VIF23" s="3507"/>
      <c r="VIG23" s="3507"/>
      <c r="VIH23" s="3507"/>
      <c r="VII23" s="3507"/>
      <c r="VIJ23" s="3507"/>
      <c r="VIK23" s="3507"/>
      <c r="VIL23" s="3507"/>
      <c r="VIM23" s="3507"/>
      <c r="VIN23" s="3507"/>
      <c r="VIO23" s="3507"/>
      <c r="VIP23" s="3507"/>
      <c r="VIQ23" s="3507"/>
      <c r="VIR23" s="3507"/>
      <c r="VIS23" s="3507"/>
      <c r="VIT23" s="3507"/>
      <c r="VIU23" s="3507"/>
      <c r="VIV23" s="3507"/>
      <c r="VIW23" s="3507"/>
      <c r="VIX23" s="3507"/>
      <c r="VIY23" s="3507"/>
      <c r="VIZ23" s="3507"/>
      <c r="VJA23" s="3507"/>
      <c r="VJB23" s="3507"/>
      <c r="VJC23" s="3507"/>
      <c r="VJD23" s="3507"/>
      <c r="VJE23" s="3507"/>
      <c r="VJF23" s="3507"/>
      <c r="VJG23" s="3507"/>
      <c r="VJH23" s="3507"/>
      <c r="VJI23" s="3507"/>
      <c r="VJJ23" s="3507"/>
      <c r="VJK23" s="3507"/>
      <c r="VJL23" s="3507"/>
      <c r="VJM23" s="3507"/>
      <c r="VJN23" s="3507"/>
      <c r="VJO23" s="3507"/>
      <c r="VJP23" s="3507"/>
      <c r="VJQ23" s="3507"/>
      <c r="VJR23" s="3507"/>
      <c r="VJS23" s="3507"/>
      <c r="VJT23" s="3507"/>
      <c r="VJU23" s="3507"/>
      <c r="VJV23" s="3507"/>
      <c r="VJW23" s="3507"/>
      <c r="VJX23" s="3507"/>
      <c r="VJY23" s="3507"/>
      <c r="VJZ23" s="3507"/>
      <c r="VKA23" s="3507"/>
      <c r="VKB23" s="3507"/>
      <c r="VKC23" s="3507"/>
      <c r="VKD23" s="3507"/>
      <c r="VKE23" s="3507"/>
      <c r="VKF23" s="3507"/>
      <c r="VKG23" s="3507"/>
      <c r="VKH23" s="3507"/>
      <c r="VKI23" s="3507"/>
      <c r="VKJ23" s="3507"/>
      <c r="VKK23" s="3507"/>
      <c r="VKL23" s="3507"/>
      <c r="VKM23" s="3507"/>
      <c r="VKN23" s="3507"/>
      <c r="VKO23" s="3507"/>
      <c r="VKP23" s="3507"/>
      <c r="VKQ23" s="3507"/>
      <c r="VKR23" s="3507"/>
      <c r="VKS23" s="3507"/>
      <c r="VKT23" s="3507"/>
      <c r="VKU23" s="3507"/>
      <c r="VKV23" s="3507"/>
      <c r="VKW23" s="3507"/>
      <c r="VKX23" s="3507"/>
      <c r="VKY23" s="3507"/>
      <c r="VKZ23" s="3507"/>
      <c r="VLA23" s="3507"/>
      <c r="VLB23" s="3507"/>
      <c r="VLC23" s="3507"/>
      <c r="VLD23" s="3507"/>
      <c r="VLE23" s="3507"/>
      <c r="VLF23" s="3507"/>
      <c r="VLG23" s="3507"/>
      <c r="VLH23" s="3507"/>
      <c r="VLI23" s="3507"/>
      <c r="VLJ23" s="3507"/>
      <c r="VLK23" s="3507"/>
      <c r="VLL23" s="3507"/>
      <c r="VLM23" s="3507"/>
      <c r="VLN23" s="3507"/>
      <c r="VLO23" s="3507"/>
      <c r="VLP23" s="3507"/>
      <c r="VLQ23" s="3507"/>
      <c r="VLR23" s="3507"/>
      <c r="VLS23" s="3507"/>
      <c r="VLT23" s="3507"/>
      <c r="VLU23" s="3507"/>
      <c r="VLV23" s="3507"/>
      <c r="VLW23" s="3507"/>
      <c r="VLX23" s="3507"/>
      <c r="VLY23" s="3507"/>
      <c r="VLZ23" s="3507"/>
      <c r="VMA23" s="3507"/>
      <c r="VMB23" s="3507"/>
      <c r="VMC23" s="3507"/>
      <c r="VMD23" s="3507"/>
      <c r="VME23" s="3507"/>
      <c r="VMF23" s="3507"/>
      <c r="VMG23" s="3507"/>
      <c r="VMH23" s="3507"/>
      <c r="VMI23" s="3507"/>
      <c r="VMJ23" s="3507"/>
      <c r="VMK23" s="3507"/>
      <c r="VML23" s="3507"/>
      <c r="VMM23" s="3507"/>
      <c r="VMN23" s="3507"/>
      <c r="VMO23" s="3507"/>
      <c r="VMP23" s="3507"/>
      <c r="VMQ23" s="3507"/>
      <c r="VMR23" s="3507"/>
      <c r="VMS23" s="3507"/>
      <c r="VMT23" s="3507"/>
      <c r="VMU23" s="3507"/>
      <c r="VMV23" s="3507"/>
      <c r="VMW23" s="3507"/>
      <c r="VMX23" s="3507"/>
      <c r="VMY23" s="3507"/>
      <c r="VMZ23" s="3507"/>
      <c r="VNA23" s="3507"/>
      <c r="VNB23" s="3507"/>
      <c r="VNC23" s="3507"/>
      <c r="VND23" s="3507"/>
      <c r="VNE23" s="3507"/>
      <c r="VNF23" s="3507"/>
      <c r="VNG23" s="3507"/>
      <c r="VNH23" s="3507"/>
      <c r="VNI23" s="3507"/>
      <c r="VNJ23" s="3507"/>
      <c r="VNK23" s="3507"/>
      <c r="VNL23" s="3507"/>
      <c r="VNM23" s="3507"/>
      <c r="VNN23" s="3507"/>
      <c r="VNO23" s="3507"/>
      <c r="VNP23" s="3507"/>
      <c r="VNQ23" s="3507"/>
      <c r="VNR23" s="3507"/>
      <c r="VNS23" s="3507"/>
      <c r="VNT23" s="3507"/>
      <c r="VNU23" s="3507"/>
      <c r="VNV23" s="3507"/>
      <c r="VNW23" s="3507"/>
      <c r="VNX23" s="3507"/>
      <c r="VNY23" s="3507"/>
      <c r="VNZ23" s="3507"/>
      <c r="VOA23" s="3507"/>
      <c r="VOB23" s="3507"/>
      <c r="VOC23" s="3507"/>
      <c r="VOD23" s="3507"/>
      <c r="VOE23" s="3507"/>
      <c r="VOF23" s="3507"/>
      <c r="VOG23" s="3507"/>
      <c r="VOH23" s="3507"/>
      <c r="VOI23" s="3507"/>
      <c r="VOJ23" s="3507"/>
      <c r="VOK23" s="3507"/>
      <c r="VOL23" s="3507"/>
      <c r="VOM23" s="3507"/>
      <c r="VON23" s="3507"/>
      <c r="VOO23" s="3507"/>
      <c r="VOP23" s="3507"/>
      <c r="VOQ23" s="3507"/>
      <c r="VOR23" s="3507"/>
      <c r="VOS23" s="3507"/>
      <c r="VOT23" s="3507"/>
      <c r="VOU23" s="3507"/>
      <c r="VOV23" s="3507"/>
      <c r="VOW23" s="3507"/>
      <c r="VOX23" s="3507"/>
      <c r="VOY23" s="3507"/>
      <c r="VOZ23" s="3507"/>
      <c r="VPA23" s="3507"/>
      <c r="VPB23" s="3507"/>
      <c r="VPC23" s="3507"/>
      <c r="VPD23" s="3507"/>
      <c r="VPE23" s="3507"/>
      <c r="VPF23" s="3507"/>
      <c r="VPG23" s="3507"/>
      <c r="VPH23" s="3507"/>
      <c r="VPI23" s="3507"/>
      <c r="VPJ23" s="3507"/>
      <c r="VPK23" s="3507"/>
      <c r="VPL23" s="3507"/>
      <c r="VPM23" s="3507"/>
      <c r="VPN23" s="3507"/>
      <c r="VPO23" s="3507"/>
      <c r="VPP23" s="3507"/>
      <c r="VPQ23" s="3507"/>
      <c r="VPR23" s="3507"/>
      <c r="VPS23" s="3507"/>
      <c r="VPT23" s="3507"/>
      <c r="VPU23" s="3507"/>
      <c r="VPV23" s="3507"/>
      <c r="VPW23" s="3507"/>
      <c r="VPX23" s="3507"/>
      <c r="VPY23" s="3507"/>
      <c r="VPZ23" s="3507"/>
      <c r="VQA23" s="3507"/>
      <c r="VQB23" s="3507"/>
      <c r="VQC23" s="3507"/>
      <c r="VQD23" s="3507"/>
      <c r="VQE23" s="3507"/>
      <c r="VQF23" s="3507"/>
      <c r="VQG23" s="3507"/>
      <c r="VQH23" s="3507"/>
      <c r="VQI23" s="3507"/>
      <c r="VQJ23" s="3507"/>
      <c r="VQK23" s="3507"/>
      <c r="VQL23" s="3507"/>
      <c r="VQM23" s="3507"/>
      <c r="VQN23" s="3507"/>
      <c r="VQO23" s="3507"/>
      <c r="VQP23" s="3507"/>
      <c r="VQQ23" s="3507"/>
      <c r="VQR23" s="3507"/>
      <c r="VQS23" s="3507"/>
      <c r="VQT23" s="3507"/>
      <c r="VQU23" s="3507"/>
      <c r="VQV23" s="3507"/>
      <c r="VQW23" s="3507"/>
      <c r="VQX23" s="3507"/>
      <c r="VQY23" s="3507"/>
      <c r="VQZ23" s="3507"/>
      <c r="VRA23" s="3507"/>
      <c r="VRB23" s="3507"/>
      <c r="VRC23" s="3507"/>
      <c r="VRD23" s="3507"/>
      <c r="VRE23" s="3507"/>
      <c r="VRF23" s="3507"/>
      <c r="VRG23" s="3507"/>
      <c r="VRH23" s="3507"/>
      <c r="VRI23" s="3507"/>
      <c r="VRJ23" s="3507"/>
      <c r="VRK23" s="3507"/>
      <c r="VRL23" s="3507"/>
      <c r="VRM23" s="3507"/>
      <c r="VRN23" s="3507"/>
      <c r="VRO23" s="3507"/>
      <c r="VRP23" s="3507"/>
      <c r="VRQ23" s="3507"/>
      <c r="VRR23" s="3507"/>
      <c r="VRS23" s="3507"/>
      <c r="VRT23" s="3507"/>
      <c r="VRU23" s="3507"/>
      <c r="VRV23" s="3507"/>
      <c r="VRW23" s="3507"/>
      <c r="VRX23" s="3507"/>
      <c r="VRY23" s="3507"/>
      <c r="VRZ23" s="3507"/>
      <c r="VSA23" s="3507"/>
      <c r="VSB23" s="3507"/>
      <c r="VSC23" s="3507"/>
      <c r="VSD23" s="3507"/>
      <c r="VSE23" s="3507"/>
      <c r="VSF23" s="3507"/>
      <c r="VSG23" s="3507"/>
      <c r="VSH23" s="3507"/>
      <c r="VSI23" s="3507"/>
      <c r="VSJ23" s="3507"/>
      <c r="VSK23" s="3507"/>
      <c r="VSL23" s="3507"/>
      <c r="VSM23" s="3507"/>
      <c r="VSN23" s="3507"/>
      <c r="VSO23" s="3507"/>
      <c r="VSP23" s="3507"/>
      <c r="VSQ23" s="3507"/>
      <c r="VSR23" s="3507"/>
      <c r="VSS23" s="3507"/>
      <c r="VST23" s="3507"/>
      <c r="VSU23" s="3507"/>
      <c r="VSV23" s="3507"/>
      <c r="VSW23" s="3507"/>
      <c r="VSX23" s="3507"/>
      <c r="VSY23" s="3507"/>
      <c r="VSZ23" s="3507"/>
      <c r="VTA23" s="3507"/>
      <c r="VTB23" s="3507"/>
      <c r="VTC23" s="3507"/>
      <c r="VTD23" s="3507"/>
      <c r="VTE23" s="3507"/>
      <c r="VTF23" s="3507"/>
      <c r="VTG23" s="3507"/>
      <c r="VTH23" s="3507"/>
      <c r="VTI23" s="3507"/>
      <c r="VTJ23" s="3507"/>
      <c r="VTK23" s="3507"/>
      <c r="VTL23" s="3507"/>
      <c r="VTM23" s="3507"/>
      <c r="VTN23" s="3507"/>
      <c r="VTO23" s="3507"/>
      <c r="VTP23" s="3507"/>
      <c r="VTQ23" s="3507"/>
      <c r="VTR23" s="3507"/>
      <c r="VTS23" s="3507"/>
      <c r="VTT23" s="3507"/>
      <c r="VTU23" s="3507"/>
      <c r="VTV23" s="3507"/>
      <c r="VTW23" s="3507"/>
      <c r="VTX23" s="3507"/>
      <c r="VTY23" s="3507"/>
      <c r="VTZ23" s="3507"/>
      <c r="VUA23" s="3507"/>
      <c r="VUB23" s="3507"/>
      <c r="VUC23" s="3507"/>
      <c r="VUD23" s="3507"/>
      <c r="VUE23" s="3507"/>
      <c r="VUF23" s="3507"/>
      <c r="VUG23" s="3507"/>
      <c r="VUH23" s="3507"/>
      <c r="VUI23" s="3507"/>
      <c r="VUJ23" s="3507"/>
      <c r="VUK23" s="3507"/>
      <c r="VUL23" s="3507"/>
      <c r="VUM23" s="3507"/>
      <c r="VUN23" s="3507"/>
      <c r="VUO23" s="3507"/>
      <c r="VUP23" s="3507"/>
      <c r="VUQ23" s="3507"/>
      <c r="VUR23" s="3507"/>
      <c r="VUS23" s="3507"/>
      <c r="VUT23" s="3507"/>
      <c r="VUU23" s="3507"/>
      <c r="VUV23" s="3507"/>
      <c r="VUW23" s="3507"/>
      <c r="VUX23" s="3507"/>
      <c r="VUY23" s="3507"/>
      <c r="VUZ23" s="3507"/>
      <c r="VVA23" s="3507"/>
      <c r="VVB23" s="3507"/>
      <c r="VVC23" s="3507"/>
      <c r="VVD23" s="3507"/>
      <c r="VVE23" s="3507"/>
      <c r="VVF23" s="3507"/>
      <c r="VVG23" s="3507"/>
      <c r="VVH23" s="3507"/>
      <c r="VVI23" s="3507"/>
      <c r="VVJ23" s="3507"/>
      <c r="VVK23" s="3507"/>
      <c r="VVL23" s="3507"/>
      <c r="VVM23" s="3507"/>
      <c r="VVN23" s="3507"/>
      <c r="VVO23" s="3507"/>
      <c r="VVP23" s="3507"/>
      <c r="VVQ23" s="3507"/>
      <c r="VVR23" s="3507"/>
      <c r="VVS23" s="3507"/>
      <c r="VVT23" s="3507"/>
      <c r="VVU23" s="3507"/>
      <c r="VVV23" s="3507"/>
      <c r="VVW23" s="3507"/>
      <c r="VVX23" s="3507"/>
      <c r="VVY23" s="3507"/>
      <c r="VVZ23" s="3507"/>
      <c r="VWA23" s="3507"/>
      <c r="VWB23" s="3507"/>
      <c r="VWC23" s="3507"/>
      <c r="VWD23" s="3507"/>
      <c r="VWE23" s="3507"/>
      <c r="VWF23" s="3507"/>
      <c r="VWG23" s="3507"/>
      <c r="VWH23" s="3507"/>
      <c r="VWI23" s="3507"/>
      <c r="VWJ23" s="3507"/>
      <c r="VWK23" s="3507"/>
      <c r="VWL23" s="3507"/>
      <c r="VWM23" s="3507"/>
      <c r="VWN23" s="3507"/>
      <c r="VWO23" s="3507"/>
      <c r="VWP23" s="3507"/>
      <c r="VWQ23" s="3507"/>
      <c r="VWR23" s="3507"/>
      <c r="VWS23" s="3507"/>
      <c r="VWT23" s="3507"/>
      <c r="VWU23" s="3507"/>
      <c r="VWV23" s="3507"/>
      <c r="VWW23" s="3507"/>
      <c r="VWX23" s="3507"/>
      <c r="VWY23" s="3507"/>
      <c r="VWZ23" s="3507"/>
      <c r="VXA23" s="3507"/>
      <c r="VXB23" s="3507"/>
      <c r="VXC23" s="3507"/>
      <c r="VXD23" s="3507"/>
      <c r="VXE23" s="3507"/>
      <c r="VXF23" s="3507"/>
      <c r="VXG23" s="3507"/>
      <c r="VXH23" s="3507"/>
      <c r="VXI23" s="3507"/>
      <c r="VXJ23" s="3507"/>
      <c r="VXK23" s="3507"/>
      <c r="VXL23" s="3507"/>
      <c r="VXM23" s="3507"/>
      <c r="VXN23" s="3507"/>
      <c r="VXO23" s="3507"/>
      <c r="VXP23" s="3507"/>
      <c r="VXQ23" s="3507"/>
      <c r="VXR23" s="3507"/>
      <c r="VXS23" s="3507"/>
      <c r="VXT23" s="3507"/>
      <c r="VXU23" s="3507"/>
      <c r="VXV23" s="3507"/>
      <c r="VXW23" s="3507"/>
      <c r="VXX23" s="3507"/>
      <c r="VXY23" s="3507"/>
      <c r="VXZ23" s="3507"/>
      <c r="VYA23" s="3507"/>
      <c r="VYB23" s="3507"/>
      <c r="VYC23" s="3507"/>
      <c r="VYD23" s="3507"/>
      <c r="VYE23" s="3507"/>
      <c r="VYF23" s="3507"/>
      <c r="VYG23" s="3507"/>
      <c r="VYH23" s="3507"/>
      <c r="VYI23" s="3507"/>
      <c r="VYJ23" s="3507"/>
      <c r="VYK23" s="3507"/>
      <c r="VYL23" s="3507"/>
      <c r="VYM23" s="3507"/>
      <c r="VYN23" s="3507"/>
      <c r="VYO23" s="3507"/>
      <c r="VYP23" s="3507"/>
      <c r="VYQ23" s="3507"/>
      <c r="VYR23" s="3507"/>
      <c r="VYS23" s="3507"/>
      <c r="VYT23" s="3507"/>
      <c r="VYU23" s="3507"/>
      <c r="VYV23" s="3507"/>
      <c r="VYW23" s="3507"/>
      <c r="VYX23" s="3507"/>
      <c r="VYY23" s="3507"/>
      <c r="VYZ23" s="3507"/>
      <c r="VZA23" s="3507"/>
      <c r="VZB23" s="3507"/>
      <c r="VZC23" s="3507"/>
      <c r="VZD23" s="3507"/>
      <c r="VZE23" s="3507"/>
      <c r="VZF23" s="3507"/>
      <c r="VZG23" s="3507"/>
      <c r="VZH23" s="3507"/>
      <c r="VZI23" s="3507"/>
      <c r="VZJ23" s="3507"/>
      <c r="VZK23" s="3507"/>
      <c r="VZL23" s="3507"/>
      <c r="VZM23" s="3507"/>
      <c r="VZN23" s="3507"/>
      <c r="VZO23" s="3507"/>
      <c r="VZP23" s="3507"/>
      <c r="VZQ23" s="3507"/>
      <c r="VZR23" s="3507"/>
      <c r="VZS23" s="3507"/>
      <c r="VZT23" s="3507"/>
      <c r="VZU23" s="3507"/>
      <c r="VZV23" s="3507"/>
      <c r="VZW23" s="3507"/>
      <c r="VZX23" s="3507"/>
      <c r="VZY23" s="3507"/>
      <c r="VZZ23" s="3507"/>
      <c r="WAA23" s="3507"/>
      <c r="WAB23" s="3507"/>
      <c r="WAC23" s="3507"/>
      <c r="WAD23" s="3507"/>
      <c r="WAE23" s="3507"/>
      <c r="WAF23" s="3507"/>
      <c r="WAG23" s="3507"/>
      <c r="WAH23" s="3507"/>
      <c r="WAI23" s="3507"/>
      <c r="WAJ23" s="3507"/>
      <c r="WAK23" s="3507"/>
      <c r="WAL23" s="3507"/>
      <c r="WAM23" s="3507"/>
      <c r="WAN23" s="3507"/>
      <c r="WAO23" s="3507"/>
      <c r="WAP23" s="3507"/>
      <c r="WAQ23" s="3507"/>
      <c r="WAR23" s="3507"/>
      <c r="WAS23" s="3507"/>
      <c r="WAT23" s="3507"/>
      <c r="WAU23" s="3507"/>
      <c r="WAV23" s="3507"/>
      <c r="WAW23" s="3507"/>
      <c r="WAX23" s="3507"/>
      <c r="WAY23" s="3507"/>
      <c r="WAZ23" s="3507"/>
      <c r="WBA23" s="3507"/>
      <c r="WBB23" s="3507"/>
      <c r="WBC23" s="3507"/>
      <c r="WBD23" s="3507"/>
      <c r="WBE23" s="3507"/>
      <c r="WBF23" s="3507"/>
      <c r="WBG23" s="3507"/>
      <c r="WBH23" s="3507"/>
      <c r="WBI23" s="3507"/>
      <c r="WBJ23" s="3507"/>
      <c r="WBK23" s="3507"/>
      <c r="WBL23" s="3507"/>
      <c r="WBM23" s="3507"/>
      <c r="WBN23" s="3507"/>
      <c r="WBO23" s="3507"/>
      <c r="WBP23" s="3507"/>
      <c r="WBQ23" s="3507"/>
      <c r="WBR23" s="3507"/>
      <c r="WBS23" s="3507"/>
      <c r="WBT23" s="3507"/>
      <c r="WBU23" s="3507"/>
      <c r="WBV23" s="3507"/>
      <c r="WBW23" s="3507"/>
      <c r="WBX23" s="3507"/>
      <c r="WBY23" s="3507"/>
      <c r="WBZ23" s="3507"/>
      <c r="WCA23" s="3507"/>
      <c r="WCB23" s="3507"/>
      <c r="WCC23" s="3507"/>
      <c r="WCD23" s="3507"/>
      <c r="WCE23" s="3507"/>
      <c r="WCF23" s="3507"/>
      <c r="WCG23" s="3507"/>
      <c r="WCH23" s="3507"/>
      <c r="WCI23" s="3507"/>
      <c r="WCJ23" s="3507"/>
      <c r="WCK23" s="3507"/>
      <c r="WCL23" s="3507"/>
      <c r="WCM23" s="3507"/>
      <c r="WCN23" s="3507"/>
      <c r="WCO23" s="3507"/>
      <c r="WCP23" s="3507"/>
      <c r="WCQ23" s="3507"/>
      <c r="WCR23" s="3507"/>
      <c r="WCS23" s="3507"/>
      <c r="WCT23" s="3507"/>
      <c r="WCU23" s="3507"/>
      <c r="WCV23" s="3507"/>
      <c r="WCW23" s="3507"/>
      <c r="WCX23" s="3507"/>
      <c r="WCY23" s="3507"/>
      <c r="WCZ23" s="3507"/>
      <c r="WDA23" s="3507"/>
      <c r="WDB23" s="3507"/>
      <c r="WDC23" s="3507"/>
      <c r="WDD23" s="3507"/>
      <c r="WDE23" s="3507"/>
      <c r="WDF23" s="3507"/>
      <c r="WDG23" s="3507"/>
      <c r="WDH23" s="3507"/>
      <c r="WDI23" s="3507"/>
      <c r="WDJ23" s="3507"/>
      <c r="WDK23" s="3507"/>
      <c r="WDL23" s="3507"/>
      <c r="WDM23" s="3507"/>
      <c r="WDN23" s="3507"/>
      <c r="WDO23" s="3507"/>
      <c r="WDP23" s="3507"/>
      <c r="WDQ23" s="3507"/>
      <c r="WDR23" s="3507"/>
      <c r="WDS23" s="3507"/>
      <c r="WDT23" s="3507"/>
      <c r="WDU23" s="3507"/>
      <c r="WDV23" s="3507"/>
      <c r="WDW23" s="3507"/>
      <c r="WDX23" s="3507"/>
      <c r="WDY23" s="3507"/>
      <c r="WDZ23" s="3507"/>
      <c r="WEA23" s="3507"/>
      <c r="WEB23" s="3507"/>
      <c r="WEC23" s="3507"/>
      <c r="WED23" s="3507"/>
      <c r="WEE23" s="3507"/>
      <c r="WEF23" s="3507"/>
      <c r="WEG23" s="3507"/>
      <c r="WEH23" s="3507"/>
      <c r="WEI23" s="3507"/>
      <c r="WEJ23" s="3507"/>
      <c r="WEK23" s="3507"/>
      <c r="WEL23" s="3507"/>
      <c r="WEM23" s="3507"/>
      <c r="WEN23" s="3507"/>
      <c r="WEO23" s="3507"/>
      <c r="WEP23" s="3507"/>
      <c r="WEQ23" s="3507"/>
      <c r="WER23" s="3507"/>
      <c r="WES23" s="3507"/>
      <c r="WET23" s="3507"/>
      <c r="WEU23" s="3507"/>
      <c r="WEV23" s="3507"/>
      <c r="WEW23" s="3507"/>
      <c r="WEX23" s="3507"/>
      <c r="WEY23" s="3507"/>
      <c r="WEZ23" s="3507"/>
      <c r="WFA23" s="3507"/>
      <c r="WFB23" s="3507"/>
      <c r="WFC23" s="3507"/>
      <c r="WFD23" s="3507"/>
      <c r="WFE23" s="3507"/>
      <c r="WFF23" s="3507"/>
      <c r="WFG23" s="3507"/>
      <c r="WFH23" s="3507"/>
      <c r="WFI23" s="3507"/>
      <c r="WFJ23" s="3507"/>
      <c r="WFK23" s="3507"/>
      <c r="WFL23" s="3507"/>
      <c r="WFM23" s="3507"/>
      <c r="WFN23" s="3507"/>
      <c r="WFO23" s="3507"/>
      <c r="WFP23" s="3507"/>
      <c r="WFQ23" s="3507"/>
      <c r="WFR23" s="3507"/>
      <c r="WFS23" s="3507"/>
      <c r="WFT23" s="3507"/>
      <c r="WFU23" s="3507"/>
      <c r="WFV23" s="3507"/>
      <c r="WFW23" s="3507"/>
      <c r="WFX23" s="3507"/>
      <c r="WFY23" s="3507"/>
      <c r="WFZ23" s="3507"/>
      <c r="WGA23" s="3507"/>
      <c r="WGB23" s="3507"/>
      <c r="WGC23" s="3507"/>
      <c r="WGD23" s="3507"/>
      <c r="WGE23" s="3507"/>
      <c r="WGF23" s="3507"/>
      <c r="WGG23" s="3507"/>
      <c r="WGH23" s="3507"/>
      <c r="WGI23" s="3507"/>
      <c r="WGJ23" s="3507"/>
      <c r="WGK23" s="3507"/>
      <c r="WGL23" s="3507"/>
      <c r="WGM23" s="3507"/>
      <c r="WGN23" s="3507"/>
      <c r="WGO23" s="3507"/>
      <c r="WGP23" s="3507"/>
      <c r="WGQ23" s="3507"/>
      <c r="WGR23" s="3507"/>
      <c r="WGS23" s="3507"/>
      <c r="WGT23" s="3507"/>
      <c r="WGU23" s="3507"/>
      <c r="WGV23" s="3507"/>
      <c r="WGW23" s="3507"/>
      <c r="WGX23" s="3507"/>
      <c r="WGY23" s="3507"/>
      <c r="WGZ23" s="3507"/>
      <c r="WHA23" s="3507"/>
      <c r="WHB23" s="3507"/>
      <c r="WHC23" s="3507"/>
      <c r="WHD23" s="3507"/>
      <c r="WHE23" s="3507"/>
      <c r="WHF23" s="3507"/>
      <c r="WHG23" s="3507"/>
      <c r="WHH23" s="3507"/>
      <c r="WHI23" s="3507"/>
      <c r="WHJ23" s="3507"/>
      <c r="WHK23" s="3507"/>
      <c r="WHL23" s="3507"/>
      <c r="WHM23" s="3507"/>
      <c r="WHN23" s="3507"/>
      <c r="WHO23" s="3507"/>
      <c r="WHP23" s="3507"/>
      <c r="WHQ23" s="3507"/>
      <c r="WHR23" s="3507"/>
      <c r="WHS23" s="3507"/>
      <c r="WHT23" s="3507"/>
      <c r="WHU23" s="3507"/>
      <c r="WHV23" s="3507"/>
      <c r="WHW23" s="3507"/>
      <c r="WHX23" s="3507"/>
      <c r="WHY23" s="3507"/>
      <c r="WHZ23" s="3507"/>
      <c r="WIA23" s="3507"/>
      <c r="WIB23" s="3507"/>
      <c r="WIC23" s="3507"/>
      <c r="WID23" s="3507"/>
      <c r="WIE23" s="3507"/>
      <c r="WIF23" s="3507"/>
      <c r="WIG23" s="3507"/>
      <c r="WIH23" s="3507"/>
      <c r="WII23" s="3507"/>
      <c r="WIJ23" s="3507"/>
      <c r="WIK23" s="3507"/>
      <c r="WIL23" s="3507"/>
      <c r="WIM23" s="3507"/>
      <c r="WIN23" s="3507"/>
      <c r="WIO23" s="3507"/>
      <c r="WIP23" s="3507"/>
      <c r="WIQ23" s="3507"/>
      <c r="WIR23" s="3507"/>
      <c r="WIS23" s="3507"/>
      <c r="WIT23" s="3507"/>
      <c r="WIU23" s="3507"/>
      <c r="WIV23" s="3507"/>
      <c r="WIW23" s="3507"/>
      <c r="WIX23" s="3507"/>
      <c r="WIY23" s="3507"/>
      <c r="WIZ23" s="3507"/>
      <c r="WJA23" s="3507"/>
      <c r="WJB23" s="3507"/>
      <c r="WJC23" s="3507"/>
      <c r="WJD23" s="3507"/>
      <c r="WJE23" s="3507"/>
      <c r="WJF23" s="3507"/>
      <c r="WJG23" s="3507"/>
      <c r="WJH23" s="3507"/>
      <c r="WJI23" s="3507"/>
      <c r="WJJ23" s="3507"/>
      <c r="WJK23" s="3507"/>
      <c r="WJL23" s="3507"/>
      <c r="WJM23" s="3507"/>
      <c r="WJN23" s="3507"/>
      <c r="WJO23" s="3507"/>
      <c r="WJP23" s="3507"/>
      <c r="WJQ23" s="3507"/>
      <c r="WJR23" s="3507"/>
      <c r="WJS23" s="3507"/>
      <c r="WJT23" s="3507"/>
      <c r="WJU23" s="3507"/>
      <c r="WJV23" s="3507"/>
      <c r="WJW23" s="3507"/>
      <c r="WJX23" s="3507"/>
      <c r="WJY23" s="3507"/>
      <c r="WJZ23" s="3507"/>
      <c r="WKA23" s="3507"/>
      <c r="WKB23" s="3507"/>
      <c r="WKC23" s="3507"/>
      <c r="WKD23" s="3507"/>
      <c r="WKE23" s="3507"/>
      <c r="WKF23" s="3507"/>
      <c r="WKG23" s="3507"/>
      <c r="WKH23" s="3507"/>
      <c r="WKI23" s="3507"/>
      <c r="WKJ23" s="3507"/>
      <c r="WKK23" s="3507"/>
      <c r="WKL23" s="3507"/>
      <c r="WKM23" s="3507"/>
      <c r="WKN23" s="3507"/>
      <c r="WKO23" s="3507"/>
      <c r="WKP23" s="3507"/>
      <c r="WKQ23" s="3507"/>
      <c r="WKR23" s="3507"/>
      <c r="WKS23" s="3507"/>
      <c r="WKT23" s="3507"/>
      <c r="WKU23" s="3507"/>
      <c r="WKV23" s="3507"/>
      <c r="WKW23" s="3507"/>
      <c r="WKX23" s="3507"/>
      <c r="WKY23" s="3507"/>
      <c r="WKZ23" s="3507"/>
      <c r="WLA23" s="3507"/>
      <c r="WLB23" s="3507"/>
      <c r="WLC23" s="3507"/>
      <c r="WLD23" s="3507"/>
      <c r="WLE23" s="3507"/>
      <c r="WLF23" s="3507"/>
      <c r="WLG23" s="3507"/>
      <c r="WLH23" s="3507"/>
      <c r="WLI23" s="3507"/>
      <c r="WLJ23" s="3507"/>
      <c r="WLK23" s="3507"/>
      <c r="WLL23" s="3507"/>
      <c r="WLM23" s="3507"/>
      <c r="WLN23" s="3507"/>
      <c r="WLO23" s="3507"/>
      <c r="WLP23" s="3507"/>
      <c r="WLQ23" s="3507"/>
      <c r="WLR23" s="3507"/>
      <c r="WLS23" s="3507"/>
      <c r="WLT23" s="3507"/>
      <c r="WLU23" s="3507"/>
      <c r="WLV23" s="3507"/>
      <c r="WLW23" s="3507"/>
      <c r="WLX23" s="3507"/>
      <c r="WLY23" s="3507"/>
      <c r="WLZ23" s="3507"/>
      <c r="WMA23" s="3507"/>
      <c r="WMB23" s="3507"/>
      <c r="WMC23" s="3507"/>
      <c r="WMD23" s="3507"/>
      <c r="WME23" s="3507"/>
      <c r="WMF23" s="3507"/>
      <c r="WMG23" s="3507"/>
      <c r="WMH23" s="3507"/>
      <c r="WMI23" s="3507"/>
      <c r="WMJ23" s="3507"/>
      <c r="WMK23" s="3507"/>
      <c r="WML23" s="3507"/>
      <c r="WMM23" s="3507"/>
      <c r="WMN23" s="3507"/>
      <c r="WMO23" s="3507"/>
      <c r="WMP23" s="3507"/>
      <c r="WMQ23" s="3507"/>
      <c r="WMR23" s="3507"/>
      <c r="WMS23" s="3507"/>
      <c r="WMT23" s="3507"/>
      <c r="WMU23" s="3507"/>
      <c r="WMV23" s="3507"/>
      <c r="WMW23" s="3507"/>
      <c r="WMX23" s="3507"/>
      <c r="WMY23" s="3507"/>
      <c r="WMZ23" s="3507"/>
      <c r="WNA23" s="3507"/>
      <c r="WNB23" s="3507"/>
      <c r="WNC23" s="3507"/>
      <c r="WND23" s="3507"/>
      <c r="WNE23" s="3507"/>
      <c r="WNF23" s="3507"/>
      <c r="WNG23" s="3507"/>
      <c r="WNH23" s="3507"/>
      <c r="WNI23" s="3507"/>
      <c r="WNJ23" s="3507"/>
      <c r="WNK23" s="3507"/>
      <c r="WNL23" s="3507"/>
      <c r="WNM23" s="3507"/>
      <c r="WNN23" s="3507"/>
      <c r="WNO23" s="3507"/>
      <c r="WNP23" s="3507"/>
      <c r="WNQ23" s="3507"/>
      <c r="WNR23" s="3507"/>
      <c r="WNS23" s="3507"/>
      <c r="WNT23" s="3507"/>
      <c r="WNU23" s="3507"/>
      <c r="WNV23" s="3507"/>
      <c r="WNW23" s="3507"/>
      <c r="WNX23" s="3507"/>
      <c r="WNY23" s="3507"/>
      <c r="WNZ23" s="3507"/>
      <c r="WOA23" s="3507"/>
      <c r="WOB23" s="3507"/>
      <c r="WOC23" s="3507"/>
      <c r="WOD23" s="3507"/>
      <c r="WOE23" s="3507"/>
      <c r="WOF23" s="3507"/>
      <c r="WOG23" s="3507"/>
      <c r="WOH23" s="3507"/>
      <c r="WOI23" s="3507"/>
      <c r="WOJ23" s="3507"/>
      <c r="WOK23" s="3507"/>
      <c r="WOL23" s="3507"/>
      <c r="WOM23" s="3507"/>
      <c r="WON23" s="3507"/>
      <c r="WOO23" s="3507"/>
      <c r="WOP23" s="3507"/>
      <c r="WOQ23" s="3507"/>
      <c r="WOR23" s="3507"/>
      <c r="WOS23" s="3507"/>
      <c r="WOT23" s="3507"/>
      <c r="WOU23" s="3507"/>
      <c r="WOV23" s="3507"/>
      <c r="WOW23" s="3507"/>
      <c r="WOX23" s="3507"/>
      <c r="WOY23" s="3507"/>
      <c r="WOZ23" s="3507"/>
      <c r="WPA23" s="3507"/>
      <c r="WPB23" s="3507"/>
      <c r="WPC23" s="3507"/>
      <c r="WPD23" s="3507"/>
      <c r="WPE23" s="3507"/>
      <c r="WPF23" s="3507"/>
      <c r="WPG23" s="3507"/>
      <c r="WPH23" s="3507"/>
      <c r="WPI23" s="3507"/>
      <c r="WPJ23" s="3507"/>
      <c r="WPK23" s="3507"/>
      <c r="WPL23" s="3507"/>
      <c r="WPM23" s="3507"/>
      <c r="WPN23" s="3507"/>
      <c r="WPO23" s="3507"/>
      <c r="WPP23" s="3507"/>
      <c r="WPQ23" s="3507"/>
      <c r="WPR23" s="3507"/>
      <c r="WPS23" s="3507"/>
      <c r="WPT23" s="3507"/>
      <c r="WPU23" s="3507"/>
      <c r="WPV23" s="3507"/>
      <c r="WPW23" s="3507"/>
      <c r="WPX23" s="3507"/>
      <c r="WPY23" s="3507"/>
      <c r="WPZ23" s="3507"/>
      <c r="WQA23" s="3507"/>
      <c r="WQB23" s="3507"/>
      <c r="WQC23" s="3507"/>
      <c r="WQD23" s="3507"/>
      <c r="WQE23" s="3507"/>
      <c r="WQF23" s="3507"/>
      <c r="WQG23" s="3507"/>
      <c r="WQH23" s="3507"/>
      <c r="WQI23" s="3507"/>
      <c r="WQJ23" s="3507"/>
      <c r="WQK23" s="3507"/>
      <c r="WQL23" s="3507"/>
      <c r="WQM23" s="3507"/>
      <c r="WQN23" s="3507"/>
      <c r="WQO23" s="3507"/>
      <c r="WQP23" s="3507"/>
      <c r="WQQ23" s="3507"/>
      <c r="WQR23" s="3507"/>
      <c r="WQS23" s="3507"/>
      <c r="WQT23" s="3507"/>
      <c r="WQU23" s="3507"/>
      <c r="WQV23" s="3507"/>
      <c r="WQW23" s="3507"/>
      <c r="WQX23" s="3507"/>
      <c r="WQY23" s="3507"/>
      <c r="WQZ23" s="3507"/>
      <c r="WRA23" s="3507"/>
      <c r="WRB23" s="3507"/>
      <c r="WRC23" s="3507"/>
      <c r="WRD23" s="3507"/>
      <c r="WRE23" s="3507"/>
      <c r="WRF23" s="3507"/>
      <c r="WRG23" s="3507"/>
      <c r="WRH23" s="3507"/>
      <c r="WRI23" s="3507"/>
      <c r="WRJ23" s="3507"/>
      <c r="WRK23" s="3507"/>
      <c r="WRL23" s="3507"/>
      <c r="WRM23" s="3507"/>
      <c r="WRN23" s="3507"/>
      <c r="WRO23" s="3507"/>
      <c r="WRP23" s="3507"/>
      <c r="WRQ23" s="3507"/>
      <c r="WRR23" s="3507"/>
      <c r="WRS23" s="3507"/>
      <c r="WRT23" s="3507"/>
      <c r="WRU23" s="3507"/>
      <c r="WRV23" s="3507"/>
      <c r="WRW23" s="3507"/>
      <c r="WRX23" s="3507"/>
      <c r="WRY23" s="3507"/>
      <c r="WRZ23" s="3507"/>
      <c r="WSA23" s="3507"/>
      <c r="WSB23" s="3507"/>
      <c r="WSC23" s="3507"/>
      <c r="WSD23" s="3507"/>
      <c r="WSE23" s="3507"/>
      <c r="WSF23" s="3507"/>
      <c r="WSG23" s="3507"/>
      <c r="WSH23" s="3507"/>
      <c r="WSI23" s="3507"/>
      <c r="WSJ23" s="3507"/>
      <c r="WSK23" s="3507"/>
      <c r="WSL23" s="3507"/>
      <c r="WSM23" s="3507"/>
      <c r="WSN23" s="3507"/>
      <c r="WSO23" s="3507"/>
      <c r="WSP23" s="3507"/>
      <c r="WSQ23" s="3507"/>
      <c r="WSR23" s="3507"/>
      <c r="WSS23" s="3507"/>
      <c r="WST23" s="3507"/>
      <c r="WSU23" s="3507"/>
      <c r="WSV23" s="3507"/>
      <c r="WSW23" s="3507"/>
      <c r="WSX23" s="3507"/>
      <c r="WSY23" s="3507"/>
      <c r="WSZ23" s="3507"/>
      <c r="WTA23" s="3507"/>
      <c r="WTB23" s="3507"/>
      <c r="WTC23" s="3507"/>
      <c r="WTD23" s="3507"/>
      <c r="WTE23" s="3507"/>
      <c r="WTF23" s="3507"/>
      <c r="WTG23" s="3507"/>
      <c r="WTH23" s="3507"/>
      <c r="WTI23" s="3507"/>
      <c r="WTJ23" s="3507"/>
      <c r="WTK23" s="3507"/>
      <c r="WTL23" s="3507"/>
      <c r="WTM23" s="3507"/>
      <c r="WTN23" s="3507"/>
      <c r="WTO23" s="3507"/>
      <c r="WTP23" s="3507"/>
      <c r="WTQ23" s="3507"/>
      <c r="WTR23" s="3507"/>
      <c r="WTS23" s="3507"/>
      <c r="WTT23" s="3507"/>
      <c r="WTU23" s="3507"/>
      <c r="WTV23" s="3507"/>
      <c r="WTW23" s="3507"/>
      <c r="WTX23" s="3507"/>
      <c r="WTY23" s="3507"/>
      <c r="WTZ23" s="3507"/>
      <c r="WUA23" s="3507"/>
      <c r="WUB23" s="3507"/>
      <c r="WUC23" s="3507"/>
      <c r="WUD23" s="3507"/>
      <c r="WUE23" s="3507"/>
      <c r="WUF23" s="3507"/>
      <c r="WUG23" s="3507"/>
      <c r="WUH23" s="3507"/>
      <c r="WUI23" s="3507"/>
      <c r="WUJ23" s="3507"/>
      <c r="WUK23" s="3507"/>
      <c r="WUL23" s="3507"/>
      <c r="WUM23" s="3507"/>
      <c r="WUN23" s="3507"/>
      <c r="WUO23" s="3507"/>
      <c r="WUP23" s="3507"/>
      <c r="WUQ23" s="3507"/>
      <c r="WUR23" s="3507"/>
      <c r="WUS23" s="3507"/>
      <c r="WUT23" s="3507"/>
      <c r="WUU23" s="3507"/>
      <c r="WUV23" s="3507"/>
      <c r="WUW23" s="3507"/>
      <c r="WUX23" s="3507"/>
      <c r="WUY23" s="3507"/>
      <c r="WUZ23" s="3507"/>
      <c r="WVA23" s="3507"/>
      <c r="WVB23" s="3507"/>
      <c r="WVC23" s="3507"/>
      <c r="WVD23" s="3507"/>
      <c r="WVE23" s="3507"/>
      <c r="WVF23" s="3507"/>
      <c r="WVG23" s="3507"/>
      <c r="WVH23" s="3507"/>
      <c r="WVI23" s="3507"/>
      <c r="WVJ23" s="3507"/>
      <c r="WVK23" s="3507"/>
      <c r="WVL23" s="3507"/>
      <c r="WVM23" s="3507"/>
      <c r="WVN23" s="3507"/>
      <c r="WVO23" s="3507"/>
      <c r="WVP23" s="3507"/>
      <c r="WVQ23" s="3507"/>
      <c r="WVR23" s="3507"/>
      <c r="WVS23" s="3507"/>
      <c r="WVT23" s="3507"/>
      <c r="WVU23" s="3507"/>
      <c r="WVV23" s="3507"/>
      <c r="WVW23" s="3507"/>
      <c r="WVX23" s="3507"/>
      <c r="WVY23" s="3507"/>
      <c r="WVZ23" s="3507"/>
      <c r="WWA23" s="3507"/>
      <c r="WWB23" s="3507"/>
      <c r="WWC23" s="3507"/>
      <c r="WWD23" s="3507"/>
      <c r="WWE23" s="3507"/>
      <c r="WWF23" s="3507"/>
      <c r="WWG23" s="3507"/>
      <c r="WWH23" s="3507"/>
      <c r="WWI23" s="3507"/>
      <c r="WWJ23" s="3507"/>
      <c r="WWK23" s="3507"/>
      <c r="WWL23" s="3507"/>
      <c r="WWM23" s="3507"/>
      <c r="WWN23" s="3507"/>
      <c r="WWO23" s="3507"/>
      <c r="WWP23" s="3507"/>
      <c r="WWQ23" s="3507"/>
      <c r="WWR23" s="3507"/>
      <c r="WWS23" s="3507"/>
      <c r="WWT23" s="3507"/>
      <c r="WWU23" s="3507"/>
      <c r="WWV23" s="3507"/>
      <c r="WWW23" s="3507"/>
      <c r="WWX23" s="3507"/>
      <c r="WWY23" s="3507"/>
      <c r="WWZ23" s="3507"/>
      <c r="WXA23" s="3507"/>
      <c r="WXB23" s="3507"/>
      <c r="WXC23" s="3507"/>
      <c r="WXD23" s="3507"/>
      <c r="WXE23" s="3507"/>
      <c r="WXF23" s="3507"/>
      <c r="WXG23" s="3507"/>
      <c r="WXH23" s="3507"/>
      <c r="WXI23" s="3507"/>
      <c r="WXJ23" s="3507"/>
      <c r="WXK23" s="3507"/>
      <c r="WXL23" s="3507"/>
      <c r="WXM23" s="3507"/>
      <c r="WXN23" s="3507"/>
      <c r="WXO23" s="3507"/>
      <c r="WXP23" s="3507"/>
      <c r="WXQ23" s="3507"/>
      <c r="WXR23" s="3507"/>
      <c r="WXS23" s="3507"/>
      <c r="WXT23" s="3507"/>
      <c r="WXU23" s="3507"/>
      <c r="WXV23" s="3507"/>
      <c r="WXW23" s="3507"/>
      <c r="WXX23" s="3507"/>
      <c r="WXY23" s="3507"/>
      <c r="WXZ23" s="3507"/>
      <c r="WYA23" s="3507"/>
      <c r="WYB23" s="3507"/>
      <c r="WYC23" s="3507"/>
      <c r="WYD23" s="3507"/>
      <c r="WYE23" s="3507"/>
      <c r="WYF23" s="3507"/>
      <c r="WYG23" s="3507"/>
      <c r="WYH23" s="3507"/>
      <c r="WYI23" s="3507"/>
      <c r="WYJ23" s="3507"/>
      <c r="WYK23" s="3507"/>
      <c r="WYL23" s="3507"/>
      <c r="WYM23" s="3507"/>
      <c r="WYN23" s="3507"/>
      <c r="WYO23" s="3507"/>
      <c r="WYP23" s="3507"/>
      <c r="WYQ23" s="3507"/>
      <c r="WYR23" s="3507"/>
      <c r="WYS23" s="3507"/>
      <c r="WYT23" s="3507"/>
      <c r="WYU23" s="3507"/>
      <c r="WYV23" s="3507"/>
      <c r="WYW23" s="3507"/>
      <c r="WYX23" s="3507"/>
      <c r="WYY23" s="3507"/>
      <c r="WYZ23" s="3507"/>
      <c r="WZA23" s="3507"/>
      <c r="WZB23" s="3507"/>
      <c r="WZC23" s="3507"/>
      <c r="WZD23" s="3507"/>
      <c r="WZE23" s="3507"/>
      <c r="WZF23" s="3507"/>
      <c r="WZG23" s="3507"/>
      <c r="WZH23" s="3507"/>
      <c r="WZI23" s="3507"/>
      <c r="WZJ23" s="3507"/>
      <c r="WZK23" s="3507"/>
      <c r="WZL23" s="3507"/>
      <c r="WZM23" s="3507"/>
      <c r="WZN23" s="3507"/>
      <c r="WZO23" s="3507"/>
      <c r="WZP23" s="3507"/>
      <c r="WZQ23" s="3507"/>
      <c r="WZR23" s="3507"/>
      <c r="WZS23" s="3507"/>
      <c r="WZT23" s="3507"/>
      <c r="WZU23" s="3507"/>
      <c r="WZV23" s="3507"/>
      <c r="WZW23" s="3507"/>
      <c r="WZX23" s="3507"/>
      <c r="WZY23" s="3507"/>
      <c r="WZZ23" s="3507"/>
      <c r="XAA23" s="3507"/>
      <c r="XAB23" s="3507"/>
      <c r="XAC23" s="3507"/>
      <c r="XAD23" s="3507"/>
      <c r="XAE23" s="3507"/>
      <c r="XAF23" s="3507"/>
      <c r="XAG23" s="3507"/>
      <c r="XAH23" s="3507"/>
      <c r="XAI23" s="3507"/>
      <c r="XAJ23" s="3507"/>
      <c r="XAK23" s="3507"/>
      <c r="XAL23" s="3507"/>
      <c r="XAM23" s="3507"/>
      <c r="XAN23" s="3507"/>
      <c r="XAO23" s="3507"/>
      <c r="XAP23" s="3507"/>
      <c r="XAQ23" s="3507"/>
      <c r="XAR23" s="3507"/>
      <c r="XAS23" s="3507"/>
      <c r="XAT23" s="3507"/>
      <c r="XAU23" s="3507"/>
      <c r="XAV23" s="3507"/>
      <c r="XAW23" s="3507"/>
      <c r="XAX23" s="3507"/>
      <c r="XAY23" s="3507"/>
      <c r="XAZ23" s="3507"/>
      <c r="XBA23" s="3507"/>
      <c r="XBB23" s="3507"/>
      <c r="XBC23" s="3507"/>
      <c r="XBD23" s="3507"/>
      <c r="XBE23" s="3507"/>
      <c r="XBF23" s="3507"/>
      <c r="XBG23" s="3507"/>
      <c r="XBH23" s="3507"/>
      <c r="XBI23" s="3507"/>
      <c r="XBJ23" s="3507"/>
      <c r="XBK23" s="3507"/>
      <c r="XBL23" s="3507"/>
      <c r="XBM23" s="3507"/>
      <c r="XBN23" s="3507"/>
      <c r="XBO23" s="3507"/>
      <c r="XBP23" s="3507"/>
      <c r="XBQ23" s="3507"/>
      <c r="XBR23" s="3507"/>
      <c r="XBS23" s="3507"/>
      <c r="XBT23" s="3507"/>
      <c r="XBU23" s="3507"/>
      <c r="XBV23" s="3507"/>
      <c r="XBW23" s="3507"/>
      <c r="XBX23" s="3507"/>
      <c r="XBY23" s="3507"/>
      <c r="XBZ23" s="3507"/>
      <c r="XCA23" s="3507"/>
      <c r="XCB23" s="3507"/>
      <c r="XCC23" s="3507"/>
      <c r="XCD23" s="3507"/>
      <c r="XCE23" s="3507"/>
      <c r="XCF23" s="3507"/>
      <c r="XCG23" s="3507"/>
      <c r="XCH23" s="3507"/>
      <c r="XCI23" s="3507"/>
      <c r="XCJ23" s="3507"/>
      <c r="XCK23" s="3507"/>
      <c r="XCL23" s="3507"/>
      <c r="XCM23" s="3507"/>
      <c r="XCN23" s="3507"/>
      <c r="XCO23" s="3507"/>
      <c r="XCP23" s="3507"/>
      <c r="XCQ23" s="3507"/>
      <c r="XCR23" s="3507"/>
      <c r="XCS23" s="3507"/>
      <c r="XCT23" s="3507"/>
      <c r="XCU23" s="3507"/>
      <c r="XCV23" s="3507"/>
      <c r="XCW23" s="3507"/>
      <c r="XCX23" s="3507"/>
      <c r="XCY23" s="3507"/>
      <c r="XCZ23" s="3507"/>
      <c r="XDA23" s="3507"/>
      <c r="XDB23" s="3507"/>
      <c r="XDC23" s="3507"/>
      <c r="XDD23" s="3507"/>
      <c r="XDE23" s="3507"/>
      <c r="XDF23" s="3507"/>
      <c r="XDG23" s="3507"/>
      <c r="XDH23" s="3507"/>
      <c r="XDI23" s="3507"/>
      <c r="XDJ23" s="3507"/>
      <c r="XDK23" s="3507"/>
      <c r="XDL23" s="3507"/>
      <c r="XDM23" s="3507"/>
      <c r="XDN23" s="3507"/>
      <c r="XDO23" s="3507"/>
      <c r="XDP23" s="3507"/>
      <c r="XDQ23" s="3507"/>
      <c r="XDR23" s="3507"/>
      <c r="XDS23" s="3507"/>
      <c r="XDT23" s="3507"/>
      <c r="XDU23" s="3507"/>
      <c r="XDV23" s="3507"/>
      <c r="XDW23" s="3507"/>
      <c r="XDX23" s="3507"/>
      <c r="XDY23" s="3507"/>
      <c r="XDZ23" s="3507"/>
      <c r="XEA23" s="3507"/>
      <c r="XEB23" s="3507"/>
      <c r="XEC23" s="3507"/>
      <c r="XED23" s="3507"/>
      <c r="XEE23" s="3507"/>
      <c r="XEF23" s="3507"/>
      <c r="XEG23" s="3507"/>
      <c r="XEH23" s="3507"/>
      <c r="XEI23" s="3507"/>
      <c r="XEJ23" s="3507"/>
      <c r="XEK23" s="3507"/>
      <c r="XEL23" s="3507"/>
      <c r="XEM23" s="3507"/>
      <c r="XEN23" s="3507"/>
    </row>
    <row r="24" spans="1:16368" s="3516" customFormat="1" ht="17.100000000000001" customHeight="1">
      <c r="A24" s="3507"/>
      <c r="B24" s="3507"/>
      <c r="C24" s="3507"/>
      <c r="D24" s="3508"/>
      <c r="G24" s="3824"/>
      <c r="H24" s="3517"/>
      <c r="I24" s="3580"/>
      <c r="J24" s="3580"/>
      <c r="K24" s="3507"/>
      <c r="L24" s="3507"/>
      <c r="M24" s="3514"/>
      <c r="N24" s="3514"/>
      <c r="O24" s="3514"/>
      <c r="P24" s="3514"/>
      <c r="Q24" s="3514"/>
      <c r="R24" s="3514"/>
      <c r="S24" s="3514"/>
      <c r="T24" s="3514"/>
      <c r="U24" s="3514"/>
      <c r="V24" s="3514"/>
      <c r="W24" s="3514"/>
      <c r="X24" s="3514"/>
      <c r="Y24" s="3514"/>
      <c r="Z24" s="3514"/>
      <c r="AA24" s="3514"/>
      <c r="AB24" s="3514"/>
      <c r="AC24" s="3514"/>
      <c r="AD24" s="3514"/>
      <c r="AE24" s="3508"/>
      <c r="AF24" s="3508"/>
      <c r="AG24" s="3508"/>
      <c r="AH24" s="3508"/>
      <c r="AI24" s="3508"/>
      <c r="AJ24" s="3508"/>
      <c r="AK24" s="3508"/>
      <c r="AL24" s="3508"/>
      <c r="AM24" s="3508"/>
      <c r="AN24" s="3509"/>
      <c r="AO24" s="3510"/>
      <c r="AP24" s="3510"/>
      <c r="AQ24" s="3510"/>
      <c r="AR24" s="3510"/>
      <c r="AS24" s="3508"/>
      <c r="AT24" s="3508"/>
      <c r="AU24" s="3508"/>
      <c r="AV24" s="3509"/>
      <c r="AW24" s="3510"/>
      <c r="AX24" s="3508"/>
      <c r="AY24" s="3509"/>
      <c r="AZ24" s="3510"/>
      <c r="BA24" s="3508"/>
      <c r="BB24" s="3508"/>
      <c r="BE24" s="3512"/>
      <c r="BF24" s="3511"/>
      <c r="BG24" s="3511"/>
      <c r="BH24" s="3511"/>
      <c r="BI24" s="3511"/>
      <c r="BJ24" s="3508"/>
      <c r="BK24" s="3508"/>
      <c r="BL24" s="3509"/>
      <c r="BM24" s="3510"/>
      <c r="BN24" s="3511"/>
      <c r="BO24" s="3509"/>
      <c r="BP24" s="3510"/>
      <c r="BQ24" s="3511"/>
      <c r="BR24" s="3508"/>
      <c r="BS24" s="3508"/>
      <c r="BT24" s="3509"/>
      <c r="BU24" s="3510"/>
      <c r="BV24" s="3511"/>
      <c r="BW24" s="3509"/>
      <c r="BX24" s="3510"/>
      <c r="BY24" s="3511"/>
      <c r="BZ24" s="3508"/>
      <c r="CA24" s="3508"/>
      <c r="CB24" s="3509"/>
      <c r="CC24" s="3510"/>
      <c r="CD24" s="3508"/>
      <c r="CE24" s="3509"/>
      <c r="CF24" s="3510"/>
      <c r="CG24" s="3508"/>
      <c r="CH24" s="3508"/>
      <c r="CI24" s="3508"/>
      <c r="CJ24" s="3509"/>
      <c r="CK24" s="3510"/>
      <c r="CL24" s="3575"/>
      <c r="CM24" s="3575"/>
      <c r="CN24" s="3510"/>
      <c r="CO24" s="3508"/>
      <c r="CP24" s="3508"/>
      <c r="CQ24" s="3508"/>
      <c r="CR24" s="3509"/>
      <c r="CS24" s="3510"/>
      <c r="CT24" s="3508"/>
      <c r="CU24" s="3508"/>
      <c r="CV24" s="3510"/>
      <c r="CW24" s="3508"/>
      <c r="CX24" s="3508"/>
      <c r="CY24" s="3508"/>
      <c r="CZ24" s="3509"/>
      <c r="DA24" s="3510"/>
      <c r="DB24" s="3508"/>
      <c r="DC24" s="3509"/>
      <c r="DD24" s="3510"/>
      <c r="DE24" s="3508"/>
      <c r="DF24" s="3508"/>
      <c r="DG24" s="3508"/>
      <c r="DH24" s="3509"/>
      <c r="DI24" s="3510"/>
      <c r="DJ24" s="3508"/>
      <c r="DK24" s="3509"/>
      <c r="DL24" s="3510"/>
      <c r="DM24" s="3508"/>
      <c r="DN24" s="3513"/>
      <c r="DO24" s="3508"/>
      <c r="DP24" s="3509"/>
      <c r="DQ24" s="3510"/>
      <c r="DR24" s="3508"/>
      <c r="DS24" s="3509"/>
      <c r="DT24" s="3510"/>
      <c r="DU24" s="3508"/>
      <c r="DV24" s="3513"/>
      <c r="DW24" s="3508"/>
      <c r="DX24" s="3509"/>
      <c r="DY24" s="3510"/>
      <c r="DZ24" s="3508"/>
      <c r="EA24" s="3509"/>
      <c r="EB24" s="3510"/>
      <c r="EC24" s="3508"/>
      <c r="ED24" s="3508"/>
      <c r="EE24" s="3507"/>
      <c r="EF24" s="3508"/>
      <c r="EG24" s="3508"/>
      <c r="EH24" s="3508"/>
      <c r="EI24" s="3508"/>
      <c r="EJ24" s="3508"/>
      <c r="EK24" s="3508"/>
      <c r="EL24" s="3508"/>
      <c r="EM24" s="3508"/>
      <c r="EN24" s="3508"/>
      <c r="EO24" s="3508"/>
      <c r="EP24" s="3508"/>
      <c r="EQ24" s="3508"/>
      <c r="ER24" s="3508"/>
      <c r="ES24" s="3508"/>
      <c r="ET24" s="3510"/>
      <c r="EU24" s="3510"/>
      <c r="EV24" s="3749">
        <v>2678501.3596868902</v>
      </c>
      <c r="EW24" s="3510"/>
      <c r="EX24" s="3510"/>
      <c r="EY24" s="3510"/>
      <c r="EZ24" s="3750">
        <v>560804.17159472802</v>
      </c>
      <c r="FA24" s="3510"/>
      <c r="FB24" s="3510"/>
      <c r="FC24" s="3510"/>
      <c r="FD24" s="3749">
        <v>1712207.41891715</v>
      </c>
      <c r="FE24" s="3510"/>
      <c r="FF24" s="3510"/>
      <c r="FG24" s="3510"/>
      <c r="FH24" s="3750">
        <v>372470.96404755802</v>
      </c>
      <c r="FI24" s="3510"/>
      <c r="FJ24" s="3510"/>
      <c r="FK24" s="3510"/>
      <c r="FL24" s="3749">
        <v>2167003.8951859102</v>
      </c>
      <c r="FM24" s="3510"/>
      <c r="FN24" s="3510"/>
      <c r="FO24" s="3510"/>
      <c r="FP24" s="3750">
        <v>454374.16216076497</v>
      </c>
      <c r="FQ24" s="3510"/>
      <c r="FR24" s="3510"/>
      <c r="FS24" s="3510"/>
      <c r="FT24" s="3749">
        <v>3758610.0665362002</v>
      </c>
      <c r="FU24" s="3510"/>
      <c r="FV24" s="3510"/>
      <c r="FW24" s="3510"/>
      <c r="FX24" s="3750">
        <v>560804.17159472697</v>
      </c>
      <c r="FY24" s="3510"/>
      <c r="FZ24" s="3510"/>
      <c r="GA24" s="3510"/>
      <c r="GB24" s="3749">
        <v>3895936.3141552499</v>
      </c>
      <c r="GC24" s="3510"/>
      <c r="GD24" s="3510"/>
      <c r="GE24" s="3510"/>
      <c r="GF24" s="3749">
        <v>642707.36970793502</v>
      </c>
      <c r="GG24" s="3510"/>
      <c r="GH24" s="3510"/>
      <c r="GI24" s="3510"/>
      <c r="GJ24" s="3749">
        <v>2662638.4189171498</v>
      </c>
      <c r="GK24" s="3510"/>
      <c r="GL24" s="3510"/>
      <c r="GM24" s="3510"/>
      <c r="GN24" s="3750">
        <v>454374.16216076497</v>
      </c>
      <c r="GO24" s="3510"/>
      <c r="GP24" s="3510"/>
      <c r="GQ24" s="3510"/>
      <c r="GR24" s="3751">
        <v>3909733.0951076299</v>
      </c>
      <c r="GS24" s="3752"/>
      <c r="GT24" s="3717"/>
      <c r="GU24" s="3717"/>
      <c r="GV24" s="3751">
        <v>594769.29824243998</v>
      </c>
      <c r="GW24" s="3510"/>
      <c r="GX24" s="3510"/>
      <c r="GY24" s="3510"/>
      <c r="GZ24" s="3751">
        <v>2635652.6839399901</v>
      </c>
      <c r="HA24" s="3752"/>
      <c r="HB24" s="3717"/>
      <c r="HC24" s="3717"/>
      <c r="HD24" s="3751">
        <v>392630.666166968</v>
      </c>
      <c r="HE24" s="3510"/>
      <c r="HF24" s="3510"/>
      <c r="HG24" s="3510"/>
      <c r="HH24" s="3751">
        <f>HP18+HX18+IF18+IP18</f>
        <v>2924101.9601304629</v>
      </c>
      <c r="HI24" s="3752"/>
      <c r="HJ24" s="3717"/>
      <c r="HK24" s="3717"/>
      <c r="HL24" s="3751">
        <f>+HT18+IB18+IJ18+JC18</f>
        <v>502144.7133367795</v>
      </c>
      <c r="HM24" s="3510"/>
      <c r="HN24" s="3510"/>
      <c r="HO24" s="3510"/>
      <c r="HP24" s="3751">
        <f>+HX18+IF18+IP18</f>
        <v>1103586.6934637965</v>
      </c>
      <c r="HQ24" s="3752"/>
      <c r="HR24" s="3717"/>
      <c r="HS24" s="3717"/>
      <c r="HT24" s="3751">
        <f>+IB18+IJ18+JC18</f>
        <v>209927.27937451535</v>
      </c>
      <c r="HU24" s="3510"/>
      <c r="HV24" s="3510"/>
      <c r="HW24" s="3510"/>
      <c r="HX24" s="3751">
        <f>IF18+IP18</f>
        <v>335648.59091976512</v>
      </c>
      <c r="HY24" s="3752"/>
      <c r="HZ24" s="3717"/>
      <c r="IA24" s="3717"/>
      <c r="IB24" s="3751">
        <f>IJ18+JC18</f>
        <v>64582.124967691896</v>
      </c>
      <c r="IC24" s="3510"/>
      <c r="ID24" s="3510"/>
      <c r="IE24" s="3510"/>
      <c r="IF24" s="3751">
        <f>+IP18</f>
        <v>34778.998356164382</v>
      </c>
      <c r="IG24" s="3752"/>
      <c r="IH24" s="3717"/>
      <c r="II24" s="3717"/>
      <c r="IJ24" s="3751">
        <f>+JC18</f>
        <v>6354.2775911088138</v>
      </c>
      <c r="IK24" s="3510"/>
      <c r="IL24" s="3507"/>
      <c r="IO24" s="3507"/>
      <c r="IP24" s="3515"/>
      <c r="IQ24" s="3515"/>
      <c r="IR24" s="3515"/>
      <c r="IS24" s="3515"/>
      <c r="IT24" s="3515"/>
      <c r="IU24" s="3515"/>
      <c r="IV24" s="3515"/>
      <c r="IW24" s="3515"/>
      <c r="IX24" s="3515"/>
      <c r="IY24" s="3515"/>
      <c r="IZ24" s="3515"/>
      <c r="JA24" s="3515"/>
      <c r="JB24" s="3515"/>
      <c r="JC24" s="3515"/>
      <c r="JD24" s="3515"/>
      <c r="JE24" s="3515"/>
      <c r="JF24" s="3515"/>
      <c r="JG24" s="3515"/>
      <c r="JH24" s="3515"/>
      <c r="JI24" s="3515"/>
      <c r="JJ24" s="3515"/>
      <c r="JK24" s="3515"/>
      <c r="JL24" s="3515"/>
      <c r="JM24" s="3515"/>
      <c r="JN24" s="3515"/>
      <c r="JO24" s="3515"/>
      <c r="JP24" s="3507"/>
      <c r="JS24" s="3507"/>
      <c r="JT24" s="3507"/>
      <c r="JU24" s="3507"/>
      <c r="JV24" s="3507"/>
      <c r="JW24" s="3507"/>
      <c r="JY24" s="3507"/>
      <c r="KA24" s="3577"/>
      <c r="KB24" s="3577"/>
      <c r="KC24" s="3577"/>
      <c r="KD24" s="3577"/>
      <c r="KE24" s="3577"/>
      <c r="KF24" s="3577"/>
      <c r="KG24" s="3577"/>
      <c r="KH24" s="3577"/>
      <c r="KI24" s="3577"/>
      <c r="KJ24" s="3577"/>
      <c r="KK24" s="3577"/>
      <c r="KL24" s="3577"/>
      <c r="KM24" s="3577"/>
      <c r="KN24" s="3577"/>
      <c r="KO24" s="3577"/>
      <c r="KP24" s="3577"/>
      <c r="KS24" s="3507"/>
      <c r="KT24" s="3507"/>
      <c r="KU24" s="3507"/>
      <c r="KV24" s="3507"/>
      <c r="KW24" s="3507"/>
      <c r="KX24" s="3507"/>
      <c r="KY24" s="3507"/>
      <c r="KZ24" s="3507"/>
      <c r="LA24" s="3507"/>
      <c r="LB24" s="3507"/>
      <c r="LC24" s="3507"/>
      <c r="LD24" s="3507"/>
      <c r="LE24" s="3507"/>
      <c r="LF24" s="3507"/>
      <c r="LG24" s="3507"/>
      <c r="LH24" s="3507"/>
      <c r="LI24" s="3507"/>
      <c r="LJ24" s="3507"/>
      <c r="LK24" s="3507"/>
      <c r="LL24" s="3507"/>
      <c r="LM24" s="3507"/>
      <c r="LN24" s="3507"/>
      <c r="LO24" s="3507"/>
      <c r="LP24" s="3507"/>
      <c r="LQ24" s="3507"/>
      <c r="LR24" s="3507"/>
      <c r="LS24" s="3507"/>
      <c r="LT24" s="3507"/>
      <c r="LU24" s="3507"/>
      <c r="LV24" s="3507"/>
      <c r="LW24" s="3507"/>
      <c r="LX24" s="3507"/>
      <c r="LY24" s="3507"/>
      <c r="LZ24" s="3507"/>
      <c r="MA24" s="3507"/>
      <c r="MB24" s="3507"/>
      <c r="MC24" s="3507"/>
      <c r="MD24" s="3507"/>
      <c r="ME24" s="3507"/>
      <c r="MF24" s="3507"/>
      <c r="MG24" s="3507"/>
      <c r="MH24" s="3507"/>
      <c r="MI24" s="3507"/>
      <c r="MJ24" s="3507"/>
      <c r="MK24" s="3507"/>
      <c r="ML24" s="3507"/>
      <c r="MM24" s="3507"/>
      <c r="MN24" s="3507"/>
      <c r="MO24" s="3507"/>
      <c r="MP24" s="3507"/>
      <c r="MQ24" s="3507"/>
      <c r="MR24" s="3507"/>
      <c r="MS24" s="3507"/>
      <c r="MT24" s="3507"/>
      <c r="MU24" s="3507"/>
      <c r="MV24" s="3507"/>
      <c r="MW24" s="3507"/>
      <c r="MX24" s="3507"/>
      <c r="MY24" s="3507"/>
      <c r="MZ24" s="3507"/>
      <c r="NA24" s="3507"/>
      <c r="NB24" s="3507"/>
      <c r="NC24" s="3507"/>
      <c r="ND24" s="3507"/>
      <c r="NE24" s="3507"/>
      <c r="NF24" s="3507"/>
      <c r="NG24" s="3507"/>
      <c r="NH24" s="3507"/>
      <c r="NI24" s="3507"/>
      <c r="NJ24" s="3507"/>
      <c r="NK24" s="3507"/>
      <c r="NL24" s="3507"/>
      <c r="NM24" s="3507"/>
      <c r="NN24" s="3507"/>
      <c r="NO24" s="3507"/>
      <c r="NP24" s="3507"/>
      <c r="NQ24" s="3507"/>
      <c r="NR24" s="3507"/>
      <c r="NS24" s="3507"/>
      <c r="NT24" s="3507"/>
      <c r="NU24" s="3507"/>
      <c r="NV24" s="3507"/>
      <c r="NW24" s="3507"/>
      <c r="NX24" s="3507"/>
      <c r="NY24" s="3507"/>
      <c r="NZ24" s="3507"/>
      <c r="OA24" s="3507"/>
      <c r="OB24" s="3507"/>
      <c r="OC24" s="3507"/>
      <c r="OD24" s="3507"/>
      <c r="OE24" s="3507"/>
      <c r="OF24" s="3507"/>
      <c r="OG24" s="3507"/>
      <c r="OH24" s="3507"/>
      <c r="OI24" s="3507"/>
      <c r="OJ24" s="3507"/>
      <c r="OK24" s="3507"/>
      <c r="OL24" s="3507"/>
      <c r="OM24" s="3507"/>
      <c r="ON24" s="3507"/>
      <c r="OO24" s="3507"/>
      <c r="OP24" s="3507"/>
      <c r="OQ24" s="3507"/>
      <c r="OR24" s="3507"/>
      <c r="OS24" s="3507"/>
      <c r="OT24" s="3507"/>
      <c r="OU24" s="3507"/>
      <c r="OV24" s="3507"/>
      <c r="OW24" s="3507"/>
      <c r="OX24" s="3507"/>
      <c r="OY24" s="3507"/>
      <c r="OZ24" s="3507"/>
      <c r="PA24" s="3507"/>
      <c r="PB24" s="3507"/>
      <c r="PC24" s="3507"/>
      <c r="PD24" s="3507"/>
      <c r="PE24" s="3507"/>
      <c r="PF24" s="3507"/>
      <c r="PG24" s="3507"/>
      <c r="PH24" s="3507"/>
      <c r="PI24" s="3507"/>
      <c r="PJ24" s="3507"/>
      <c r="PK24" s="3507"/>
      <c r="PL24" s="3507"/>
      <c r="PM24" s="3507"/>
      <c r="PN24" s="3507"/>
      <c r="PO24" s="3507"/>
      <c r="PP24" s="3507"/>
      <c r="PQ24" s="3507"/>
      <c r="PR24" s="3507"/>
      <c r="PS24" s="3507"/>
      <c r="PT24" s="3507"/>
      <c r="PU24" s="3507"/>
      <c r="PV24" s="3507"/>
      <c r="PW24" s="3507"/>
      <c r="PX24" s="3507"/>
      <c r="PY24" s="3507"/>
      <c r="PZ24" s="3507"/>
      <c r="QA24" s="3507"/>
      <c r="QB24" s="3507"/>
      <c r="QC24" s="3507"/>
      <c r="QD24" s="3507"/>
      <c r="QE24" s="3507"/>
      <c r="QF24" s="3507"/>
      <c r="QG24" s="3507"/>
      <c r="QH24" s="3507"/>
      <c r="QI24" s="3507"/>
      <c r="QJ24" s="3507"/>
      <c r="QK24" s="3507"/>
      <c r="QL24" s="3507"/>
      <c r="QM24" s="3507"/>
      <c r="QN24" s="3507"/>
      <c r="QO24" s="3507"/>
      <c r="QP24" s="3507"/>
      <c r="QQ24" s="3507"/>
      <c r="QR24" s="3507"/>
      <c r="QS24" s="3507"/>
      <c r="QT24" s="3507"/>
      <c r="QU24" s="3507"/>
      <c r="QV24" s="3507"/>
      <c r="QW24" s="3507"/>
      <c r="QX24" s="3507"/>
      <c r="QY24" s="3507"/>
      <c r="QZ24" s="3507"/>
      <c r="RA24" s="3507"/>
      <c r="RB24" s="3507"/>
      <c r="RC24" s="3507"/>
      <c r="RD24" s="3507"/>
      <c r="RE24" s="3507"/>
      <c r="RF24" s="3507"/>
      <c r="RG24" s="3507"/>
      <c r="RH24" s="3507"/>
      <c r="RI24" s="3507"/>
      <c r="RJ24" s="3507"/>
      <c r="RK24" s="3507"/>
      <c r="RL24" s="3507"/>
      <c r="RM24" s="3507"/>
      <c r="RN24" s="3507"/>
      <c r="RO24" s="3507"/>
      <c r="RP24" s="3507"/>
      <c r="RQ24" s="3507"/>
      <c r="RR24" s="3507"/>
      <c r="RS24" s="3507"/>
      <c r="RT24" s="3507"/>
      <c r="RU24" s="3507"/>
      <c r="RV24" s="3507"/>
      <c r="RW24" s="3507"/>
      <c r="RX24" s="3507"/>
      <c r="RY24" s="3507"/>
      <c r="RZ24" s="3507"/>
      <c r="SA24" s="3507"/>
      <c r="SB24" s="3507"/>
      <c r="SC24" s="3507"/>
      <c r="SD24" s="3507"/>
      <c r="SE24" s="3507"/>
      <c r="SF24" s="3507"/>
      <c r="SG24" s="3507"/>
      <c r="SH24" s="3507"/>
      <c r="SI24" s="3507"/>
      <c r="SJ24" s="3507"/>
      <c r="SK24" s="3507"/>
      <c r="SL24" s="3507"/>
      <c r="SM24" s="3507"/>
      <c r="SN24" s="3507"/>
      <c r="SO24" s="3507"/>
      <c r="SP24" s="3507"/>
      <c r="SQ24" s="3507"/>
      <c r="SR24" s="3507"/>
      <c r="SS24" s="3507"/>
      <c r="ST24" s="3507"/>
      <c r="SU24" s="3507"/>
      <c r="SV24" s="3507"/>
      <c r="SW24" s="3507"/>
      <c r="SX24" s="3507"/>
      <c r="SY24" s="3507"/>
      <c r="SZ24" s="3507"/>
      <c r="TA24" s="3507"/>
      <c r="TB24" s="3507"/>
      <c r="TC24" s="3507"/>
      <c r="TD24" s="3507"/>
      <c r="TE24" s="3507"/>
      <c r="TF24" s="3507"/>
      <c r="TG24" s="3507"/>
      <c r="TH24" s="3507"/>
      <c r="TI24" s="3507"/>
      <c r="TJ24" s="3507"/>
      <c r="TK24" s="3507"/>
      <c r="TL24" s="3507"/>
      <c r="TM24" s="3507"/>
      <c r="TN24" s="3507"/>
      <c r="TO24" s="3507"/>
      <c r="TP24" s="3507"/>
      <c r="TQ24" s="3507"/>
      <c r="TR24" s="3507"/>
      <c r="TS24" s="3507"/>
      <c r="TT24" s="3507"/>
      <c r="TU24" s="3507"/>
      <c r="TV24" s="3507"/>
      <c r="TW24" s="3507"/>
      <c r="TX24" s="3507"/>
      <c r="TY24" s="3507"/>
      <c r="TZ24" s="3507"/>
      <c r="UA24" s="3507"/>
      <c r="UB24" s="3507"/>
      <c r="UC24" s="3507"/>
      <c r="UD24" s="3507"/>
      <c r="UE24" s="3507"/>
      <c r="UF24" s="3507"/>
      <c r="UG24" s="3507"/>
      <c r="UH24" s="3507"/>
      <c r="UI24" s="3507"/>
      <c r="UJ24" s="3507"/>
      <c r="UK24" s="3507"/>
      <c r="UL24" s="3507"/>
      <c r="UM24" s="3507"/>
      <c r="UN24" s="3507"/>
      <c r="UO24" s="3507"/>
      <c r="UP24" s="3507"/>
      <c r="UQ24" s="3507"/>
      <c r="UR24" s="3507"/>
      <c r="US24" s="3507"/>
      <c r="UT24" s="3507"/>
      <c r="UU24" s="3507"/>
      <c r="UV24" s="3507"/>
      <c r="UW24" s="3507"/>
      <c r="UX24" s="3507"/>
      <c r="UY24" s="3507"/>
      <c r="UZ24" s="3507"/>
      <c r="VA24" s="3507"/>
      <c r="VB24" s="3507"/>
      <c r="VC24" s="3507"/>
      <c r="VD24" s="3507"/>
      <c r="VE24" s="3507"/>
      <c r="VF24" s="3507"/>
      <c r="VG24" s="3507"/>
      <c r="VH24" s="3507"/>
      <c r="VI24" s="3507"/>
      <c r="VJ24" s="3507"/>
      <c r="VK24" s="3507"/>
      <c r="VL24" s="3507"/>
      <c r="VM24" s="3507"/>
      <c r="VN24" s="3507"/>
      <c r="VO24" s="3507"/>
      <c r="VP24" s="3507"/>
      <c r="VQ24" s="3507"/>
      <c r="VR24" s="3507"/>
      <c r="VS24" s="3507"/>
      <c r="VT24" s="3507"/>
      <c r="VU24" s="3507"/>
      <c r="VV24" s="3507"/>
      <c r="VW24" s="3507"/>
      <c r="VX24" s="3507"/>
      <c r="VY24" s="3507"/>
      <c r="VZ24" s="3507"/>
      <c r="WA24" s="3507"/>
      <c r="WB24" s="3507"/>
      <c r="WC24" s="3507"/>
      <c r="WD24" s="3507"/>
      <c r="WE24" s="3507"/>
      <c r="WF24" s="3507"/>
      <c r="WG24" s="3507"/>
      <c r="WH24" s="3507"/>
      <c r="WI24" s="3507"/>
      <c r="WJ24" s="3507"/>
      <c r="WK24" s="3507"/>
      <c r="WL24" s="3507"/>
      <c r="WM24" s="3507"/>
      <c r="WN24" s="3507"/>
      <c r="WO24" s="3507"/>
      <c r="WP24" s="3507"/>
      <c r="WQ24" s="3507"/>
      <c r="WR24" s="3507"/>
      <c r="WS24" s="3507"/>
      <c r="WT24" s="3507"/>
      <c r="WU24" s="3507"/>
      <c r="WV24" s="3507"/>
      <c r="WW24" s="3507"/>
      <c r="WX24" s="3507"/>
      <c r="WY24" s="3507"/>
      <c r="WZ24" s="3507"/>
      <c r="XA24" s="3507"/>
      <c r="XB24" s="3507"/>
      <c r="XC24" s="3507"/>
      <c r="XD24" s="3507"/>
      <c r="XE24" s="3507"/>
      <c r="XF24" s="3507"/>
      <c r="XG24" s="3507"/>
      <c r="XH24" s="3507"/>
      <c r="XI24" s="3507"/>
      <c r="XJ24" s="3507"/>
      <c r="XK24" s="3507"/>
      <c r="XL24" s="3507"/>
      <c r="XM24" s="3507"/>
      <c r="XN24" s="3507"/>
      <c r="XO24" s="3507"/>
      <c r="XP24" s="3507"/>
      <c r="XQ24" s="3507"/>
      <c r="XR24" s="3507"/>
      <c r="XS24" s="3507"/>
      <c r="XT24" s="3507"/>
      <c r="XU24" s="3507"/>
      <c r="XV24" s="3507"/>
      <c r="XW24" s="3507"/>
      <c r="XX24" s="3507"/>
      <c r="XY24" s="3507"/>
      <c r="XZ24" s="3507"/>
      <c r="YA24" s="3507"/>
      <c r="YB24" s="3507"/>
      <c r="YC24" s="3507"/>
      <c r="YD24" s="3507"/>
      <c r="YE24" s="3507"/>
      <c r="YF24" s="3507"/>
      <c r="YG24" s="3507"/>
      <c r="YH24" s="3507"/>
      <c r="YI24" s="3507"/>
      <c r="YJ24" s="3507"/>
      <c r="YK24" s="3507"/>
      <c r="YL24" s="3507"/>
      <c r="YM24" s="3507"/>
      <c r="YN24" s="3507"/>
      <c r="YO24" s="3507"/>
      <c r="YP24" s="3507"/>
      <c r="YQ24" s="3507"/>
      <c r="YR24" s="3507"/>
      <c r="YS24" s="3507"/>
      <c r="YT24" s="3507"/>
      <c r="YU24" s="3507"/>
      <c r="YV24" s="3507"/>
      <c r="YW24" s="3507"/>
      <c r="YX24" s="3507"/>
      <c r="YY24" s="3507"/>
      <c r="YZ24" s="3507"/>
      <c r="ZA24" s="3507"/>
      <c r="ZB24" s="3507"/>
      <c r="ZC24" s="3507"/>
      <c r="ZD24" s="3507"/>
      <c r="ZE24" s="3507"/>
      <c r="ZF24" s="3507"/>
      <c r="ZG24" s="3507"/>
      <c r="ZH24" s="3507"/>
      <c r="ZI24" s="3507"/>
      <c r="ZJ24" s="3507"/>
      <c r="ZK24" s="3507"/>
      <c r="ZL24" s="3507"/>
      <c r="ZM24" s="3507"/>
      <c r="ZN24" s="3507"/>
      <c r="ZO24" s="3507"/>
      <c r="ZP24" s="3507"/>
      <c r="ZQ24" s="3507"/>
      <c r="ZR24" s="3507"/>
      <c r="ZS24" s="3507"/>
      <c r="ZT24" s="3507"/>
      <c r="ZU24" s="3507"/>
      <c r="ZV24" s="3507"/>
      <c r="ZW24" s="3507"/>
      <c r="ZX24" s="3507"/>
      <c r="ZY24" s="3507"/>
      <c r="ZZ24" s="3507"/>
      <c r="AAA24" s="3507"/>
      <c r="AAB24" s="3507"/>
      <c r="AAC24" s="3507"/>
      <c r="AAD24" s="3507"/>
      <c r="AAE24" s="3507"/>
      <c r="AAF24" s="3507"/>
      <c r="AAG24" s="3507"/>
      <c r="AAH24" s="3507"/>
      <c r="AAI24" s="3507"/>
      <c r="AAJ24" s="3507"/>
      <c r="AAK24" s="3507"/>
      <c r="AAL24" s="3507"/>
      <c r="AAM24" s="3507"/>
      <c r="AAN24" s="3507"/>
      <c r="AAO24" s="3507"/>
      <c r="AAP24" s="3507"/>
      <c r="AAQ24" s="3507"/>
      <c r="AAR24" s="3507"/>
      <c r="AAS24" s="3507"/>
      <c r="AAT24" s="3507"/>
      <c r="AAU24" s="3507"/>
      <c r="AAV24" s="3507"/>
      <c r="AAW24" s="3507"/>
      <c r="AAX24" s="3507"/>
      <c r="AAY24" s="3507"/>
      <c r="AAZ24" s="3507"/>
      <c r="ABA24" s="3507"/>
      <c r="ABB24" s="3507"/>
      <c r="ABC24" s="3507"/>
      <c r="ABD24" s="3507"/>
      <c r="ABE24" s="3507"/>
      <c r="ABF24" s="3507"/>
      <c r="ABG24" s="3507"/>
      <c r="ABH24" s="3507"/>
      <c r="ABI24" s="3507"/>
      <c r="ABJ24" s="3507"/>
      <c r="ABK24" s="3507"/>
      <c r="ABL24" s="3507"/>
      <c r="ABM24" s="3507"/>
      <c r="ABN24" s="3507"/>
      <c r="ABO24" s="3507"/>
      <c r="ABP24" s="3507"/>
      <c r="ABQ24" s="3507"/>
      <c r="ABR24" s="3507"/>
      <c r="ABS24" s="3507"/>
      <c r="ABT24" s="3507"/>
      <c r="ABU24" s="3507"/>
      <c r="ABV24" s="3507"/>
      <c r="ABW24" s="3507"/>
      <c r="ABX24" s="3507"/>
      <c r="ABY24" s="3507"/>
      <c r="ABZ24" s="3507"/>
      <c r="ACA24" s="3507"/>
      <c r="ACB24" s="3507"/>
      <c r="ACC24" s="3507"/>
      <c r="ACD24" s="3507"/>
      <c r="ACE24" s="3507"/>
      <c r="ACF24" s="3507"/>
      <c r="ACG24" s="3507"/>
      <c r="ACH24" s="3507"/>
      <c r="ACI24" s="3507"/>
      <c r="ACJ24" s="3507"/>
      <c r="ACK24" s="3507"/>
      <c r="ACL24" s="3507"/>
      <c r="ACM24" s="3507"/>
      <c r="ACN24" s="3507"/>
      <c r="ACO24" s="3507"/>
      <c r="ACP24" s="3507"/>
      <c r="ACQ24" s="3507"/>
      <c r="ACR24" s="3507"/>
      <c r="ACS24" s="3507"/>
      <c r="ACT24" s="3507"/>
      <c r="ACU24" s="3507"/>
      <c r="ACV24" s="3507"/>
      <c r="ACW24" s="3507"/>
      <c r="ACX24" s="3507"/>
      <c r="ACY24" s="3507"/>
      <c r="ACZ24" s="3507"/>
      <c r="ADA24" s="3507"/>
      <c r="ADB24" s="3507"/>
      <c r="ADC24" s="3507"/>
      <c r="ADD24" s="3507"/>
      <c r="ADE24" s="3507"/>
      <c r="ADF24" s="3507"/>
      <c r="ADG24" s="3507"/>
      <c r="ADH24" s="3507"/>
      <c r="ADI24" s="3507"/>
      <c r="ADJ24" s="3507"/>
      <c r="ADK24" s="3507"/>
      <c r="ADL24" s="3507"/>
      <c r="ADM24" s="3507"/>
      <c r="ADN24" s="3507"/>
      <c r="ADO24" s="3507"/>
      <c r="ADP24" s="3507"/>
      <c r="ADQ24" s="3507"/>
      <c r="ADR24" s="3507"/>
      <c r="ADS24" s="3507"/>
      <c r="ADT24" s="3507"/>
      <c r="ADU24" s="3507"/>
      <c r="ADV24" s="3507"/>
      <c r="ADW24" s="3507"/>
      <c r="ADX24" s="3507"/>
      <c r="ADY24" s="3507"/>
      <c r="ADZ24" s="3507"/>
      <c r="AEA24" s="3507"/>
      <c r="AEB24" s="3507"/>
      <c r="AEC24" s="3507"/>
      <c r="AED24" s="3507"/>
      <c r="AEE24" s="3507"/>
      <c r="AEF24" s="3507"/>
      <c r="AEG24" s="3507"/>
      <c r="AEH24" s="3507"/>
      <c r="AEI24" s="3507"/>
      <c r="AEJ24" s="3507"/>
      <c r="AEK24" s="3507"/>
      <c r="AEL24" s="3507"/>
      <c r="AEM24" s="3507"/>
      <c r="AEN24" s="3507"/>
      <c r="AEO24" s="3507"/>
      <c r="AEP24" s="3507"/>
      <c r="AEQ24" s="3507"/>
      <c r="AER24" s="3507"/>
      <c r="AES24" s="3507"/>
      <c r="AET24" s="3507"/>
      <c r="AEU24" s="3507"/>
      <c r="AEV24" s="3507"/>
      <c r="AEW24" s="3507"/>
      <c r="AEX24" s="3507"/>
      <c r="AEY24" s="3507"/>
      <c r="AEZ24" s="3507"/>
      <c r="AFA24" s="3507"/>
      <c r="AFB24" s="3507"/>
      <c r="AFC24" s="3507"/>
      <c r="AFD24" s="3507"/>
      <c r="AFE24" s="3507"/>
      <c r="AFF24" s="3507"/>
      <c r="AFG24" s="3507"/>
      <c r="AFH24" s="3507"/>
      <c r="AFI24" s="3507"/>
      <c r="AFJ24" s="3507"/>
      <c r="AFK24" s="3507"/>
      <c r="AFL24" s="3507"/>
      <c r="AFM24" s="3507"/>
      <c r="AFN24" s="3507"/>
      <c r="AFO24" s="3507"/>
      <c r="AFP24" s="3507"/>
      <c r="AFQ24" s="3507"/>
      <c r="AFR24" s="3507"/>
      <c r="AFS24" s="3507"/>
      <c r="AFT24" s="3507"/>
      <c r="AFU24" s="3507"/>
      <c r="AFV24" s="3507"/>
      <c r="AFW24" s="3507"/>
      <c r="AFX24" s="3507"/>
      <c r="AFY24" s="3507"/>
      <c r="AFZ24" s="3507"/>
      <c r="AGA24" s="3507"/>
      <c r="AGB24" s="3507"/>
      <c r="AGC24" s="3507"/>
      <c r="AGD24" s="3507"/>
      <c r="AGE24" s="3507"/>
      <c r="AGF24" s="3507"/>
      <c r="AGG24" s="3507"/>
      <c r="AGH24" s="3507"/>
      <c r="AGI24" s="3507"/>
      <c r="AGJ24" s="3507"/>
      <c r="AGK24" s="3507"/>
      <c r="AGL24" s="3507"/>
      <c r="AGM24" s="3507"/>
      <c r="AGN24" s="3507"/>
      <c r="AGO24" s="3507"/>
      <c r="AGP24" s="3507"/>
      <c r="AGQ24" s="3507"/>
      <c r="AGR24" s="3507"/>
      <c r="AGS24" s="3507"/>
      <c r="AGT24" s="3507"/>
      <c r="AGU24" s="3507"/>
      <c r="AGV24" s="3507"/>
      <c r="AGW24" s="3507"/>
      <c r="AGX24" s="3507"/>
      <c r="AGY24" s="3507"/>
      <c r="AGZ24" s="3507"/>
      <c r="AHA24" s="3507"/>
      <c r="AHB24" s="3507"/>
      <c r="AHC24" s="3507"/>
      <c r="AHD24" s="3507"/>
      <c r="AHE24" s="3507"/>
      <c r="AHF24" s="3507"/>
      <c r="AHG24" s="3507"/>
      <c r="AHH24" s="3507"/>
      <c r="AHI24" s="3507"/>
      <c r="AHJ24" s="3507"/>
      <c r="AHK24" s="3507"/>
      <c r="AHL24" s="3507"/>
      <c r="AHM24" s="3507"/>
      <c r="AHN24" s="3507"/>
      <c r="AHO24" s="3507"/>
      <c r="AHP24" s="3507"/>
      <c r="AHQ24" s="3507"/>
      <c r="AHR24" s="3507"/>
      <c r="AHS24" s="3507"/>
      <c r="AHT24" s="3507"/>
      <c r="AHU24" s="3507"/>
      <c r="AHV24" s="3507"/>
      <c r="AHW24" s="3507"/>
      <c r="AHX24" s="3507"/>
      <c r="AHY24" s="3507"/>
      <c r="AHZ24" s="3507"/>
      <c r="AIA24" s="3507"/>
      <c r="AIB24" s="3507"/>
      <c r="AIC24" s="3507"/>
      <c r="AID24" s="3507"/>
      <c r="AIE24" s="3507"/>
      <c r="AIF24" s="3507"/>
      <c r="AIG24" s="3507"/>
      <c r="AIH24" s="3507"/>
      <c r="AII24" s="3507"/>
      <c r="AIJ24" s="3507"/>
      <c r="AIK24" s="3507"/>
      <c r="AIL24" s="3507"/>
      <c r="AIM24" s="3507"/>
      <c r="AIN24" s="3507"/>
      <c r="AIO24" s="3507"/>
      <c r="AIP24" s="3507"/>
      <c r="AIQ24" s="3507"/>
      <c r="AIR24" s="3507"/>
      <c r="AIS24" s="3507"/>
      <c r="AIT24" s="3507"/>
      <c r="AIU24" s="3507"/>
      <c r="AIV24" s="3507"/>
      <c r="AIW24" s="3507"/>
      <c r="AIX24" s="3507"/>
      <c r="AIY24" s="3507"/>
      <c r="AIZ24" s="3507"/>
      <c r="AJA24" s="3507"/>
      <c r="AJB24" s="3507"/>
      <c r="AJC24" s="3507"/>
      <c r="AJD24" s="3507"/>
      <c r="AJE24" s="3507"/>
      <c r="AJF24" s="3507"/>
      <c r="AJG24" s="3507"/>
      <c r="AJH24" s="3507"/>
      <c r="AJI24" s="3507"/>
      <c r="AJJ24" s="3507"/>
      <c r="AJK24" s="3507"/>
      <c r="AJL24" s="3507"/>
      <c r="AJM24" s="3507"/>
      <c r="AJN24" s="3507"/>
      <c r="AJO24" s="3507"/>
      <c r="AJP24" s="3507"/>
      <c r="AJQ24" s="3507"/>
      <c r="AJR24" s="3507"/>
      <c r="AJS24" s="3507"/>
      <c r="AJT24" s="3507"/>
      <c r="AJU24" s="3507"/>
      <c r="AJV24" s="3507"/>
      <c r="AJW24" s="3507"/>
      <c r="AJX24" s="3507"/>
      <c r="AJY24" s="3507"/>
      <c r="AJZ24" s="3507"/>
      <c r="AKA24" s="3507"/>
      <c r="AKB24" s="3507"/>
      <c r="AKC24" s="3507"/>
      <c r="AKD24" s="3507"/>
      <c r="AKE24" s="3507"/>
      <c r="AKF24" s="3507"/>
      <c r="AKG24" s="3507"/>
      <c r="AKH24" s="3507"/>
      <c r="AKI24" s="3507"/>
      <c r="AKJ24" s="3507"/>
      <c r="AKK24" s="3507"/>
      <c r="AKL24" s="3507"/>
      <c r="AKM24" s="3507"/>
      <c r="AKN24" s="3507"/>
      <c r="AKO24" s="3507"/>
      <c r="AKP24" s="3507"/>
      <c r="AKQ24" s="3507"/>
      <c r="AKR24" s="3507"/>
      <c r="AKS24" s="3507"/>
      <c r="AKT24" s="3507"/>
      <c r="AKU24" s="3507"/>
      <c r="AKV24" s="3507"/>
      <c r="AKW24" s="3507"/>
      <c r="AKX24" s="3507"/>
      <c r="AKY24" s="3507"/>
      <c r="AKZ24" s="3507"/>
      <c r="ALA24" s="3507"/>
      <c r="ALB24" s="3507"/>
      <c r="ALC24" s="3507"/>
      <c r="ALD24" s="3507"/>
      <c r="ALE24" s="3507"/>
      <c r="ALF24" s="3507"/>
      <c r="ALG24" s="3507"/>
      <c r="ALH24" s="3507"/>
      <c r="ALI24" s="3507"/>
      <c r="ALJ24" s="3507"/>
      <c r="ALK24" s="3507"/>
      <c r="ALL24" s="3507"/>
      <c r="ALM24" s="3507"/>
      <c r="ALN24" s="3507"/>
      <c r="ALO24" s="3507"/>
      <c r="ALP24" s="3507"/>
      <c r="ALQ24" s="3507"/>
      <c r="ALR24" s="3507"/>
      <c r="ALS24" s="3507"/>
      <c r="ALT24" s="3507"/>
      <c r="ALU24" s="3507"/>
      <c r="ALV24" s="3507"/>
      <c r="ALW24" s="3507"/>
      <c r="ALX24" s="3507"/>
      <c r="ALY24" s="3507"/>
      <c r="ALZ24" s="3507"/>
      <c r="AMA24" s="3507"/>
      <c r="AMB24" s="3507"/>
      <c r="AMC24" s="3507"/>
      <c r="AMD24" s="3507"/>
      <c r="AME24" s="3507"/>
      <c r="AMF24" s="3507"/>
      <c r="AMG24" s="3507"/>
      <c r="AMH24" s="3507"/>
      <c r="AMI24" s="3507"/>
      <c r="AMJ24" s="3507"/>
      <c r="AMK24" s="3507"/>
      <c r="AML24" s="3507"/>
      <c r="AMM24" s="3507"/>
      <c r="AMN24" s="3507"/>
      <c r="AMO24" s="3507"/>
      <c r="AMP24" s="3507"/>
      <c r="AMQ24" s="3507"/>
      <c r="AMR24" s="3507"/>
      <c r="AMS24" s="3507"/>
      <c r="AMT24" s="3507"/>
      <c r="AMU24" s="3507"/>
      <c r="AMV24" s="3507"/>
      <c r="AMW24" s="3507"/>
      <c r="AMX24" s="3507"/>
      <c r="AMY24" s="3507"/>
      <c r="AMZ24" s="3507"/>
      <c r="ANA24" s="3507"/>
      <c r="ANB24" s="3507"/>
      <c r="ANC24" s="3507"/>
      <c r="AND24" s="3507"/>
      <c r="ANE24" s="3507"/>
      <c r="ANF24" s="3507"/>
      <c r="ANG24" s="3507"/>
      <c r="ANH24" s="3507"/>
      <c r="ANI24" s="3507"/>
      <c r="ANJ24" s="3507"/>
      <c r="ANK24" s="3507"/>
      <c r="ANL24" s="3507"/>
      <c r="ANM24" s="3507"/>
      <c r="ANN24" s="3507"/>
      <c r="ANO24" s="3507"/>
      <c r="ANP24" s="3507"/>
      <c r="ANQ24" s="3507"/>
      <c r="ANR24" s="3507"/>
      <c r="ANS24" s="3507"/>
      <c r="ANT24" s="3507"/>
      <c r="ANU24" s="3507"/>
      <c r="ANV24" s="3507"/>
      <c r="ANW24" s="3507"/>
      <c r="ANX24" s="3507"/>
      <c r="ANY24" s="3507"/>
      <c r="ANZ24" s="3507"/>
      <c r="AOA24" s="3507"/>
      <c r="AOB24" s="3507"/>
      <c r="AOC24" s="3507"/>
      <c r="AOD24" s="3507"/>
      <c r="AOE24" s="3507"/>
      <c r="AOF24" s="3507"/>
      <c r="AOG24" s="3507"/>
      <c r="AOH24" s="3507"/>
      <c r="AOI24" s="3507"/>
      <c r="AOJ24" s="3507"/>
      <c r="AOK24" s="3507"/>
      <c r="AOL24" s="3507"/>
      <c r="AOM24" s="3507"/>
      <c r="AON24" s="3507"/>
      <c r="AOO24" s="3507"/>
      <c r="AOP24" s="3507"/>
      <c r="AOQ24" s="3507"/>
      <c r="AOR24" s="3507"/>
      <c r="AOS24" s="3507"/>
      <c r="AOT24" s="3507"/>
      <c r="AOU24" s="3507"/>
      <c r="AOV24" s="3507"/>
      <c r="AOW24" s="3507"/>
      <c r="AOX24" s="3507"/>
      <c r="AOY24" s="3507"/>
      <c r="AOZ24" s="3507"/>
      <c r="APA24" s="3507"/>
      <c r="APB24" s="3507"/>
      <c r="APC24" s="3507"/>
      <c r="APD24" s="3507"/>
      <c r="APE24" s="3507"/>
      <c r="APF24" s="3507"/>
      <c r="APG24" s="3507"/>
      <c r="APH24" s="3507"/>
      <c r="API24" s="3507"/>
      <c r="APJ24" s="3507"/>
      <c r="APK24" s="3507"/>
      <c r="APL24" s="3507"/>
      <c r="APM24" s="3507"/>
      <c r="APN24" s="3507"/>
      <c r="APO24" s="3507"/>
      <c r="APP24" s="3507"/>
      <c r="APQ24" s="3507"/>
      <c r="APR24" s="3507"/>
      <c r="APS24" s="3507"/>
      <c r="APT24" s="3507"/>
      <c r="APU24" s="3507"/>
      <c r="APV24" s="3507"/>
      <c r="APW24" s="3507"/>
      <c r="APX24" s="3507"/>
      <c r="APY24" s="3507"/>
      <c r="APZ24" s="3507"/>
      <c r="AQA24" s="3507"/>
      <c r="AQB24" s="3507"/>
      <c r="AQC24" s="3507"/>
      <c r="AQD24" s="3507"/>
      <c r="AQE24" s="3507"/>
      <c r="AQF24" s="3507"/>
      <c r="AQG24" s="3507"/>
      <c r="AQH24" s="3507"/>
      <c r="AQI24" s="3507"/>
      <c r="AQJ24" s="3507"/>
      <c r="AQK24" s="3507"/>
      <c r="AQL24" s="3507"/>
      <c r="AQM24" s="3507"/>
      <c r="AQN24" s="3507"/>
      <c r="AQO24" s="3507"/>
      <c r="AQP24" s="3507"/>
      <c r="AQQ24" s="3507"/>
      <c r="AQR24" s="3507"/>
      <c r="AQS24" s="3507"/>
      <c r="AQT24" s="3507"/>
      <c r="AQU24" s="3507"/>
      <c r="AQV24" s="3507"/>
      <c r="AQW24" s="3507"/>
      <c r="AQX24" s="3507"/>
      <c r="AQY24" s="3507"/>
      <c r="AQZ24" s="3507"/>
      <c r="ARA24" s="3507"/>
      <c r="ARB24" s="3507"/>
      <c r="ARC24" s="3507"/>
      <c r="ARD24" s="3507"/>
      <c r="ARE24" s="3507"/>
      <c r="ARF24" s="3507"/>
      <c r="ARG24" s="3507"/>
      <c r="ARH24" s="3507"/>
      <c r="ARI24" s="3507"/>
      <c r="ARJ24" s="3507"/>
      <c r="ARK24" s="3507"/>
      <c r="ARL24" s="3507"/>
      <c r="ARM24" s="3507"/>
      <c r="ARN24" s="3507"/>
      <c r="ARO24" s="3507"/>
      <c r="ARP24" s="3507"/>
      <c r="ARQ24" s="3507"/>
      <c r="ARR24" s="3507"/>
      <c r="ARS24" s="3507"/>
      <c r="ART24" s="3507"/>
      <c r="ARU24" s="3507"/>
      <c r="ARV24" s="3507"/>
      <c r="ARW24" s="3507"/>
      <c r="ARX24" s="3507"/>
      <c r="ARY24" s="3507"/>
      <c r="ARZ24" s="3507"/>
      <c r="ASA24" s="3507"/>
      <c r="ASB24" s="3507"/>
      <c r="ASC24" s="3507"/>
      <c r="ASD24" s="3507"/>
      <c r="ASE24" s="3507"/>
      <c r="ASF24" s="3507"/>
      <c r="ASG24" s="3507"/>
      <c r="ASH24" s="3507"/>
      <c r="ASI24" s="3507"/>
      <c r="ASJ24" s="3507"/>
      <c r="ASK24" s="3507"/>
      <c r="ASL24" s="3507"/>
      <c r="ASM24" s="3507"/>
      <c r="ASN24" s="3507"/>
      <c r="ASO24" s="3507"/>
      <c r="ASP24" s="3507"/>
      <c r="ASQ24" s="3507"/>
      <c r="ASR24" s="3507"/>
      <c r="ASS24" s="3507"/>
      <c r="AST24" s="3507"/>
      <c r="ASU24" s="3507"/>
      <c r="ASV24" s="3507"/>
      <c r="ASW24" s="3507"/>
      <c r="ASX24" s="3507"/>
      <c r="ASY24" s="3507"/>
      <c r="ASZ24" s="3507"/>
      <c r="ATA24" s="3507"/>
      <c r="ATB24" s="3507"/>
      <c r="ATC24" s="3507"/>
      <c r="ATD24" s="3507"/>
      <c r="ATE24" s="3507"/>
      <c r="ATF24" s="3507"/>
      <c r="ATG24" s="3507"/>
      <c r="ATH24" s="3507"/>
      <c r="ATI24" s="3507"/>
      <c r="ATJ24" s="3507"/>
      <c r="ATK24" s="3507"/>
      <c r="ATL24" s="3507"/>
      <c r="ATM24" s="3507"/>
      <c r="ATN24" s="3507"/>
      <c r="ATO24" s="3507"/>
      <c r="ATP24" s="3507"/>
      <c r="ATQ24" s="3507"/>
      <c r="ATR24" s="3507"/>
      <c r="ATS24" s="3507"/>
      <c r="ATT24" s="3507"/>
      <c r="ATU24" s="3507"/>
      <c r="ATV24" s="3507"/>
      <c r="ATW24" s="3507"/>
      <c r="ATX24" s="3507"/>
      <c r="ATY24" s="3507"/>
      <c r="ATZ24" s="3507"/>
      <c r="AUA24" s="3507"/>
      <c r="AUB24" s="3507"/>
      <c r="AUC24" s="3507"/>
      <c r="AUD24" s="3507"/>
      <c r="AUE24" s="3507"/>
      <c r="AUF24" s="3507"/>
      <c r="AUG24" s="3507"/>
      <c r="AUH24" s="3507"/>
      <c r="AUI24" s="3507"/>
      <c r="AUJ24" s="3507"/>
      <c r="AUK24" s="3507"/>
      <c r="AUL24" s="3507"/>
      <c r="AUM24" s="3507"/>
      <c r="AUN24" s="3507"/>
      <c r="AUO24" s="3507"/>
      <c r="AUP24" s="3507"/>
      <c r="AUQ24" s="3507"/>
      <c r="AUR24" s="3507"/>
      <c r="AUS24" s="3507"/>
      <c r="AUT24" s="3507"/>
      <c r="AUU24" s="3507"/>
      <c r="AUV24" s="3507"/>
      <c r="AUW24" s="3507"/>
      <c r="AUX24" s="3507"/>
      <c r="AUY24" s="3507"/>
      <c r="AUZ24" s="3507"/>
      <c r="AVA24" s="3507"/>
      <c r="AVB24" s="3507"/>
      <c r="AVC24" s="3507"/>
      <c r="AVD24" s="3507"/>
      <c r="AVE24" s="3507"/>
      <c r="AVF24" s="3507"/>
      <c r="AVG24" s="3507"/>
      <c r="AVH24" s="3507"/>
      <c r="AVI24" s="3507"/>
      <c r="AVJ24" s="3507"/>
      <c r="AVK24" s="3507"/>
      <c r="AVL24" s="3507"/>
      <c r="AVM24" s="3507"/>
      <c r="AVN24" s="3507"/>
      <c r="AVO24" s="3507"/>
      <c r="AVP24" s="3507"/>
      <c r="AVQ24" s="3507"/>
      <c r="AVR24" s="3507"/>
      <c r="AVS24" s="3507"/>
      <c r="AVT24" s="3507"/>
      <c r="AVU24" s="3507"/>
      <c r="AVV24" s="3507"/>
      <c r="AVW24" s="3507"/>
      <c r="AVX24" s="3507"/>
      <c r="AVY24" s="3507"/>
      <c r="AVZ24" s="3507"/>
      <c r="AWA24" s="3507"/>
      <c r="AWB24" s="3507"/>
      <c r="AWC24" s="3507"/>
      <c r="AWD24" s="3507"/>
      <c r="AWE24" s="3507"/>
      <c r="AWF24" s="3507"/>
      <c r="AWG24" s="3507"/>
      <c r="AWH24" s="3507"/>
      <c r="AWI24" s="3507"/>
      <c r="AWJ24" s="3507"/>
      <c r="AWK24" s="3507"/>
      <c r="AWL24" s="3507"/>
      <c r="AWM24" s="3507"/>
      <c r="AWN24" s="3507"/>
      <c r="AWO24" s="3507"/>
      <c r="AWP24" s="3507"/>
      <c r="AWQ24" s="3507"/>
      <c r="AWR24" s="3507"/>
      <c r="AWS24" s="3507"/>
      <c r="AWT24" s="3507"/>
      <c r="AWU24" s="3507"/>
      <c r="AWV24" s="3507"/>
      <c r="AWW24" s="3507"/>
      <c r="AWX24" s="3507"/>
      <c r="AWY24" s="3507"/>
      <c r="AWZ24" s="3507"/>
      <c r="AXA24" s="3507"/>
      <c r="AXB24" s="3507"/>
      <c r="AXC24" s="3507"/>
      <c r="AXD24" s="3507"/>
      <c r="AXE24" s="3507"/>
      <c r="AXF24" s="3507"/>
      <c r="AXG24" s="3507"/>
      <c r="AXH24" s="3507"/>
      <c r="AXI24" s="3507"/>
      <c r="AXJ24" s="3507"/>
      <c r="AXK24" s="3507"/>
      <c r="AXL24" s="3507"/>
      <c r="AXM24" s="3507"/>
      <c r="AXN24" s="3507"/>
      <c r="AXO24" s="3507"/>
      <c r="AXP24" s="3507"/>
      <c r="AXQ24" s="3507"/>
      <c r="AXR24" s="3507"/>
      <c r="AXS24" s="3507"/>
      <c r="AXT24" s="3507"/>
      <c r="AXU24" s="3507"/>
      <c r="AXV24" s="3507"/>
      <c r="AXW24" s="3507"/>
      <c r="AXX24" s="3507"/>
      <c r="AXY24" s="3507"/>
      <c r="AXZ24" s="3507"/>
      <c r="AYA24" s="3507"/>
      <c r="AYB24" s="3507"/>
      <c r="AYC24" s="3507"/>
      <c r="AYD24" s="3507"/>
      <c r="AYE24" s="3507"/>
      <c r="AYF24" s="3507"/>
      <c r="AYG24" s="3507"/>
      <c r="AYH24" s="3507"/>
      <c r="AYI24" s="3507"/>
      <c r="AYJ24" s="3507"/>
      <c r="AYK24" s="3507"/>
      <c r="AYL24" s="3507"/>
      <c r="AYM24" s="3507"/>
      <c r="AYN24" s="3507"/>
      <c r="AYO24" s="3507"/>
      <c r="AYP24" s="3507"/>
      <c r="AYQ24" s="3507"/>
      <c r="AYR24" s="3507"/>
      <c r="AYS24" s="3507"/>
      <c r="AYT24" s="3507"/>
      <c r="AYU24" s="3507"/>
      <c r="AYV24" s="3507"/>
      <c r="AYW24" s="3507"/>
      <c r="AYX24" s="3507"/>
      <c r="AYY24" s="3507"/>
      <c r="AYZ24" s="3507"/>
      <c r="AZA24" s="3507"/>
      <c r="AZB24" s="3507"/>
      <c r="AZC24" s="3507"/>
      <c r="AZD24" s="3507"/>
      <c r="AZE24" s="3507"/>
      <c r="AZF24" s="3507"/>
      <c r="AZG24" s="3507"/>
      <c r="AZH24" s="3507"/>
      <c r="AZI24" s="3507"/>
      <c r="AZJ24" s="3507"/>
      <c r="AZK24" s="3507"/>
      <c r="AZL24" s="3507"/>
      <c r="AZM24" s="3507"/>
      <c r="AZN24" s="3507"/>
      <c r="AZO24" s="3507"/>
      <c r="AZP24" s="3507"/>
      <c r="AZQ24" s="3507"/>
      <c r="AZR24" s="3507"/>
      <c r="AZS24" s="3507"/>
      <c r="AZT24" s="3507"/>
      <c r="AZU24" s="3507"/>
      <c r="AZV24" s="3507"/>
      <c r="AZW24" s="3507"/>
      <c r="AZX24" s="3507"/>
      <c r="AZY24" s="3507"/>
      <c r="AZZ24" s="3507"/>
      <c r="BAA24" s="3507"/>
      <c r="BAB24" s="3507"/>
      <c r="BAC24" s="3507"/>
      <c r="BAD24" s="3507"/>
      <c r="BAE24" s="3507"/>
      <c r="BAF24" s="3507"/>
      <c r="BAG24" s="3507"/>
      <c r="BAH24" s="3507"/>
      <c r="BAI24" s="3507"/>
      <c r="BAJ24" s="3507"/>
      <c r="BAK24" s="3507"/>
      <c r="BAL24" s="3507"/>
      <c r="BAM24" s="3507"/>
      <c r="BAN24" s="3507"/>
      <c r="BAO24" s="3507"/>
      <c r="BAP24" s="3507"/>
      <c r="BAQ24" s="3507"/>
      <c r="BAR24" s="3507"/>
      <c r="BAS24" s="3507"/>
      <c r="BAT24" s="3507"/>
      <c r="BAU24" s="3507"/>
      <c r="BAV24" s="3507"/>
      <c r="BAW24" s="3507"/>
      <c r="BAX24" s="3507"/>
      <c r="BAY24" s="3507"/>
      <c r="BAZ24" s="3507"/>
      <c r="BBA24" s="3507"/>
      <c r="BBB24" s="3507"/>
      <c r="BBC24" s="3507"/>
      <c r="BBD24" s="3507"/>
      <c r="BBE24" s="3507"/>
      <c r="BBF24" s="3507"/>
      <c r="BBG24" s="3507"/>
      <c r="BBH24" s="3507"/>
      <c r="BBI24" s="3507"/>
      <c r="BBJ24" s="3507"/>
      <c r="BBK24" s="3507"/>
      <c r="BBL24" s="3507"/>
      <c r="BBM24" s="3507"/>
      <c r="BBN24" s="3507"/>
      <c r="BBO24" s="3507"/>
      <c r="BBP24" s="3507"/>
      <c r="BBQ24" s="3507"/>
      <c r="BBR24" s="3507"/>
      <c r="BBS24" s="3507"/>
      <c r="BBT24" s="3507"/>
      <c r="BBU24" s="3507"/>
      <c r="BBV24" s="3507"/>
      <c r="BBW24" s="3507"/>
      <c r="BBX24" s="3507"/>
      <c r="BBY24" s="3507"/>
      <c r="BBZ24" s="3507"/>
      <c r="BCA24" s="3507"/>
      <c r="BCB24" s="3507"/>
      <c r="BCC24" s="3507"/>
      <c r="BCD24" s="3507"/>
      <c r="BCE24" s="3507"/>
      <c r="BCF24" s="3507"/>
      <c r="BCG24" s="3507"/>
      <c r="BCH24" s="3507"/>
      <c r="BCI24" s="3507"/>
      <c r="BCJ24" s="3507"/>
      <c r="BCK24" s="3507"/>
      <c r="BCL24" s="3507"/>
      <c r="BCM24" s="3507"/>
      <c r="BCN24" s="3507"/>
      <c r="BCO24" s="3507"/>
      <c r="BCP24" s="3507"/>
      <c r="BCQ24" s="3507"/>
      <c r="BCR24" s="3507"/>
      <c r="BCS24" s="3507"/>
      <c r="BCT24" s="3507"/>
      <c r="BCU24" s="3507"/>
      <c r="BCV24" s="3507"/>
      <c r="BCW24" s="3507"/>
      <c r="BCX24" s="3507"/>
      <c r="BCY24" s="3507"/>
      <c r="BCZ24" s="3507"/>
      <c r="BDA24" s="3507"/>
      <c r="BDB24" s="3507"/>
      <c r="BDC24" s="3507"/>
      <c r="BDD24" s="3507"/>
      <c r="BDE24" s="3507"/>
      <c r="BDF24" s="3507"/>
      <c r="BDG24" s="3507"/>
      <c r="BDH24" s="3507"/>
      <c r="BDI24" s="3507"/>
      <c r="BDJ24" s="3507"/>
      <c r="BDK24" s="3507"/>
      <c r="BDL24" s="3507"/>
      <c r="BDM24" s="3507"/>
      <c r="BDN24" s="3507"/>
      <c r="BDO24" s="3507"/>
      <c r="BDP24" s="3507"/>
      <c r="BDQ24" s="3507"/>
      <c r="BDR24" s="3507"/>
      <c r="BDS24" s="3507"/>
      <c r="BDT24" s="3507"/>
      <c r="BDU24" s="3507"/>
      <c r="BDV24" s="3507"/>
      <c r="BDW24" s="3507"/>
      <c r="BDX24" s="3507"/>
      <c r="BDY24" s="3507"/>
      <c r="BDZ24" s="3507"/>
      <c r="BEA24" s="3507"/>
      <c r="BEB24" s="3507"/>
      <c r="BEC24" s="3507"/>
      <c r="BED24" s="3507"/>
      <c r="BEE24" s="3507"/>
      <c r="BEF24" s="3507"/>
      <c r="BEG24" s="3507"/>
      <c r="BEH24" s="3507"/>
      <c r="BEI24" s="3507"/>
      <c r="BEJ24" s="3507"/>
      <c r="BEK24" s="3507"/>
      <c r="BEL24" s="3507"/>
      <c r="BEM24" s="3507"/>
      <c r="BEN24" s="3507"/>
      <c r="BEO24" s="3507"/>
      <c r="BEP24" s="3507"/>
      <c r="BEQ24" s="3507"/>
      <c r="BER24" s="3507"/>
      <c r="BES24" s="3507"/>
      <c r="BET24" s="3507"/>
      <c r="BEU24" s="3507"/>
      <c r="BEV24" s="3507"/>
      <c r="BEW24" s="3507"/>
      <c r="BEX24" s="3507"/>
      <c r="BEY24" s="3507"/>
      <c r="BEZ24" s="3507"/>
      <c r="BFA24" s="3507"/>
      <c r="BFB24" s="3507"/>
      <c r="BFC24" s="3507"/>
      <c r="BFD24" s="3507"/>
      <c r="BFE24" s="3507"/>
      <c r="BFF24" s="3507"/>
      <c r="BFG24" s="3507"/>
      <c r="BFH24" s="3507"/>
      <c r="BFI24" s="3507"/>
      <c r="BFJ24" s="3507"/>
      <c r="BFK24" s="3507"/>
      <c r="BFL24" s="3507"/>
      <c r="BFM24" s="3507"/>
      <c r="BFN24" s="3507"/>
      <c r="BFO24" s="3507"/>
      <c r="BFP24" s="3507"/>
      <c r="BFQ24" s="3507"/>
      <c r="BFR24" s="3507"/>
      <c r="BFS24" s="3507"/>
      <c r="BFT24" s="3507"/>
      <c r="BFU24" s="3507"/>
      <c r="BFV24" s="3507"/>
      <c r="BFW24" s="3507"/>
      <c r="BFX24" s="3507"/>
      <c r="BFY24" s="3507"/>
      <c r="BFZ24" s="3507"/>
      <c r="BGA24" s="3507"/>
      <c r="BGB24" s="3507"/>
      <c r="BGC24" s="3507"/>
      <c r="BGD24" s="3507"/>
      <c r="BGE24" s="3507"/>
      <c r="BGF24" s="3507"/>
      <c r="BGG24" s="3507"/>
      <c r="BGH24" s="3507"/>
      <c r="BGI24" s="3507"/>
      <c r="BGJ24" s="3507"/>
      <c r="BGK24" s="3507"/>
      <c r="BGL24" s="3507"/>
      <c r="BGM24" s="3507"/>
      <c r="BGN24" s="3507"/>
      <c r="BGO24" s="3507"/>
      <c r="BGP24" s="3507"/>
      <c r="BGQ24" s="3507"/>
      <c r="BGR24" s="3507"/>
      <c r="BGS24" s="3507"/>
      <c r="BGT24" s="3507"/>
      <c r="BGU24" s="3507"/>
      <c r="BGV24" s="3507"/>
      <c r="BGW24" s="3507"/>
      <c r="BGX24" s="3507"/>
      <c r="BGY24" s="3507"/>
      <c r="BGZ24" s="3507"/>
      <c r="BHA24" s="3507"/>
      <c r="BHB24" s="3507"/>
      <c r="BHC24" s="3507"/>
      <c r="BHD24" s="3507"/>
      <c r="BHE24" s="3507"/>
      <c r="BHF24" s="3507"/>
      <c r="BHG24" s="3507"/>
      <c r="BHH24" s="3507"/>
      <c r="BHI24" s="3507"/>
      <c r="BHJ24" s="3507"/>
      <c r="BHK24" s="3507"/>
      <c r="BHL24" s="3507"/>
      <c r="BHM24" s="3507"/>
      <c r="BHN24" s="3507"/>
      <c r="BHO24" s="3507"/>
      <c r="BHP24" s="3507"/>
      <c r="BHQ24" s="3507"/>
      <c r="BHR24" s="3507"/>
      <c r="BHS24" s="3507"/>
      <c r="BHT24" s="3507"/>
      <c r="BHU24" s="3507"/>
      <c r="BHV24" s="3507"/>
      <c r="BHW24" s="3507"/>
      <c r="BHX24" s="3507"/>
      <c r="BHY24" s="3507"/>
      <c r="BHZ24" s="3507"/>
      <c r="BIA24" s="3507"/>
      <c r="BIB24" s="3507"/>
      <c r="BIC24" s="3507"/>
      <c r="BID24" s="3507"/>
      <c r="BIE24" s="3507"/>
      <c r="BIF24" s="3507"/>
      <c r="BIG24" s="3507"/>
      <c r="BIH24" s="3507"/>
      <c r="BII24" s="3507"/>
      <c r="BIJ24" s="3507"/>
      <c r="BIK24" s="3507"/>
      <c r="BIL24" s="3507"/>
      <c r="BIM24" s="3507"/>
      <c r="BIN24" s="3507"/>
      <c r="BIO24" s="3507"/>
      <c r="BIP24" s="3507"/>
      <c r="BIQ24" s="3507"/>
      <c r="BIR24" s="3507"/>
      <c r="BIS24" s="3507"/>
      <c r="BIT24" s="3507"/>
      <c r="BIU24" s="3507"/>
      <c r="BIV24" s="3507"/>
      <c r="BIW24" s="3507"/>
      <c r="BIX24" s="3507"/>
      <c r="BIY24" s="3507"/>
      <c r="BIZ24" s="3507"/>
      <c r="BJA24" s="3507"/>
      <c r="BJB24" s="3507"/>
      <c r="BJC24" s="3507"/>
      <c r="BJD24" s="3507"/>
      <c r="BJE24" s="3507"/>
      <c r="BJF24" s="3507"/>
      <c r="BJG24" s="3507"/>
      <c r="BJH24" s="3507"/>
      <c r="BJI24" s="3507"/>
      <c r="BJJ24" s="3507"/>
      <c r="BJK24" s="3507"/>
      <c r="BJL24" s="3507"/>
      <c r="BJM24" s="3507"/>
      <c r="BJN24" s="3507"/>
      <c r="BJO24" s="3507"/>
      <c r="BJP24" s="3507"/>
      <c r="BJQ24" s="3507"/>
      <c r="BJR24" s="3507"/>
      <c r="BJS24" s="3507"/>
      <c r="BJT24" s="3507"/>
      <c r="BJU24" s="3507"/>
      <c r="BJV24" s="3507"/>
      <c r="BJW24" s="3507"/>
      <c r="BJX24" s="3507"/>
      <c r="BJY24" s="3507"/>
      <c r="BJZ24" s="3507"/>
      <c r="BKA24" s="3507"/>
      <c r="BKB24" s="3507"/>
      <c r="BKC24" s="3507"/>
      <c r="BKD24" s="3507"/>
      <c r="BKE24" s="3507"/>
      <c r="BKF24" s="3507"/>
      <c r="BKG24" s="3507"/>
      <c r="BKH24" s="3507"/>
      <c r="BKI24" s="3507"/>
      <c r="BKJ24" s="3507"/>
      <c r="BKK24" s="3507"/>
      <c r="BKL24" s="3507"/>
      <c r="BKM24" s="3507"/>
      <c r="BKN24" s="3507"/>
      <c r="BKO24" s="3507"/>
      <c r="BKP24" s="3507"/>
      <c r="BKQ24" s="3507"/>
      <c r="BKR24" s="3507"/>
      <c r="BKS24" s="3507"/>
      <c r="BKT24" s="3507"/>
      <c r="BKU24" s="3507"/>
      <c r="BKV24" s="3507"/>
      <c r="BKW24" s="3507"/>
      <c r="BKX24" s="3507"/>
      <c r="BKY24" s="3507"/>
      <c r="BKZ24" s="3507"/>
      <c r="BLA24" s="3507"/>
      <c r="BLB24" s="3507"/>
      <c r="BLC24" s="3507"/>
      <c r="BLD24" s="3507"/>
      <c r="BLE24" s="3507"/>
      <c r="BLF24" s="3507"/>
      <c r="BLG24" s="3507"/>
      <c r="BLH24" s="3507"/>
      <c r="BLI24" s="3507"/>
      <c r="BLJ24" s="3507"/>
      <c r="BLK24" s="3507"/>
      <c r="BLL24" s="3507"/>
      <c r="BLM24" s="3507"/>
      <c r="BLN24" s="3507"/>
      <c r="BLO24" s="3507"/>
      <c r="BLP24" s="3507"/>
      <c r="BLQ24" s="3507"/>
      <c r="BLR24" s="3507"/>
      <c r="BLS24" s="3507"/>
      <c r="BLT24" s="3507"/>
      <c r="BLU24" s="3507"/>
      <c r="BLV24" s="3507"/>
      <c r="BLW24" s="3507"/>
      <c r="BLX24" s="3507"/>
      <c r="BLY24" s="3507"/>
      <c r="BLZ24" s="3507"/>
      <c r="BMA24" s="3507"/>
      <c r="BMB24" s="3507"/>
      <c r="BMC24" s="3507"/>
      <c r="BMD24" s="3507"/>
      <c r="BME24" s="3507"/>
      <c r="BMF24" s="3507"/>
      <c r="BMG24" s="3507"/>
      <c r="BMH24" s="3507"/>
      <c r="BMI24" s="3507"/>
      <c r="BMJ24" s="3507"/>
      <c r="BMK24" s="3507"/>
      <c r="BML24" s="3507"/>
      <c r="BMM24" s="3507"/>
      <c r="BMN24" s="3507"/>
      <c r="BMO24" s="3507"/>
      <c r="BMP24" s="3507"/>
      <c r="BMQ24" s="3507"/>
      <c r="BMR24" s="3507"/>
      <c r="BMS24" s="3507"/>
      <c r="BMT24" s="3507"/>
      <c r="BMU24" s="3507"/>
      <c r="BMV24" s="3507"/>
      <c r="BMW24" s="3507"/>
      <c r="BMX24" s="3507"/>
      <c r="BMY24" s="3507"/>
      <c r="BMZ24" s="3507"/>
      <c r="BNA24" s="3507"/>
      <c r="BNB24" s="3507"/>
      <c r="BNC24" s="3507"/>
      <c r="BND24" s="3507"/>
      <c r="BNE24" s="3507"/>
      <c r="BNF24" s="3507"/>
      <c r="BNG24" s="3507"/>
      <c r="BNH24" s="3507"/>
      <c r="BNI24" s="3507"/>
      <c r="BNJ24" s="3507"/>
      <c r="BNK24" s="3507"/>
      <c r="BNL24" s="3507"/>
      <c r="BNM24" s="3507"/>
      <c r="BNN24" s="3507"/>
      <c r="BNO24" s="3507"/>
      <c r="BNP24" s="3507"/>
      <c r="BNQ24" s="3507"/>
      <c r="BNR24" s="3507"/>
      <c r="BNS24" s="3507"/>
      <c r="BNT24" s="3507"/>
      <c r="BNU24" s="3507"/>
      <c r="BNV24" s="3507"/>
      <c r="BNW24" s="3507"/>
      <c r="BNX24" s="3507"/>
      <c r="BNY24" s="3507"/>
      <c r="BNZ24" s="3507"/>
      <c r="BOA24" s="3507"/>
      <c r="BOB24" s="3507"/>
      <c r="BOC24" s="3507"/>
      <c r="BOD24" s="3507"/>
      <c r="BOE24" s="3507"/>
      <c r="BOF24" s="3507"/>
      <c r="BOG24" s="3507"/>
      <c r="BOH24" s="3507"/>
      <c r="BOI24" s="3507"/>
      <c r="BOJ24" s="3507"/>
      <c r="BOK24" s="3507"/>
      <c r="BOL24" s="3507"/>
      <c r="BOM24" s="3507"/>
      <c r="BON24" s="3507"/>
      <c r="BOO24" s="3507"/>
      <c r="BOP24" s="3507"/>
      <c r="BOQ24" s="3507"/>
      <c r="BOR24" s="3507"/>
      <c r="BOS24" s="3507"/>
      <c r="BOT24" s="3507"/>
      <c r="BOU24" s="3507"/>
      <c r="BOV24" s="3507"/>
      <c r="BOW24" s="3507"/>
      <c r="BOX24" s="3507"/>
      <c r="BOY24" s="3507"/>
      <c r="BOZ24" s="3507"/>
      <c r="BPA24" s="3507"/>
      <c r="BPB24" s="3507"/>
      <c r="BPC24" s="3507"/>
      <c r="BPD24" s="3507"/>
      <c r="BPE24" s="3507"/>
      <c r="BPF24" s="3507"/>
      <c r="BPG24" s="3507"/>
      <c r="BPH24" s="3507"/>
      <c r="BPI24" s="3507"/>
      <c r="BPJ24" s="3507"/>
      <c r="BPK24" s="3507"/>
      <c r="BPL24" s="3507"/>
      <c r="BPM24" s="3507"/>
      <c r="BPN24" s="3507"/>
      <c r="BPO24" s="3507"/>
      <c r="BPP24" s="3507"/>
      <c r="BPQ24" s="3507"/>
      <c r="BPR24" s="3507"/>
      <c r="BPS24" s="3507"/>
      <c r="BPT24" s="3507"/>
      <c r="BPU24" s="3507"/>
      <c r="BPV24" s="3507"/>
      <c r="BPW24" s="3507"/>
      <c r="BPX24" s="3507"/>
      <c r="BPY24" s="3507"/>
      <c r="BPZ24" s="3507"/>
      <c r="BQA24" s="3507"/>
      <c r="BQB24" s="3507"/>
      <c r="BQC24" s="3507"/>
      <c r="BQD24" s="3507"/>
      <c r="BQE24" s="3507"/>
      <c r="BQF24" s="3507"/>
      <c r="BQG24" s="3507"/>
      <c r="BQH24" s="3507"/>
      <c r="BQI24" s="3507"/>
      <c r="BQJ24" s="3507"/>
      <c r="BQK24" s="3507"/>
      <c r="BQL24" s="3507"/>
      <c r="BQM24" s="3507"/>
      <c r="BQN24" s="3507"/>
      <c r="BQO24" s="3507"/>
      <c r="BQP24" s="3507"/>
      <c r="BQQ24" s="3507"/>
      <c r="BQR24" s="3507"/>
      <c r="BQS24" s="3507"/>
      <c r="BQT24" s="3507"/>
      <c r="BQU24" s="3507"/>
      <c r="BQV24" s="3507"/>
      <c r="BQW24" s="3507"/>
      <c r="BQX24" s="3507"/>
      <c r="BQY24" s="3507"/>
      <c r="BQZ24" s="3507"/>
      <c r="BRA24" s="3507"/>
      <c r="BRB24" s="3507"/>
      <c r="BRC24" s="3507"/>
      <c r="BRD24" s="3507"/>
      <c r="BRE24" s="3507"/>
      <c r="BRF24" s="3507"/>
      <c r="BRG24" s="3507"/>
      <c r="BRH24" s="3507"/>
      <c r="BRI24" s="3507"/>
      <c r="BRJ24" s="3507"/>
      <c r="BRK24" s="3507"/>
      <c r="BRL24" s="3507"/>
      <c r="BRM24" s="3507"/>
      <c r="BRN24" s="3507"/>
      <c r="BRO24" s="3507"/>
      <c r="BRP24" s="3507"/>
      <c r="BRQ24" s="3507"/>
      <c r="BRR24" s="3507"/>
      <c r="BRS24" s="3507"/>
      <c r="BRT24" s="3507"/>
      <c r="BRU24" s="3507"/>
      <c r="BRV24" s="3507"/>
      <c r="BRW24" s="3507"/>
      <c r="BRX24" s="3507"/>
      <c r="BRY24" s="3507"/>
      <c r="BRZ24" s="3507"/>
      <c r="BSA24" s="3507"/>
      <c r="BSB24" s="3507"/>
      <c r="BSC24" s="3507"/>
      <c r="BSD24" s="3507"/>
      <c r="BSE24" s="3507"/>
      <c r="BSF24" s="3507"/>
      <c r="BSG24" s="3507"/>
      <c r="BSH24" s="3507"/>
      <c r="BSI24" s="3507"/>
      <c r="BSJ24" s="3507"/>
      <c r="BSK24" s="3507"/>
      <c r="BSL24" s="3507"/>
      <c r="BSM24" s="3507"/>
      <c r="BSN24" s="3507"/>
      <c r="BSO24" s="3507"/>
      <c r="BSP24" s="3507"/>
      <c r="BSQ24" s="3507"/>
      <c r="BSR24" s="3507"/>
      <c r="BSS24" s="3507"/>
      <c r="BST24" s="3507"/>
      <c r="BSU24" s="3507"/>
      <c r="BSV24" s="3507"/>
      <c r="BSW24" s="3507"/>
      <c r="BSX24" s="3507"/>
      <c r="BSY24" s="3507"/>
      <c r="BSZ24" s="3507"/>
      <c r="BTA24" s="3507"/>
      <c r="BTB24" s="3507"/>
      <c r="BTC24" s="3507"/>
      <c r="BTD24" s="3507"/>
      <c r="BTE24" s="3507"/>
      <c r="BTF24" s="3507"/>
      <c r="BTG24" s="3507"/>
      <c r="BTH24" s="3507"/>
      <c r="BTI24" s="3507"/>
      <c r="BTJ24" s="3507"/>
      <c r="BTK24" s="3507"/>
      <c r="BTL24" s="3507"/>
      <c r="BTM24" s="3507"/>
      <c r="BTN24" s="3507"/>
      <c r="BTO24" s="3507"/>
      <c r="BTP24" s="3507"/>
      <c r="BTQ24" s="3507"/>
      <c r="BTR24" s="3507"/>
      <c r="BTS24" s="3507"/>
      <c r="BTT24" s="3507"/>
      <c r="BTU24" s="3507"/>
      <c r="BTV24" s="3507"/>
      <c r="BTW24" s="3507"/>
      <c r="BTX24" s="3507"/>
      <c r="BTY24" s="3507"/>
      <c r="BTZ24" s="3507"/>
      <c r="BUA24" s="3507"/>
      <c r="BUB24" s="3507"/>
      <c r="BUC24" s="3507"/>
      <c r="BUD24" s="3507"/>
      <c r="BUE24" s="3507"/>
      <c r="BUF24" s="3507"/>
      <c r="BUG24" s="3507"/>
      <c r="BUH24" s="3507"/>
      <c r="BUI24" s="3507"/>
      <c r="BUJ24" s="3507"/>
      <c r="BUK24" s="3507"/>
      <c r="BUL24" s="3507"/>
      <c r="BUM24" s="3507"/>
      <c r="BUN24" s="3507"/>
      <c r="BUO24" s="3507"/>
      <c r="BUP24" s="3507"/>
      <c r="BUQ24" s="3507"/>
      <c r="BUR24" s="3507"/>
      <c r="BUS24" s="3507"/>
      <c r="BUT24" s="3507"/>
      <c r="BUU24" s="3507"/>
      <c r="BUV24" s="3507"/>
      <c r="BUW24" s="3507"/>
      <c r="BUX24" s="3507"/>
      <c r="BUY24" s="3507"/>
      <c r="BUZ24" s="3507"/>
      <c r="BVA24" s="3507"/>
      <c r="BVB24" s="3507"/>
      <c r="BVC24" s="3507"/>
      <c r="BVD24" s="3507"/>
      <c r="BVE24" s="3507"/>
      <c r="BVF24" s="3507"/>
      <c r="BVG24" s="3507"/>
      <c r="BVH24" s="3507"/>
      <c r="BVI24" s="3507"/>
      <c r="BVJ24" s="3507"/>
      <c r="BVK24" s="3507"/>
      <c r="BVL24" s="3507"/>
      <c r="BVM24" s="3507"/>
      <c r="BVN24" s="3507"/>
      <c r="BVO24" s="3507"/>
      <c r="BVP24" s="3507"/>
      <c r="BVQ24" s="3507"/>
      <c r="BVR24" s="3507"/>
      <c r="BVS24" s="3507"/>
      <c r="BVT24" s="3507"/>
      <c r="BVU24" s="3507"/>
      <c r="BVV24" s="3507"/>
      <c r="BVW24" s="3507"/>
      <c r="BVX24" s="3507"/>
      <c r="BVY24" s="3507"/>
      <c r="BVZ24" s="3507"/>
      <c r="BWA24" s="3507"/>
      <c r="BWB24" s="3507"/>
      <c r="BWC24" s="3507"/>
      <c r="BWD24" s="3507"/>
      <c r="BWE24" s="3507"/>
      <c r="BWF24" s="3507"/>
      <c r="BWG24" s="3507"/>
      <c r="BWH24" s="3507"/>
      <c r="BWI24" s="3507"/>
      <c r="BWJ24" s="3507"/>
      <c r="BWK24" s="3507"/>
      <c r="BWL24" s="3507"/>
      <c r="BWM24" s="3507"/>
      <c r="BWN24" s="3507"/>
      <c r="BWO24" s="3507"/>
      <c r="BWP24" s="3507"/>
      <c r="BWQ24" s="3507"/>
      <c r="BWR24" s="3507"/>
      <c r="BWS24" s="3507"/>
      <c r="BWT24" s="3507"/>
      <c r="BWU24" s="3507"/>
      <c r="BWV24" s="3507"/>
      <c r="BWW24" s="3507"/>
      <c r="BWX24" s="3507"/>
      <c r="BWY24" s="3507"/>
      <c r="BWZ24" s="3507"/>
      <c r="BXA24" s="3507"/>
      <c r="BXB24" s="3507"/>
      <c r="BXC24" s="3507"/>
      <c r="BXD24" s="3507"/>
      <c r="BXE24" s="3507"/>
      <c r="BXF24" s="3507"/>
      <c r="BXG24" s="3507"/>
      <c r="BXH24" s="3507"/>
      <c r="BXI24" s="3507"/>
      <c r="BXJ24" s="3507"/>
      <c r="BXK24" s="3507"/>
      <c r="BXL24" s="3507"/>
      <c r="BXM24" s="3507"/>
      <c r="BXN24" s="3507"/>
      <c r="BXO24" s="3507"/>
      <c r="BXP24" s="3507"/>
      <c r="BXQ24" s="3507"/>
      <c r="BXR24" s="3507"/>
      <c r="BXS24" s="3507"/>
      <c r="BXT24" s="3507"/>
      <c r="BXU24" s="3507"/>
      <c r="BXV24" s="3507"/>
      <c r="BXW24" s="3507"/>
      <c r="BXX24" s="3507"/>
      <c r="BXY24" s="3507"/>
      <c r="BXZ24" s="3507"/>
      <c r="BYA24" s="3507"/>
      <c r="BYB24" s="3507"/>
      <c r="BYC24" s="3507"/>
      <c r="BYD24" s="3507"/>
      <c r="BYE24" s="3507"/>
      <c r="BYF24" s="3507"/>
      <c r="BYG24" s="3507"/>
      <c r="BYH24" s="3507"/>
      <c r="BYI24" s="3507"/>
      <c r="BYJ24" s="3507"/>
      <c r="BYK24" s="3507"/>
      <c r="BYL24" s="3507"/>
      <c r="BYM24" s="3507"/>
      <c r="BYN24" s="3507"/>
      <c r="BYO24" s="3507"/>
      <c r="BYP24" s="3507"/>
      <c r="BYQ24" s="3507"/>
      <c r="BYR24" s="3507"/>
      <c r="BYS24" s="3507"/>
      <c r="BYT24" s="3507"/>
      <c r="BYU24" s="3507"/>
      <c r="BYV24" s="3507"/>
      <c r="BYW24" s="3507"/>
      <c r="BYX24" s="3507"/>
      <c r="BYY24" s="3507"/>
      <c r="BYZ24" s="3507"/>
      <c r="BZA24" s="3507"/>
      <c r="BZB24" s="3507"/>
      <c r="BZC24" s="3507"/>
      <c r="BZD24" s="3507"/>
      <c r="BZE24" s="3507"/>
      <c r="BZF24" s="3507"/>
      <c r="BZG24" s="3507"/>
      <c r="BZH24" s="3507"/>
      <c r="BZI24" s="3507"/>
      <c r="BZJ24" s="3507"/>
      <c r="BZK24" s="3507"/>
      <c r="BZL24" s="3507"/>
      <c r="BZM24" s="3507"/>
      <c r="BZN24" s="3507"/>
      <c r="BZO24" s="3507"/>
      <c r="BZP24" s="3507"/>
      <c r="BZQ24" s="3507"/>
      <c r="BZR24" s="3507"/>
      <c r="BZS24" s="3507"/>
      <c r="BZT24" s="3507"/>
      <c r="BZU24" s="3507"/>
      <c r="BZV24" s="3507"/>
      <c r="BZW24" s="3507"/>
      <c r="BZX24" s="3507"/>
      <c r="BZY24" s="3507"/>
      <c r="BZZ24" s="3507"/>
      <c r="CAA24" s="3507"/>
      <c r="CAB24" s="3507"/>
      <c r="CAC24" s="3507"/>
      <c r="CAD24" s="3507"/>
      <c r="CAE24" s="3507"/>
      <c r="CAF24" s="3507"/>
      <c r="CAG24" s="3507"/>
      <c r="CAH24" s="3507"/>
      <c r="CAI24" s="3507"/>
      <c r="CAJ24" s="3507"/>
      <c r="CAK24" s="3507"/>
      <c r="CAL24" s="3507"/>
      <c r="CAM24" s="3507"/>
      <c r="CAN24" s="3507"/>
      <c r="CAO24" s="3507"/>
      <c r="CAP24" s="3507"/>
      <c r="CAQ24" s="3507"/>
      <c r="CAR24" s="3507"/>
      <c r="CAS24" s="3507"/>
      <c r="CAT24" s="3507"/>
      <c r="CAU24" s="3507"/>
      <c r="CAV24" s="3507"/>
      <c r="CAW24" s="3507"/>
      <c r="CAX24" s="3507"/>
      <c r="CAY24" s="3507"/>
      <c r="CAZ24" s="3507"/>
      <c r="CBA24" s="3507"/>
      <c r="CBB24" s="3507"/>
      <c r="CBC24" s="3507"/>
      <c r="CBD24" s="3507"/>
      <c r="CBE24" s="3507"/>
      <c r="CBF24" s="3507"/>
      <c r="CBG24" s="3507"/>
      <c r="CBH24" s="3507"/>
      <c r="CBI24" s="3507"/>
      <c r="CBJ24" s="3507"/>
      <c r="CBK24" s="3507"/>
      <c r="CBL24" s="3507"/>
      <c r="CBM24" s="3507"/>
      <c r="CBN24" s="3507"/>
      <c r="CBO24" s="3507"/>
      <c r="CBP24" s="3507"/>
      <c r="CBQ24" s="3507"/>
      <c r="CBR24" s="3507"/>
      <c r="CBS24" s="3507"/>
      <c r="CBT24" s="3507"/>
      <c r="CBU24" s="3507"/>
      <c r="CBV24" s="3507"/>
      <c r="CBW24" s="3507"/>
      <c r="CBX24" s="3507"/>
      <c r="CBY24" s="3507"/>
      <c r="CBZ24" s="3507"/>
      <c r="CCA24" s="3507"/>
      <c r="CCB24" s="3507"/>
      <c r="CCC24" s="3507"/>
      <c r="CCD24" s="3507"/>
      <c r="CCE24" s="3507"/>
      <c r="CCF24" s="3507"/>
      <c r="CCG24" s="3507"/>
      <c r="CCH24" s="3507"/>
      <c r="CCI24" s="3507"/>
      <c r="CCJ24" s="3507"/>
      <c r="CCK24" s="3507"/>
      <c r="CCL24" s="3507"/>
      <c r="CCM24" s="3507"/>
      <c r="CCN24" s="3507"/>
      <c r="CCO24" s="3507"/>
      <c r="CCP24" s="3507"/>
      <c r="CCQ24" s="3507"/>
      <c r="CCR24" s="3507"/>
      <c r="CCS24" s="3507"/>
      <c r="CCT24" s="3507"/>
      <c r="CCU24" s="3507"/>
      <c r="CCV24" s="3507"/>
      <c r="CCW24" s="3507"/>
      <c r="CCX24" s="3507"/>
      <c r="CCY24" s="3507"/>
      <c r="CCZ24" s="3507"/>
      <c r="CDA24" s="3507"/>
      <c r="CDB24" s="3507"/>
      <c r="CDC24" s="3507"/>
      <c r="CDD24" s="3507"/>
      <c r="CDE24" s="3507"/>
      <c r="CDF24" s="3507"/>
      <c r="CDG24" s="3507"/>
      <c r="CDH24" s="3507"/>
      <c r="CDI24" s="3507"/>
      <c r="CDJ24" s="3507"/>
      <c r="CDK24" s="3507"/>
      <c r="CDL24" s="3507"/>
      <c r="CDM24" s="3507"/>
      <c r="CDN24" s="3507"/>
      <c r="CDO24" s="3507"/>
      <c r="CDP24" s="3507"/>
      <c r="CDQ24" s="3507"/>
      <c r="CDR24" s="3507"/>
      <c r="CDS24" s="3507"/>
      <c r="CDT24" s="3507"/>
      <c r="CDU24" s="3507"/>
      <c r="CDV24" s="3507"/>
      <c r="CDW24" s="3507"/>
      <c r="CDX24" s="3507"/>
      <c r="CDY24" s="3507"/>
      <c r="CDZ24" s="3507"/>
      <c r="CEA24" s="3507"/>
      <c r="CEB24" s="3507"/>
      <c r="CEC24" s="3507"/>
      <c r="CED24" s="3507"/>
      <c r="CEE24" s="3507"/>
      <c r="CEF24" s="3507"/>
      <c r="CEG24" s="3507"/>
      <c r="CEH24" s="3507"/>
      <c r="CEI24" s="3507"/>
      <c r="CEJ24" s="3507"/>
      <c r="CEK24" s="3507"/>
      <c r="CEL24" s="3507"/>
      <c r="CEM24" s="3507"/>
      <c r="CEN24" s="3507"/>
      <c r="CEO24" s="3507"/>
      <c r="CEP24" s="3507"/>
      <c r="CEQ24" s="3507"/>
      <c r="CER24" s="3507"/>
      <c r="CES24" s="3507"/>
      <c r="CET24" s="3507"/>
      <c r="CEU24" s="3507"/>
      <c r="CEV24" s="3507"/>
      <c r="CEW24" s="3507"/>
      <c r="CEX24" s="3507"/>
      <c r="CEY24" s="3507"/>
      <c r="CEZ24" s="3507"/>
      <c r="CFA24" s="3507"/>
      <c r="CFB24" s="3507"/>
      <c r="CFC24" s="3507"/>
      <c r="CFD24" s="3507"/>
      <c r="CFE24" s="3507"/>
      <c r="CFF24" s="3507"/>
      <c r="CFG24" s="3507"/>
      <c r="CFH24" s="3507"/>
      <c r="CFI24" s="3507"/>
      <c r="CFJ24" s="3507"/>
      <c r="CFK24" s="3507"/>
      <c r="CFL24" s="3507"/>
      <c r="CFM24" s="3507"/>
      <c r="CFN24" s="3507"/>
      <c r="CFO24" s="3507"/>
      <c r="CFP24" s="3507"/>
      <c r="CFQ24" s="3507"/>
      <c r="CFR24" s="3507"/>
      <c r="CFS24" s="3507"/>
      <c r="CFT24" s="3507"/>
      <c r="CFU24" s="3507"/>
      <c r="CFV24" s="3507"/>
      <c r="CFW24" s="3507"/>
      <c r="CFX24" s="3507"/>
      <c r="CFY24" s="3507"/>
      <c r="CFZ24" s="3507"/>
      <c r="CGA24" s="3507"/>
      <c r="CGB24" s="3507"/>
      <c r="CGC24" s="3507"/>
      <c r="CGD24" s="3507"/>
      <c r="CGE24" s="3507"/>
      <c r="CGF24" s="3507"/>
      <c r="CGG24" s="3507"/>
      <c r="CGH24" s="3507"/>
      <c r="CGI24" s="3507"/>
      <c r="CGJ24" s="3507"/>
      <c r="CGK24" s="3507"/>
      <c r="CGL24" s="3507"/>
      <c r="CGM24" s="3507"/>
      <c r="CGN24" s="3507"/>
      <c r="CGO24" s="3507"/>
      <c r="CGP24" s="3507"/>
      <c r="CGQ24" s="3507"/>
      <c r="CGR24" s="3507"/>
      <c r="CGS24" s="3507"/>
      <c r="CGT24" s="3507"/>
      <c r="CGU24" s="3507"/>
      <c r="CGV24" s="3507"/>
      <c r="CGW24" s="3507"/>
      <c r="CGX24" s="3507"/>
      <c r="CGY24" s="3507"/>
      <c r="CGZ24" s="3507"/>
      <c r="CHA24" s="3507"/>
      <c r="CHB24" s="3507"/>
      <c r="CHC24" s="3507"/>
      <c r="CHD24" s="3507"/>
      <c r="CHE24" s="3507"/>
      <c r="CHF24" s="3507"/>
      <c r="CHG24" s="3507"/>
      <c r="CHH24" s="3507"/>
      <c r="CHI24" s="3507"/>
      <c r="CHJ24" s="3507"/>
      <c r="CHK24" s="3507"/>
      <c r="CHL24" s="3507"/>
      <c r="CHM24" s="3507"/>
      <c r="CHN24" s="3507"/>
      <c r="CHO24" s="3507"/>
      <c r="CHP24" s="3507"/>
      <c r="CHQ24" s="3507"/>
      <c r="CHR24" s="3507"/>
      <c r="CHS24" s="3507"/>
      <c r="CHT24" s="3507"/>
      <c r="CHU24" s="3507"/>
      <c r="CHV24" s="3507"/>
      <c r="CHW24" s="3507"/>
      <c r="CHX24" s="3507"/>
      <c r="CHY24" s="3507"/>
      <c r="CHZ24" s="3507"/>
      <c r="CIA24" s="3507"/>
      <c r="CIB24" s="3507"/>
      <c r="CIC24" s="3507"/>
      <c r="CID24" s="3507"/>
      <c r="CIE24" s="3507"/>
      <c r="CIF24" s="3507"/>
      <c r="CIG24" s="3507"/>
      <c r="CIH24" s="3507"/>
      <c r="CII24" s="3507"/>
      <c r="CIJ24" s="3507"/>
      <c r="CIK24" s="3507"/>
      <c r="CIL24" s="3507"/>
      <c r="CIM24" s="3507"/>
      <c r="CIN24" s="3507"/>
      <c r="CIO24" s="3507"/>
      <c r="CIP24" s="3507"/>
      <c r="CIQ24" s="3507"/>
      <c r="CIR24" s="3507"/>
      <c r="CIS24" s="3507"/>
      <c r="CIT24" s="3507"/>
      <c r="CIU24" s="3507"/>
      <c r="CIV24" s="3507"/>
      <c r="CIW24" s="3507"/>
      <c r="CIX24" s="3507"/>
      <c r="CIY24" s="3507"/>
      <c r="CIZ24" s="3507"/>
      <c r="CJA24" s="3507"/>
      <c r="CJB24" s="3507"/>
      <c r="CJC24" s="3507"/>
      <c r="CJD24" s="3507"/>
      <c r="CJE24" s="3507"/>
      <c r="CJF24" s="3507"/>
      <c r="CJG24" s="3507"/>
      <c r="CJH24" s="3507"/>
      <c r="CJI24" s="3507"/>
      <c r="CJJ24" s="3507"/>
      <c r="CJK24" s="3507"/>
      <c r="CJL24" s="3507"/>
      <c r="CJM24" s="3507"/>
      <c r="CJN24" s="3507"/>
      <c r="CJO24" s="3507"/>
      <c r="CJP24" s="3507"/>
      <c r="CJQ24" s="3507"/>
      <c r="CJR24" s="3507"/>
      <c r="CJS24" s="3507"/>
      <c r="CJT24" s="3507"/>
      <c r="CJU24" s="3507"/>
      <c r="CJV24" s="3507"/>
      <c r="CJW24" s="3507"/>
      <c r="CJX24" s="3507"/>
      <c r="CJY24" s="3507"/>
      <c r="CJZ24" s="3507"/>
      <c r="CKA24" s="3507"/>
      <c r="CKB24" s="3507"/>
      <c r="CKC24" s="3507"/>
      <c r="CKD24" s="3507"/>
      <c r="CKE24" s="3507"/>
      <c r="CKF24" s="3507"/>
      <c r="CKG24" s="3507"/>
      <c r="CKH24" s="3507"/>
      <c r="CKI24" s="3507"/>
      <c r="CKJ24" s="3507"/>
      <c r="CKK24" s="3507"/>
      <c r="CKL24" s="3507"/>
      <c r="CKM24" s="3507"/>
      <c r="CKN24" s="3507"/>
      <c r="CKO24" s="3507"/>
      <c r="CKP24" s="3507"/>
      <c r="CKQ24" s="3507"/>
      <c r="CKR24" s="3507"/>
      <c r="CKS24" s="3507"/>
      <c r="CKT24" s="3507"/>
      <c r="CKU24" s="3507"/>
      <c r="CKV24" s="3507"/>
      <c r="CKW24" s="3507"/>
      <c r="CKX24" s="3507"/>
      <c r="CKY24" s="3507"/>
      <c r="CKZ24" s="3507"/>
      <c r="CLA24" s="3507"/>
      <c r="CLB24" s="3507"/>
      <c r="CLC24" s="3507"/>
      <c r="CLD24" s="3507"/>
      <c r="CLE24" s="3507"/>
      <c r="CLF24" s="3507"/>
      <c r="CLG24" s="3507"/>
      <c r="CLH24" s="3507"/>
      <c r="CLI24" s="3507"/>
      <c r="CLJ24" s="3507"/>
      <c r="CLK24" s="3507"/>
      <c r="CLL24" s="3507"/>
      <c r="CLM24" s="3507"/>
      <c r="CLN24" s="3507"/>
      <c r="CLO24" s="3507"/>
      <c r="CLP24" s="3507"/>
      <c r="CLQ24" s="3507"/>
      <c r="CLR24" s="3507"/>
      <c r="CLS24" s="3507"/>
      <c r="CLT24" s="3507"/>
      <c r="CLU24" s="3507"/>
      <c r="CLV24" s="3507"/>
      <c r="CLW24" s="3507"/>
      <c r="CLX24" s="3507"/>
      <c r="CLY24" s="3507"/>
      <c r="CLZ24" s="3507"/>
      <c r="CMA24" s="3507"/>
      <c r="CMB24" s="3507"/>
      <c r="CMC24" s="3507"/>
      <c r="CMD24" s="3507"/>
      <c r="CME24" s="3507"/>
      <c r="CMF24" s="3507"/>
      <c r="CMG24" s="3507"/>
      <c r="CMH24" s="3507"/>
      <c r="CMI24" s="3507"/>
      <c r="CMJ24" s="3507"/>
      <c r="CMK24" s="3507"/>
      <c r="CML24" s="3507"/>
      <c r="CMM24" s="3507"/>
      <c r="CMN24" s="3507"/>
      <c r="CMO24" s="3507"/>
      <c r="CMP24" s="3507"/>
      <c r="CMQ24" s="3507"/>
      <c r="CMR24" s="3507"/>
      <c r="CMS24" s="3507"/>
      <c r="CMT24" s="3507"/>
      <c r="CMU24" s="3507"/>
      <c r="CMV24" s="3507"/>
      <c r="CMW24" s="3507"/>
      <c r="CMX24" s="3507"/>
      <c r="CMY24" s="3507"/>
      <c r="CMZ24" s="3507"/>
      <c r="CNA24" s="3507"/>
      <c r="CNB24" s="3507"/>
      <c r="CNC24" s="3507"/>
      <c r="CND24" s="3507"/>
      <c r="CNE24" s="3507"/>
      <c r="CNF24" s="3507"/>
      <c r="CNG24" s="3507"/>
      <c r="CNH24" s="3507"/>
      <c r="CNI24" s="3507"/>
      <c r="CNJ24" s="3507"/>
      <c r="CNK24" s="3507"/>
      <c r="CNL24" s="3507"/>
      <c r="CNM24" s="3507"/>
      <c r="CNN24" s="3507"/>
      <c r="CNO24" s="3507"/>
      <c r="CNP24" s="3507"/>
      <c r="CNQ24" s="3507"/>
      <c r="CNR24" s="3507"/>
      <c r="CNS24" s="3507"/>
      <c r="CNT24" s="3507"/>
      <c r="CNU24" s="3507"/>
      <c r="CNV24" s="3507"/>
      <c r="CNW24" s="3507"/>
      <c r="CNX24" s="3507"/>
      <c r="CNY24" s="3507"/>
      <c r="CNZ24" s="3507"/>
      <c r="COA24" s="3507"/>
      <c r="COB24" s="3507"/>
      <c r="COC24" s="3507"/>
      <c r="COD24" s="3507"/>
      <c r="COE24" s="3507"/>
      <c r="COF24" s="3507"/>
      <c r="COG24" s="3507"/>
      <c r="COH24" s="3507"/>
      <c r="COI24" s="3507"/>
      <c r="COJ24" s="3507"/>
      <c r="COK24" s="3507"/>
      <c r="COL24" s="3507"/>
      <c r="COM24" s="3507"/>
      <c r="CON24" s="3507"/>
      <c r="COO24" s="3507"/>
      <c r="COP24" s="3507"/>
      <c r="COQ24" s="3507"/>
      <c r="COR24" s="3507"/>
      <c r="COS24" s="3507"/>
      <c r="COT24" s="3507"/>
      <c r="COU24" s="3507"/>
      <c r="COV24" s="3507"/>
      <c r="COW24" s="3507"/>
      <c r="COX24" s="3507"/>
      <c r="COY24" s="3507"/>
      <c r="COZ24" s="3507"/>
      <c r="CPA24" s="3507"/>
      <c r="CPB24" s="3507"/>
      <c r="CPC24" s="3507"/>
      <c r="CPD24" s="3507"/>
      <c r="CPE24" s="3507"/>
      <c r="CPF24" s="3507"/>
      <c r="CPG24" s="3507"/>
      <c r="CPH24" s="3507"/>
      <c r="CPI24" s="3507"/>
      <c r="CPJ24" s="3507"/>
      <c r="CPK24" s="3507"/>
      <c r="CPL24" s="3507"/>
      <c r="CPM24" s="3507"/>
      <c r="CPN24" s="3507"/>
      <c r="CPO24" s="3507"/>
      <c r="CPP24" s="3507"/>
      <c r="CPQ24" s="3507"/>
      <c r="CPR24" s="3507"/>
      <c r="CPS24" s="3507"/>
      <c r="CPT24" s="3507"/>
      <c r="CPU24" s="3507"/>
      <c r="CPV24" s="3507"/>
      <c r="CPW24" s="3507"/>
      <c r="CPX24" s="3507"/>
      <c r="CPY24" s="3507"/>
      <c r="CPZ24" s="3507"/>
      <c r="CQA24" s="3507"/>
      <c r="CQB24" s="3507"/>
      <c r="CQC24" s="3507"/>
      <c r="CQD24" s="3507"/>
      <c r="CQE24" s="3507"/>
      <c r="CQF24" s="3507"/>
      <c r="CQG24" s="3507"/>
      <c r="CQH24" s="3507"/>
      <c r="CQI24" s="3507"/>
      <c r="CQJ24" s="3507"/>
      <c r="CQK24" s="3507"/>
      <c r="CQL24" s="3507"/>
      <c r="CQM24" s="3507"/>
      <c r="CQN24" s="3507"/>
      <c r="CQO24" s="3507"/>
      <c r="CQP24" s="3507"/>
      <c r="CQQ24" s="3507"/>
      <c r="CQR24" s="3507"/>
      <c r="CQS24" s="3507"/>
      <c r="CQT24" s="3507"/>
      <c r="CQU24" s="3507"/>
      <c r="CQV24" s="3507"/>
      <c r="CQW24" s="3507"/>
      <c r="CQX24" s="3507"/>
      <c r="CQY24" s="3507"/>
      <c r="CQZ24" s="3507"/>
      <c r="CRA24" s="3507"/>
      <c r="CRB24" s="3507"/>
      <c r="CRC24" s="3507"/>
      <c r="CRD24" s="3507"/>
      <c r="CRE24" s="3507"/>
      <c r="CRF24" s="3507"/>
      <c r="CRG24" s="3507"/>
      <c r="CRH24" s="3507"/>
      <c r="CRI24" s="3507"/>
      <c r="CRJ24" s="3507"/>
      <c r="CRK24" s="3507"/>
      <c r="CRL24" s="3507"/>
      <c r="CRM24" s="3507"/>
      <c r="CRN24" s="3507"/>
      <c r="CRO24" s="3507"/>
      <c r="CRP24" s="3507"/>
      <c r="CRQ24" s="3507"/>
      <c r="CRR24" s="3507"/>
      <c r="CRS24" s="3507"/>
      <c r="CRT24" s="3507"/>
      <c r="CRU24" s="3507"/>
      <c r="CRV24" s="3507"/>
      <c r="CRW24" s="3507"/>
      <c r="CRX24" s="3507"/>
      <c r="CRY24" s="3507"/>
      <c r="CRZ24" s="3507"/>
      <c r="CSA24" s="3507"/>
      <c r="CSB24" s="3507"/>
      <c r="CSC24" s="3507"/>
      <c r="CSD24" s="3507"/>
      <c r="CSE24" s="3507"/>
      <c r="CSF24" s="3507"/>
      <c r="CSG24" s="3507"/>
      <c r="CSH24" s="3507"/>
      <c r="CSI24" s="3507"/>
      <c r="CSJ24" s="3507"/>
      <c r="CSK24" s="3507"/>
      <c r="CSL24" s="3507"/>
      <c r="CSM24" s="3507"/>
      <c r="CSN24" s="3507"/>
      <c r="CSO24" s="3507"/>
      <c r="CSP24" s="3507"/>
      <c r="CSQ24" s="3507"/>
      <c r="CSR24" s="3507"/>
      <c r="CSS24" s="3507"/>
      <c r="CST24" s="3507"/>
      <c r="CSU24" s="3507"/>
      <c r="CSV24" s="3507"/>
      <c r="CSW24" s="3507"/>
      <c r="CSX24" s="3507"/>
      <c r="CSY24" s="3507"/>
      <c r="CSZ24" s="3507"/>
      <c r="CTA24" s="3507"/>
      <c r="CTB24" s="3507"/>
      <c r="CTC24" s="3507"/>
      <c r="CTD24" s="3507"/>
      <c r="CTE24" s="3507"/>
      <c r="CTF24" s="3507"/>
      <c r="CTG24" s="3507"/>
      <c r="CTH24" s="3507"/>
      <c r="CTI24" s="3507"/>
      <c r="CTJ24" s="3507"/>
      <c r="CTK24" s="3507"/>
      <c r="CTL24" s="3507"/>
      <c r="CTM24" s="3507"/>
      <c r="CTN24" s="3507"/>
      <c r="CTO24" s="3507"/>
      <c r="CTP24" s="3507"/>
      <c r="CTQ24" s="3507"/>
      <c r="CTR24" s="3507"/>
      <c r="CTS24" s="3507"/>
      <c r="CTT24" s="3507"/>
      <c r="CTU24" s="3507"/>
      <c r="CTV24" s="3507"/>
      <c r="CTW24" s="3507"/>
      <c r="CTX24" s="3507"/>
      <c r="CTY24" s="3507"/>
      <c r="CTZ24" s="3507"/>
      <c r="CUA24" s="3507"/>
      <c r="CUB24" s="3507"/>
      <c r="CUC24" s="3507"/>
      <c r="CUD24" s="3507"/>
      <c r="CUE24" s="3507"/>
      <c r="CUF24" s="3507"/>
      <c r="CUG24" s="3507"/>
      <c r="CUH24" s="3507"/>
      <c r="CUI24" s="3507"/>
      <c r="CUJ24" s="3507"/>
      <c r="CUK24" s="3507"/>
      <c r="CUL24" s="3507"/>
      <c r="CUM24" s="3507"/>
      <c r="CUN24" s="3507"/>
      <c r="CUO24" s="3507"/>
      <c r="CUP24" s="3507"/>
      <c r="CUQ24" s="3507"/>
      <c r="CUR24" s="3507"/>
      <c r="CUS24" s="3507"/>
      <c r="CUT24" s="3507"/>
      <c r="CUU24" s="3507"/>
      <c r="CUV24" s="3507"/>
      <c r="CUW24" s="3507"/>
      <c r="CUX24" s="3507"/>
      <c r="CUY24" s="3507"/>
      <c r="CUZ24" s="3507"/>
      <c r="CVA24" s="3507"/>
      <c r="CVB24" s="3507"/>
      <c r="CVC24" s="3507"/>
      <c r="CVD24" s="3507"/>
      <c r="CVE24" s="3507"/>
      <c r="CVF24" s="3507"/>
      <c r="CVG24" s="3507"/>
      <c r="CVH24" s="3507"/>
      <c r="CVI24" s="3507"/>
      <c r="CVJ24" s="3507"/>
      <c r="CVK24" s="3507"/>
      <c r="CVL24" s="3507"/>
      <c r="CVM24" s="3507"/>
      <c r="CVN24" s="3507"/>
      <c r="CVO24" s="3507"/>
      <c r="CVP24" s="3507"/>
      <c r="CVQ24" s="3507"/>
      <c r="CVR24" s="3507"/>
      <c r="CVS24" s="3507"/>
      <c r="CVT24" s="3507"/>
      <c r="CVU24" s="3507"/>
      <c r="CVV24" s="3507"/>
      <c r="CVW24" s="3507"/>
      <c r="CVX24" s="3507"/>
      <c r="CVY24" s="3507"/>
      <c r="CVZ24" s="3507"/>
      <c r="CWA24" s="3507"/>
      <c r="CWB24" s="3507"/>
      <c r="CWC24" s="3507"/>
      <c r="CWD24" s="3507"/>
      <c r="CWE24" s="3507"/>
      <c r="CWF24" s="3507"/>
      <c r="CWG24" s="3507"/>
      <c r="CWH24" s="3507"/>
      <c r="CWI24" s="3507"/>
      <c r="CWJ24" s="3507"/>
      <c r="CWK24" s="3507"/>
      <c r="CWL24" s="3507"/>
      <c r="CWM24" s="3507"/>
      <c r="CWN24" s="3507"/>
      <c r="CWO24" s="3507"/>
      <c r="CWP24" s="3507"/>
      <c r="CWQ24" s="3507"/>
      <c r="CWR24" s="3507"/>
      <c r="CWS24" s="3507"/>
      <c r="CWT24" s="3507"/>
      <c r="CWU24" s="3507"/>
      <c r="CWV24" s="3507"/>
      <c r="CWW24" s="3507"/>
      <c r="CWX24" s="3507"/>
      <c r="CWY24" s="3507"/>
      <c r="CWZ24" s="3507"/>
      <c r="CXA24" s="3507"/>
      <c r="CXB24" s="3507"/>
      <c r="CXC24" s="3507"/>
      <c r="CXD24" s="3507"/>
      <c r="CXE24" s="3507"/>
      <c r="CXF24" s="3507"/>
      <c r="CXG24" s="3507"/>
      <c r="CXH24" s="3507"/>
      <c r="CXI24" s="3507"/>
      <c r="CXJ24" s="3507"/>
      <c r="CXK24" s="3507"/>
      <c r="CXL24" s="3507"/>
      <c r="CXM24" s="3507"/>
      <c r="CXN24" s="3507"/>
      <c r="CXO24" s="3507"/>
      <c r="CXP24" s="3507"/>
      <c r="CXQ24" s="3507"/>
      <c r="CXR24" s="3507"/>
      <c r="CXS24" s="3507"/>
      <c r="CXT24" s="3507"/>
      <c r="CXU24" s="3507"/>
      <c r="CXV24" s="3507"/>
      <c r="CXW24" s="3507"/>
      <c r="CXX24" s="3507"/>
      <c r="CXY24" s="3507"/>
      <c r="CXZ24" s="3507"/>
      <c r="CYA24" s="3507"/>
      <c r="CYB24" s="3507"/>
      <c r="CYC24" s="3507"/>
      <c r="CYD24" s="3507"/>
      <c r="CYE24" s="3507"/>
      <c r="CYF24" s="3507"/>
      <c r="CYG24" s="3507"/>
      <c r="CYH24" s="3507"/>
      <c r="CYI24" s="3507"/>
      <c r="CYJ24" s="3507"/>
      <c r="CYK24" s="3507"/>
      <c r="CYL24" s="3507"/>
      <c r="CYM24" s="3507"/>
      <c r="CYN24" s="3507"/>
      <c r="CYO24" s="3507"/>
      <c r="CYP24" s="3507"/>
      <c r="CYQ24" s="3507"/>
      <c r="CYR24" s="3507"/>
      <c r="CYS24" s="3507"/>
      <c r="CYT24" s="3507"/>
      <c r="CYU24" s="3507"/>
      <c r="CYV24" s="3507"/>
      <c r="CYW24" s="3507"/>
      <c r="CYX24" s="3507"/>
      <c r="CYY24" s="3507"/>
      <c r="CYZ24" s="3507"/>
      <c r="CZA24" s="3507"/>
      <c r="CZB24" s="3507"/>
      <c r="CZC24" s="3507"/>
      <c r="CZD24" s="3507"/>
      <c r="CZE24" s="3507"/>
      <c r="CZF24" s="3507"/>
      <c r="CZG24" s="3507"/>
      <c r="CZH24" s="3507"/>
      <c r="CZI24" s="3507"/>
      <c r="CZJ24" s="3507"/>
      <c r="CZK24" s="3507"/>
      <c r="CZL24" s="3507"/>
      <c r="CZM24" s="3507"/>
      <c r="CZN24" s="3507"/>
      <c r="CZO24" s="3507"/>
      <c r="CZP24" s="3507"/>
      <c r="CZQ24" s="3507"/>
      <c r="CZR24" s="3507"/>
      <c r="CZS24" s="3507"/>
      <c r="CZT24" s="3507"/>
      <c r="CZU24" s="3507"/>
      <c r="CZV24" s="3507"/>
      <c r="CZW24" s="3507"/>
      <c r="CZX24" s="3507"/>
      <c r="CZY24" s="3507"/>
      <c r="CZZ24" s="3507"/>
      <c r="DAA24" s="3507"/>
      <c r="DAB24" s="3507"/>
      <c r="DAC24" s="3507"/>
      <c r="DAD24" s="3507"/>
      <c r="DAE24" s="3507"/>
      <c r="DAF24" s="3507"/>
      <c r="DAG24" s="3507"/>
      <c r="DAH24" s="3507"/>
      <c r="DAI24" s="3507"/>
      <c r="DAJ24" s="3507"/>
      <c r="DAK24" s="3507"/>
      <c r="DAL24" s="3507"/>
      <c r="DAM24" s="3507"/>
      <c r="DAN24" s="3507"/>
      <c r="DAO24" s="3507"/>
      <c r="DAP24" s="3507"/>
      <c r="DAQ24" s="3507"/>
      <c r="DAR24" s="3507"/>
      <c r="DAS24" s="3507"/>
      <c r="DAT24" s="3507"/>
      <c r="DAU24" s="3507"/>
      <c r="DAV24" s="3507"/>
      <c r="DAW24" s="3507"/>
      <c r="DAX24" s="3507"/>
      <c r="DAY24" s="3507"/>
      <c r="DAZ24" s="3507"/>
      <c r="DBA24" s="3507"/>
      <c r="DBB24" s="3507"/>
      <c r="DBC24" s="3507"/>
      <c r="DBD24" s="3507"/>
      <c r="DBE24" s="3507"/>
      <c r="DBF24" s="3507"/>
      <c r="DBG24" s="3507"/>
      <c r="DBH24" s="3507"/>
      <c r="DBI24" s="3507"/>
      <c r="DBJ24" s="3507"/>
      <c r="DBK24" s="3507"/>
      <c r="DBL24" s="3507"/>
      <c r="DBM24" s="3507"/>
      <c r="DBN24" s="3507"/>
      <c r="DBO24" s="3507"/>
      <c r="DBP24" s="3507"/>
      <c r="DBQ24" s="3507"/>
      <c r="DBR24" s="3507"/>
      <c r="DBS24" s="3507"/>
      <c r="DBT24" s="3507"/>
      <c r="DBU24" s="3507"/>
      <c r="DBV24" s="3507"/>
      <c r="DBW24" s="3507"/>
      <c r="DBX24" s="3507"/>
      <c r="DBY24" s="3507"/>
      <c r="DBZ24" s="3507"/>
      <c r="DCA24" s="3507"/>
      <c r="DCB24" s="3507"/>
      <c r="DCC24" s="3507"/>
      <c r="DCD24" s="3507"/>
      <c r="DCE24" s="3507"/>
      <c r="DCF24" s="3507"/>
      <c r="DCG24" s="3507"/>
      <c r="DCH24" s="3507"/>
      <c r="DCI24" s="3507"/>
      <c r="DCJ24" s="3507"/>
      <c r="DCK24" s="3507"/>
      <c r="DCL24" s="3507"/>
      <c r="DCM24" s="3507"/>
      <c r="DCN24" s="3507"/>
      <c r="DCO24" s="3507"/>
      <c r="DCP24" s="3507"/>
      <c r="DCQ24" s="3507"/>
      <c r="DCR24" s="3507"/>
      <c r="DCS24" s="3507"/>
      <c r="DCT24" s="3507"/>
      <c r="DCU24" s="3507"/>
      <c r="DCV24" s="3507"/>
      <c r="DCW24" s="3507"/>
      <c r="DCX24" s="3507"/>
      <c r="DCY24" s="3507"/>
      <c r="DCZ24" s="3507"/>
      <c r="DDA24" s="3507"/>
      <c r="DDB24" s="3507"/>
      <c r="DDC24" s="3507"/>
      <c r="DDD24" s="3507"/>
      <c r="DDE24" s="3507"/>
      <c r="DDF24" s="3507"/>
      <c r="DDG24" s="3507"/>
      <c r="DDH24" s="3507"/>
      <c r="DDI24" s="3507"/>
      <c r="DDJ24" s="3507"/>
      <c r="DDK24" s="3507"/>
      <c r="DDL24" s="3507"/>
      <c r="DDM24" s="3507"/>
      <c r="DDN24" s="3507"/>
      <c r="DDO24" s="3507"/>
      <c r="DDP24" s="3507"/>
      <c r="DDQ24" s="3507"/>
      <c r="DDR24" s="3507"/>
      <c r="DDS24" s="3507"/>
      <c r="DDT24" s="3507"/>
      <c r="DDU24" s="3507"/>
      <c r="DDV24" s="3507"/>
      <c r="DDW24" s="3507"/>
      <c r="DDX24" s="3507"/>
      <c r="DDY24" s="3507"/>
      <c r="DDZ24" s="3507"/>
      <c r="DEA24" s="3507"/>
      <c r="DEB24" s="3507"/>
      <c r="DEC24" s="3507"/>
      <c r="DED24" s="3507"/>
      <c r="DEE24" s="3507"/>
      <c r="DEF24" s="3507"/>
      <c r="DEG24" s="3507"/>
      <c r="DEH24" s="3507"/>
      <c r="DEI24" s="3507"/>
      <c r="DEJ24" s="3507"/>
      <c r="DEK24" s="3507"/>
      <c r="DEL24" s="3507"/>
      <c r="DEM24" s="3507"/>
      <c r="DEN24" s="3507"/>
      <c r="DEO24" s="3507"/>
      <c r="DEP24" s="3507"/>
      <c r="DEQ24" s="3507"/>
      <c r="DER24" s="3507"/>
      <c r="DES24" s="3507"/>
      <c r="DET24" s="3507"/>
      <c r="DEU24" s="3507"/>
      <c r="DEV24" s="3507"/>
      <c r="DEW24" s="3507"/>
      <c r="DEX24" s="3507"/>
      <c r="DEY24" s="3507"/>
      <c r="DEZ24" s="3507"/>
      <c r="DFA24" s="3507"/>
      <c r="DFB24" s="3507"/>
      <c r="DFC24" s="3507"/>
      <c r="DFD24" s="3507"/>
      <c r="DFE24" s="3507"/>
      <c r="DFF24" s="3507"/>
      <c r="DFG24" s="3507"/>
      <c r="DFH24" s="3507"/>
      <c r="DFI24" s="3507"/>
      <c r="DFJ24" s="3507"/>
      <c r="DFK24" s="3507"/>
      <c r="DFL24" s="3507"/>
      <c r="DFM24" s="3507"/>
      <c r="DFN24" s="3507"/>
      <c r="DFO24" s="3507"/>
      <c r="DFP24" s="3507"/>
      <c r="DFQ24" s="3507"/>
      <c r="DFR24" s="3507"/>
      <c r="DFS24" s="3507"/>
      <c r="DFT24" s="3507"/>
      <c r="DFU24" s="3507"/>
      <c r="DFV24" s="3507"/>
      <c r="DFW24" s="3507"/>
      <c r="DFX24" s="3507"/>
      <c r="DFY24" s="3507"/>
      <c r="DFZ24" s="3507"/>
      <c r="DGA24" s="3507"/>
      <c r="DGB24" s="3507"/>
      <c r="DGC24" s="3507"/>
      <c r="DGD24" s="3507"/>
      <c r="DGE24" s="3507"/>
      <c r="DGF24" s="3507"/>
      <c r="DGG24" s="3507"/>
      <c r="DGH24" s="3507"/>
      <c r="DGI24" s="3507"/>
      <c r="DGJ24" s="3507"/>
      <c r="DGK24" s="3507"/>
      <c r="DGL24" s="3507"/>
      <c r="DGM24" s="3507"/>
      <c r="DGN24" s="3507"/>
      <c r="DGO24" s="3507"/>
      <c r="DGP24" s="3507"/>
      <c r="DGQ24" s="3507"/>
      <c r="DGR24" s="3507"/>
      <c r="DGS24" s="3507"/>
      <c r="DGT24" s="3507"/>
      <c r="DGU24" s="3507"/>
      <c r="DGV24" s="3507"/>
      <c r="DGW24" s="3507"/>
      <c r="DGX24" s="3507"/>
      <c r="DGY24" s="3507"/>
      <c r="DGZ24" s="3507"/>
      <c r="DHA24" s="3507"/>
      <c r="DHB24" s="3507"/>
      <c r="DHC24" s="3507"/>
      <c r="DHD24" s="3507"/>
      <c r="DHE24" s="3507"/>
      <c r="DHF24" s="3507"/>
      <c r="DHG24" s="3507"/>
      <c r="DHH24" s="3507"/>
      <c r="DHI24" s="3507"/>
      <c r="DHJ24" s="3507"/>
      <c r="DHK24" s="3507"/>
      <c r="DHL24" s="3507"/>
      <c r="DHM24" s="3507"/>
      <c r="DHN24" s="3507"/>
      <c r="DHO24" s="3507"/>
      <c r="DHP24" s="3507"/>
      <c r="DHQ24" s="3507"/>
      <c r="DHR24" s="3507"/>
      <c r="DHS24" s="3507"/>
      <c r="DHT24" s="3507"/>
      <c r="DHU24" s="3507"/>
      <c r="DHV24" s="3507"/>
      <c r="DHW24" s="3507"/>
      <c r="DHX24" s="3507"/>
      <c r="DHY24" s="3507"/>
      <c r="DHZ24" s="3507"/>
      <c r="DIA24" s="3507"/>
      <c r="DIB24" s="3507"/>
      <c r="DIC24" s="3507"/>
      <c r="DID24" s="3507"/>
      <c r="DIE24" s="3507"/>
      <c r="DIF24" s="3507"/>
      <c r="DIG24" s="3507"/>
      <c r="DIH24" s="3507"/>
      <c r="DII24" s="3507"/>
      <c r="DIJ24" s="3507"/>
      <c r="DIK24" s="3507"/>
      <c r="DIL24" s="3507"/>
      <c r="DIM24" s="3507"/>
      <c r="DIN24" s="3507"/>
      <c r="DIO24" s="3507"/>
      <c r="DIP24" s="3507"/>
      <c r="DIQ24" s="3507"/>
      <c r="DIR24" s="3507"/>
      <c r="DIS24" s="3507"/>
      <c r="DIT24" s="3507"/>
      <c r="DIU24" s="3507"/>
      <c r="DIV24" s="3507"/>
      <c r="DIW24" s="3507"/>
      <c r="DIX24" s="3507"/>
      <c r="DIY24" s="3507"/>
      <c r="DIZ24" s="3507"/>
      <c r="DJA24" s="3507"/>
      <c r="DJB24" s="3507"/>
      <c r="DJC24" s="3507"/>
      <c r="DJD24" s="3507"/>
      <c r="DJE24" s="3507"/>
      <c r="DJF24" s="3507"/>
      <c r="DJG24" s="3507"/>
      <c r="DJH24" s="3507"/>
      <c r="DJI24" s="3507"/>
      <c r="DJJ24" s="3507"/>
      <c r="DJK24" s="3507"/>
      <c r="DJL24" s="3507"/>
      <c r="DJM24" s="3507"/>
      <c r="DJN24" s="3507"/>
      <c r="DJO24" s="3507"/>
      <c r="DJP24" s="3507"/>
      <c r="DJQ24" s="3507"/>
      <c r="DJR24" s="3507"/>
      <c r="DJS24" s="3507"/>
      <c r="DJT24" s="3507"/>
      <c r="DJU24" s="3507"/>
      <c r="DJV24" s="3507"/>
      <c r="DJW24" s="3507"/>
      <c r="DJX24" s="3507"/>
      <c r="DJY24" s="3507"/>
      <c r="DJZ24" s="3507"/>
      <c r="DKA24" s="3507"/>
      <c r="DKB24" s="3507"/>
      <c r="DKC24" s="3507"/>
      <c r="DKD24" s="3507"/>
      <c r="DKE24" s="3507"/>
      <c r="DKF24" s="3507"/>
      <c r="DKG24" s="3507"/>
      <c r="DKH24" s="3507"/>
      <c r="DKI24" s="3507"/>
      <c r="DKJ24" s="3507"/>
      <c r="DKK24" s="3507"/>
      <c r="DKL24" s="3507"/>
      <c r="DKM24" s="3507"/>
      <c r="DKN24" s="3507"/>
      <c r="DKO24" s="3507"/>
      <c r="DKP24" s="3507"/>
      <c r="DKQ24" s="3507"/>
      <c r="DKR24" s="3507"/>
      <c r="DKS24" s="3507"/>
      <c r="DKT24" s="3507"/>
      <c r="DKU24" s="3507"/>
      <c r="DKV24" s="3507"/>
      <c r="DKW24" s="3507"/>
      <c r="DKX24" s="3507"/>
      <c r="DKY24" s="3507"/>
      <c r="DKZ24" s="3507"/>
      <c r="DLA24" s="3507"/>
      <c r="DLB24" s="3507"/>
      <c r="DLC24" s="3507"/>
      <c r="DLD24" s="3507"/>
      <c r="DLE24" s="3507"/>
      <c r="DLF24" s="3507"/>
      <c r="DLG24" s="3507"/>
      <c r="DLH24" s="3507"/>
      <c r="DLI24" s="3507"/>
      <c r="DLJ24" s="3507"/>
      <c r="DLK24" s="3507"/>
      <c r="DLL24" s="3507"/>
      <c r="DLM24" s="3507"/>
      <c r="DLN24" s="3507"/>
      <c r="DLO24" s="3507"/>
      <c r="DLP24" s="3507"/>
      <c r="DLQ24" s="3507"/>
      <c r="DLR24" s="3507"/>
      <c r="DLS24" s="3507"/>
      <c r="DLT24" s="3507"/>
      <c r="DLU24" s="3507"/>
      <c r="DLV24" s="3507"/>
      <c r="DLW24" s="3507"/>
      <c r="DLX24" s="3507"/>
      <c r="DLY24" s="3507"/>
      <c r="DLZ24" s="3507"/>
      <c r="DMA24" s="3507"/>
      <c r="DMB24" s="3507"/>
      <c r="DMC24" s="3507"/>
      <c r="DMD24" s="3507"/>
      <c r="DME24" s="3507"/>
      <c r="DMF24" s="3507"/>
      <c r="DMG24" s="3507"/>
      <c r="DMH24" s="3507"/>
      <c r="DMI24" s="3507"/>
      <c r="DMJ24" s="3507"/>
      <c r="DMK24" s="3507"/>
      <c r="DML24" s="3507"/>
      <c r="DMM24" s="3507"/>
      <c r="DMN24" s="3507"/>
      <c r="DMO24" s="3507"/>
      <c r="DMP24" s="3507"/>
      <c r="DMQ24" s="3507"/>
      <c r="DMR24" s="3507"/>
      <c r="DMS24" s="3507"/>
      <c r="DMT24" s="3507"/>
      <c r="DMU24" s="3507"/>
      <c r="DMV24" s="3507"/>
      <c r="DMW24" s="3507"/>
      <c r="DMX24" s="3507"/>
      <c r="DMY24" s="3507"/>
      <c r="DMZ24" s="3507"/>
      <c r="DNA24" s="3507"/>
      <c r="DNB24" s="3507"/>
      <c r="DNC24" s="3507"/>
      <c r="DND24" s="3507"/>
      <c r="DNE24" s="3507"/>
      <c r="DNF24" s="3507"/>
      <c r="DNG24" s="3507"/>
      <c r="DNH24" s="3507"/>
      <c r="DNI24" s="3507"/>
      <c r="DNJ24" s="3507"/>
      <c r="DNK24" s="3507"/>
      <c r="DNL24" s="3507"/>
      <c r="DNM24" s="3507"/>
      <c r="DNN24" s="3507"/>
      <c r="DNO24" s="3507"/>
      <c r="DNP24" s="3507"/>
      <c r="DNQ24" s="3507"/>
      <c r="DNR24" s="3507"/>
      <c r="DNS24" s="3507"/>
      <c r="DNT24" s="3507"/>
      <c r="DNU24" s="3507"/>
      <c r="DNV24" s="3507"/>
      <c r="DNW24" s="3507"/>
      <c r="DNX24" s="3507"/>
      <c r="DNY24" s="3507"/>
      <c r="DNZ24" s="3507"/>
      <c r="DOA24" s="3507"/>
      <c r="DOB24" s="3507"/>
      <c r="DOC24" s="3507"/>
      <c r="DOD24" s="3507"/>
      <c r="DOE24" s="3507"/>
      <c r="DOF24" s="3507"/>
      <c r="DOG24" s="3507"/>
      <c r="DOH24" s="3507"/>
      <c r="DOI24" s="3507"/>
      <c r="DOJ24" s="3507"/>
      <c r="DOK24" s="3507"/>
      <c r="DOL24" s="3507"/>
      <c r="DOM24" s="3507"/>
      <c r="DON24" s="3507"/>
      <c r="DOO24" s="3507"/>
      <c r="DOP24" s="3507"/>
      <c r="DOQ24" s="3507"/>
      <c r="DOR24" s="3507"/>
      <c r="DOS24" s="3507"/>
      <c r="DOT24" s="3507"/>
      <c r="DOU24" s="3507"/>
      <c r="DOV24" s="3507"/>
      <c r="DOW24" s="3507"/>
      <c r="DOX24" s="3507"/>
      <c r="DOY24" s="3507"/>
      <c r="DOZ24" s="3507"/>
      <c r="DPA24" s="3507"/>
      <c r="DPB24" s="3507"/>
      <c r="DPC24" s="3507"/>
      <c r="DPD24" s="3507"/>
      <c r="DPE24" s="3507"/>
      <c r="DPF24" s="3507"/>
      <c r="DPG24" s="3507"/>
      <c r="DPH24" s="3507"/>
      <c r="DPI24" s="3507"/>
      <c r="DPJ24" s="3507"/>
      <c r="DPK24" s="3507"/>
      <c r="DPL24" s="3507"/>
      <c r="DPM24" s="3507"/>
      <c r="DPN24" s="3507"/>
      <c r="DPO24" s="3507"/>
      <c r="DPP24" s="3507"/>
      <c r="DPQ24" s="3507"/>
      <c r="DPR24" s="3507"/>
      <c r="DPS24" s="3507"/>
      <c r="DPT24" s="3507"/>
      <c r="DPU24" s="3507"/>
      <c r="DPV24" s="3507"/>
      <c r="DPW24" s="3507"/>
      <c r="DPX24" s="3507"/>
      <c r="DPY24" s="3507"/>
      <c r="DPZ24" s="3507"/>
      <c r="DQA24" s="3507"/>
      <c r="DQB24" s="3507"/>
      <c r="DQC24" s="3507"/>
      <c r="DQD24" s="3507"/>
      <c r="DQE24" s="3507"/>
      <c r="DQF24" s="3507"/>
      <c r="DQG24" s="3507"/>
      <c r="DQH24" s="3507"/>
      <c r="DQI24" s="3507"/>
      <c r="DQJ24" s="3507"/>
      <c r="DQK24" s="3507"/>
      <c r="DQL24" s="3507"/>
      <c r="DQM24" s="3507"/>
      <c r="DQN24" s="3507"/>
      <c r="DQO24" s="3507"/>
      <c r="DQP24" s="3507"/>
      <c r="DQQ24" s="3507"/>
      <c r="DQR24" s="3507"/>
      <c r="DQS24" s="3507"/>
      <c r="DQT24" s="3507"/>
      <c r="DQU24" s="3507"/>
      <c r="DQV24" s="3507"/>
      <c r="DQW24" s="3507"/>
      <c r="DQX24" s="3507"/>
      <c r="DQY24" s="3507"/>
      <c r="DQZ24" s="3507"/>
      <c r="DRA24" s="3507"/>
      <c r="DRB24" s="3507"/>
      <c r="DRC24" s="3507"/>
      <c r="DRD24" s="3507"/>
      <c r="DRE24" s="3507"/>
      <c r="DRF24" s="3507"/>
      <c r="DRG24" s="3507"/>
      <c r="DRH24" s="3507"/>
      <c r="DRI24" s="3507"/>
      <c r="DRJ24" s="3507"/>
      <c r="DRK24" s="3507"/>
      <c r="DRL24" s="3507"/>
      <c r="DRM24" s="3507"/>
      <c r="DRN24" s="3507"/>
      <c r="DRO24" s="3507"/>
      <c r="DRP24" s="3507"/>
      <c r="DRQ24" s="3507"/>
      <c r="DRR24" s="3507"/>
      <c r="DRS24" s="3507"/>
      <c r="DRT24" s="3507"/>
      <c r="DRU24" s="3507"/>
      <c r="DRV24" s="3507"/>
      <c r="DRW24" s="3507"/>
      <c r="DRX24" s="3507"/>
      <c r="DRY24" s="3507"/>
      <c r="DRZ24" s="3507"/>
      <c r="DSA24" s="3507"/>
      <c r="DSB24" s="3507"/>
      <c r="DSC24" s="3507"/>
      <c r="DSD24" s="3507"/>
      <c r="DSE24" s="3507"/>
      <c r="DSF24" s="3507"/>
      <c r="DSG24" s="3507"/>
      <c r="DSH24" s="3507"/>
      <c r="DSI24" s="3507"/>
      <c r="DSJ24" s="3507"/>
      <c r="DSK24" s="3507"/>
      <c r="DSL24" s="3507"/>
      <c r="DSM24" s="3507"/>
      <c r="DSN24" s="3507"/>
      <c r="DSO24" s="3507"/>
      <c r="DSP24" s="3507"/>
      <c r="DSQ24" s="3507"/>
      <c r="DSR24" s="3507"/>
      <c r="DSS24" s="3507"/>
      <c r="DST24" s="3507"/>
      <c r="DSU24" s="3507"/>
      <c r="DSV24" s="3507"/>
      <c r="DSW24" s="3507"/>
      <c r="DSX24" s="3507"/>
      <c r="DSY24" s="3507"/>
      <c r="DSZ24" s="3507"/>
      <c r="DTA24" s="3507"/>
      <c r="DTB24" s="3507"/>
      <c r="DTC24" s="3507"/>
      <c r="DTD24" s="3507"/>
      <c r="DTE24" s="3507"/>
      <c r="DTF24" s="3507"/>
      <c r="DTG24" s="3507"/>
      <c r="DTH24" s="3507"/>
      <c r="DTI24" s="3507"/>
      <c r="DTJ24" s="3507"/>
      <c r="DTK24" s="3507"/>
      <c r="DTL24" s="3507"/>
      <c r="DTM24" s="3507"/>
      <c r="DTN24" s="3507"/>
      <c r="DTO24" s="3507"/>
      <c r="DTP24" s="3507"/>
      <c r="DTQ24" s="3507"/>
      <c r="DTR24" s="3507"/>
      <c r="DTS24" s="3507"/>
      <c r="DTT24" s="3507"/>
      <c r="DTU24" s="3507"/>
      <c r="DTV24" s="3507"/>
      <c r="DTW24" s="3507"/>
      <c r="DTX24" s="3507"/>
      <c r="DTY24" s="3507"/>
      <c r="DTZ24" s="3507"/>
      <c r="DUA24" s="3507"/>
      <c r="DUB24" s="3507"/>
      <c r="DUC24" s="3507"/>
      <c r="DUD24" s="3507"/>
      <c r="DUE24" s="3507"/>
      <c r="DUF24" s="3507"/>
      <c r="DUG24" s="3507"/>
      <c r="DUH24" s="3507"/>
      <c r="DUI24" s="3507"/>
      <c r="DUJ24" s="3507"/>
      <c r="DUK24" s="3507"/>
      <c r="DUL24" s="3507"/>
      <c r="DUM24" s="3507"/>
      <c r="DUN24" s="3507"/>
      <c r="DUO24" s="3507"/>
      <c r="DUP24" s="3507"/>
      <c r="DUQ24" s="3507"/>
      <c r="DUR24" s="3507"/>
      <c r="DUS24" s="3507"/>
      <c r="DUT24" s="3507"/>
      <c r="DUU24" s="3507"/>
      <c r="DUV24" s="3507"/>
      <c r="DUW24" s="3507"/>
      <c r="DUX24" s="3507"/>
      <c r="DUY24" s="3507"/>
      <c r="DUZ24" s="3507"/>
      <c r="DVA24" s="3507"/>
      <c r="DVB24" s="3507"/>
      <c r="DVC24" s="3507"/>
      <c r="DVD24" s="3507"/>
      <c r="DVE24" s="3507"/>
      <c r="DVF24" s="3507"/>
      <c r="DVG24" s="3507"/>
      <c r="DVH24" s="3507"/>
      <c r="DVI24" s="3507"/>
      <c r="DVJ24" s="3507"/>
      <c r="DVK24" s="3507"/>
      <c r="DVL24" s="3507"/>
      <c r="DVM24" s="3507"/>
      <c r="DVN24" s="3507"/>
      <c r="DVO24" s="3507"/>
      <c r="DVP24" s="3507"/>
      <c r="DVQ24" s="3507"/>
      <c r="DVR24" s="3507"/>
      <c r="DVS24" s="3507"/>
      <c r="DVT24" s="3507"/>
      <c r="DVU24" s="3507"/>
      <c r="DVV24" s="3507"/>
      <c r="DVW24" s="3507"/>
      <c r="DVX24" s="3507"/>
      <c r="DVY24" s="3507"/>
      <c r="DVZ24" s="3507"/>
      <c r="DWA24" s="3507"/>
      <c r="DWB24" s="3507"/>
      <c r="DWC24" s="3507"/>
      <c r="DWD24" s="3507"/>
      <c r="DWE24" s="3507"/>
      <c r="DWF24" s="3507"/>
      <c r="DWG24" s="3507"/>
      <c r="DWH24" s="3507"/>
      <c r="DWI24" s="3507"/>
      <c r="DWJ24" s="3507"/>
      <c r="DWK24" s="3507"/>
      <c r="DWL24" s="3507"/>
      <c r="DWM24" s="3507"/>
      <c r="DWN24" s="3507"/>
      <c r="DWO24" s="3507"/>
      <c r="DWP24" s="3507"/>
      <c r="DWQ24" s="3507"/>
      <c r="DWR24" s="3507"/>
      <c r="DWS24" s="3507"/>
      <c r="DWT24" s="3507"/>
      <c r="DWU24" s="3507"/>
      <c r="DWV24" s="3507"/>
      <c r="DWW24" s="3507"/>
      <c r="DWX24" s="3507"/>
      <c r="DWY24" s="3507"/>
      <c r="DWZ24" s="3507"/>
      <c r="DXA24" s="3507"/>
      <c r="DXB24" s="3507"/>
      <c r="DXC24" s="3507"/>
      <c r="DXD24" s="3507"/>
      <c r="DXE24" s="3507"/>
      <c r="DXF24" s="3507"/>
      <c r="DXG24" s="3507"/>
      <c r="DXH24" s="3507"/>
      <c r="DXI24" s="3507"/>
      <c r="DXJ24" s="3507"/>
      <c r="DXK24" s="3507"/>
      <c r="DXL24" s="3507"/>
      <c r="DXM24" s="3507"/>
      <c r="DXN24" s="3507"/>
      <c r="DXO24" s="3507"/>
      <c r="DXP24" s="3507"/>
      <c r="DXQ24" s="3507"/>
      <c r="DXR24" s="3507"/>
      <c r="DXS24" s="3507"/>
      <c r="DXT24" s="3507"/>
      <c r="DXU24" s="3507"/>
      <c r="DXV24" s="3507"/>
      <c r="DXW24" s="3507"/>
      <c r="DXX24" s="3507"/>
      <c r="DXY24" s="3507"/>
      <c r="DXZ24" s="3507"/>
      <c r="DYA24" s="3507"/>
      <c r="DYB24" s="3507"/>
      <c r="DYC24" s="3507"/>
      <c r="DYD24" s="3507"/>
      <c r="DYE24" s="3507"/>
      <c r="DYF24" s="3507"/>
      <c r="DYG24" s="3507"/>
      <c r="DYH24" s="3507"/>
      <c r="DYI24" s="3507"/>
      <c r="DYJ24" s="3507"/>
      <c r="DYK24" s="3507"/>
      <c r="DYL24" s="3507"/>
      <c r="DYM24" s="3507"/>
      <c r="DYN24" s="3507"/>
      <c r="DYO24" s="3507"/>
      <c r="DYP24" s="3507"/>
      <c r="DYQ24" s="3507"/>
      <c r="DYR24" s="3507"/>
      <c r="DYS24" s="3507"/>
      <c r="DYT24" s="3507"/>
      <c r="DYU24" s="3507"/>
      <c r="DYV24" s="3507"/>
      <c r="DYW24" s="3507"/>
      <c r="DYX24" s="3507"/>
      <c r="DYY24" s="3507"/>
      <c r="DYZ24" s="3507"/>
      <c r="DZA24" s="3507"/>
      <c r="DZB24" s="3507"/>
      <c r="DZC24" s="3507"/>
      <c r="DZD24" s="3507"/>
      <c r="DZE24" s="3507"/>
      <c r="DZF24" s="3507"/>
      <c r="DZG24" s="3507"/>
      <c r="DZH24" s="3507"/>
      <c r="DZI24" s="3507"/>
      <c r="DZJ24" s="3507"/>
      <c r="DZK24" s="3507"/>
      <c r="DZL24" s="3507"/>
      <c r="DZM24" s="3507"/>
      <c r="DZN24" s="3507"/>
      <c r="DZO24" s="3507"/>
      <c r="DZP24" s="3507"/>
      <c r="DZQ24" s="3507"/>
      <c r="DZR24" s="3507"/>
      <c r="DZS24" s="3507"/>
      <c r="DZT24" s="3507"/>
      <c r="DZU24" s="3507"/>
      <c r="DZV24" s="3507"/>
      <c r="DZW24" s="3507"/>
      <c r="DZX24" s="3507"/>
      <c r="DZY24" s="3507"/>
      <c r="DZZ24" s="3507"/>
      <c r="EAA24" s="3507"/>
      <c r="EAB24" s="3507"/>
      <c r="EAC24" s="3507"/>
      <c r="EAD24" s="3507"/>
      <c r="EAE24" s="3507"/>
      <c r="EAF24" s="3507"/>
      <c r="EAG24" s="3507"/>
      <c r="EAH24" s="3507"/>
      <c r="EAI24" s="3507"/>
      <c r="EAJ24" s="3507"/>
      <c r="EAK24" s="3507"/>
      <c r="EAL24" s="3507"/>
      <c r="EAM24" s="3507"/>
      <c r="EAN24" s="3507"/>
      <c r="EAO24" s="3507"/>
      <c r="EAP24" s="3507"/>
      <c r="EAQ24" s="3507"/>
      <c r="EAR24" s="3507"/>
      <c r="EAS24" s="3507"/>
      <c r="EAT24" s="3507"/>
      <c r="EAU24" s="3507"/>
      <c r="EAV24" s="3507"/>
      <c r="EAW24" s="3507"/>
      <c r="EAX24" s="3507"/>
      <c r="EAY24" s="3507"/>
      <c r="EAZ24" s="3507"/>
      <c r="EBA24" s="3507"/>
      <c r="EBB24" s="3507"/>
      <c r="EBC24" s="3507"/>
      <c r="EBD24" s="3507"/>
      <c r="EBE24" s="3507"/>
      <c r="EBF24" s="3507"/>
      <c r="EBG24" s="3507"/>
      <c r="EBH24" s="3507"/>
      <c r="EBI24" s="3507"/>
      <c r="EBJ24" s="3507"/>
      <c r="EBK24" s="3507"/>
      <c r="EBL24" s="3507"/>
      <c r="EBM24" s="3507"/>
      <c r="EBN24" s="3507"/>
      <c r="EBO24" s="3507"/>
      <c r="EBP24" s="3507"/>
      <c r="EBQ24" s="3507"/>
      <c r="EBR24" s="3507"/>
      <c r="EBS24" s="3507"/>
      <c r="EBT24" s="3507"/>
      <c r="EBU24" s="3507"/>
      <c r="EBV24" s="3507"/>
      <c r="EBW24" s="3507"/>
      <c r="EBX24" s="3507"/>
      <c r="EBY24" s="3507"/>
      <c r="EBZ24" s="3507"/>
      <c r="ECA24" s="3507"/>
      <c r="ECB24" s="3507"/>
      <c r="ECC24" s="3507"/>
      <c r="ECD24" s="3507"/>
      <c r="ECE24" s="3507"/>
      <c r="ECF24" s="3507"/>
      <c r="ECG24" s="3507"/>
      <c r="ECH24" s="3507"/>
      <c r="ECI24" s="3507"/>
      <c r="ECJ24" s="3507"/>
      <c r="ECK24" s="3507"/>
      <c r="ECL24" s="3507"/>
      <c r="ECM24" s="3507"/>
      <c r="ECN24" s="3507"/>
      <c r="ECO24" s="3507"/>
      <c r="ECP24" s="3507"/>
      <c r="ECQ24" s="3507"/>
      <c r="ECR24" s="3507"/>
      <c r="ECS24" s="3507"/>
      <c r="ECT24" s="3507"/>
      <c r="ECU24" s="3507"/>
      <c r="ECV24" s="3507"/>
      <c r="ECW24" s="3507"/>
      <c r="ECX24" s="3507"/>
      <c r="ECY24" s="3507"/>
      <c r="ECZ24" s="3507"/>
      <c r="EDA24" s="3507"/>
      <c r="EDB24" s="3507"/>
      <c r="EDC24" s="3507"/>
      <c r="EDD24" s="3507"/>
      <c r="EDE24" s="3507"/>
      <c r="EDF24" s="3507"/>
      <c r="EDG24" s="3507"/>
      <c r="EDH24" s="3507"/>
      <c r="EDI24" s="3507"/>
      <c r="EDJ24" s="3507"/>
      <c r="EDK24" s="3507"/>
      <c r="EDL24" s="3507"/>
      <c r="EDM24" s="3507"/>
      <c r="EDN24" s="3507"/>
      <c r="EDO24" s="3507"/>
      <c r="EDP24" s="3507"/>
      <c r="EDQ24" s="3507"/>
      <c r="EDR24" s="3507"/>
      <c r="EDS24" s="3507"/>
      <c r="EDT24" s="3507"/>
      <c r="EDU24" s="3507"/>
      <c r="EDV24" s="3507"/>
      <c r="EDW24" s="3507"/>
      <c r="EDX24" s="3507"/>
      <c r="EDY24" s="3507"/>
      <c r="EDZ24" s="3507"/>
      <c r="EEA24" s="3507"/>
      <c r="EEB24" s="3507"/>
      <c r="EEC24" s="3507"/>
      <c r="EED24" s="3507"/>
      <c r="EEE24" s="3507"/>
      <c r="EEF24" s="3507"/>
      <c r="EEG24" s="3507"/>
      <c r="EEH24" s="3507"/>
      <c r="EEI24" s="3507"/>
      <c r="EEJ24" s="3507"/>
      <c r="EEK24" s="3507"/>
      <c r="EEL24" s="3507"/>
      <c r="EEM24" s="3507"/>
      <c r="EEN24" s="3507"/>
      <c r="EEO24" s="3507"/>
      <c r="EEP24" s="3507"/>
      <c r="EEQ24" s="3507"/>
      <c r="EER24" s="3507"/>
      <c r="EES24" s="3507"/>
      <c r="EET24" s="3507"/>
      <c r="EEU24" s="3507"/>
      <c r="EEV24" s="3507"/>
      <c r="EEW24" s="3507"/>
      <c r="EEX24" s="3507"/>
      <c r="EEY24" s="3507"/>
      <c r="EEZ24" s="3507"/>
      <c r="EFA24" s="3507"/>
      <c r="EFB24" s="3507"/>
      <c r="EFC24" s="3507"/>
      <c r="EFD24" s="3507"/>
      <c r="EFE24" s="3507"/>
      <c r="EFF24" s="3507"/>
      <c r="EFG24" s="3507"/>
      <c r="EFH24" s="3507"/>
      <c r="EFI24" s="3507"/>
      <c r="EFJ24" s="3507"/>
      <c r="EFK24" s="3507"/>
      <c r="EFL24" s="3507"/>
      <c r="EFM24" s="3507"/>
      <c r="EFN24" s="3507"/>
      <c r="EFO24" s="3507"/>
      <c r="EFP24" s="3507"/>
      <c r="EFQ24" s="3507"/>
      <c r="EFR24" s="3507"/>
      <c r="EFS24" s="3507"/>
      <c r="EFT24" s="3507"/>
      <c r="EFU24" s="3507"/>
      <c r="EFV24" s="3507"/>
      <c r="EFW24" s="3507"/>
      <c r="EFX24" s="3507"/>
      <c r="EFY24" s="3507"/>
      <c r="EFZ24" s="3507"/>
      <c r="EGA24" s="3507"/>
      <c r="EGB24" s="3507"/>
      <c r="EGC24" s="3507"/>
      <c r="EGD24" s="3507"/>
      <c r="EGE24" s="3507"/>
      <c r="EGF24" s="3507"/>
      <c r="EGG24" s="3507"/>
      <c r="EGH24" s="3507"/>
      <c r="EGI24" s="3507"/>
      <c r="EGJ24" s="3507"/>
      <c r="EGK24" s="3507"/>
      <c r="EGL24" s="3507"/>
      <c r="EGM24" s="3507"/>
      <c r="EGN24" s="3507"/>
      <c r="EGO24" s="3507"/>
      <c r="EGP24" s="3507"/>
      <c r="EGQ24" s="3507"/>
      <c r="EGR24" s="3507"/>
      <c r="EGS24" s="3507"/>
      <c r="EGT24" s="3507"/>
      <c r="EGU24" s="3507"/>
      <c r="EGV24" s="3507"/>
      <c r="EGW24" s="3507"/>
      <c r="EGX24" s="3507"/>
      <c r="EGY24" s="3507"/>
      <c r="EGZ24" s="3507"/>
      <c r="EHA24" s="3507"/>
      <c r="EHB24" s="3507"/>
      <c r="EHC24" s="3507"/>
      <c r="EHD24" s="3507"/>
      <c r="EHE24" s="3507"/>
      <c r="EHF24" s="3507"/>
      <c r="EHG24" s="3507"/>
      <c r="EHH24" s="3507"/>
      <c r="EHI24" s="3507"/>
      <c r="EHJ24" s="3507"/>
      <c r="EHK24" s="3507"/>
      <c r="EHL24" s="3507"/>
      <c r="EHM24" s="3507"/>
      <c r="EHN24" s="3507"/>
      <c r="EHO24" s="3507"/>
      <c r="EHP24" s="3507"/>
      <c r="EHQ24" s="3507"/>
      <c r="EHR24" s="3507"/>
      <c r="EHS24" s="3507"/>
      <c r="EHT24" s="3507"/>
      <c r="EHU24" s="3507"/>
      <c r="EHV24" s="3507"/>
      <c r="EHW24" s="3507"/>
      <c r="EHX24" s="3507"/>
      <c r="EHY24" s="3507"/>
      <c r="EHZ24" s="3507"/>
      <c r="EIA24" s="3507"/>
      <c r="EIB24" s="3507"/>
      <c r="EIC24" s="3507"/>
      <c r="EID24" s="3507"/>
      <c r="EIE24" s="3507"/>
      <c r="EIF24" s="3507"/>
      <c r="EIG24" s="3507"/>
      <c r="EIH24" s="3507"/>
      <c r="EII24" s="3507"/>
      <c r="EIJ24" s="3507"/>
      <c r="EIK24" s="3507"/>
      <c r="EIL24" s="3507"/>
      <c r="EIM24" s="3507"/>
      <c r="EIN24" s="3507"/>
      <c r="EIO24" s="3507"/>
      <c r="EIP24" s="3507"/>
      <c r="EIQ24" s="3507"/>
      <c r="EIR24" s="3507"/>
      <c r="EIS24" s="3507"/>
      <c r="EIT24" s="3507"/>
      <c r="EIU24" s="3507"/>
      <c r="EIV24" s="3507"/>
      <c r="EIW24" s="3507"/>
      <c r="EIX24" s="3507"/>
      <c r="EIY24" s="3507"/>
      <c r="EIZ24" s="3507"/>
      <c r="EJA24" s="3507"/>
      <c r="EJB24" s="3507"/>
      <c r="EJC24" s="3507"/>
      <c r="EJD24" s="3507"/>
      <c r="EJE24" s="3507"/>
      <c r="EJF24" s="3507"/>
      <c r="EJG24" s="3507"/>
      <c r="EJH24" s="3507"/>
      <c r="EJI24" s="3507"/>
      <c r="EJJ24" s="3507"/>
      <c r="EJK24" s="3507"/>
      <c r="EJL24" s="3507"/>
      <c r="EJM24" s="3507"/>
      <c r="EJN24" s="3507"/>
      <c r="EJO24" s="3507"/>
      <c r="EJP24" s="3507"/>
      <c r="EJQ24" s="3507"/>
      <c r="EJR24" s="3507"/>
      <c r="EJS24" s="3507"/>
      <c r="EJT24" s="3507"/>
      <c r="EJU24" s="3507"/>
      <c r="EJV24" s="3507"/>
      <c r="EJW24" s="3507"/>
      <c r="EJX24" s="3507"/>
      <c r="EJY24" s="3507"/>
      <c r="EJZ24" s="3507"/>
      <c r="EKA24" s="3507"/>
      <c r="EKB24" s="3507"/>
      <c r="EKC24" s="3507"/>
      <c r="EKD24" s="3507"/>
      <c r="EKE24" s="3507"/>
      <c r="EKF24" s="3507"/>
      <c r="EKG24" s="3507"/>
      <c r="EKH24" s="3507"/>
      <c r="EKI24" s="3507"/>
      <c r="EKJ24" s="3507"/>
      <c r="EKK24" s="3507"/>
      <c r="EKL24" s="3507"/>
      <c r="EKM24" s="3507"/>
      <c r="EKN24" s="3507"/>
      <c r="EKO24" s="3507"/>
      <c r="EKP24" s="3507"/>
      <c r="EKQ24" s="3507"/>
      <c r="EKR24" s="3507"/>
      <c r="EKS24" s="3507"/>
      <c r="EKT24" s="3507"/>
      <c r="EKU24" s="3507"/>
      <c r="EKV24" s="3507"/>
      <c r="EKW24" s="3507"/>
      <c r="EKX24" s="3507"/>
      <c r="EKY24" s="3507"/>
      <c r="EKZ24" s="3507"/>
      <c r="ELA24" s="3507"/>
      <c r="ELB24" s="3507"/>
      <c r="ELC24" s="3507"/>
      <c r="ELD24" s="3507"/>
      <c r="ELE24" s="3507"/>
      <c r="ELF24" s="3507"/>
      <c r="ELG24" s="3507"/>
      <c r="ELH24" s="3507"/>
      <c r="ELI24" s="3507"/>
      <c r="ELJ24" s="3507"/>
      <c r="ELK24" s="3507"/>
      <c r="ELL24" s="3507"/>
      <c r="ELM24" s="3507"/>
      <c r="ELN24" s="3507"/>
      <c r="ELO24" s="3507"/>
      <c r="ELP24" s="3507"/>
      <c r="ELQ24" s="3507"/>
      <c r="ELR24" s="3507"/>
      <c r="ELS24" s="3507"/>
      <c r="ELT24" s="3507"/>
      <c r="ELU24" s="3507"/>
      <c r="ELV24" s="3507"/>
      <c r="ELW24" s="3507"/>
      <c r="ELX24" s="3507"/>
      <c r="ELY24" s="3507"/>
      <c r="ELZ24" s="3507"/>
      <c r="EMA24" s="3507"/>
      <c r="EMB24" s="3507"/>
      <c r="EMC24" s="3507"/>
      <c r="EMD24" s="3507"/>
      <c r="EME24" s="3507"/>
      <c r="EMF24" s="3507"/>
      <c r="EMG24" s="3507"/>
      <c r="EMH24" s="3507"/>
      <c r="EMI24" s="3507"/>
      <c r="EMJ24" s="3507"/>
      <c r="EMK24" s="3507"/>
      <c r="EML24" s="3507"/>
      <c r="EMM24" s="3507"/>
      <c r="EMN24" s="3507"/>
      <c r="EMO24" s="3507"/>
      <c r="EMP24" s="3507"/>
      <c r="EMQ24" s="3507"/>
      <c r="EMR24" s="3507"/>
      <c r="EMS24" s="3507"/>
      <c r="EMT24" s="3507"/>
      <c r="EMU24" s="3507"/>
      <c r="EMV24" s="3507"/>
      <c r="EMW24" s="3507"/>
      <c r="EMX24" s="3507"/>
      <c r="EMY24" s="3507"/>
      <c r="EMZ24" s="3507"/>
      <c r="ENA24" s="3507"/>
      <c r="ENB24" s="3507"/>
      <c r="ENC24" s="3507"/>
      <c r="END24" s="3507"/>
      <c r="ENE24" s="3507"/>
      <c r="ENF24" s="3507"/>
      <c r="ENG24" s="3507"/>
      <c r="ENH24" s="3507"/>
      <c r="ENI24" s="3507"/>
      <c r="ENJ24" s="3507"/>
      <c r="ENK24" s="3507"/>
      <c r="ENL24" s="3507"/>
      <c r="ENM24" s="3507"/>
      <c r="ENN24" s="3507"/>
      <c r="ENO24" s="3507"/>
      <c r="ENP24" s="3507"/>
      <c r="ENQ24" s="3507"/>
      <c r="ENR24" s="3507"/>
      <c r="ENS24" s="3507"/>
      <c r="ENT24" s="3507"/>
      <c r="ENU24" s="3507"/>
      <c r="ENV24" s="3507"/>
      <c r="ENW24" s="3507"/>
      <c r="ENX24" s="3507"/>
      <c r="ENY24" s="3507"/>
      <c r="ENZ24" s="3507"/>
      <c r="EOA24" s="3507"/>
      <c r="EOB24" s="3507"/>
      <c r="EOC24" s="3507"/>
      <c r="EOD24" s="3507"/>
      <c r="EOE24" s="3507"/>
      <c r="EOF24" s="3507"/>
      <c r="EOG24" s="3507"/>
      <c r="EOH24" s="3507"/>
      <c r="EOI24" s="3507"/>
      <c r="EOJ24" s="3507"/>
      <c r="EOK24" s="3507"/>
      <c r="EOL24" s="3507"/>
      <c r="EOM24" s="3507"/>
      <c r="EON24" s="3507"/>
      <c r="EOO24" s="3507"/>
      <c r="EOP24" s="3507"/>
      <c r="EOQ24" s="3507"/>
      <c r="EOR24" s="3507"/>
      <c r="EOS24" s="3507"/>
      <c r="EOT24" s="3507"/>
      <c r="EOU24" s="3507"/>
      <c r="EOV24" s="3507"/>
      <c r="EOW24" s="3507"/>
      <c r="EOX24" s="3507"/>
      <c r="EOY24" s="3507"/>
      <c r="EOZ24" s="3507"/>
      <c r="EPA24" s="3507"/>
      <c r="EPB24" s="3507"/>
      <c r="EPC24" s="3507"/>
      <c r="EPD24" s="3507"/>
      <c r="EPE24" s="3507"/>
      <c r="EPF24" s="3507"/>
      <c r="EPG24" s="3507"/>
      <c r="EPH24" s="3507"/>
      <c r="EPI24" s="3507"/>
      <c r="EPJ24" s="3507"/>
      <c r="EPK24" s="3507"/>
      <c r="EPL24" s="3507"/>
      <c r="EPM24" s="3507"/>
      <c r="EPN24" s="3507"/>
      <c r="EPO24" s="3507"/>
      <c r="EPP24" s="3507"/>
      <c r="EPQ24" s="3507"/>
      <c r="EPR24" s="3507"/>
      <c r="EPS24" s="3507"/>
      <c r="EPT24" s="3507"/>
      <c r="EPU24" s="3507"/>
      <c r="EPV24" s="3507"/>
      <c r="EPW24" s="3507"/>
      <c r="EPX24" s="3507"/>
      <c r="EPY24" s="3507"/>
      <c r="EPZ24" s="3507"/>
      <c r="EQA24" s="3507"/>
      <c r="EQB24" s="3507"/>
      <c r="EQC24" s="3507"/>
      <c r="EQD24" s="3507"/>
      <c r="EQE24" s="3507"/>
      <c r="EQF24" s="3507"/>
      <c r="EQG24" s="3507"/>
      <c r="EQH24" s="3507"/>
      <c r="EQI24" s="3507"/>
      <c r="EQJ24" s="3507"/>
      <c r="EQK24" s="3507"/>
      <c r="EQL24" s="3507"/>
      <c r="EQM24" s="3507"/>
      <c r="EQN24" s="3507"/>
      <c r="EQO24" s="3507"/>
      <c r="EQP24" s="3507"/>
      <c r="EQQ24" s="3507"/>
      <c r="EQR24" s="3507"/>
      <c r="EQS24" s="3507"/>
      <c r="EQT24" s="3507"/>
      <c r="EQU24" s="3507"/>
      <c r="EQV24" s="3507"/>
      <c r="EQW24" s="3507"/>
      <c r="EQX24" s="3507"/>
      <c r="EQY24" s="3507"/>
      <c r="EQZ24" s="3507"/>
      <c r="ERA24" s="3507"/>
      <c r="ERB24" s="3507"/>
      <c r="ERC24" s="3507"/>
      <c r="ERD24" s="3507"/>
      <c r="ERE24" s="3507"/>
      <c r="ERF24" s="3507"/>
      <c r="ERG24" s="3507"/>
      <c r="ERH24" s="3507"/>
      <c r="ERI24" s="3507"/>
      <c r="ERJ24" s="3507"/>
      <c r="ERK24" s="3507"/>
      <c r="ERL24" s="3507"/>
      <c r="ERM24" s="3507"/>
      <c r="ERN24" s="3507"/>
      <c r="ERO24" s="3507"/>
      <c r="ERP24" s="3507"/>
      <c r="ERQ24" s="3507"/>
      <c r="ERR24" s="3507"/>
      <c r="ERS24" s="3507"/>
      <c r="ERT24" s="3507"/>
      <c r="ERU24" s="3507"/>
      <c r="ERV24" s="3507"/>
      <c r="ERW24" s="3507"/>
      <c r="ERX24" s="3507"/>
      <c r="ERY24" s="3507"/>
      <c r="ERZ24" s="3507"/>
      <c r="ESA24" s="3507"/>
      <c r="ESB24" s="3507"/>
      <c r="ESC24" s="3507"/>
      <c r="ESD24" s="3507"/>
      <c r="ESE24" s="3507"/>
      <c r="ESF24" s="3507"/>
      <c r="ESG24" s="3507"/>
      <c r="ESH24" s="3507"/>
      <c r="ESI24" s="3507"/>
      <c r="ESJ24" s="3507"/>
      <c r="ESK24" s="3507"/>
      <c r="ESL24" s="3507"/>
      <c r="ESM24" s="3507"/>
      <c r="ESN24" s="3507"/>
      <c r="ESO24" s="3507"/>
      <c r="ESP24" s="3507"/>
      <c r="ESQ24" s="3507"/>
      <c r="ESR24" s="3507"/>
      <c r="ESS24" s="3507"/>
      <c r="EST24" s="3507"/>
      <c r="ESU24" s="3507"/>
      <c r="ESV24" s="3507"/>
      <c r="ESW24" s="3507"/>
      <c r="ESX24" s="3507"/>
      <c r="ESY24" s="3507"/>
      <c r="ESZ24" s="3507"/>
      <c r="ETA24" s="3507"/>
      <c r="ETB24" s="3507"/>
      <c r="ETC24" s="3507"/>
      <c r="ETD24" s="3507"/>
      <c r="ETE24" s="3507"/>
      <c r="ETF24" s="3507"/>
      <c r="ETG24" s="3507"/>
      <c r="ETH24" s="3507"/>
      <c r="ETI24" s="3507"/>
      <c r="ETJ24" s="3507"/>
      <c r="ETK24" s="3507"/>
      <c r="ETL24" s="3507"/>
      <c r="ETM24" s="3507"/>
      <c r="ETN24" s="3507"/>
      <c r="ETO24" s="3507"/>
      <c r="ETP24" s="3507"/>
      <c r="ETQ24" s="3507"/>
      <c r="ETR24" s="3507"/>
      <c r="ETS24" s="3507"/>
      <c r="ETT24" s="3507"/>
      <c r="ETU24" s="3507"/>
      <c r="ETV24" s="3507"/>
      <c r="ETW24" s="3507"/>
      <c r="ETX24" s="3507"/>
      <c r="ETY24" s="3507"/>
      <c r="ETZ24" s="3507"/>
      <c r="EUA24" s="3507"/>
      <c r="EUB24" s="3507"/>
      <c r="EUC24" s="3507"/>
      <c r="EUD24" s="3507"/>
      <c r="EUE24" s="3507"/>
      <c r="EUF24" s="3507"/>
      <c r="EUG24" s="3507"/>
      <c r="EUH24" s="3507"/>
      <c r="EUI24" s="3507"/>
      <c r="EUJ24" s="3507"/>
      <c r="EUK24" s="3507"/>
      <c r="EUL24" s="3507"/>
      <c r="EUM24" s="3507"/>
      <c r="EUN24" s="3507"/>
      <c r="EUO24" s="3507"/>
      <c r="EUP24" s="3507"/>
      <c r="EUQ24" s="3507"/>
      <c r="EUR24" s="3507"/>
      <c r="EUS24" s="3507"/>
      <c r="EUT24" s="3507"/>
      <c r="EUU24" s="3507"/>
      <c r="EUV24" s="3507"/>
      <c r="EUW24" s="3507"/>
      <c r="EUX24" s="3507"/>
      <c r="EUY24" s="3507"/>
      <c r="EUZ24" s="3507"/>
      <c r="EVA24" s="3507"/>
      <c r="EVB24" s="3507"/>
      <c r="EVC24" s="3507"/>
      <c r="EVD24" s="3507"/>
      <c r="EVE24" s="3507"/>
      <c r="EVF24" s="3507"/>
      <c r="EVG24" s="3507"/>
      <c r="EVH24" s="3507"/>
      <c r="EVI24" s="3507"/>
      <c r="EVJ24" s="3507"/>
      <c r="EVK24" s="3507"/>
      <c r="EVL24" s="3507"/>
      <c r="EVM24" s="3507"/>
      <c r="EVN24" s="3507"/>
      <c r="EVO24" s="3507"/>
      <c r="EVP24" s="3507"/>
      <c r="EVQ24" s="3507"/>
      <c r="EVR24" s="3507"/>
      <c r="EVS24" s="3507"/>
      <c r="EVT24" s="3507"/>
      <c r="EVU24" s="3507"/>
      <c r="EVV24" s="3507"/>
      <c r="EVW24" s="3507"/>
      <c r="EVX24" s="3507"/>
      <c r="EVY24" s="3507"/>
      <c r="EVZ24" s="3507"/>
      <c r="EWA24" s="3507"/>
      <c r="EWB24" s="3507"/>
      <c r="EWC24" s="3507"/>
      <c r="EWD24" s="3507"/>
      <c r="EWE24" s="3507"/>
      <c r="EWF24" s="3507"/>
      <c r="EWG24" s="3507"/>
      <c r="EWH24" s="3507"/>
      <c r="EWI24" s="3507"/>
      <c r="EWJ24" s="3507"/>
      <c r="EWK24" s="3507"/>
      <c r="EWL24" s="3507"/>
      <c r="EWM24" s="3507"/>
      <c r="EWN24" s="3507"/>
      <c r="EWO24" s="3507"/>
      <c r="EWP24" s="3507"/>
      <c r="EWQ24" s="3507"/>
      <c r="EWR24" s="3507"/>
      <c r="EWS24" s="3507"/>
      <c r="EWT24" s="3507"/>
      <c r="EWU24" s="3507"/>
      <c r="EWV24" s="3507"/>
      <c r="EWW24" s="3507"/>
      <c r="EWX24" s="3507"/>
      <c r="EWY24" s="3507"/>
      <c r="EWZ24" s="3507"/>
      <c r="EXA24" s="3507"/>
      <c r="EXB24" s="3507"/>
      <c r="EXC24" s="3507"/>
      <c r="EXD24" s="3507"/>
      <c r="EXE24" s="3507"/>
      <c r="EXF24" s="3507"/>
      <c r="EXG24" s="3507"/>
      <c r="EXH24" s="3507"/>
      <c r="EXI24" s="3507"/>
      <c r="EXJ24" s="3507"/>
      <c r="EXK24" s="3507"/>
      <c r="EXL24" s="3507"/>
      <c r="EXM24" s="3507"/>
      <c r="EXN24" s="3507"/>
      <c r="EXO24" s="3507"/>
      <c r="EXP24" s="3507"/>
      <c r="EXQ24" s="3507"/>
      <c r="EXR24" s="3507"/>
      <c r="EXS24" s="3507"/>
      <c r="EXT24" s="3507"/>
      <c r="EXU24" s="3507"/>
      <c r="EXV24" s="3507"/>
      <c r="EXW24" s="3507"/>
      <c r="EXX24" s="3507"/>
      <c r="EXY24" s="3507"/>
      <c r="EXZ24" s="3507"/>
      <c r="EYA24" s="3507"/>
      <c r="EYB24" s="3507"/>
      <c r="EYC24" s="3507"/>
      <c r="EYD24" s="3507"/>
      <c r="EYE24" s="3507"/>
      <c r="EYF24" s="3507"/>
      <c r="EYG24" s="3507"/>
      <c r="EYH24" s="3507"/>
      <c r="EYI24" s="3507"/>
      <c r="EYJ24" s="3507"/>
      <c r="EYK24" s="3507"/>
      <c r="EYL24" s="3507"/>
      <c r="EYM24" s="3507"/>
      <c r="EYN24" s="3507"/>
      <c r="EYO24" s="3507"/>
      <c r="EYP24" s="3507"/>
      <c r="EYQ24" s="3507"/>
      <c r="EYR24" s="3507"/>
      <c r="EYS24" s="3507"/>
      <c r="EYT24" s="3507"/>
      <c r="EYU24" s="3507"/>
      <c r="EYV24" s="3507"/>
      <c r="EYW24" s="3507"/>
      <c r="EYX24" s="3507"/>
      <c r="EYY24" s="3507"/>
      <c r="EYZ24" s="3507"/>
      <c r="EZA24" s="3507"/>
      <c r="EZB24" s="3507"/>
      <c r="EZC24" s="3507"/>
      <c r="EZD24" s="3507"/>
      <c r="EZE24" s="3507"/>
      <c r="EZF24" s="3507"/>
      <c r="EZG24" s="3507"/>
      <c r="EZH24" s="3507"/>
      <c r="EZI24" s="3507"/>
      <c r="EZJ24" s="3507"/>
      <c r="EZK24" s="3507"/>
      <c r="EZL24" s="3507"/>
      <c r="EZM24" s="3507"/>
      <c r="EZN24" s="3507"/>
      <c r="EZO24" s="3507"/>
      <c r="EZP24" s="3507"/>
      <c r="EZQ24" s="3507"/>
      <c r="EZR24" s="3507"/>
      <c r="EZS24" s="3507"/>
      <c r="EZT24" s="3507"/>
      <c r="EZU24" s="3507"/>
      <c r="EZV24" s="3507"/>
      <c r="EZW24" s="3507"/>
      <c r="EZX24" s="3507"/>
      <c r="EZY24" s="3507"/>
      <c r="EZZ24" s="3507"/>
      <c r="FAA24" s="3507"/>
      <c r="FAB24" s="3507"/>
      <c r="FAC24" s="3507"/>
      <c r="FAD24" s="3507"/>
      <c r="FAE24" s="3507"/>
      <c r="FAF24" s="3507"/>
      <c r="FAG24" s="3507"/>
      <c r="FAH24" s="3507"/>
      <c r="FAI24" s="3507"/>
      <c r="FAJ24" s="3507"/>
      <c r="FAK24" s="3507"/>
      <c r="FAL24" s="3507"/>
      <c r="FAM24" s="3507"/>
      <c r="FAN24" s="3507"/>
      <c r="FAO24" s="3507"/>
      <c r="FAP24" s="3507"/>
      <c r="FAQ24" s="3507"/>
      <c r="FAR24" s="3507"/>
      <c r="FAS24" s="3507"/>
      <c r="FAT24" s="3507"/>
      <c r="FAU24" s="3507"/>
      <c r="FAV24" s="3507"/>
      <c r="FAW24" s="3507"/>
      <c r="FAX24" s="3507"/>
      <c r="FAY24" s="3507"/>
      <c r="FAZ24" s="3507"/>
      <c r="FBA24" s="3507"/>
      <c r="FBB24" s="3507"/>
      <c r="FBC24" s="3507"/>
      <c r="FBD24" s="3507"/>
      <c r="FBE24" s="3507"/>
      <c r="FBF24" s="3507"/>
      <c r="FBG24" s="3507"/>
      <c r="FBH24" s="3507"/>
      <c r="FBI24" s="3507"/>
      <c r="FBJ24" s="3507"/>
      <c r="FBK24" s="3507"/>
      <c r="FBL24" s="3507"/>
      <c r="FBM24" s="3507"/>
      <c r="FBN24" s="3507"/>
      <c r="FBO24" s="3507"/>
      <c r="FBP24" s="3507"/>
      <c r="FBQ24" s="3507"/>
      <c r="FBR24" s="3507"/>
      <c r="FBS24" s="3507"/>
      <c r="FBT24" s="3507"/>
      <c r="FBU24" s="3507"/>
      <c r="FBV24" s="3507"/>
      <c r="FBW24" s="3507"/>
      <c r="FBX24" s="3507"/>
      <c r="FBY24" s="3507"/>
      <c r="FBZ24" s="3507"/>
      <c r="FCA24" s="3507"/>
      <c r="FCB24" s="3507"/>
      <c r="FCC24" s="3507"/>
      <c r="FCD24" s="3507"/>
      <c r="FCE24" s="3507"/>
      <c r="FCF24" s="3507"/>
      <c r="FCG24" s="3507"/>
      <c r="FCH24" s="3507"/>
      <c r="FCI24" s="3507"/>
      <c r="FCJ24" s="3507"/>
      <c r="FCK24" s="3507"/>
      <c r="FCL24" s="3507"/>
      <c r="FCM24" s="3507"/>
      <c r="FCN24" s="3507"/>
      <c r="FCO24" s="3507"/>
      <c r="FCP24" s="3507"/>
      <c r="FCQ24" s="3507"/>
      <c r="FCR24" s="3507"/>
      <c r="FCS24" s="3507"/>
      <c r="FCT24" s="3507"/>
      <c r="FCU24" s="3507"/>
      <c r="FCV24" s="3507"/>
      <c r="FCW24" s="3507"/>
      <c r="FCX24" s="3507"/>
      <c r="FCY24" s="3507"/>
      <c r="FCZ24" s="3507"/>
      <c r="FDA24" s="3507"/>
      <c r="FDB24" s="3507"/>
      <c r="FDC24" s="3507"/>
      <c r="FDD24" s="3507"/>
      <c r="FDE24" s="3507"/>
      <c r="FDF24" s="3507"/>
      <c r="FDG24" s="3507"/>
      <c r="FDH24" s="3507"/>
      <c r="FDI24" s="3507"/>
      <c r="FDJ24" s="3507"/>
      <c r="FDK24" s="3507"/>
      <c r="FDL24" s="3507"/>
      <c r="FDM24" s="3507"/>
      <c r="FDN24" s="3507"/>
      <c r="FDO24" s="3507"/>
      <c r="FDP24" s="3507"/>
      <c r="FDQ24" s="3507"/>
      <c r="FDR24" s="3507"/>
      <c r="FDS24" s="3507"/>
      <c r="FDT24" s="3507"/>
      <c r="FDU24" s="3507"/>
      <c r="FDV24" s="3507"/>
      <c r="FDW24" s="3507"/>
      <c r="FDX24" s="3507"/>
      <c r="FDY24" s="3507"/>
      <c r="FDZ24" s="3507"/>
      <c r="FEA24" s="3507"/>
      <c r="FEB24" s="3507"/>
      <c r="FEC24" s="3507"/>
      <c r="FED24" s="3507"/>
      <c r="FEE24" s="3507"/>
      <c r="FEF24" s="3507"/>
      <c r="FEG24" s="3507"/>
      <c r="FEH24" s="3507"/>
      <c r="FEI24" s="3507"/>
      <c r="FEJ24" s="3507"/>
      <c r="FEK24" s="3507"/>
      <c r="FEL24" s="3507"/>
      <c r="FEM24" s="3507"/>
      <c r="FEN24" s="3507"/>
      <c r="FEO24" s="3507"/>
      <c r="FEP24" s="3507"/>
      <c r="FEQ24" s="3507"/>
      <c r="FER24" s="3507"/>
      <c r="FES24" s="3507"/>
      <c r="FET24" s="3507"/>
      <c r="FEU24" s="3507"/>
      <c r="FEV24" s="3507"/>
      <c r="FEW24" s="3507"/>
      <c r="FEX24" s="3507"/>
      <c r="FEY24" s="3507"/>
      <c r="FEZ24" s="3507"/>
      <c r="FFA24" s="3507"/>
      <c r="FFB24" s="3507"/>
      <c r="FFC24" s="3507"/>
      <c r="FFD24" s="3507"/>
      <c r="FFE24" s="3507"/>
      <c r="FFF24" s="3507"/>
      <c r="FFG24" s="3507"/>
      <c r="FFH24" s="3507"/>
      <c r="FFI24" s="3507"/>
      <c r="FFJ24" s="3507"/>
      <c r="FFK24" s="3507"/>
      <c r="FFL24" s="3507"/>
      <c r="FFM24" s="3507"/>
      <c r="FFN24" s="3507"/>
      <c r="FFO24" s="3507"/>
      <c r="FFP24" s="3507"/>
      <c r="FFQ24" s="3507"/>
      <c r="FFR24" s="3507"/>
      <c r="FFS24" s="3507"/>
      <c r="FFT24" s="3507"/>
      <c r="FFU24" s="3507"/>
      <c r="FFV24" s="3507"/>
      <c r="FFW24" s="3507"/>
      <c r="FFX24" s="3507"/>
      <c r="FFY24" s="3507"/>
      <c r="FFZ24" s="3507"/>
      <c r="FGA24" s="3507"/>
      <c r="FGB24" s="3507"/>
      <c r="FGC24" s="3507"/>
      <c r="FGD24" s="3507"/>
      <c r="FGE24" s="3507"/>
      <c r="FGF24" s="3507"/>
      <c r="FGG24" s="3507"/>
      <c r="FGH24" s="3507"/>
      <c r="FGI24" s="3507"/>
      <c r="FGJ24" s="3507"/>
      <c r="FGK24" s="3507"/>
      <c r="FGL24" s="3507"/>
      <c r="FGM24" s="3507"/>
      <c r="FGN24" s="3507"/>
      <c r="FGO24" s="3507"/>
      <c r="FGP24" s="3507"/>
      <c r="FGQ24" s="3507"/>
      <c r="FGR24" s="3507"/>
      <c r="FGS24" s="3507"/>
      <c r="FGT24" s="3507"/>
      <c r="FGU24" s="3507"/>
      <c r="FGV24" s="3507"/>
      <c r="FGW24" s="3507"/>
      <c r="FGX24" s="3507"/>
      <c r="FGY24" s="3507"/>
      <c r="FGZ24" s="3507"/>
      <c r="FHA24" s="3507"/>
      <c r="FHB24" s="3507"/>
      <c r="FHC24" s="3507"/>
      <c r="FHD24" s="3507"/>
      <c r="FHE24" s="3507"/>
      <c r="FHF24" s="3507"/>
      <c r="FHG24" s="3507"/>
      <c r="FHH24" s="3507"/>
      <c r="FHI24" s="3507"/>
      <c r="FHJ24" s="3507"/>
      <c r="FHK24" s="3507"/>
      <c r="FHL24" s="3507"/>
      <c r="FHM24" s="3507"/>
      <c r="FHN24" s="3507"/>
      <c r="FHO24" s="3507"/>
      <c r="FHP24" s="3507"/>
      <c r="FHQ24" s="3507"/>
      <c r="FHR24" s="3507"/>
      <c r="FHS24" s="3507"/>
      <c r="FHT24" s="3507"/>
      <c r="FHU24" s="3507"/>
      <c r="FHV24" s="3507"/>
      <c r="FHW24" s="3507"/>
      <c r="FHX24" s="3507"/>
      <c r="FHY24" s="3507"/>
      <c r="FHZ24" s="3507"/>
      <c r="FIA24" s="3507"/>
      <c r="FIB24" s="3507"/>
      <c r="FIC24" s="3507"/>
      <c r="FID24" s="3507"/>
      <c r="FIE24" s="3507"/>
      <c r="FIF24" s="3507"/>
      <c r="FIG24" s="3507"/>
      <c r="FIH24" s="3507"/>
      <c r="FII24" s="3507"/>
      <c r="FIJ24" s="3507"/>
      <c r="FIK24" s="3507"/>
      <c r="FIL24" s="3507"/>
      <c r="FIM24" s="3507"/>
      <c r="FIN24" s="3507"/>
      <c r="FIO24" s="3507"/>
      <c r="FIP24" s="3507"/>
      <c r="FIQ24" s="3507"/>
      <c r="FIR24" s="3507"/>
      <c r="FIS24" s="3507"/>
      <c r="FIT24" s="3507"/>
      <c r="FIU24" s="3507"/>
      <c r="FIV24" s="3507"/>
      <c r="FIW24" s="3507"/>
      <c r="FIX24" s="3507"/>
      <c r="FIY24" s="3507"/>
      <c r="FIZ24" s="3507"/>
      <c r="FJA24" s="3507"/>
      <c r="FJB24" s="3507"/>
      <c r="FJC24" s="3507"/>
      <c r="FJD24" s="3507"/>
      <c r="FJE24" s="3507"/>
      <c r="FJF24" s="3507"/>
      <c r="FJG24" s="3507"/>
      <c r="FJH24" s="3507"/>
      <c r="FJI24" s="3507"/>
      <c r="FJJ24" s="3507"/>
      <c r="FJK24" s="3507"/>
      <c r="FJL24" s="3507"/>
      <c r="FJM24" s="3507"/>
      <c r="FJN24" s="3507"/>
      <c r="FJO24" s="3507"/>
      <c r="FJP24" s="3507"/>
      <c r="FJQ24" s="3507"/>
      <c r="FJR24" s="3507"/>
      <c r="FJS24" s="3507"/>
      <c r="FJT24" s="3507"/>
      <c r="FJU24" s="3507"/>
      <c r="FJV24" s="3507"/>
      <c r="FJW24" s="3507"/>
      <c r="FJX24" s="3507"/>
      <c r="FJY24" s="3507"/>
      <c r="FJZ24" s="3507"/>
      <c r="FKA24" s="3507"/>
      <c r="FKB24" s="3507"/>
      <c r="FKC24" s="3507"/>
      <c r="FKD24" s="3507"/>
      <c r="FKE24" s="3507"/>
      <c r="FKF24" s="3507"/>
      <c r="FKG24" s="3507"/>
      <c r="FKH24" s="3507"/>
      <c r="FKI24" s="3507"/>
      <c r="FKJ24" s="3507"/>
      <c r="FKK24" s="3507"/>
      <c r="FKL24" s="3507"/>
      <c r="FKM24" s="3507"/>
      <c r="FKN24" s="3507"/>
      <c r="FKO24" s="3507"/>
      <c r="FKP24" s="3507"/>
      <c r="FKQ24" s="3507"/>
      <c r="FKR24" s="3507"/>
      <c r="FKS24" s="3507"/>
      <c r="FKT24" s="3507"/>
      <c r="FKU24" s="3507"/>
      <c r="FKV24" s="3507"/>
      <c r="FKW24" s="3507"/>
      <c r="FKX24" s="3507"/>
      <c r="FKY24" s="3507"/>
      <c r="FKZ24" s="3507"/>
      <c r="FLA24" s="3507"/>
      <c r="FLB24" s="3507"/>
      <c r="FLC24" s="3507"/>
      <c r="FLD24" s="3507"/>
      <c r="FLE24" s="3507"/>
      <c r="FLF24" s="3507"/>
      <c r="FLG24" s="3507"/>
      <c r="FLH24" s="3507"/>
      <c r="FLI24" s="3507"/>
      <c r="FLJ24" s="3507"/>
      <c r="FLK24" s="3507"/>
      <c r="FLL24" s="3507"/>
      <c r="FLM24" s="3507"/>
      <c r="FLN24" s="3507"/>
      <c r="FLO24" s="3507"/>
      <c r="FLP24" s="3507"/>
      <c r="FLQ24" s="3507"/>
      <c r="FLR24" s="3507"/>
      <c r="FLS24" s="3507"/>
      <c r="FLT24" s="3507"/>
      <c r="FLU24" s="3507"/>
      <c r="FLV24" s="3507"/>
      <c r="FLW24" s="3507"/>
      <c r="FLX24" s="3507"/>
      <c r="FLY24" s="3507"/>
      <c r="FLZ24" s="3507"/>
      <c r="FMA24" s="3507"/>
      <c r="FMB24" s="3507"/>
      <c r="FMC24" s="3507"/>
      <c r="FMD24" s="3507"/>
      <c r="FME24" s="3507"/>
      <c r="FMF24" s="3507"/>
      <c r="FMG24" s="3507"/>
      <c r="FMH24" s="3507"/>
      <c r="FMI24" s="3507"/>
      <c r="FMJ24" s="3507"/>
      <c r="FMK24" s="3507"/>
      <c r="FML24" s="3507"/>
      <c r="FMM24" s="3507"/>
      <c r="FMN24" s="3507"/>
      <c r="FMO24" s="3507"/>
      <c r="FMP24" s="3507"/>
      <c r="FMQ24" s="3507"/>
      <c r="FMR24" s="3507"/>
      <c r="FMS24" s="3507"/>
      <c r="FMT24" s="3507"/>
      <c r="FMU24" s="3507"/>
      <c r="FMV24" s="3507"/>
      <c r="FMW24" s="3507"/>
      <c r="FMX24" s="3507"/>
      <c r="FMY24" s="3507"/>
      <c r="FMZ24" s="3507"/>
      <c r="FNA24" s="3507"/>
      <c r="FNB24" s="3507"/>
      <c r="FNC24" s="3507"/>
      <c r="FND24" s="3507"/>
      <c r="FNE24" s="3507"/>
      <c r="FNF24" s="3507"/>
      <c r="FNG24" s="3507"/>
      <c r="FNH24" s="3507"/>
      <c r="FNI24" s="3507"/>
      <c r="FNJ24" s="3507"/>
      <c r="FNK24" s="3507"/>
      <c r="FNL24" s="3507"/>
      <c r="FNM24" s="3507"/>
      <c r="FNN24" s="3507"/>
      <c r="FNO24" s="3507"/>
      <c r="FNP24" s="3507"/>
      <c r="FNQ24" s="3507"/>
      <c r="FNR24" s="3507"/>
      <c r="FNS24" s="3507"/>
      <c r="FNT24" s="3507"/>
      <c r="FNU24" s="3507"/>
      <c r="FNV24" s="3507"/>
      <c r="FNW24" s="3507"/>
      <c r="FNX24" s="3507"/>
      <c r="FNY24" s="3507"/>
      <c r="FNZ24" s="3507"/>
      <c r="FOA24" s="3507"/>
      <c r="FOB24" s="3507"/>
      <c r="FOC24" s="3507"/>
      <c r="FOD24" s="3507"/>
      <c r="FOE24" s="3507"/>
      <c r="FOF24" s="3507"/>
      <c r="FOG24" s="3507"/>
      <c r="FOH24" s="3507"/>
      <c r="FOI24" s="3507"/>
      <c r="FOJ24" s="3507"/>
      <c r="FOK24" s="3507"/>
      <c r="FOL24" s="3507"/>
      <c r="FOM24" s="3507"/>
      <c r="FON24" s="3507"/>
      <c r="FOO24" s="3507"/>
      <c r="FOP24" s="3507"/>
      <c r="FOQ24" s="3507"/>
      <c r="FOR24" s="3507"/>
      <c r="FOS24" s="3507"/>
      <c r="FOT24" s="3507"/>
      <c r="FOU24" s="3507"/>
      <c r="FOV24" s="3507"/>
      <c r="FOW24" s="3507"/>
      <c r="FOX24" s="3507"/>
      <c r="FOY24" s="3507"/>
      <c r="FOZ24" s="3507"/>
      <c r="FPA24" s="3507"/>
      <c r="FPB24" s="3507"/>
      <c r="FPC24" s="3507"/>
      <c r="FPD24" s="3507"/>
      <c r="FPE24" s="3507"/>
      <c r="FPF24" s="3507"/>
      <c r="FPG24" s="3507"/>
      <c r="FPH24" s="3507"/>
      <c r="FPI24" s="3507"/>
      <c r="FPJ24" s="3507"/>
      <c r="FPK24" s="3507"/>
      <c r="FPL24" s="3507"/>
      <c r="FPM24" s="3507"/>
      <c r="FPN24" s="3507"/>
      <c r="FPO24" s="3507"/>
      <c r="FPP24" s="3507"/>
      <c r="FPQ24" s="3507"/>
      <c r="FPR24" s="3507"/>
      <c r="FPS24" s="3507"/>
      <c r="FPT24" s="3507"/>
      <c r="FPU24" s="3507"/>
      <c r="FPV24" s="3507"/>
      <c r="FPW24" s="3507"/>
      <c r="FPX24" s="3507"/>
      <c r="FPY24" s="3507"/>
      <c r="FPZ24" s="3507"/>
      <c r="FQA24" s="3507"/>
      <c r="FQB24" s="3507"/>
      <c r="FQC24" s="3507"/>
      <c r="FQD24" s="3507"/>
      <c r="FQE24" s="3507"/>
      <c r="FQF24" s="3507"/>
      <c r="FQG24" s="3507"/>
      <c r="FQH24" s="3507"/>
      <c r="FQI24" s="3507"/>
      <c r="FQJ24" s="3507"/>
      <c r="FQK24" s="3507"/>
      <c r="FQL24" s="3507"/>
      <c r="FQM24" s="3507"/>
      <c r="FQN24" s="3507"/>
      <c r="FQO24" s="3507"/>
      <c r="FQP24" s="3507"/>
      <c r="FQQ24" s="3507"/>
      <c r="FQR24" s="3507"/>
      <c r="FQS24" s="3507"/>
      <c r="FQT24" s="3507"/>
      <c r="FQU24" s="3507"/>
      <c r="FQV24" s="3507"/>
      <c r="FQW24" s="3507"/>
      <c r="FQX24" s="3507"/>
      <c r="FQY24" s="3507"/>
      <c r="FQZ24" s="3507"/>
      <c r="FRA24" s="3507"/>
      <c r="FRB24" s="3507"/>
      <c r="FRC24" s="3507"/>
      <c r="FRD24" s="3507"/>
      <c r="FRE24" s="3507"/>
      <c r="FRF24" s="3507"/>
      <c r="FRG24" s="3507"/>
      <c r="FRH24" s="3507"/>
      <c r="FRI24" s="3507"/>
      <c r="FRJ24" s="3507"/>
      <c r="FRK24" s="3507"/>
      <c r="FRL24" s="3507"/>
      <c r="FRM24" s="3507"/>
      <c r="FRN24" s="3507"/>
      <c r="FRO24" s="3507"/>
      <c r="FRP24" s="3507"/>
      <c r="FRQ24" s="3507"/>
      <c r="FRR24" s="3507"/>
      <c r="FRS24" s="3507"/>
      <c r="FRT24" s="3507"/>
      <c r="FRU24" s="3507"/>
      <c r="FRV24" s="3507"/>
      <c r="FRW24" s="3507"/>
      <c r="FRX24" s="3507"/>
      <c r="FRY24" s="3507"/>
      <c r="FRZ24" s="3507"/>
      <c r="FSA24" s="3507"/>
      <c r="FSB24" s="3507"/>
      <c r="FSC24" s="3507"/>
      <c r="FSD24" s="3507"/>
      <c r="FSE24" s="3507"/>
      <c r="FSF24" s="3507"/>
      <c r="FSG24" s="3507"/>
      <c r="FSH24" s="3507"/>
      <c r="FSI24" s="3507"/>
      <c r="FSJ24" s="3507"/>
      <c r="FSK24" s="3507"/>
      <c r="FSL24" s="3507"/>
      <c r="FSM24" s="3507"/>
      <c r="FSN24" s="3507"/>
      <c r="FSO24" s="3507"/>
      <c r="FSP24" s="3507"/>
      <c r="FSQ24" s="3507"/>
      <c r="FSR24" s="3507"/>
      <c r="FSS24" s="3507"/>
      <c r="FST24" s="3507"/>
      <c r="FSU24" s="3507"/>
      <c r="FSV24" s="3507"/>
      <c r="FSW24" s="3507"/>
      <c r="FSX24" s="3507"/>
      <c r="FSY24" s="3507"/>
      <c r="FSZ24" s="3507"/>
      <c r="FTA24" s="3507"/>
      <c r="FTB24" s="3507"/>
      <c r="FTC24" s="3507"/>
      <c r="FTD24" s="3507"/>
      <c r="FTE24" s="3507"/>
      <c r="FTF24" s="3507"/>
      <c r="FTG24" s="3507"/>
      <c r="FTH24" s="3507"/>
      <c r="FTI24" s="3507"/>
      <c r="FTJ24" s="3507"/>
      <c r="FTK24" s="3507"/>
      <c r="FTL24" s="3507"/>
      <c r="FTM24" s="3507"/>
      <c r="FTN24" s="3507"/>
      <c r="FTO24" s="3507"/>
      <c r="FTP24" s="3507"/>
      <c r="FTQ24" s="3507"/>
      <c r="FTR24" s="3507"/>
      <c r="FTS24" s="3507"/>
      <c r="FTT24" s="3507"/>
      <c r="FTU24" s="3507"/>
      <c r="FTV24" s="3507"/>
      <c r="FTW24" s="3507"/>
      <c r="FTX24" s="3507"/>
      <c r="FTY24" s="3507"/>
      <c r="FTZ24" s="3507"/>
      <c r="FUA24" s="3507"/>
      <c r="FUB24" s="3507"/>
      <c r="FUC24" s="3507"/>
      <c r="FUD24" s="3507"/>
      <c r="FUE24" s="3507"/>
      <c r="FUF24" s="3507"/>
      <c r="FUG24" s="3507"/>
      <c r="FUH24" s="3507"/>
      <c r="FUI24" s="3507"/>
      <c r="FUJ24" s="3507"/>
      <c r="FUK24" s="3507"/>
      <c r="FUL24" s="3507"/>
      <c r="FUM24" s="3507"/>
      <c r="FUN24" s="3507"/>
      <c r="FUO24" s="3507"/>
      <c r="FUP24" s="3507"/>
      <c r="FUQ24" s="3507"/>
      <c r="FUR24" s="3507"/>
      <c r="FUS24" s="3507"/>
      <c r="FUT24" s="3507"/>
      <c r="FUU24" s="3507"/>
      <c r="FUV24" s="3507"/>
      <c r="FUW24" s="3507"/>
      <c r="FUX24" s="3507"/>
      <c r="FUY24" s="3507"/>
      <c r="FUZ24" s="3507"/>
      <c r="FVA24" s="3507"/>
      <c r="FVB24" s="3507"/>
      <c r="FVC24" s="3507"/>
      <c r="FVD24" s="3507"/>
      <c r="FVE24" s="3507"/>
      <c r="FVF24" s="3507"/>
      <c r="FVG24" s="3507"/>
      <c r="FVH24" s="3507"/>
      <c r="FVI24" s="3507"/>
      <c r="FVJ24" s="3507"/>
      <c r="FVK24" s="3507"/>
      <c r="FVL24" s="3507"/>
      <c r="FVM24" s="3507"/>
      <c r="FVN24" s="3507"/>
      <c r="FVO24" s="3507"/>
      <c r="FVP24" s="3507"/>
      <c r="FVQ24" s="3507"/>
      <c r="FVR24" s="3507"/>
      <c r="FVS24" s="3507"/>
      <c r="FVT24" s="3507"/>
      <c r="FVU24" s="3507"/>
      <c r="FVV24" s="3507"/>
      <c r="FVW24" s="3507"/>
      <c r="FVX24" s="3507"/>
      <c r="FVY24" s="3507"/>
      <c r="FVZ24" s="3507"/>
      <c r="FWA24" s="3507"/>
      <c r="FWB24" s="3507"/>
      <c r="FWC24" s="3507"/>
      <c r="FWD24" s="3507"/>
      <c r="FWE24" s="3507"/>
      <c r="FWF24" s="3507"/>
      <c r="FWG24" s="3507"/>
      <c r="FWH24" s="3507"/>
      <c r="FWI24" s="3507"/>
      <c r="FWJ24" s="3507"/>
      <c r="FWK24" s="3507"/>
      <c r="FWL24" s="3507"/>
      <c r="FWM24" s="3507"/>
      <c r="FWN24" s="3507"/>
      <c r="FWO24" s="3507"/>
      <c r="FWP24" s="3507"/>
      <c r="FWQ24" s="3507"/>
      <c r="FWR24" s="3507"/>
      <c r="FWS24" s="3507"/>
      <c r="FWT24" s="3507"/>
      <c r="FWU24" s="3507"/>
      <c r="FWV24" s="3507"/>
      <c r="FWW24" s="3507"/>
      <c r="FWX24" s="3507"/>
      <c r="FWY24" s="3507"/>
      <c r="FWZ24" s="3507"/>
      <c r="FXA24" s="3507"/>
      <c r="FXB24" s="3507"/>
      <c r="FXC24" s="3507"/>
      <c r="FXD24" s="3507"/>
      <c r="FXE24" s="3507"/>
      <c r="FXF24" s="3507"/>
      <c r="FXG24" s="3507"/>
      <c r="FXH24" s="3507"/>
      <c r="FXI24" s="3507"/>
      <c r="FXJ24" s="3507"/>
      <c r="FXK24" s="3507"/>
      <c r="FXL24" s="3507"/>
      <c r="FXM24" s="3507"/>
      <c r="FXN24" s="3507"/>
      <c r="FXO24" s="3507"/>
      <c r="FXP24" s="3507"/>
      <c r="FXQ24" s="3507"/>
      <c r="FXR24" s="3507"/>
      <c r="FXS24" s="3507"/>
      <c r="FXT24" s="3507"/>
      <c r="FXU24" s="3507"/>
      <c r="FXV24" s="3507"/>
      <c r="FXW24" s="3507"/>
      <c r="FXX24" s="3507"/>
      <c r="FXY24" s="3507"/>
      <c r="FXZ24" s="3507"/>
      <c r="FYA24" s="3507"/>
      <c r="FYB24" s="3507"/>
      <c r="FYC24" s="3507"/>
      <c r="FYD24" s="3507"/>
      <c r="FYE24" s="3507"/>
      <c r="FYF24" s="3507"/>
      <c r="FYG24" s="3507"/>
      <c r="FYH24" s="3507"/>
      <c r="FYI24" s="3507"/>
      <c r="FYJ24" s="3507"/>
      <c r="FYK24" s="3507"/>
      <c r="FYL24" s="3507"/>
      <c r="FYM24" s="3507"/>
      <c r="FYN24" s="3507"/>
      <c r="FYO24" s="3507"/>
      <c r="FYP24" s="3507"/>
      <c r="FYQ24" s="3507"/>
      <c r="FYR24" s="3507"/>
      <c r="FYS24" s="3507"/>
      <c r="FYT24" s="3507"/>
      <c r="FYU24" s="3507"/>
      <c r="FYV24" s="3507"/>
      <c r="FYW24" s="3507"/>
      <c r="FYX24" s="3507"/>
      <c r="FYY24" s="3507"/>
      <c r="FYZ24" s="3507"/>
      <c r="FZA24" s="3507"/>
      <c r="FZB24" s="3507"/>
      <c r="FZC24" s="3507"/>
      <c r="FZD24" s="3507"/>
      <c r="FZE24" s="3507"/>
      <c r="FZF24" s="3507"/>
      <c r="FZG24" s="3507"/>
      <c r="FZH24" s="3507"/>
      <c r="FZI24" s="3507"/>
      <c r="FZJ24" s="3507"/>
      <c r="FZK24" s="3507"/>
      <c r="FZL24" s="3507"/>
      <c r="FZM24" s="3507"/>
      <c r="FZN24" s="3507"/>
      <c r="FZO24" s="3507"/>
      <c r="FZP24" s="3507"/>
      <c r="FZQ24" s="3507"/>
      <c r="FZR24" s="3507"/>
      <c r="FZS24" s="3507"/>
      <c r="FZT24" s="3507"/>
      <c r="FZU24" s="3507"/>
      <c r="FZV24" s="3507"/>
      <c r="FZW24" s="3507"/>
      <c r="FZX24" s="3507"/>
      <c r="FZY24" s="3507"/>
      <c r="FZZ24" s="3507"/>
      <c r="GAA24" s="3507"/>
      <c r="GAB24" s="3507"/>
      <c r="GAC24" s="3507"/>
      <c r="GAD24" s="3507"/>
      <c r="GAE24" s="3507"/>
      <c r="GAF24" s="3507"/>
      <c r="GAG24" s="3507"/>
      <c r="GAH24" s="3507"/>
      <c r="GAI24" s="3507"/>
      <c r="GAJ24" s="3507"/>
      <c r="GAK24" s="3507"/>
      <c r="GAL24" s="3507"/>
      <c r="GAM24" s="3507"/>
      <c r="GAN24" s="3507"/>
      <c r="GAO24" s="3507"/>
      <c r="GAP24" s="3507"/>
      <c r="GAQ24" s="3507"/>
      <c r="GAR24" s="3507"/>
      <c r="GAS24" s="3507"/>
      <c r="GAT24" s="3507"/>
      <c r="GAU24" s="3507"/>
      <c r="GAV24" s="3507"/>
      <c r="GAW24" s="3507"/>
      <c r="GAX24" s="3507"/>
      <c r="GAY24" s="3507"/>
      <c r="GAZ24" s="3507"/>
      <c r="GBA24" s="3507"/>
      <c r="GBB24" s="3507"/>
      <c r="GBC24" s="3507"/>
      <c r="GBD24" s="3507"/>
      <c r="GBE24" s="3507"/>
      <c r="GBF24" s="3507"/>
      <c r="GBG24" s="3507"/>
      <c r="GBH24" s="3507"/>
      <c r="GBI24" s="3507"/>
      <c r="GBJ24" s="3507"/>
      <c r="GBK24" s="3507"/>
      <c r="GBL24" s="3507"/>
      <c r="GBM24" s="3507"/>
      <c r="GBN24" s="3507"/>
      <c r="GBO24" s="3507"/>
      <c r="GBP24" s="3507"/>
      <c r="GBQ24" s="3507"/>
      <c r="GBR24" s="3507"/>
      <c r="GBS24" s="3507"/>
      <c r="GBT24" s="3507"/>
      <c r="GBU24" s="3507"/>
      <c r="GBV24" s="3507"/>
      <c r="GBW24" s="3507"/>
      <c r="GBX24" s="3507"/>
      <c r="GBY24" s="3507"/>
      <c r="GBZ24" s="3507"/>
      <c r="GCA24" s="3507"/>
      <c r="GCB24" s="3507"/>
      <c r="GCC24" s="3507"/>
      <c r="GCD24" s="3507"/>
      <c r="GCE24" s="3507"/>
      <c r="GCF24" s="3507"/>
      <c r="GCG24" s="3507"/>
      <c r="GCH24" s="3507"/>
      <c r="GCI24" s="3507"/>
      <c r="GCJ24" s="3507"/>
      <c r="GCK24" s="3507"/>
      <c r="GCL24" s="3507"/>
      <c r="GCM24" s="3507"/>
      <c r="GCN24" s="3507"/>
      <c r="GCO24" s="3507"/>
      <c r="GCP24" s="3507"/>
      <c r="GCQ24" s="3507"/>
      <c r="GCR24" s="3507"/>
      <c r="GCS24" s="3507"/>
      <c r="GCT24" s="3507"/>
      <c r="GCU24" s="3507"/>
      <c r="GCV24" s="3507"/>
      <c r="GCW24" s="3507"/>
      <c r="GCX24" s="3507"/>
      <c r="GCY24" s="3507"/>
      <c r="GCZ24" s="3507"/>
      <c r="GDA24" s="3507"/>
      <c r="GDB24" s="3507"/>
      <c r="GDC24" s="3507"/>
      <c r="GDD24" s="3507"/>
      <c r="GDE24" s="3507"/>
      <c r="GDF24" s="3507"/>
      <c r="GDG24" s="3507"/>
      <c r="GDH24" s="3507"/>
      <c r="GDI24" s="3507"/>
      <c r="GDJ24" s="3507"/>
      <c r="GDK24" s="3507"/>
      <c r="GDL24" s="3507"/>
      <c r="GDM24" s="3507"/>
      <c r="GDN24" s="3507"/>
      <c r="GDO24" s="3507"/>
      <c r="GDP24" s="3507"/>
      <c r="GDQ24" s="3507"/>
      <c r="GDR24" s="3507"/>
      <c r="GDS24" s="3507"/>
      <c r="GDT24" s="3507"/>
      <c r="GDU24" s="3507"/>
      <c r="GDV24" s="3507"/>
      <c r="GDW24" s="3507"/>
      <c r="GDX24" s="3507"/>
      <c r="GDY24" s="3507"/>
      <c r="GDZ24" s="3507"/>
      <c r="GEA24" s="3507"/>
      <c r="GEB24" s="3507"/>
      <c r="GEC24" s="3507"/>
      <c r="GED24" s="3507"/>
      <c r="GEE24" s="3507"/>
      <c r="GEF24" s="3507"/>
      <c r="GEG24" s="3507"/>
      <c r="GEH24" s="3507"/>
      <c r="GEI24" s="3507"/>
      <c r="GEJ24" s="3507"/>
      <c r="GEK24" s="3507"/>
      <c r="GEL24" s="3507"/>
      <c r="GEM24" s="3507"/>
      <c r="GEN24" s="3507"/>
      <c r="GEO24" s="3507"/>
      <c r="GEP24" s="3507"/>
      <c r="GEQ24" s="3507"/>
      <c r="GER24" s="3507"/>
      <c r="GES24" s="3507"/>
      <c r="GET24" s="3507"/>
      <c r="GEU24" s="3507"/>
      <c r="GEV24" s="3507"/>
      <c r="GEW24" s="3507"/>
      <c r="GEX24" s="3507"/>
      <c r="GEY24" s="3507"/>
      <c r="GEZ24" s="3507"/>
      <c r="GFA24" s="3507"/>
      <c r="GFB24" s="3507"/>
      <c r="GFC24" s="3507"/>
      <c r="GFD24" s="3507"/>
      <c r="GFE24" s="3507"/>
      <c r="GFF24" s="3507"/>
      <c r="GFG24" s="3507"/>
      <c r="GFH24" s="3507"/>
      <c r="GFI24" s="3507"/>
      <c r="GFJ24" s="3507"/>
      <c r="GFK24" s="3507"/>
      <c r="GFL24" s="3507"/>
      <c r="GFM24" s="3507"/>
      <c r="GFN24" s="3507"/>
      <c r="GFO24" s="3507"/>
      <c r="GFP24" s="3507"/>
      <c r="GFQ24" s="3507"/>
      <c r="GFR24" s="3507"/>
      <c r="GFS24" s="3507"/>
      <c r="GFT24" s="3507"/>
      <c r="GFU24" s="3507"/>
      <c r="GFV24" s="3507"/>
      <c r="GFW24" s="3507"/>
      <c r="GFX24" s="3507"/>
      <c r="GFY24" s="3507"/>
      <c r="GFZ24" s="3507"/>
      <c r="GGA24" s="3507"/>
      <c r="GGB24" s="3507"/>
      <c r="GGC24" s="3507"/>
      <c r="GGD24" s="3507"/>
      <c r="GGE24" s="3507"/>
      <c r="GGF24" s="3507"/>
      <c r="GGG24" s="3507"/>
      <c r="GGH24" s="3507"/>
      <c r="GGI24" s="3507"/>
      <c r="GGJ24" s="3507"/>
      <c r="GGK24" s="3507"/>
      <c r="GGL24" s="3507"/>
      <c r="GGM24" s="3507"/>
      <c r="GGN24" s="3507"/>
      <c r="GGO24" s="3507"/>
      <c r="GGP24" s="3507"/>
      <c r="GGQ24" s="3507"/>
      <c r="GGR24" s="3507"/>
      <c r="GGS24" s="3507"/>
      <c r="GGT24" s="3507"/>
      <c r="GGU24" s="3507"/>
      <c r="GGV24" s="3507"/>
      <c r="GGW24" s="3507"/>
      <c r="GGX24" s="3507"/>
      <c r="GGY24" s="3507"/>
      <c r="GGZ24" s="3507"/>
      <c r="GHA24" s="3507"/>
      <c r="GHB24" s="3507"/>
      <c r="GHC24" s="3507"/>
      <c r="GHD24" s="3507"/>
      <c r="GHE24" s="3507"/>
      <c r="GHF24" s="3507"/>
      <c r="GHG24" s="3507"/>
      <c r="GHH24" s="3507"/>
      <c r="GHI24" s="3507"/>
      <c r="GHJ24" s="3507"/>
      <c r="GHK24" s="3507"/>
      <c r="GHL24" s="3507"/>
      <c r="GHM24" s="3507"/>
      <c r="GHN24" s="3507"/>
      <c r="GHO24" s="3507"/>
      <c r="GHP24" s="3507"/>
      <c r="GHQ24" s="3507"/>
      <c r="GHR24" s="3507"/>
      <c r="GHS24" s="3507"/>
      <c r="GHT24" s="3507"/>
      <c r="GHU24" s="3507"/>
      <c r="GHV24" s="3507"/>
      <c r="GHW24" s="3507"/>
      <c r="GHX24" s="3507"/>
      <c r="GHY24" s="3507"/>
      <c r="GHZ24" s="3507"/>
      <c r="GIA24" s="3507"/>
      <c r="GIB24" s="3507"/>
      <c r="GIC24" s="3507"/>
      <c r="GID24" s="3507"/>
      <c r="GIE24" s="3507"/>
      <c r="GIF24" s="3507"/>
      <c r="GIG24" s="3507"/>
      <c r="GIH24" s="3507"/>
      <c r="GII24" s="3507"/>
      <c r="GIJ24" s="3507"/>
      <c r="GIK24" s="3507"/>
      <c r="GIL24" s="3507"/>
      <c r="GIM24" s="3507"/>
      <c r="GIN24" s="3507"/>
      <c r="GIO24" s="3507"/>
      <c r="GIP24" s="3507"/>
      <c r="GIQ24" s="3507"/>
      <c r="GIR24" s="3507"/>
      <c r="GIS24" s="3507"/>
      <c r="GIT24" s="3507"/>
      <c r="GIU24" s="3507"/>
      <c r="GIV24" s="3507"/>
      <c r="GIW24" s="3507"/>
      <c r="GIX24" s="3507"/>
      <c r="GIY24" s="3507"/>
      <c r="GIZ24" s="3507"/>
      <c r="GJA24" s="3507"/>
      <c r="GJB24" s="3507"/>
      <c r="GJC24" s="3507"/>
      <c r="GJD24" s="3507"/>
      <c r="GJE24" s="3507"/>
      <c r="GJF24" s="3507"/>
      <c r="GJG24" s="3507"/>
      <c r="GJH24" s="3507"/>
      <c r="GJI24" s="3507"/>
      <c r="GJJ24" s="3507"/>
      <c r="GJK24" s="3507"/>
      <c r="GJL24" s="3507"/>
      <c r="GJM24" s="3507"/>
      <c r="GJN24" s="3507"/>
      <c r="GJO24" s="3507"/>
      <c r="GJP24" s="3507"/>
      <c r="GJQ24" s="3507"/>
      <c r="GJR24" s="3507"/>
      <c r="GJS24" s="3507"/>
      <c r="GJT24" s="3507"/>
      <c r="GJU24" s="3507"/>
      <c r="GJV24" s="3507"/>
      <c r="GJW24" s="3507"/>
      <c r="GJX24" s="3507"/>
      <c r="GJY24" s="3507"/>
      <c r="GJZ24" s="3507"/>
      <c r="GKA24" s="3507"/>
      <c r="GKB24" s="3507"/>
      <c r="GKC24" s="3507"/>
      <c r="GKD24" s="3507"/>
      <c r="GKE24" s="3507"/>
      <c r="GKF24" s="3507"/>
      <c r="GKG24" s="3507"/>
      <c r="GKH24" s="3507"/>
      <c r="GKI24" s="3507"/>
      <c r="GKJ24" s="3507"/>
      <c r="GKK24" s="3507"/>
      <c r="GKL24" s="3507"/>
      <c r="GKM24" s="3507"/>
      <c r="GKN24" s="3507"/>
      <c r="GKO24" s="3507"/>
      <c r="GKP24" s="3507"/>
      <c r="GKQ24" s="3507"/>
      <c r="GKR24" s="3507"/>
      <c r="GKS24" s="3507"/>
      <c r="GKT24" s="3507"/>
      <c r="GKU24" s="3507"/>
      <c r="GKV24" s="3507"/>
      <c r="GKW24" s="3507"/>
      <c r="GKX24" s="3507"/>
      <c r="GKY24" s="3507"/>
      <c r="GKZ24" s="3507"/>
      <c r="GLA24" s="3507"/>
      <c r="GLB24" s="3507"/>
      <c r="GLC24" s="3507"/>
      <c r="GLD24" s="3507"/>
      <c r="GLE24" s="3507"/>
      <c r="GLF24" s="3507"/>
      <c r="GLG24" s="3507"/>
      <c r="GLH24" s="3507"/>
      <c r="GLI24" s="3507"/>
      <c r="GLJ24" s="3507"/>
      <c r="GLK24" s="3507"/>
      <c r="GLL24" s="3507"/>
      <c r="GLM24" s="3507"/>
      <c r="GLN24" s="3507"/>
      <c r="GLO24" s="3507"/>
      <c r="GLP24" s="3507"/>
      <c r="GLQ24" s="3507"/>
      <c r="GLR24" s="3507"/>
      <c r="GLS24" s="3507"/>
      <c r="GLT24" s="3507"/>
      <c r="GLU24" s="3507"/>
      <c r="GLV24" s="3507"/>
      <c r="GLW24" s="3507"/>
      <c r="GLX24" s="3507"/>
      <c r="GLY24" s="3507"/>
      <c r="GLZ24" s="3507"/>
      <c r="GMA24" s="3507"/>
      <c r="GMB24" s="3507"/>
      <c r="GMC24" s="3507"/>
      <c r="GMD24" s="3507"/>
      <c r="GME24" s="3507"/>
      <c r="GMF24" s="3507"/>
      <c r="GMG24" s="3507"/>
      <c r="GMH24" s="3507"/>
      <c r="GMI24" s="3507"/>
      <c r="GMJ24" s="3507"/>
      <c r="GMK24" s="3507"/>
      <c r="GML24" s="3507"/>
      <c r="GMM24" s="3507"/>
      <c r="GMN24" s="3507"/>
      <c r="GMO24" s="3507"/>
      <c r="GMP24" s="3507"/>
      <c r="GMQ24" s="3507"/>
      <c r="GMR24" s="3507"/>
      <c r="GMS24" s="3507"/>
      <c r="GMT24" s="3507"/>
      <c r="GMU24" s="3507"/>
      <c r="GMV24" s="3507"/>
      <c r="GMW24" s="3507"/>
      <c r="GMX24" s="3507"/>
      <c r="GMY24" s="3507"/>
      <c r="GMZ24" s="3507"/>
      <c r="GNA24" s="3507"/>
      <c r="GNB24" s="3507"/>
      <c r="GNC24" s="3507"/>
      <c r="GND24" s="3507"/>
      <c r="GNE24" s="3507"/>
      <c r="GNF24" s="3507"/>
      <c r="GNG24" s="3507"/>
      <c r="GNH24" s="3507"/>
      <c r="GNI24" s="3507"/>
      <c r="GNJ24" s="3507"/>
      <c r="GNK24" s="3507"/>
      <c r="GNL24" s="3507"/>
      <c r="GNM24" s="3507"/>
      <c r="GNN24" s="3507"/>
      <c r="GNO24" s="3507"/>
      <c r="GNP24" s="3507"/>
      <c r="GNQ24" s="3507"/>
      <c r="GNR24" s="3507"/>
      <c r="GNS24" s="3507"/>
      <c r="GNT24" s="3507"/>
      <c r="GNU24" s="3507"/>
      <c r="GNV24" s="3507"/>
      <c r="GNW24" s="3507"/>
      <c r="GNX24" s="3507"/>
      <c r="GNY24" s="3507"/>
      <c r="GNZ24" s="3507"/>
      <c r="GOA24" s="3507"/>
      <c r="GOB24" s="3507"/>
      <c r="GOC24" s="3507"/>
      <c r="GOD24" s="3507"/>
      <c r="GOE24" s="3507"/>
      <c r="GOF24" s="3507"/>
      <c r="GOG24" s="3507"/>
      <c r="GOH24" s="3507"/>
      <c r="GOI24" s="3507"/>
      <c r="GOJ24" s="3507"/>
      <c r="GOK24" s="3507"/>
      <c r="GOL24" s="3507"/>
      <c r="GOM24" s="3507"/>
      <c r="GON24" s="3507"/>
      <c r="GOO24" s="3507"/>
      <c r="GOP24" s="3507"/>
      <c r="GOQ24" s="3507"/>
      <c r="GOR24" s="3507"/>
      <c r="GOS24" s="3507"/>
      <c r="GOT24" s="3507"/>
      <c r="GOU24" s="3507"/>
      <c r="GOV24" s="3507"/>
      <c r="GOW24" s="3507"/>
      <c r="GOX24" s="3507"/>
      <c r="GOY24" s="3507"/>
      <c r="GOZ24" s="3507"/>
      <c r="GPA24" s="3507"/>
      <c r="GPB24" s="3507"/>
      <c r="GPC24" s="3507"/>
      <c r="GPD24" s="3507"/>
      <c r="GPE24" s="3507"/>
      <c r="GPF24" s="3507"/>
      <c r="GPG24" s="3507"/>
      <c r="GPH24" s="3507"/>
      <c r="GPI24" s="3507"/>
      <c r="GPJ24" s="3507"/>
      <c r="GPK24" s="3507"/>
      <c r="GPL24" s="3507"/>
      <c r="GPM24" s="3507"/>
      <c r="GPN24" s="3507"/>
      <c r="GPO24" s="3507"/>
      <c r="GPP24" s="3507"/>
      <c r="GPQ24" s="3507"/>
      <c r="GPR24" s="3507"/>
      <c r="GPS24" s="3507"/>
      <c r="GPT24" s="3507"/>
      <c r="GPU24" s="3507"/>
      <c r="GPV24" s="3507"/>
      <c r="GPW24" s="3507"/>
      <c r="GPX24" s="3507"/>
      <c r="GPY24" s="3507"/>
      <c r="GPZ24" s="3507"/>
      <c r="GQA24" s="3507"/>
      <c r="GQB24" s="3507"/>
      <c r="GQC24" s="3507"/>
      <c r="GQD24" s="3507"/>
      <c r="GQE24" s="3507"/>
      <c r="GQF24" s="3507"/>
      <c r="GQG24" s="3507"/>
      <c r="GQH24" s="3507"/>
      <c r="GQI24" s="3507"/>
      <c r="GQJ24" s="3507"/>
      <c r="GQK24" s="3507"/>
      <c r="GQL24" s="3507"/>
      <c r="GQM24" s="3507"/>
      <c r="GQN24" s="3507"/>
      <c r="GQO24" s="3507"/>
      <c r="GQP24" s="3507"/>
      <c r="GQQ24" s="3507"/>
      <c r="GQR24" s="3507"/>
      <c r="GQS24" s="3507"/>
      <c r="GQT24" s="3507"/>
      <c r="GQU24" s="3507"/>
      <c r="GQV24" s="3507"/>
      <c r="GQW24" s="3507"/>
      <c r="GQX24" s="3507"/>
      <c r="GQY24" s="3507"/>
      <c r="GQZ24" s="3507"/>
      <c r="GRA24" s="3507"/>
      <c r="GRB24" s="3507"/>
      <c r="GRC24" s="3507"/>
      <c r="GRD24" s="3507"/>
      <c r="GRE24" s="3507"/>
      <c r="GRF24" s="3507"/>
      <c r="GRG24" s="3507"/>
      <c r="GRH24" s="3507"/>
      <c r="GRI24" s="3507"/>
      <c r="GRJ24" s="3507"/>
      <c r="GRK24" s="3507"/>
      <c r="GRL24" s="3507"/>
      <c r="GRM24" s="3507"/>
      <c r="GRN24" s="3507"/>
      <c r="GRO24" s="3507"/>
      <c r="GRP24" s="3507"/>
      <c r="GRQ24" s="3507"/>
      <c r="GRR24" s="3507"/>
      <c r="GRS24" s="3507"/>
      <c r="GRT24" s="3507"/>
      <c r="GRU24" s="3507"/>
      <c r="GRV24" s="3507"/>
      <c r="GRW24" s="3507"/>
      <c r="GRX24" s="3507"/>
      <c r="GRY24" s="3507"/>
      <c r="GRZ24" s="3507"/>
      <c r="GSA24" s="3507"/>
      <c r="GSB24" s="3507"/>
      <c r="GSC24" s="3507"/>
      <c r="GSD24" s="3507"/>
      <c r="GSE24" s="3507"/>
      <c r="GSF24" s="3507"/>
      <c r="GSG24" s="3507"/>
      <c r="GSH24" s="3507"/>
      <c r="GSI24" s="3507"/>
      <c r="GSJ24" s="3507"/>
      <c r="GSK24" s="3507"/>
      <c r="GSL24" s="3507"/>
      <c r="GSM24" s="3507"/>
      <c r="GSN24" s="3507"/>
      <c r="GSO24" s="3507"/>
      <c r="GSP24" s="3507"/>
      <c r="GSQ24" s="3507"/>
      <c r="GSR24" s="3507"/>
      <c r="GSS24" s="3507"/>
      <c r="GST24" s="3507"/>
      <c r="GSU24" s="3507"/>
      <c r="GSV24" s="3507"/>
      <c r="GSW24" s="3507"/>
      <c r="GSX24" s="3507"/>
      <c r="GSY24" s="3507"/>
      <c r="GSZ24" s="3507"/>
      <c r="GTA24" s="3507"/>
      <c r="GTB24" s="3507"/>
      <c r="GTC24" s="3507"/>
      <c r="GTD24" s="3507"/>
      <c r="GTE24" s="3507"/>
      <c r="GTF24" s="3507"/>
      <c r="GTG24" s="3507"/>
      <c r="GTH24" s="3507"/>
      <c r="GTI24" s="3507"/>
      <c r="GTJ24" s="3507"/>
      <c r="GTK24" s="3507"/>
      <c r="GTL24" s="3507"/>
      <c r="GTM24" s="3507"/>
      <c r="GTN24" s="3507"/>
      <c r="GTO24" s="3507"/>
      <c r="GTP24" s="3507"/>
      <c r="GTQ24" s="3507"/>
      <c r="GTR24" s="3507"/>
      <c r="GTS24" s="3507"/>
      <c r="GTT24" s="3507"/>
      <c r="GTU24" s="3507"/>
      <c r="GTV24" s="3507"/>
      <c r="GTW24" s="3507"/>
      <c r="GTX24" s="3507"/>
      <c r="GTY24" s="3507"/>
      <c r="GTZ24" s="3507"/>
      <c r="GUA24" s="3507"/>
      <c r="GUB24" s="3507"/>
      <c r="GUC24" s="3507"/>
      <c r="GUD24" s="3507"/>
      <c r="GUE24" s="3507"/>
      <c r="GUF24" s="3507"/>
      <c r="GUG24" s="3507"/>
      <c r="GUH24" s="3507"/>
      <c r="GUI24" s="3507"/>
      <c r="GUJ24" s="3507"/>
      <c r="GUK24" s="3507"/>
      <c r="GUL24" s="3507"/>
      <c r="GUM24" s="3507"/>
      <c r="GUN24" s="3507"/>
      <c r="GUO24" s="3507"/>
      <c r="GUP24" s="3507"/>
      <c r="GUQ24" s="3507"/>
      <c r="GUR24" s="3507"/>
      <c r="GUS24" s="3507"/>
      <c r="GUT24" s="3507"/>
      <c r="GUU24" s="3507"/>
      <c r="GUV24" s="3507"/>
      <c r="GUW24" s="3507"/>
      <c r="GUX24" s="3507"/>
      <c r="GUY24" s="3507"/>
      <c r="GUZ24" s="3507"/>
      <c r="GVA24" s="3507"/>
      <c r="GVB24" s="3507"/>
      <c r="GVC24" s="3507"/>
      <c r="GVD24" s="3507"/>
      <c r="GVE24" s="3507"/>
      <c r="GVF24" s="3507"/>
      <c r="GVG24" s="3507"/>
      <c r="GVH24" s="3507"/>
      <c r="GVI24" s="3507"/>
      <c r="GVJ24" s="3507"/>
      <c r="GVK24" s="3507"/>
      <c r="GVL24" s="3507"/>
      <c r="GVM24" s="3507"/>
      <c r="GVN24" s="3507"/>
      <c r="GVO24" s="3507"/>
      <c r="GVP24" s="3507"/>
      <c r="GVQ24" s="3507"/>
      <c r="GVR24" s="3507"/>
      <c r="GVS24" s="3507"/>
      <c r="GVT24" s="3507"/>
      <c r="GVU24" s="3507"/>
      <c r="GVV24" s="3507"/>
      <c r="GVW24" s="3507"/>
      <c r="GVX24" s="3507"/>
      <c r="GVY24" s="3507"/>
      <c r="GVZ24" s="3507"/>
      <c r="GWA24" s="3507"/>
      <c r="GWB24" s="3507"/>
      <c r="GWC24" s="3507"/>
      <c r="GWD24" s="3507"/>
      <c r="GWE24" s="3507"/>
      <c r="GWF24" s="3507"/>
      <c r="GWG24" s="3507"/>
      <c r="GWH24" s="3507"/>
      <c r="GWI24" s="3507"/>
      <c r="GWJ24" s="3507"/>
      <c r="GWK24" s="3507"/>
      <c r="GWL24" s="3507"/>
      <c r="GWM24" s="3507"/>
      <c r="GWN24" s="3507"/>
      <c r="GWO24" s="3507"/>
      <c r="GWP24" s="3507"/>
      <c r="GWQ24" s="3507"/>
      <c r="GWR24" s="3507"/>
      <c r="GWS24" s="3507"/>
      <c r="GWT24" s="3507"/>
      <c r="GWU24" s="3507"/>
      <c r="GWV24" s="3507"/>
      <c r="GWW24" s="3507"/>
      <c r="GWX24" s="3507"/>
      <c r="GWY24" s="3507"/>
      <c r="GWZ24" s="3507"/>
      <c r="GXA24" s="3507"/>
      <c r="GXB24" s="3507"/>
      <c r="GXC24" s="3507"/>
      <c r="GXD24" s="3507"/>
      <c r="GXE24" s="3507"/>
      <c r="GXF24" s="3507"/>
      <c r="GXG24" s="3507"/>
      <c r="GXH24" s="3507"/>
      <c r="GXI24" s="3507"/>
      <c r="GXJ24" s="3507"/>
      <c r="GXK24" s="3507"/>
      <c r="GXL24" s="3507"/>
      <c r="GXM24" s="3507"/>
      <c r="GXN24" s="3507"/>
      <c r="GXO24" s="3507"/>
      <c r="GXP24" s="3507"/>
      <c r="GXQ24" s="3507"/>
      <c r="GXR24" s="3507"/>
      <c r="GXS24" s="3507"/>
      <c r="GXT24" s="3507"/>
      <c r="GXU24" s="3507"/>
      <c r="GXV24" s="3507"/>
      <c r="GXW24" s="3507"/>
      <c r="GXX24" s="3507"/>
      <c r="GXY24" s="3507"/>
      <c r="GXZ24" s="3507"/>
      <c r="GYA24" s="3507"/>
      <c r="GYB24" s="3507"/>
      <c r="GYC24" s="3507"/>
      <c r="GYD24" s="3507"/>
      <c r="GYE24" s="3507"/>
      <c r="GYF24" s="3507"/>
      <c r="GYG24" s="3507"/>
      <c r="GYH24" s="3507"/>
      <c r="GYI24" s="3507"/>
      <c r="GYJ24" s="3507"/>
      <c r="GYK24" s="3507"/>
      <c r="GYL24" s="3507"/>
      <c r="GYM24" s="3507"/>
      <c r="GYN24" s="3507"/>
      <c r="GYO24" s="3507"/>
      <c r="GYP24" s="3507"/>
      <c r="GYQ24" s="3507"/>
      <c r="GYR24" s="3507"/>
      <c r="GYS24" s="3507"/>
      <c r="GYT24" s="3507"/>
      <c r="GYU24" s="3507"/>
      <c r="GYV24" s="3507"/>
      <c r="GYW24" s="3507"/>
      <c r="GYX24" s="3507"/>
      <c r="GYY24" s="3507"/>
      <c r="GYZ24" s="3507"/>
      <c r="GZA24" s="3507"/>
      <c r="GZB24" s="3507"/>
      <c r="GZC24" s="3507"/>
      <c r="GZD24" s="3507"/>
      <c r="GZE24" s="3507"/>
      <c r="GZF24" s="3507"/>
      <c r="GZG24" s="3507"/>
      <c r="GZH24" s="3507"/>
      <c r="GZI24" s="3507"/>
      <c r="GZJ24" s="3507"/>
      <c r="GZK24" s="3507"/>
      <c r="GZL24" s="3507"/>
      <c r="GZM24" s="3507"/>
      <c r="GZN24" s="3507"/>
      <c r="GZO24" s="3507"/>
      <c r="GZP24" s="3507"/>
      <c r="GZQ24" s="3507"/>
      <c r="GZR24" s="3507"/>
      <c r="GZS24" s="3507"/>
      <c r="GZT24" s="3507"/>
      <c r="GZU24" s="3507"/>
      <c r="GZV24" s="3507"/>
      <c r="GZW24" s="3507"/>
      <c r="GZX24" s="3507"/>
      <c r="GZY24" s="3507"/>
      <c r="GZZ24" s="3507"/>
      <c r="HAA24" s="3507"/>
      <c r="HAB24" s="3507"/>
      <c r="HAC24" s="3507"/>
      <c r="HAD24" s="3507"/>
      <c r="HAE24" s="3507"/>
      <c r="HAF24" s="3507"/>
      <c r="HAG24" s="3507"/>
      <c r="HAH24" s="3507"/>
      <c r="HAI24" s="3507"/>
      <c r="HAJ24" s="3507"/>
      <c r="HAK24" s="3507"/>
      <c r="HAL24" s="3507"/>
      <c r="HAM24" s="3507"/>
      <c r="HAN24" s="3507"/>
      <c r="HAO24" s="3507"/>
      <c r="HAP24" s="3507"/>
      <c r="HAQ24" s="3507"/>
      <c r="HAR24" s="3507"/>
      <c r="HAS24" s="3507"/>
      <c r="HAT24" s="3507"/>
      <c r="HAU24" s="3507"/>
      <c r="HAV24" s="3507"/>
      <c r="HAW24" s="3507"/>
      <c r="HAX24" s="3507"/>
      <c r="HAY24" s="3507"/>
      <c r="HAZ24" s="3507"/>
      <c r="HBA24" s="3507"/>
      <c r="HBB24" s="3507"/>
      <c r="HBC24" s="3507"/>
      <c r="HBD24" s="3507"/>
      <c r="HBE24" s="3507"/>
      <c r="HBF24" s="3507"/>
      <c r="HBG24" s="3507"/>
      <c r="HBH24" s="3507"/>
      <c r="HBI24" s="3507"/>
      <c r="HBJ24" s="3507"/>
      <c r="HBK24" s="3507"/>
      <c r="HBL24" s="3507"/>
      <c r="HBM24" s="3507"/>
      <c r="HBN24" s="3507"/>
      <c r="HBO24" s="3507"/>
      <c r="HBP24" s="3507"/>
      <c r="HBQ24" s="3507"/>
      <c r="HBR24" s="3507"/>
      <c r="HBS24" s="3507"/>
      <c r="HBT24" s="3507"/>
      <c r="HBU24" s="3507"/>
      <c r="HBV24" s="3507"/>
      <c r="HBW24" s="3507"/>
      <c r="HBX24" s="3507"/>
      <c r="HBY24" s="3507"/>
      <c r="HBZ24" s="3507"/>
      <c r="HCA24" s="3507"/>
      <c r="HCB24" s="3507"/>
      <c r="HCC24" s="3507"/>
      <c r="HCD24" s="3507"/>
      <c r="HCE24" s="3507"/>
      <c r="HCF24" s="3507"/>
      <c r="HCG24" s="3507"/>
      <c r="HCH24" s="3507"/>
      <c r="HCI24" s="3507"/>
      <c r="HCJ24" s="3507"/>
      <c r="HCK24" s="3507"/>
      <c r="HCL24" s="3507"/>
      <c r="HCM24" s="3507"/>
      <c r="HCN24" s="3507"/>
      <c r="HCO24" s="3507"/>
      <c r="HCP24" s="3507"/>
      <c r="HCQ24" s="3507"/>
      <c r="HCR24" s="3507"/>
      <c r="HCS24" s="3507"/>
      <c r="HCT24" s="3507"/>
      <c r="HCU24" s="3507"/>
      <c r="HCV24" s="3507"/>
      <c r="HCW24" s="3507"/>
      <c r="HCX24" s="3507"/>
      <c r="HCY24" s="3507"/>
      <c r="HCZ24" s="3507"/>
      <c r="HDA24" s="3507"/>
      <c r="HDB24" s="3507"/>
      <c r="HDC24" s="3507"/>
      <c r="HDD24" s="3507"/>
      <c r="HDE24" s="3507"/>
      <c r="HDF24" s="3507"/>
      <c r="HDG24" s="3507"/>
      <c r="HDH24" s="3507"/>
      <c r="HDI24" s="3507"/>
      <c r="HDJ24" s="3507"/>
      <c r="HDK24" s="3507"/>
      <c r="HDL24" s="3507"/>
      <c r="HDM24" s="3507"/>
      <c r="HDN24" s="3507"/>
      <c r="HDO24" s="3507"/>
      <c r="HDP24" s="3507"/>
      <c r="HDQ24" s="3507"/>
      <c r="HDR24" s="3507"/>
      <c r="HDS24" s="3507"/>
      <c r="HDT24" s="3507"/>
      <c r="HDU24" s="3507"/>
      <c r="HDV24" s="3507"/>
      <c r="HDW24" s="3507"/>
      <c r="HDX24" s="3507"/>
      <c r="HDY24" s="3507"/>
      <c r="HDZ24" s="3507"/>
      <c r="HEA24" s="3507"/>
      <c r="HEB24" s="3507"/>
      <c r="HEC24" s="3507"/>
      <c r="HED24" s="3507"/>
      <c r="HEE24" s="3507"/>
      <c r="HEF24" s="3507"/>
      <c r="HEG24" s="3507"/>
      <c r="HEH24" s="3507"/>
      <c r="HEI24" s="3507"/>
      <c r="HEJ24" s="3507"/>
      <c r="HEK24" s="3507"/>
      <c r="HEL24" s="3507"/>
      <c r="HEM24" s="3507"/>
      <c r="HEN24" s="3507"/>
      <c r="HEO24" s="3507"/>
      <c r="HEP24" s="3507"/>
      <c r="HEQ24" s="3507"/>
      <c r="HER24" s="3507"/>
      <c r="HES24" s="3507"/>
      <c r="HET24" s="3507"/>
      <c r="HEU24" s="3507"/>
      <c r="HEV24" s="3507"/>
      <c r="HEW24" s="3507"/>
      <c r="HEX24" s="3507"/>
      <c r="HEY24" s="3507"/>
      <c r="HEZ24" s="3507"/>
      <c r="HFA24" s="3507"/>
      <c r="HFB24" s="3507"/>
      <c r="HFC24" s="3507"/>
      <c r="HFD24" s="3507"/>
      <c r="HFE24" s="3507"/>
      <c r="HFF24" s="3507"/>
      <c r="HFG24" s="3507"/>
      <c r="HFH24" s="3507"/>
      <c r="HFI24" s="3507"/>
      <c r="HFJ24" s="3507"/>
      <c r="HFK24" s="3507"/>
      <c r="HFL24" s="3507"/>
      <c r="HFM24" s="3507"/>
      <c r="HFN24" s="3507"/>
      <c r="HFO24" s="3507"/>
      <c r="HFP24" s="3507"/>
      <c r="HFQ24" s="3507"/>
      <c r="HFR24" s="3507"/>
      <c r="HFS24" s="3507"/>
      <c r="HFT24" s="3507"/>
      <c r="HFU24" s="3507"/>
      <c r="HFV24" s="3507"/>
      <c r="HFW24" s="3507"/>
      <c r="HFX24" s="3507"/>
      <c r="HFY24" s="3507"/>
      <c r="HFZ24" s="3507"/>
      <c r="HGA24" s="3507"/>
      <c r="HGB24" s="3507"/>
      <c r="HGC24" s="3507"/>
      <c r="HGD24" s="3507"/>
      <c r="HGE24" s="3507"/>
      <c r="HGF24" s="3507"/>
      <c r="HGG24" s="3507"/>
      <c r="HGH24" s="3507"/>
      <c r="HGI24" s="3507"/>
      <c r="HGJ24" s="3507"/>
      <c r="HGK24" s="3507"/>
      <c r="HGL24" s="3507"/>
      <c r="HGM24" s="3507"/>
      <c r="HGN24" s="3507"/>
      <c r="HGO24" s="3507"/>
      <c r="HGP24" s="3507"/>
      <c r="HGQ24" s="3507"/>
      <c r="HGR24" s="3507"/>
      <c r="HGS24" s="3507"/>
      <c r="HGT24" s="3507"/>
      <c r="HGU24" s="3507"/>
      <c r="HGV24" s="3507"/>
      <c r="HGW24" s="3507"/>
      <c r="HGX24" s="3507"/>
      <c r="HGY24" s="3507"/>
      <c r="HGZ24" s="3507"/>
      <c r="HHA24" s="3507"/>
      <c r="HHB24" s="3507"/>
      <c r="HHC24" s="3507"/>
      <c r="HHD24" s="3507"/>
      <c r="HHE24" s="3507"/>
      <c r="HHF24" s="3507"/>
      <c r="HHG24" s="3507"/>
      <c r="HHH24" s="3507"/>
      <c r="HHI24" s="3507"/>
      <c r="HHJ24" s="3507"/>
      <c r="HHK24" s="3507"/>
      <c r="HHL24" s="3507"/>
      <c r="HHM24" s="3507"/>
      <c r="HHN24" s="3507"/>
      <c r="HHO24" s="3507"/>
      <c r="HHP24" s="3507"/>
      <c r="HHQ24" s="3507"/>
      <c r="HHR24" s="3507"/>
      <c r="HHS24" s="3507"/>
      <c r="HHT24" s="3507"/>
      <c r="HHU24" s="3507"/>
      <c r="HHV24" s="3507"/>
      <c r="HHW24" s="3507"/>
      <c r="HHX24" s="3507"/>
      <c r="HHY24" s="3507"/>
      <c r="HHZ24" s="3507"/>
      <c r="HIA24" s="3507"/>
      <c r="HIB24" s="3507"/>
      <c r="HIC24" s="3507"/>
      <c r="HID24" s="3507"/>
      <c r="HIE24" s="3507"/>
      <c r="HIF24" s="3507"/>
      <c r="HIG24" s="3507"/>
      <c r="HIH24" s="3507"/>
      <c r="HII24" s="3507"/>
      <c r="HIJ24" s="3507"/>
      <c r="HIK24" s="3507"/>
      <c r="HIL24" s="3507"/>
      <c r="HIM24" s="3507"/>
      <c r="HIN24" s="3507"/>
      <c r="HIO24" s="3507"/>
      <c r="HIP24" s="3507"/>
      <c r="HIQ24" s="3507"/>
      <c r="HIR24" s="3507"/>
      <c r="HIS24" s="3507"/>
      <c r="HIT24" s="3507"/>
      <c r="HIU24" s="3507"/>
      <c r="HIV24" s="3507"/>
      <c r="HIW24" s="3507"/>
      <c r="HIX24" s="3507"/>
      <c r="HIY24" s="3507"/>
      <c r="HIZ24" s="3507"/>
      <c r="HJA24" s="3507"/>
      <c r="HJB24" s="3507"/>
      <c r="HJC24" s="3507"/>
      <c r="HJD24" s="3507"/>
      <c r="HJE24" s="3507"/>
      <c r="HJF24" s="3507"/>
      <c r="HJG24" s="3507"/>
      <c r="HJH24" s="3507"/>
      <c r="HJI24" s="3507"/>
      <c r="HJJ24" s="3507"/>
      <c r="HJK24" s="3507"/>
      <c r="HJL24" s="3507"/>
      <c r="HJM24" s="3507"/>
      <c r="HJN24" s="3507"/>
      <c r="HJO24" s="3507"/>
      <c r="HJP24" s="3507"/>
      <c r="HJQ24" s="3507"/>
      <c r="HJR24" s="3507"/>
      <c r="HJS24" s="3507"/>
      <c r="HJT24" s="3507"/>
      <c r="HJU24" s="3507"/>
      <c r="HJV24" s="3507"/>
      <c r="HJW24" s="3507"/>
      <c r="HJX24" s="3507"/>
      <c r="HJY24" s="3507"/>
      <c r="HJZ24" s="3507"/>
      <c r="HKA24" s="3507"/>
      <c r="HKB24" s="3507"/>
      <c r="HKC24" s="3507"/>
      <c r="HKD24" s="3507"/>
      <c r="HKE24" s="3507"/>
      <c r="HKF24" s="3507"/>
      <c r="HKG24" s="3507"/>
      <c r="HKH24" s="3507"/>
      <c r="HKI24" s="3507"/>
      <c r="HKJ24" s="3507"/>
      <c r="HKK24" s="3507"/>
      <c r="HKL24" s="3507"/>
      <c r="HKM24" s="3507"/>
      <c r="HKN24" s="3507"/>
      <c r="HKO24" s="3507"/>
      <c r="HKP24" s="3507"/>
      <c r="HKQ24" s="3507"/>
      <c r="HKR24" s="3507"/>
      <c r="HKS24" s="3507"/>
      <c r="HKT24" s="3507"/>
      <c r="HKU24" s="3507"/>
      <c r="HKV24" s="3507"/>
      <c r="HKW24" s="3507"/>
      <c r="HKX24" s="3507"/>
      <c r="HKY24" s="3507"/>
      <c r="HKZ24" s="3507"/>
      <c r="HLA24" s="3507"/>
      <c r="HLB24" s="3507"/>
      <c r="HLC24" s="3507"/>
      <c r="HLD24" s="3507"/>
      <c r="HLE24" s="3507"/>
      <c r="HLF24" s="3507"/>
      <c r="HLG24" s="3507"/>
      <c r="HLH24" s="3507"/>
      <c r="HLI24" s="3507"/>
      <c r="HLJ24" s="3507"/>
      <c r="HLK24" s="3507"/>
      <c r="HLL24" s="3507"/>
      <c r="HLM24" s="3507"/>
      <c r="HLN24" s="3507"/>
      <c r="HLO24" s="3507"/>
      <c r="HLP24" s="3507"/>
      <c r="HLQ24" s="3507"/>
      <c r="HLR24" s="3507"/>
      <c r="HLS24" s="3507"/>
      <c r="HLT24" s="3507"/>
      <c r="HLU24" s="3507"/>
      <c r="HLV24" s="3507"/>
      <c r="HLW24" s="3507"/>
      <c r="HLX24" s="3507"/>
      <c r="HLY24" s="3507"/>
      <c r="HLZ24" s="3507"/>
      <c r="HMA24" s="3507"/>
      <c r="HMB24" s="3507"/>
      <c r="HMC24" s="3507"/>
      <c r="HMD24" s="3507"/>
      <c r="HME24" s="3507"/>
      <c r="HMF24" s="3507"/>
      <c r="HMG24" s="3507"/>
      <c r="HMH24" s="3507"/>
      <c r="HMI24" s="3507"/>
      <c r="HMJ24" s="3507"/>
      <c r="HMK24" s="3507"/>
      <c r="HML24" s="3507"/>
      <c r="HMM24" s="3507"/>
      <c r="HMN24" s="3507"/>
      <c r="HMO24" s="3507"/>
      <c r="HMP24" s="3507"/>
      <c r="HMQ24" s="3507"/>
      <c r="HMR24" s="3507"/>
      <c r="HMS24" s="3507"/>
      <c r="HMT24" s="3507"/>
      <c r="HMU24" s="3507"/>
      <c r="HMV24" s="3507"/>
      <c r="HMW24" s="3507"/>
      <c r="HMX24" s="3507"/>
      <c r="HMY24" s="3507"/>
      <c r="HMZ24" s="3507"/>
      <c r="HNA24" s="3507"/>
      <c r="HNB24" s="3507"/>
      <c r="HNC24" s="3507"/>
      <c r="HND24" s="3507"/>
      <c r="HNE24" s="3507"/>
      <c r="HNF24" s="3507"/>
      <c r="HNG24" s="3507"/>
      <c r="HNH24" s="3507"/>
      <c r="HNI24" s="3507"/>
      <c r="HNJ24" s="3507"/>
      <c r="HNK24" s="3507"/>
      <c r="HNL24" s="3507"/>
      <c r="HNM24" s="3507"/>
      <c r="HNN24" s="3507"/>
      <c r="HNO24" s="3507"/>
      <c r="HNP24" s="3507"/>
      <c r="HNQ24" s="3507"/>
      <c r="HNR24" s="3507"/>
      <c r="HNS24" s="3507"/>
      <c r="HNT24" s="3507"/>
      <c r="HNU24" s="3507"/>
      <c r="HNV24" s="3507"/>
      <c r="HNW24" s="3507"/>
      <c r="HNX24" s="3507"/>
      <c r="HNY24" s="3507"/>
      <c r="HNZ24" s="3507"/>
      <c r="HOA24" s="3507"/>
      <c r="HOB24" s="3507"/>
      <c r="HOC24" s="3507"/>
      <c r="HOD24" s="3507"/>
      <c r="HOE24" s="3507"/>
      <c r="HOF24" s="3507"/>
      <c r="HOG24" s="3507"/>
      <c r="HOH24" s="3507"/>
      <c r="HOI24" s="3507"/>
      <c r="HOJ24" s="3507"/>
      <c r="HOK24" s="3507"/>
      <c r="HOL24" s="3507"/>
      <c r="HOM24" s="3507"/>
      <c r="HON24" s="3507"/>
      <c r="HOO24" s="3507"/>
      <c r="HOP24" s="3507"/>
      <c r="HOQ24" s="3507"/>
      <c r="HOR24" s="3507"/>
      <c r="HOS24" s="3507"/>
      <c r="HOT24" s="3507"/>
      <c r="HOU24" s="3507"/>
      <c r="HOV24" s="3507"/>
      <c r="HOW24" s="3507"/>
      <c r="HOX24" s="3507"/>
      <c r="HOY24" s="3507"/>
      <c r="HOZ24" s="3507"/>
      <c r="HPA24" s="3507"/>
      <c r="HPB24" s="3507"/>
      <c r="HPC24" s="3507"/>
      <c r="HPD24" s="3507"/>
      <c r="HPE24" s="3507"/>
      <c r="HPF24" s="3507"/>
      <c r="HPG24" s="3507"/>
      <c r="HPH24" s="3507"/>
      <c r="HPI24" s="3507"/>
      <c r="HPJ24" s="3507"/>
      <c r="HPK24" s="3507"/>
      <c r="HPL24" s="3507"/>
      <c r="HPM24" s="3507"/>
      <c r="HPN24" s="3507"/>
      <c r="HPO24" s="3507"/>
      <c r="HPP24" s="3507"/>
      <c r="HPQ24" s="3507"/>
      <c r="HPR24" s="3507"/>
      <c r="HPS24" s="3507"/>
      <c r="HPT24" s="3507"/>
      <c r="HPU24" s="3507"/>
      <c r="HPV24" s="3507"/>
      <c r="HPW24" s="3507"/>
      <c r="HPX24" s="3507"/>
      <c r="HPY24" s="3507"/>
      <c r="HPZ24" s="3507"/>
      <c r="HQA24" s="3507"/>
      <c r="HQB24" s="3507"/>
      <c r="HQC24" s="3507"/>
      <c r="HQD24" s="3507"/>
      <c r="HQE24" s="3507"/>
      <c r="HQF24" s="3507"/>
      <c r="HQG24" s="3507"/>
      <c r="HQH24" s="3507"/>
      <c r="HQI24" s="3507"/>
      <c r="HQJ24" s="3507"/>
      <c r="HQK24" s="3507"/>
      <c r="HQL24" s="3507"/>
      <c r="HQM24" s="3507"/>
      <c r="HQN24" s="3507"/>
      <c r="HQO24" s="3507"/>
      <c r="HQP24" s="3507"/>
      <c r="HQQ24" s="3507"/>
      <c r="HQR24" s="3507"/>
      <c r="HQS24" s="3507"/>
      <c r="HQT24" s="3507"/>
      <c r="HQU24" s="3507"/>
      <c r="HQV24" s="3507"/>
      <c r="HQW24" s="3507"/>
      <c r="HQX24" s="3507"/>
      <c r="HQY24" s="3507"/>
      <c r="HQZ24" s="3507"/>
      <c r="HRA24" s="3507"/>
      <c r="HRB24" s="3507"/>
      <c r="HRC24" s="3507"/>
      <c r="HRD24" s="3507"/>
      <c r="HRE24" s="3507"/>
      <c r="HRF24" s="3507"/>
      <c r="HRG24" s="3507"/>
      <c r="HRH24" s="3507"/>
      <c r="HRI24" s="3507"/>
      <c r="HRJ24" s="3507"/>
      <c r="HRK24" s="3507"/>
      <c r="HRL24" s="3507"/>
      <c r="HRM24" s="3507"/>
      <c r="HRN24" s="3507"/>
      <c r="HRO24" s="3507"/>
      <c r="HRP24" s="3507"/>
      <c r="HRQ24" s="3507"/>
      <c r="HRR24" s="3507"/>
      <c r="HRS24" s="3507"/>
      <c r="HRT24" s="3507"/>
      <c r="HRU24" s="3507"/>
      <c r="HRV24" s="3507"/>
      <c r="HRW24" s="3507"/>
      <c r="HRX24" s="3507"/>
      <c r="HRY24" s="3507"/>
      <c r="HRZ24" s="3507"/>
      <c r="HSA24" s="3507"/>
      <c r="HSB24" s="3507"/>
      <c r="HSC24" s="3507"/>
      <c r="HSD24" s="3507"/>
      <c r="HSE24" s="3507"/>
      <c r="HSF24" s="3507"/>
      <c r="HSG24" s="3507"/>
      <c r="HSH24" s="3507"/>
      <c r="HSI24" s="3507"/>
      <c r="HSJ24" s="3507"/>
      <c r="HSK24" s="3507"/>
      <c r="HSL24" s="3507"/>
      <c r="HSM24" s="3507"/>
      <c r="HSN24" s="3507"/>
      <c r="HSO24" s="3507"/>
      <c r="HSP24" s="3507"/>
      <c r="HSQ24" s="3507"/>
      <c r="HSR24" s="3507"/>
      <c r="HSS24" s="3507"/>
      <c r="HST24" s="3507"/>
      <c r="HSU24" s="3507"/>
      <c r="HSV24" s="3507"/>
      <c r="HSW24" s="3507"/>
      <c r="HSX24" s="3507"/>
      <c r="HSY24" s="3507"/>
      <c r="HSZ24" s="3507"/>
      <c r="HTA24" s="3507"/>
      <c r="HTB24" s="3507"/>
      <c r="HTC24" s="3507"/>
      <c r="HTD24" s="3507"/>
      <c r="HTE24" s="3507"/>
      <c r="HTF24" s="3507"/>
      <c r="HTG24" s="3507"/>
      <c r="HTH24" s="3507"/>
      <c r="HTI24" s="3507"/>
      <c r="HTJ24" s="3507"/>
      <c r="HTK24" s="3507"/>
      <c r="HTL24" s="3507"/>
      <c r="HTM24" s="3507"/>
      <c r="HTN24" s="3507"/>
      <c r="HTO24" s="3507"/>
      <c r="HTP24" s="3507"/>
      <c r="HTQ24" s="3507"/>
      <c r="HTR24" s="3507"/>
      <c r="HTS24" s="3507"/>
      <c r="HTT24" s="3507"/>
      <c r="HTU24" s="3507"/>
      <c r="HTV24" s="3507"/>
      <c r="HTW24" s="3507"/>
      <c r="HTX24" s="3507"/>
      <c r="HTY24" s="3507"/>
      <c r="HTZ24" s="3507"/>
      <c r="HUA24" s="3507"/>
      <c r="HUB24" s="3507"/>
      <c r="HUC24" s="3507"/>
      <c r="HUD24" s="3507"/>
      <c r="HUE24" s="3507"/>
      <c r="HUF24" s="3507"/>
      <c r="HUG24" s="3507"/>
      <c r="HUH24" s="3507"/>
      <c r="HUI24" s="3507"/>
      <c r="HUJ24" s="3507"/>
      <c r="HUK24" s="3507"/>
      <c r="HUL24" s="3507"/>
      <c r="HUM24" s="3507"/>
      <c r="HUN24" s="3507"/>
      <c r="HUO24" s="3507"/>
      <c r="HUP24" s="3507"/>
      <c r="HUQ24" s="3507"/>
      <c r="HUR24" s="3507"/>
      <c r="HUS24" s="3507"/>
      <c r="HUT24" s="3507"/>
      <c r="HUU24" s="3507"/>
      <c r="HUV24" s="3507"/>
      <c r="HUW24" s="3507"/>
      <c r="HUX24" s="3507"/>
      <c r="HUY24" s="3507"/>
      <c r="HUZ24" s="3507"/>
      <c r="HVA24" s="3507"/>
      <c r="HVB24" s="3507"/>
      <c r="HVC24" s="3507"/>
      <c r="HVD24" s="3507"/>
      <c r="HVE24" s="3507"/>
      <c r="HVF24" s="3507"/>
      <c r="HVG24" s="3507"/>
      <c r="HVH24" s="3507"/>
      <c r="HVI24" s="3507"/>
      <c r="HVJ24" s="3507"/>
      <c r="HVK24" s="3507"/>
      <c r="HVL24" s="3507"/>
      <c r="HVM24" s="3507"/>
      <c r="HVN24" s="3507"/>
      <c r="HVO24" s="3507"/>
      <c r="HVP24" s="3507"/>
      <c r="HVQ24" s="3507"/>
      <c r="HVR24" s="3507"/>
      <c r="HVS24" s="3507"/>
      <c r="HVT24" s="3507"/>
      <c r="HVU24" s="3507"/>
      <c r="HVV24" s="3507"/>
      <c r="HVW24" s="3507"/>
      <c r="HVX24" s="3507"/>
      <c r="HVY24" s="3507"/>
      <c r="HVZ24" s="3507"/>
      <c r="HWA24" s="3507"/>
      <c r="HWB24" s="3507"/>
      <c r="HWC24" s="3507"/>
      <c r="HWD24" s="3507"/>
      <c r="HWE24" s="3507"/>
      <c r="HWF24" s="3507"/>
      <c r="HWG24" s="3507"/>
      <c r="HWH24" s="3507"/>
      <c r="HWI24" s="3507"/>
      <c r="HWJ24" s="3507"/>
      <c r="HWK24" s="3507"/>
      <c r="HWL24" s="3507"/>
      <c r="HWM24" s="3507"/>
      <c r="HWN24" s="3507"/>
      <c r="HWO24" s="3507"/>
      <c r="HWP24" s="3507"/>
      <c r="HWQ24" s="3507"/>
      <c r="HWR24" s="3507"/>
      <c r="HWS24" s="3507"/>
      <c r="HWT24" s="3507"/>
      <c r="HWU24" s="3507"/>
      <c r="HWV24" s="3507"/>
      <c r="HWW24" s="3507"/>
      <c r="HWX24" s="3507"/>
      <c r="HWY24" s="3507"/>
      <c r="HWZ24" s="3507"/>
      <c r="HXA24" s="3507"/>
      <c r="HXB24" s="3507"/>
      <c r="HXC24" s="3507"/>
      <c r="HXD24" s="3507"/>
      <c r="HXE24" s="3507"/>
      <c r="HXF24" s="3507"/>
      <c r="HXG24" s="3507"/>
      <c r="HXH24" s="3507"/>
      <c r="HXI24" s="3507"/>
      <c r="HXJ24" s="3507"/>
      <c r="HXK24" s="3507"/>
      <c r="HXL24" s="3507"/>
      <c r="HXM24" s="3507"/>
      <c r="HXN24" s="3507"/>
      <c r="HXO24" s="3507"/>
      <c r="HXP24" s="3507"/>
      <c r="HXQ24" s="3507"/>
      <c r="HXR24" s="3507"/>
      <c r="HXS24" s="3507"/>
      <c r="HXT24" s="3507"/>
      <c r="HXU24" s="3507"/>
      <c r="HXV24" s="3507"/>
      <c r="HXW24" s="3507"/>
      <c r="HXX24" s="3507"/>
      <c r="HXY24" s="3507"/>
      <c r="HXZ24" s="3507"/>
      <c r="HYA24" s="3507"/>
      <c r="HYB24" s="3507"/>
      <c r="HYC24" s="3507"/>
      <c r="HYD24" s="3507"/>
      <c r="HYE24" s="3507"/>
      <c r="HYF24" s="3507"/>
      <c r="HYG24" s="3507"/>
      <c r="HYH24" s="3507"/>
      <c r="HYI24" s="3507"/>
      <c r="HYJ24" s="3507"/>
      <c r="HYK24" s="3507"/>
      <c r="HYL24" s="3507"/>
      <c r="HYM24" s="3507"/>
      <c r="HYN24" s="3507"/>
      <c r="HYO24" s="3507"/>
      <c r="HYP24" s="3507"/>
      <c r="HYQ24" s="3507"/>
      <c r="HYR24" s="3507"/>
      <c r="HYS24" s="3507"/>
      <c r="HYT24" s="3507"/>
      <c r="HYU24" s="3507"/>
      <c r="HYV24" s="3507"/>
      <c r="HYW24" s="3507"/>
      <c r="HYX24" s="3507"/>
      <c r="HYY24" s="3507"/>
      <c r="HYZ24" s="3507"/>
      <c r="HZA24" s="3507"/>
      <c r="HZB24" s="3507"/>
      <c r="HZC24" s="3507"/>
      <c r="HZD24" s="3507"/>
      <c r="HZE24" s="3507"/>
      <c r="HZF24" s="3507"/>
      <c r="HZG24" s="3507"/>
      <c r="HZH24" s="3507"/>
      <c r="HZI24" s="3507"/>
      <c r="HZJ24" s="3507"/>
      <c r="HZK24" s="3507"/>
      <c r="HZL24" s="3507"/>
      <c r="HZM24" s="3507"/>
      <c r="HZN24" s="3507"/>
      <c r="HZO24" s="3507"/>
      <c r="HZP24" s="3507"/>
      <c r="HZQ24" s="3507"/>
      <c r="HZR24" s="3507"/>
      <c r="HZS24" s="3507"/>
      <c r="HZT24" s="3507"/>
      <c r="HZU24" s="3507"/>
      <c r="HZV24" s="3507"/>
      <c r="HZW24" s="3507"/>
      <c r="HZX24" s="3507"/>
      <c r="HZY24" s="3507"/>
      <c r="HZZ24" s="3507"/>
      <c r="IAA24" s="3507"/>
      <c r="IAB24" s="3507"/>
      <c r="IAC24" s="3507"/>
      <c r="IAD24" s="3507"/>
      <c r="IAE24" s="3507"/>
      <c r="IAF24" s="3507"/>
      <c r="IAG24" s="3507"/>
      <c r="IAH24" s="3507"/>
      <c r="IAI24" s="3507"/>
      <c r="IAJ24" s="3507"/>
      <c r="IAK24" s="3507"/>
      <c r="IAL24" s="3507"/>
      <c r="IAM24" s="3507"/>
      <c r="IAN24" s="3507"/>
      <c r="IAO24" s="3507"/>
      <c r="IAP24" s="3507"/>
      <c r="IAQ24" s="3507"/>
      <c r="IAR24" s="3507"/>
      <c r="IAS24" s="3507"/>
      <c r="IAT24" s="3507"/>
      <c r="IAU24" s="3507"/>
      <c r="IAV24" s="3507"/>
      <c r="IAW24" s="3507"/>
      <c r="IAX24" s="3507"/>
      <c r="IAY24" s="3507"/>
      <c r="IAZ24" s="3507"/>
      <c r="IBA24" s="3507"/>
      <c r="IBB24" s="3507"/>
      <c r="IBC24" s="3507"/>
      <c r="IBD24" s="3507"/>
      <c r="IBE24" s="3507"/>
      <c r="IBF24" s="3507"/>
      <c r="IBG24" s="3507"/>
      <c r="IBH24" s="3507"/>
      <c r="IBI24" s="3507"/>
      <c r="IBJ24" s="3507"/>
      <c r="IBK24" s="3507"/>
      <c r="IBL24" s="3507"/>
      <c r="IBM24" s="3507"/>
      <c r="IBN24" s="3507"/>
      <c r="IBO24" s="3507"/>
      <c r="IBP24" s="3507"/>
      <c r="IBQ24" s="3507"/>
      <c r="IBR24" s="3507"/>
      <c r="IBS24" s="3507"/>
      <c r="IBT24" s="3507"/>
      <c r="IBU24" s="3507"/>
      <c r="IBV24" s="3507"/>
      <c r="IBW24" s="3507"/>
      <c r="IBX24" s="3507"/>
      <c r="IBY24" s="3507"/>
      <c r="IBZ24" s="3507"/>
      <c r="ICA24" s="3507"/>
      <c r="ICB24" s="3507"/>
      <c r="ICC24" s="3507"/>
      <c r="ICD24" s="3507"/>
      <c r="ICE24" s="3507"/>
      <c r="ICF24" s="3507"/>
      <c r="ICG24" s="3507"/>
      <c r="ICH24" s="3507"/>
      <c r="ICI24" s="3507"/>
      <c r="ICJ24" s="3507"/>
      <c r="ICK24" s="3507"/>
      <c r="ICL24" s="3507"/>
      <c r="ICM24" s="3507"/>
      <c r="ICN24" s="3507"/>
      <c r="ICO24" s="3507"/>
      <c r="ICP24" s="3507"/>
      <c r="ICQ24" s="3507"/>
      <c r="ICR24" s="3507"/>
      <c r="ICS24" s="3507"/>
      <c r="ICT24" s="3507"/>
      <c r="ICU24" s="3507"/>
      <c r="ICV24" s="3507"/>
      <c r="ICW24" s="3507"/>
      <c r="ICX24" s="3507"/>
      <c r="ICY24" s="3507"/>
      <c r="ICZ24" s="3507"/>
      <c r="IDA24" s="3507"/>
      <c r="IDB24" s="3507"/>
      <c r="IDC24" s="3507"/>
      <c r="IDD24" s="3507"/>
      <c r="IDE24" s="3507"/>
      <c r="IDF24" s="3507"/>
      <c r="IDG24" s="3507"/>
      <c r="IDH24" s="3507"/>
      <c r="IDI24" s="3507"/>
      <c r="IDJ24" s="3507"/>
      <c r="IDK24" s="3507"/>
      <c r="IDL24" s="3507"/>
      <c r="IDM24" s="3507"/>
      <c r="IDN24" s="3507"/>
      <c r="IDO24" s="3507"/>
      <c r="IDP24" s="3507"/>
      <c r="IDQ24" s="3507"/>
      <c r="IDR24" s="3507"/>
      <c r="IDS24" s="3507"/>
      <c r="IDT24" s="3507"/>
      <c r="IDU24" s="3507"/>
      <c r="IDV24" s="3507"/>
      <c r="IDW24" s="3507"/>
      <c r="IDX24" s="3507"/>
      <c r="IDY24" s="3507"/>
      <c r="IDZ24" s="3507"/>
      <c r="IEA24" s="3507"/>
      <c r="IEB24" s="3507"/>
      <c r="IEC24" s="3507"/>
      <c r="IED24" s="3507"/>
      <c r="IEE24" s="3507"/>
      <c r="IEF24" s="3507"/>
      <c r="IEG24" s="3507"/>
      <c r="IEH24" s="3507"/>
      <c r="IEI24" s="3507"/>
      <c r="IEJ24" s="3507"/>
      <c r="IEK24" s="3507"/>
      <c r="IEL24" s="3507"/>
      <c r="IEM24" s="3507"/>
      <c r="IEN24" s="3507"/>
      <c r="IEO24" s="3507"/>
      <c r="IEP24" s="3507"/>
      <c r="IEQ24" s="3507"/>
      <c r="IER24" s="3507"/>
      <c r="IES24" s="3507"/>
      <c r="IET24" s="3507"/>
      <c r="IEU24" s="3507"/>
      <c r="IEV24" s="3507"/>
      <c r="IEW24" s="3507"/>
      <c r="IEX24" s="3507"/>
      <c r="IEY24" s="3507"/>
      <c r="IEZ24" s="3507"/>
      <c r="IFA24" s="3507"/>
      <c r="IFB24" s="3507"/>
      <c r="IFC24" s="3507"/>
      <c r="IFD24" s="3507"/>
      <c r="IFE24" s="3507"/>
      <c r="IFF24" s="3507"/>
      <c r="IFG24" s="3507"/>
      <c r="IFH24" s="3507"/>
      <c r="IFI24" s="3507"/>
      <c r="IFJ24" s="3507"/>
      <c r="IFK24" s="3507"/>
      <c r="IFL24" s="3507"/>
      <c r="IFM24" s="3507"/>
      <c r="IFN24" s="3507"/>
      <c r="IFO24" s="3507"/>
      <c r="IFP24" s="3507"/>
      <c r="IFQ24" s="3507"/>
      <c r="IFR24" s="3507"/>
      <c r="IFS24" s="3507"/>
      <c r="IFT24" s="3507"/>
      <c r="IFU24" s="3507"/>
      <c r="IFV24" s="3507"/>
      <c r="IFW24" s="3507"/>
      <c r="IFX24" s="3507"/>
      <c r="IFY24" s="3507"/>
      <c r="IFZ24" s="3507"/>
      <c r="IGA24" s="3507"/>
      <c r="IGB24" s="3507"/>
      <c r="IGC24" s="3507"/>
      <c r="IGD24" s="3507"/>
      <c r="IGE24" s="3507"/>
      <c r="IGF24" s="3507"/>
      <c r="IGG24" s="3507"/>
      <c r="IGH24" s="3507"/>
      <c r="IGI24" s="3507"/>
      <c r="IGJ24" s="3507"/>
      <c r="IGK24" s="3507"/>
      <c r="IGL24" s="3507"/>
      <c r="IGM24" s="3507"/>
      <c r="IGN24" s="3507"/>
      <c r="IGO24" s="3507"/>
      <c r="IGP24" s="3507"/>
      <c r="IGQ24" s="3507"/>
      <c r="IGR24" s="3507"/>
      <c r="IGS24" s="3507"/>
      <c r="IGT24" s="3507"/>
      <c r="IGU24" s="3507"/>
      <c r="IGV24" s="3507"/>
      <c r="IGW24" s="3507"/>
      <c r="IGX24" s="3507"/>
      <c r="IGY24" s="3507"/>
      <c r="IGZ24" s="3507"/>
      <c r="IHA24" s="3507"/>
      <c r="IHB24" s="3507"/>
      <c r="IHC24" s="3507"/>
      <c r="IHD24" s="3507"/>
      <c r="IHE24" s="3507"/>
      <c r="IHF24" s="3507"/>
      <c r="IHG24" s="3507"/>
      <c r="IHH24" s="3507"/>
      <c r="IHI24" s="3507"/>
      <c r="IHJ24" s="3507"/>
      <c r="IHK24" s="3507"/>
      <c r="IHL24" s="3507"/>
      <c r="IHM24" s="3507"/>
      <c r="IHN24" s="3507"/>
      <c r="IHO24" s="3507"/>
      <c r="IHP24" s="3507"/>
      <c r="IHQ24" s="3507"/>
      <c r="IHR24" s="3507"/>
      <c r="IHS24" s="3507"/>
      <c r="IHT24" s="3507"/>
      <c r="IHU24" s="3507"/>
      <c r="IHV24" s="3507"/>
      <c r="IHW24" s="3507"/>
      <c r="IHX24" s="3507"/>
      <c r="IHY24" s="3507"/>
      <c r="IHZ24" s="3507"/>
      <c r="IIA24" s="3507"/>
      <c r="IIB24" s="3507"/>
      <c r="IIC24" s="3507"/>
      <c r="IID24" s="3507"/>
      <c r="IIE24" s="3507"/>
      <c r="IIF24" s="3507"/>
      <c r="IIG24" s="3507"/>
      <c r="IIH24" s="3507"/>
      <c r="III24" s="3507"/>
      <c r="IIJ24" s="3507"/>
      <c r="IIK24" s="3507"/>
      <c r="IIL24" s="3507"/>
      <c r="IIM24" s="3507"/>
      <c r="IIN24" s="3507"/>
      <c r="IIO24" s="3507"/>
      <c r="IIP24" s="3507"/>
      <c r="IIQ24" s="3507"/>
      <c r="IIR24" s="3507"/>
      <c r="IIS24" s="3507"/>
      <c r="IIT24" s="3507"/>
      <c r="IIU24" s="3507"/>
      <c r="IIV24" s="3507"/>
      <c r="IIW24" s="3507"/>
      <c r="IIX24" s="3507"/>
      <c r="IIY24" s="3507"/>
      <c r="IIZ24" s="3507"/>
      <c r="IJA24" s="3507"/>
      <c r="IJB24" s="3507"/>
      <c r="IJC24" s="3507"/>
      <c r="IJD24" s="3507"/>
      <c r="IJE24" s="3507"/>
      <c r="IJF24" s="3507"/>
      <c r="IJG24" s="3507"/>
      <c r="IJH24" s="3507"/>
      <c r="IJI24" s="3507"/>
      <c r="IJJ24" s="3507"/>
      <c r="IJK24" s="3507"/>
      <c r="IJL24" s="3507"/>
      <c r="IJM24" s="3507"/>
      <c r="IJN24" s="3507"/>
      <c r="IJO24" s="3507"/>
      <c r="IJP24" s="3507"/>
      <c r="IJQ24" s="3507"/>
      <c r="IJR24" s="3507"/>
      <c r="IJS24" s="3507"/>
      <c r="IJT24" s="3507"/>
      <c r="IJU24" s="3507"/>
      <c r="IJV24" s="3507"/>
      <c r="IJW24" s="3507"/>
      <c r="IJX24" s="3507"/>
      <c r="IJY24" s="3507"/>
      <c r="IJZ24" s="3507"/>
      <c r="IKA24" s="3507"/>
      <c r="IKB24" s="3507"/>
      <c r="IKC24" s="3507"/>
      <c r="IKD24" s="3507"/>
      <c r="IKE24" s="3507"/>
      <c r="IKF24" s="3507"/>
      <c r="IKG24" s="3507"/>
      <c r="IKH24" s="3507"/>
      <c r="IKI24" s="3507"/>
      <c r="IKJ24" s="3507"/>
      <c r="IKK24" s="3507"/>
      <c r="IKL24" s="3507"/>
      <c r="IKM24" s="3507"/>
      <c r="IKN24" s="3507"/>
      <c r="IKO24" s="3507"/>
      <c r="IKP24" s="3507"/>
      <c r="IKQ24" s="3507"/>
      <c r="IKR24" s="3507"/>
      <c r="IKS24" s="3507"/>
      <c r="IKT24" s="3507"/>
      <c r="IKU24" s="3507"/>
      <c r="IKV24" s="3507"/>
      <c r="IKW24" s="3507"/>
      <c r="IKX24" s="3507"/>
      <c r="IKY24" s="3507"/>
      <c r="IKZ24" s="3507"/>
      <c r="ILA24" s="3507"/>
      <c r="ILB24" s="3507"/>
      <c r="ILC24" s="3507"/>
      <c r="ILD24" s="3507"/>
      <c r="ILE24" s="3507"/>
      <c r="ILF24" s="3507"/>
      <c r="ILG24" s="3507"/>
      <c r="ILH24" s="3507"/>
      <c r="ILI24" s="3507"/>
      <c r="ILJ24" s="3507"/>
      <c r="ILK24" s="3507"/>
      <c r="ILL24" s="3507"/>
      <c r="ILM24" s="3507"/>
      <c r="ILN24" s="3507"/>
      <c r="ILO24" s="3507"/>
      <c r="ILP24" s="3507"/>
      <c r="ILQ24" s="3507"/>
      <c r="ILR24" s="3507"/>
      <c r="ILS24" s="3507"/>
      <c r="ILT24" s="3507"/>
      <c r="ILU24" s="3507"/>
      <c r="ILV24" s="3507"/>
      <c r="ILW24" s="3507"/>
      <c r="ILX24" s="3507"/>
      <c r="ILY24" s="3507"/>
      <c r="ILZ24" s="3507"/>
      <c r="IMA24" s="3507"/>
      <c r="IMB24" s="3507"/>
      <c r="IMC24" s="3507"/>
      <c r="IMD24" s="3507"/>
      <c r="IME24" s="3507"/>
      <c r="IMF24" s="3507"/>
      <c r="IMG24" s="3507"/>
      <c r="IMH24" s="3507"/>
      <c r="IMI24" s="3507"/>
      <c r="IMJ24" s="3507"/>
      <c r="IMK24" s="3507"/>
      <c r="IML24" s="3507"/>
      <c r="IMM24" s="3507"/>
      <c r="IMN24" s="3507"/>
      <c r="IMO24" s="3507"/>
      <c r="IMP24" s="3507"/>
      <c r="IMQ24" s="3507"/>
      <c r="IMR24" s="3507"/>
      <c r="IMS24" s="3507"/>
      <c r="IMT24" s="3507"/>
      <c r="IMU24" s="3507"/>
      <c r="IMV24" s="3507"/>
      <c r="IMW24" s="3507"/>
      <c r="IMX24" s="3507"/>
      <c r="IMY24" s="3507"/>
      <c r="IMZ24" s="3507"/>
      <c r="INA24" s="3507"/>
      <c r="INB24" s="3507"/>
      <c r="INC24" s="3507"/>
      <c r="IND24" s="3507"/>
      <c r="INE24" s="3507"/>
      <c r="INF24" s="3507"/>
      <c r="ING24" s="3507"/>
      <c r="INH24" s="3507"/>
      <c r="INI24" s="3507"/>
      <c r="INJ24" s="3507"/>
      <c r="INK24" s="3507"/>
      <c r="INL24" s="3507"/>
      <c r="INM24" s="3507"/>
      <c r="INN24" s="3507"/>
      <c r="INO24" s="3507"/>
      <c r="INP24" s="3507"/>
      <c r="INQ24" s="3507"/>
      <c r="INR24" s="3507"/>
      <c r="INS24" s="3507"/>
      <c r="INT24" s="3507"/>
      <c r="INU24" s="3507"/>
      <c r="INV24" s="3507"/>
      <c r="INW24" s="3507"/>
      <c r="INX24" s="3507"/>
      <c r="INY24" s="3507"/>
      <c r="INZ24" s="3507"/>
      <c r="IOA24" s="3507"/>
      <c r="IOB24" s="3507"/>
      <c r="IOC24" s="3507"/>
      <c r="IOD24" s="3507"/>
      <c r="IOE24" s="3507"/>
      <c r="IOF24" s="3507"/>
      <c r="IOG24" s="3507"/>
      <c r="IOH24" s="3507"/>
      <c r="IOI24" s="3507"/>
      <c r="IOJ24" s="3507"/>
      <c r="IOK24" s="3507"/>
      <c r="IOL24" s="3507"/>
      <c r="IOM24" s="3507"/>
      <c r="ION24" s="3507"/>
      <c r="IOO24" s="3507"/>
      <c r="IOP24" s="3507"/>
      <c r="IOQ24" s="3507"/>
      <c r="IOR24" s="3507"/>
      <c r="IOS24" s="3507"/>
      <c r="IOT24" s="3507"/>
      <c r="IOU24" s="3507"/>
      <c r="IOV24" s="3507"/>
      <c r="IOW24" s="3507"/>
      <c r="IOX24" s="3507"/>
      <c r="IOY24" s="3507"/>
      <c r="IOZ24" s="3507"/>
      <c r="IPA24" s="3507"/>
      <c r="IPB24" s="3507"/>
      <c r="IPC24" s="3507"/>
      <c r="IPD24" s="3507"/>
      <c r="IPE24" s="3507"/>
      <c r="IPF24" s="3507"/>
      <c r="IPG24" s="3507"/>
      <c r="IPH24" s="3507"/>
      <c r="IPI24" s="3507"/>
      <c r="IPJ24" s="3507"/>
      <c r="IPK24" s="3507"/>
      <c r="IPL24" s="3507"/>
      <c r="IPM24" s="3507"/>
      <c r="IPN24" s="3507"/>
      <c r="IPO24" s="3507"/>
      <c r="IPP24" s="3507"/>
      <c r="IPQ24" s="3507"/>
      <c r="IPR24" s="3507"/>
      <c r="IPS24" s="3507"/>
      <c r="IPT24" s="3507"/>
      <c r="IPU24" s="3507"/>
      <c r="IPV24" s="3507"/>
      <c r="IPW24" s="3507"/>
      <c r="IPX24" s="3507"/>
      <c r="IPY24" s="3507"/>
      <c r="IPZ24" s="3507"/>
      <c r="IQA24" s="3507"/>
      <c r="IQB24" s="3507"/>
      <c r="IQC24" s="3507"/>
      <c r="IQD24" s="3507"/>
      <c r="IQE24" s="3507"/>
      <c r="IQF24" s="3507"/>
      <c r="IQG24" s="3507"/>
      <c r="IQH24" s="3507"/>
      <c r="IQI24" s="3507"/>
      <c r="IQJ24" s="3507"/>
      <c r="IQK24" s="3507"/>
      <c r="IQL24" s="3507"/>
      <c r="IQM24" s="3507"/>
      <c r="IQN24" s="3507"/>
      <c r="IQO24" s="3507"/>
      <c r="IQP24" s="3507"/>
      <c r="IQQ24" s="3507"/>
      <c r="IQR24" s="3507"/>
      <c r="IQS24" s="3507"/>
      <c r="IQT24" s="3507"/>
      <c r="IQU24" s="3507"/>
      <c r="IQV24" s="3507"/>
      <c r="IQW24" s="3507"/>
      <c r="IQX24" s="3507"/>
      <c r="IQY24" s="3507"/>
      <c r="IQZ24" s="3507"/>
      <c r="IRA24" s="3507"/>
      <c r="IRB24" s="3507"/>
      <c r="IRC24" s="3507"/>
      <c r="IRD24" s="3507"/>
      <c r="IRE24" s="3507"/>
      <c r="IRF24" s="3507"/>
      <c r="IRG24" s="3507"/>
      <c r="IRH24" s="3507"/>
      <c r="IRI24" s="3507"/>
      <c r="IRJ24" s="3507"/>
      <c r="IRK24" s="3507"/>
      <c r="IRL24" s="3507"/>
      <c r="IRM24" s="3507"/>
      <c r="IRN24" s="3507"/>
      <c r="IRO24" s="3507"/>
      <c r="IRP24" s="3507"/>
      <c r="IRQ24" s="3507"/>
      <c r="IRR24" s="3507"/>
      <c r="IRS24" s="3507"/>
      <c r="IRT24" s="3507"/>
      <c r="IRU24" s="3507"/>
      <c r="IRV24" s="3507"/>
      <c r="IRW24" s="3507"/>
      <c r="IRX24" s="3507"/>
      <c r="IRY24" s="3507"/>
      <c r="IRZ24" s="3507"/>
      <c r="ISA24" s="3507"/>
      <c r="ISB24" s="3507"/>
      <c r="ISC24" s="3507"/>
      <c r="ISD24" s="3507"/>
      <c r="ISE24" s="3507"/>
      <c r="ISF24" s="3507"/>
      <c r="ISG24" s="3507"/>
      <c r="ISH24" s="3507"/>
      <c r="ISI24" s="3507"/>
      <c r="ISJ24" s="3507"/>
      <c r="ISK24" s="3507"/>
      <c r="ISL24" s="3507"/>
      <c r="ISM24" s="3507"/>
      <c r="ISN24" s="3507"/>
      <c r="ISO24" s="3507"/>
      <c r="ISP24" s="3507"/>
      <c r="ISQ24" s="3507"/>
      <c r="ISR24" s="3507"/>
      <c r="ISS24" s="3507"/>
      <c r="IST24" s="3507"/>
      <c r="ISU24" s="3507"/>
      <c r="ISV24" s="3507"/>
      <c r="ISW24" s="3507"/>
      <c r="ISX24" s="3507"/>
      <c r="ISY24" s="3507"/>
      <c r="ISZ24" s="3507"/>
      <c r="ITA24" s="3507"/>
      <c r="ITB24" s="3507"/>
      <c r="ITC24" s="3507"/>
      <c r="ITD24" s="3507"/>
      <c r="ITE24" s="3507"/>
      <c r="ITF24" s="3507"/>
      <c r="ITG24" s="3507"/>
      <c r="ITH24" s="3507"/>
      <c r="ITI24" s="3507"/>
      <c r="ITJ24" s="3507"/>
      <c r="ITK24" s="3507"/>
      <c r="ITL24" s="3507"/>
      <c r="ITM24" s="3507"/>
      <c r="ITN24" s="3507"/>
      <c r="ITO24" s="3507"/>
      <c r="ITP24" s="3507"/>
      <c r="ITQ24" s="3507"/>
      <c r="ITR24" s="3507"/>
      <c r="ITS24" s="3507"/>
      <c r="ITT24" s="3507"/>
      <c r="ITU24" s="3507"/>
      <c r="ITV24" s="3507"/>
      <c r="ITW24" s="3507"/>
      <c r="ITX24" s="3507"/>
      <c r="ITY24" s="3507"/>
      <c r="ITZ24" s="3507"/>
      <c r="IUA24" s="3507"/>
      <c r="IUB24" s="3507"/>
      <c r="IUC24" s="3507"/>
      <c r="IUD24" s="3507"/>
      <c r="IUE24" s="3507"/>
      <c r="IUF24" s="3507"/>
      <c r="IUG24" s="3507"/>
      <c r="IUH24" s="3507"/>
      <c r="IUI24" s="3507"/>
      <c r="IUJ24" s="3507"/>
      <c r="IUK24" s="3507"/>
      <c r="IUL24" s="3507"/>
      <c r="IUM24" s="3507"/>
      <c r="IUN24" s="3507"/>
      <c r="IUO24" s="3507"/>
      <c r="IUP24" s="3507"/>
      <c r="IUQ24" s="3507"/>
      <c r="IUR24" s="3507"/>
      <c r="IUS24" s="3507"/>
      <c r="IUT24" s="3507"/>
      <c r="IUU24" s="3507"/>
      <c r="IUV24" s="3507"/>
      <c r="IUW24" s="3507"/>
      <c r="IUX24" s="3507"/>
      <c r="IUY24" s="3507"/>
      <c r="IUZ24" s="3507"/>
      <c r="IVA24" s="3507"/>
      <c r="IVB24" s="3507"/>
      <c r="IVC24" s="3507"/>
      <c r="IVD24" s="3507"/>
      <c r="IVE24" s="3507"/>
      <c r="IVF24" s="3507"/>
      <c r="IVG24" s="3507"/>
      <c r="IVH24" s="3507"/>
      <c r="IVI24" s="3507"/>
      <c r="IVJ24" s="3507"/>
      <c r="IVK24" s="3507"/>
      <c r="IVL24" s="3507"/>
      <c r="IVM24" s="3507"/>
      <c r="IVN24" s="3507"/>
      <c r="IVO24" s="3507"/>
      <c r="IVP24" s="3507"/>
      <c r="IVQ24" s="3507"/>
      <c r="IVR24" s="3507"/>
      <c r="IVS24" s="3507"/>
      <c r="IVT24" s="3507"/>
      <c r="IVU24" s="3507"/>
      <c r="IVV24" s="3507"/>
      <c r="IVW24" s="3507"/>
      <c r="IVX24" s="3507"/>
      <c r="IVY24" s="3507"/>
      <c r="IVZ24" s="3507"/>
      <c r="IWA24" s="3507"/>
      <c r="IWB24" s="3507"/>
      <c r="IWC24" s="3507"/>
      <c r="IWD24" s="3507"/>
      <c r="IWE24" s="3507"/>
      <c r="IWF24" s="3507"/>
      <c r="IWG24" s="3507"/>
      <c r="IWH24" s="3507"/>
      <c r="IWI24" s="3507"/>
      <c r="IWJ24" s="3507"/>
      <c r="IWK24" s="3507"/>
      <c r="IWL24" s="3507"/>
      <c r="IWM24" s="3507"/>
      <c r="IWN24" s="3507"/>
      <c r="IWO24" s="3507"/>
      <c r="IWP24" s="3507"/>
      <c r="IWQ24" s="3507"/>
      <c r="IWR24" s="3507"/>
      <c r="IWS24" s="3507"/>
      <c r="IWT24" s="3507"/>
      <c r="IWU24" s="3507"/>
      <c r="IWV24" s="3507"/>
      <c r="IWW24" s="3507"/>
      <c r="IWX24" s="3507"/>
      <c r="IWY24" s="3507"/>
      <c r="IWZ24" s="3507"/>
      <c r="IXA24" s="3507"/>
      <c r="IXB24" s="3507"/>
      <c r="IXC24" s="3507"/>
      <c r="IXD24" s="3507"/>
      <c r="IXE24" s="3507"/>
      <c r="IXF24" s="3507"/>
      <c r="IXG24" s="3507"/>
      <c r="IXH24" s="3507"/>
      <c r="IXI24" s="3507"/>
      <c r="IXJ24" s="3507"/>
      <c r="IXK24" s="3507"/>
      <c r="IXL24" s="3507"/>
      <c r="IXM24" s="3507"/>
      <c r="IXN24" s="3507"/>
      <c r="IXO24" s="3507"/>
      <c r="IXP24" s="3507"/>
      <c r="IXQ24" s="3507"/>
      <c r="IXR24" s="3507"/>
      <c r="IXS24" s="3507"/>
      <c r="IXT24" s="3507"/>
      <c r="IXU24" s="3507"/>
      <c r="IXV24" s="3507"/>
      <c r="IXW24" s="3507"/>
      <c r="IXX24" s="3507"/>
      <c r="IXY24" s="3507"/>
      <c r="IXZ24" s="3507"/>
      <c r="IYA24" s="3507"/>
      <c r="IYB24" s="3507"/>
      <c r="IYC24" s="3507"/>
      <c r="IYD24" s="3507"/>
      <c r="IYE24" s="3507"/>
      <c r="IYF24" s="3507"/>
      <c r="IYG24" s="3507"/>
      <c r="IYH24" s="3507"/>
      <c r="IYI24" s="3507"/>
      <c r="IYJ24" s="3507"/>
      <c r="IYK24" s="3507"/>
      <c r="IYL24" s="3507"/>
      <c r="IYM24" s="3507"/>
      <c r="IYN24" s="3507"/>
      <c r="IYO24" s="3507"/>
      <c r="IYP24" s="3507"/>
      <c r="IYQ24" s="3507"/>
      <c r="IYR24" s="3507"/>
      <c r="IYS24" s="3507"/>
      <c r="IYT24" s="3507"/>
      <c r="IYU24" s="3507"/>
      <c r="IYV24" s="3507"/>
      <c r="IYW24" s="3507"/>
      <c r="IYX24" s="3507"/>
      <c r="IYY24" s="3507"/>
      <c r="IYZ24" s="3507"/>
      <c r="IZA24" s="3507"/>
      <c r="IZB24" s="3507"/>
      <c r="IZC24" s="3507"/>
      <c r="IZD24" s="3507"/>
      <c r="IZE24" s="3507"/>
      <c r="IZF24" s="3507"/>
      <c r="IZG24" s="3507"/>
      <c r="IZH24" s="3507"/>
      <c r="IZI24" s="3507"/>
      <c r="IZJ24" s="3507"/>
      <c r="IZK24" s="3507"/>
      <c r="IZL24" s="3507"/>
      <c r="IZM24" s="3507"/>
      <c r="IZN24" s="3507"/>
      <c r="IZO24" s="3507"/>
      <c r="IZP24" s="3507"/>
      <c r="IZQ24" s="3507"/>
      <c r="IZR24" s="3507"/>
      <c r="IZS24" s="3507"/>
      <c r="IZT24" s="3507"/>
      <c r="IZU24" s="3507"/>
      <c r="IZV24" s="3507"/>
      <c r="IZW24" s="3507"/>
      <c r="IZX24" s="3507"/>
      <c r="IZY24" s="3507"/>
      <c r="IZZ24" s="3507"/>
      <c r="JAA24" s="3507"/>
      <c r="JAB24" s="3507"/>
      <c r="JAC24" s="3507"/>
      <c r="JAD24" s="3507"/>
      <c r="JAE24" s="3507"/>
      <c r="JAF24" s="3507"/>
      <c r="JAG24" s="3507"/>
      <c r="JAH24" s="3507"/>
      <c r="JAI24" s="3507"/>
      <c r="JAJ24" s="3507"/>
      <c r="JAK24" s="3507"/>
      <c r="JAL24" s="3507"/>
      <c r="JAM24" s="3507"/>
      <c r="JAN24" s="3507"/>
      <c r="JAO24" s="3507"/>
      <c r="JAP24" s="3507"/>
      <c r="JAQ24" s="3507"/>
      <c r="JAR24" s="3507"/>
      <c r="JAS24" s="3507"/>
      <c r="JAT24" s="3507"/>
      <c r="JAU24" s="3507"/>
      <c r="JAV24" s="3507"/>
      <c r="JAW24" s="3507"/>
      <c r="JAX24" s="3507"/>
      <c r="JAY24" s="3507"/>
      <c r="JAZ24" s="3507"/>
      <c r="JBA24" s="3507"/>
      <c r="JBB24" s="3507"/>
      <c r="JBC24" s="3507"/>
      <c r="JBD24" s="3507"/>
      <c r="JBE24" s="3507"/>
      <c r="JBF24" s="3507"/>
      <c r="JBG24" s="3507"/>
      <c r="JBH24" s="3507"/>
      <c r="JBI24" s="3507"/>
      <c r="JBJ24" s="3507"/>
      <c r="JBK24" s="3507"/>
      <c r="JBL24" s="3507"/>
      <c r="JBM24" s="3507"/>
      <c r="JBN24" s="3507"/>
      <c r="JBO24" s="3507"/>
      <c r="JBP24" s="3507"/>
      <c r="JBQ24" s="3507"/>
      <c r="JBR24" s="3507"/>
      <c r="JBS24" s="3507"/>
      <c r="JBT24" s="3507"/>
      <c r="JBU24" s="3507"/>
      <c r="JBV24" s="3507"/>
      <c r="JBW24" s="3507"/>
      <c r="JBX24" s="3507"/>
      <c r="JBY24" s="3507"/>
      <c r="JBZ24" s="3507"/>
      <c r="JCA24" s="3507"/>
      <c r="JCB24" s="3507"/>
      <c r="JCC24" s="3507"/>
      <c r="JCD24" s="3507"/>
      <c r="JCE24" s="3507"/>
      <c r="JCF24" s="3507"/>
      <c r="JCG24" s="3507"/>
      <c r="JCH24" s="3507"/>
      <c r="JCI24" s="3507"/>
      <c r="JCJ24" s="3507"/>
      <c r="JCK24" s="3507"/>
      <c r="JCL24" s="3507"/>
      <c r="JCM24" s="3507"/>
      <c r="JCN24" s="3507"/>
      <c r="JCO24" s="3507"/>
      <c r="JCP24" s="3507"/>
      <c r="JCQ24" s="3507"/>
      <c r="JCR24" s="3507"/>
      <c r="JCS24" s="3507"/>
      <c r="JCT24" s="3507"/>
      <c r="JCU24" s="3507"/>
      <c r="JCV24" s="3507"/>
      <c r="JCW24" s="3507"/>
      <c r="JCX24" s="3507"/>
      <c r="JCY24" s="3507"/>
      <c r="JCZ24" s="3507"/>
      <c r="JDA24" s="3507"/>
      <c r="JDB24" s="3507"/>
      <c r="JDC24" s="3507"/>
      <c r="JDD24" s="3507"/>
      <c r="JDE24" s="3507"/>
      <c r="JDF24" s="3507"/>
      <c r="JDG24" s="3507"/>
      <c r="JDH24" s="3507"/>
      <c r="JDI24" s="3507"/>
      <c r="JDJ24" s="3507"/>
      <c r="JDK24" s="3507"/>
      <c r="JDL24" s="3507"/>
      <c r="JDM24" s="3507"/>
      <c r="JDN24" s="3507"/>
      <c r="JDO24" s="3507"/>
      <c r="JDP24" s="3507"/>
      <c r="JDQ24" s="3507"/>
      <c r="JDR24" s="3507"/>
      <c r="JDS24" s="3507"/>
      <c r="JDT24" s="3507"/>
      <c r="JDU24" s="3507"/>
      <c r="JDV24" s="3507"/>
      <c r="JDW24" s="3507"/>
      <c r="JDX24" s="3507"/>
      <c r="JDY24" s="3507"/>
      <c r="JDZ24" s="3507"/>
      <c r="JEA24" s="3507"/>
      <c r="JEB24" s="3507"/>
      <c r="JEC24" s="3507"/>
      <c r="JED24" s="3507"/>
      <c r="JEE24" s="3507"/>
      <c r="JEF24" s="3507"/>
      <c r="JEG24" s="3507"/>
      <c r="JEH24" s="3507"/>
      <c r="JEI24" s="3507"/>
      <c r="JEJ24" s="3507"/>
      <c r="JEK24" s="3507"/>
      <c r="JEL24" s="3507"/>
      <c r="JEM24" s="3507"/>
      <c r="JEN24" s="3507"/>
      <c r="JEO24" s="3507"/>
      <c r="JEP24" s="3507"/>
      <c r="JEQ24" s="3507"/>
      <c r="JER24" s="3507"/>
      <c r="JES24" s="3507"/>
      <c r="JET24" s="3507"/>
      <c r="JEU24" s="3507"/>
      <c r="JEV24" s="3507"/>
      <c r="JEW24" s="3507"/>
      <c r="JEX24" s="3507"/>
      <c r="JEY24" s="3507"/>
      <c r="JEZ24" s="3507"/>
      <c r="JFA24" s="3507"/>
      <c r="JFB24" s="3507"/>
      <c r="JFC24" s="3507"/>
      <c r="JFD24" s="3507"/>
      <c r="JFE24" s="3507"/>
      <c r="JFF24" s="3507"/>
      <c r="JFG24" s="3507"/>
      <c r="JFH24" s="3507"/>
      <c r="JFI24" s="3507"/>
      <c r="JFJ24" s="3507"/>
      <c r="JFK24" s="3507"/>
      <c r="JFL24" s="3507"/>
      <c r="JFM24" s="3507"/>
      <c r="JFN24" s="3507"/>
      <c r="JFO24" s="3507"/>
      <c r="JFP24" s="3507"/>
      <c r="JFQ24" s="3507"/>
      <c r="JFR24" s="3507"/>
      <c r="JFS24" s="3507"/>
      <c r="JFT24" s="3507"/>
      <c r="JFU24" s="3507"/>
      <c r="JFV24" s="3507"/>
      <c r="JFW24" s="3507"/>
      <c r="JFX24" s="3507"/>
      <c r="JFY24" s="3507"/>
      <c r="JFZ24" s="3507"/>
      <c r="JGA24" s="3507"/>
      <c r="JGB24" s="3507"/>
      <c r="JGC24" s="3507"/>
      <c r="JGD24" s="3507"/>
      <c r="JGE24" s="3507"/>
      <c r="JGF24" s="3507"/>
      <c r="JGG24" s="3507"/>
      <c r="JGH24" s="3507"/>
      <c r="JGI24" s="3507"/>
      <c r="JGJ24" s="3507"/>
      <c r="JGK24" s="3507"/>
      <c r="JGL24" s="3507"/>
      <c r="JGM24" s="3507"/>
      <c r="JGN24" s="3507"/>
      <c r="JGO24" s="3507"/>
      <c r="JGP24" s="3507"/>
      <c r="JGQ24" s="3507"/>
      <c r="JGR24" s="3507"/>
      <c r="JGS24" s="3507"/>
      <c r="JGT24" s="3507"/>
      <c r="JGU24" s="3507"/>
      <c r="JGV24" s="3507"/>
      <c r="JGW24" s="3507"/>
      <c r="JGX24" s="3507"/>
      <c r="JGY24" s="3507"/>
      <c r="JGZ24" s="3507"/>
      <c r="JHA24" s="3507"/>
      <c r="JHB24" s="3507"/>
      <c r="JHC24" s="3507"/>
      <c r="JHD24" s="3507"/>
      <c r="JHE24" s="3507"/>
      <c r="JHF24" s="3507"/>
      <c r="JHG24" s="3507"/>
      <c r="JHH24" s="3507"/>
      <c r="JHI24" s="3507"/>
      <c r="JHJ24" s="3507"/>
      <c r="JHK24" s="3507"/>
      <c r="JHL24" s="3507"/>
      <c r="JHM24" s="3507"/>
      <c r="JHN24" s="3507"/>
      <c r="JHO24" s="3507"/>
      <c r="JHP24" s="3507"/>
      <c r="JHQ24" s="3507"/>
      <c r="JHR24" s="3507"/>
      <c r="JHS24" s="3507"/>
      <c r="JHT24" s="3507"/>
      <c r="JHU24" s="3507"/>
      <c r="JHV24" s="3507"/>
      <c r="JHW24" s="3507"/>
      <c r="JHX24" s="3507"/>
      <c r="JHY24" s="3507"/>
      <c r="JHZ24" s="3507"/>
      <c r="JIA24" s="3507"/>
      <c r="JIB24" s="3507"/>
      <c r="JIC24" s="3507"/>
      <c r="JID24" s="3507"/>
      <c r="JIE24" s="3507"/>
      <c r="JIF24" s="3507"/>
      <c r="JIG24" s="3507"/>
      <c r="JIH24" s="3507"/>
      <c r="JII24" s="3507"/>
      <c r="JIJ24" s="3507"/>
      <c r="JIK24" s="3507"/>
      <c r="JIL24" s="3507"/>
      <c r="JIM24" s="3507"/>
      <c r="JIN24" s="3507"/>
      <c r="JIO24" s="3507"/>
      <c r="JIP24" s="3507"/>
      <c r="JIQ24" s="3507"/>
      <c r="JIR24" s="3507"/>
      <c r="JIS24" s="3507"/>
      <c r="JIT24" s="3507"/>
      <c r="JIU24" s="3507"/>
      <c r="JIV24" s="3507"/>
      <c r="JIW24" s="3507"/>
      <c r="JIX24" s="3507"/>
      <c r="JIY24" s="3507"/>
      <c r="JIZ24" s="3507"/>
      <c r="JJA24" s="3507"/>
      <c r="JJB24" s="3507"/>
      <c r="JJC24" s="3507"/>
      <c r="JJD24" s="3507"/>
      <c r="JJE24" s="3507"/>
      <c r="JJF24" s="3507"/>
      <c r="JJG24" s="3507"/>
      <c r="JJH24" s="3507"/>
      <c r="JJI24" s="3507"/>
      <c r="JJJ24" s="3507"/>
      <c r="JJK24" s="3507"/>
      <c r="JJL24" s="3507"/>
      <c r="JJM24" s="3507"/>
      <c r="JJN24" s="3507"/>
      <c r="JJO24" s="3507"/>
      <c r="JJP24" s="3507"/>
      <c r="JJQ24" s="3507"/>
      <c r="JJR24" s="3507"/>
      <c r="JJS24" s="3507"/>
      <c r="JJT24" s="3507"/>
      <c r="JJU24" s="3507"/>
      <c r="JJV24" s="3507"/>
      <c r="JJW24" s="3507"/>
      <c r="JJX24" s="3507"/>
      <c r="JJY24" s="3507"/>
      <c r="JJZ24" s="3507"/>
      <c r="JKA24" s="3507"/>
      <c r="JKB24" s="3507"/>
      <c r="JKC24" s="3507"/>
      <c r="JKD24" s="3507"/>
      <c r="JKE24" s="3507"/>
      <c r="JKF24" s="3507"/>
      <c r="JKG24" s="3507"/>
      <c r="JKH24" s="3507"/>
      <c r="JKI24" s="3507"/>
      <c r="JKJ24" s="3507"/>
      <c r="JKK24" s="3507"/>
      <c r="JKL24" s="3507"/>
      <c r="JKM24" s="3507"/>
      <c r="JKN24" s="3507"/>
      <c r="JKO24" s="3507"/>
      <c r="JKP24" s="3507"/>
      <c r="JKQ24" s="3507"/>
      <c r="JKR24" s="3507"/>
      <c r="JKS24" s="3507"/>
      <c r="JKT24" s="3507"/>
      <c r="JKU24" s="3507"/>
      <c r="JKV24" s="3507"/>
      <c r="JKW24" s="3507"/>
      <c r="JKX24" s="3507"/>
      <c r="JKY24" s="3507"/>
      <c r="JKZ24" s="3507"/>
      <c r="JLA24" s="3507"/>
      <c r="JLB24" s="3507"/>
      <c r="JLC24" s="3507"/>
      <c r="JLD24" s="3507"/>
      <c r="JLE24" s="3507"/>
      <c r="JLF24" s="3507"/>
      <c r="JLG24" s="3507"/>
      <c r="JLH24" s="3507"/>
      <c r="JLI24" s="3507"/>
      <c r="JLJ24" s="3507"/>
      <c r="JLK24" s="3507"/>
      <c r="JLL24" s="3507"/>
      <c r="JLM24" s="3507"/>
      <c r="JLN24" s="3507"/>
      <c r="JLO24" s="3507"/>
      <c r="JLP24" s="3507"/>
      <c r="JLQ24" s="3507"/>
      <c r="JLR24" s="3507"/>
      <c r="JLS24" s="3507"/>
      <c r="JLT24" s="3507"/>
      <c r="JLU24" s="3507"/>
      <c r="JLV24" s="3507"/>
      <c r="JLW24" s="3507"/>
      <c r="JLX24" s="3507"/>
      <c r="JLY24" s="3507"/>
      <c r="JLZ24" s="3507"/>
      <c r="JMA24" s="3507"/>
      <c r="JMB24" s="3507"/>
      <c r="JMC24" s="3507"/>
      <c r="JMD24" s="3507"/>
      <c r="JME24" s="3507"/>
      <c r="JMF24" s="3507"/>
      <c r="JMG24" s="3507"/>
      <c r="JMH24" s="3507"/>
      <c r="JMI24" s="3507"/>
      <c r="JMJ24" s="3507"/>
      <c r="JMK24" s="3507"/>
      <c r="JML24" s="3507"/>
      <c r="JMM24" s="3507"/>
      <c r="JMN24" s="3507"/>
      <c r="JMO24" s="3507"/>
      <c r="JMP24" s="3507"/>
      <c r="JMQ24" s="3507"/>
      <c r="JMR24" s="3507"/>
      <c r="JMS24" s="3507"/>
      <c r="JMT24" s="3507"/>
      <c r="JMU24" s="3507"/>
      <c r="JMV24" s="3507"/>
      <c r="JMW24" s="3507"/>
      <c r="JMX24" s="3507"/>
      <c r="JMY24" s="3507"/>
      <c r="JMZ24" s="3507"/>
      <c r="JNA24" s="3507"/>
      <c r="JNB24" s="3507"/>
      <c r="JNC24" s="3507"/>
      <c r="JND24" s="3507"/>
      <c r="JNE24" s="3507"/>
      <c r="JNF24" s="3507"/>
      <c r="JNG24" s="3507"/>
      <c r="JNH24" s="3507"/>
      <c r="JNI24" s="3507"/>
      <c r="JNJ24" s="3507"/>
      <c r="JNK24" s="3507"/>
      <c r="JNL24" s="3507"/>
      <c r="JNM24" s="3507"/>
      <c r="JNN24" s="3507"/>
      <c r="JNO24" s="3507"/>
      <c r="JNP24" s="3507"/>
      <c r="JNQ24" s="3507"/>
      <c r="JNR24" s="3507"/>
      <c r="JNS24" s="3507"/>
      <c r="JNT24" s="3507"/>
      <c r="JNU24" s="3507"/>
      <c r="JNV24" s="3507"/>
      <c r="JNW24" s="3507"/>
      <c r="JNX24" s="3507"/>
      <c r="JNY24" s="3507"/>
      <c r="JNZ24" s="3507"/>
      <c r="JOA24" s="3507"/>
      <c r="JOB24" s="3507"/>
      <c r="JOC24" s="3507"/>
      <c r="JOD24" s="3507"/>
      <c r="JOE24" s="3507"/>
      <c r="JOF24" s="3507"/>
      <c r="JOG24" s="3507"/>
      <c r="JOH24" s="3507"/>
      <c r="JOI24" s="3507"/>
      <c r="JOJ24" s="3507"/>
      <c r="JOK24" s="3507"/>
      <c r="JOL24" s="3507"/>
      <c r="JOM24" s="3507"/>
      <c r="JON24" s="3507"/>
      <c r="JOO24" s="3507"/>
      <c r="JOP24" s="3507"/>
      <c r="JOQ24" s="3507"/>
      <c r="JOR24" s="3507"/>
      <c r="JOS24" s="3507"/>
      <c r="JOT24" s="3507"/>
      <c r="JOU24" s="3507"/>
      <c r="JOV24" s="3507"/>
      <c r="JOW24" s="3507"/>
      <c r="JOX24" s="3507"/>
      <c r="JOY24" s="3507"/>
      <c r="JOZ24" s="3507"/>
      <c r="JPA24" s="3507"/>
      <c r="JPB24" s="3507"/>
      <c r="JPC24" s="3507"/>
      <c r="JPD24" s="3507"/>
      <c r="JPE24" s="3507"/>
      <c r="JPF24" s="3507"/>
      <c r="JPG24" s="3507"/>
      <c r="JPH24" s="3507"/>
      <c r="JPI24" s="3507"/>
      <c r="JPJ24" s="3507"/>
      <c r="JPK24" s="3507"/>
      <c r="JPL24" s="3507"/>
      <c r="JPM24" s="3507"/>
      <c r="JPN24" s="3507"/>
      <c r="JPO24" s="3507"/>
      <c r="JPP24" s="3507"/>
      <c r="JPQ24" s="3507"/>
      <c r="JPR24" s="3507"/>
      <c r="JPS24" s="3507"/>
      <c r="JPT24" s="3507"/>
      <c r="JPU24" s="3507"/>
      <c r="JPV24" s="3507"/>
      <c r="JPW24" s="3507"/>
      <c r="JPX24" s="3507"/>
      <c r="JPY24" s="3507"/>
      <c r="JPZ24" s="3507"/>
      <c r="JQA24" s="3507"/>
      <c r="JQB24" s="3507"/>
      <c r="JQC24" s="3507"/>
      <c r="JQD24" s="3507"/>
      <c r="JQE24" s="3507"/>
      <c r="JQF24" s="3507"/>
      <c r="JQG24" s="3507"/>
      <c r="JQH24" s="3507"/>
      <c r="JQI24" s="3507"/>
      <c r="JQJ24" s="3507"/>
      <c r="JQK24" s="3507"/>
      <c r="JQL24" s="3507"/>
      <c r="JQM24" s="3507"/>
      <c r="JQN24" s="3507"/>
      <c r="JQO24" s="3507"/>
      <c r="JQP24" s="3507"/>
      <c r="JQQ24" s="3507"/>
      <c r="JQR24" s="3507"/>
      <c r="JQS24" s="3507"/>
      <c r="JQT24" s="3507"/>
      <c r="JQU24" s="3507"/>
      <c r="JQV24" s="3507"/>
      <c r="JQW24" s="3507"/>
      <c r="JQX24" s="3507"/>
      <c r="JQY24" s="3507"/>
      <c r="JQZ24" s="3507"/>
      <c r="JRA24" s="3507"/>
      <c r="JRB24" s="3507"/>
      <c r="JRC24" s="3507"/>
      <c r="JRD24" s="3507"/>
      <c r="JRE24" s="3507"/>
      <c r="JRF24" s="3507"/>
      <c r="JRG24" s="3507"/>
      <c r="JRH24" s="3507"/>
      <c r="JRI24" s="3507"/>
      <c r="JRJ24" s="3507"/>
      <c r="JRK24" s="3507"/>
      <c r="JRL24" s="3507"/>
      <c r="JRM24" s="3507"/>
      <c r="JRN24" s="3507"/>
      <c r="JRO24" s="3507"/>
      <c r="JRP24" s="3507"/>
      <c r="JRQ24" s="3507"/>
      <c r="JRR24" s="3507"/>
      <c r="JRS24" s="3507"/>
      <c r="JRT24" s="3507"/>
      <c r="JRU24" s="3507"/>
      <c r="JRV24" s="3507"/>
      <c r="JRW24" s="3507"/>
      <c r="JRX24" s="3507"/>
      <c r="JRY24" s="3507"/>
      <c r="JRZ24" s="3507"/>
      <c r="JSA24" s="3507"/>
      <c r="JSB24" s="3507"/>
      <c r="JSC24" s="3507"/>
      <c r="JSD24" s="3507"/>
      <c r="JSE24" s="3507"/>
      <c r="JSF24" s="3507"/>
      <c r="JSG24" s="3507"/>
      <c r="JSH24" s="3507"/>
      <c r="JSI24" s="3507"/>
      <c r="JSJ24" s="3507"/>
      <c r="JSK24" s="3507"/>
      <c r="JSL24" s="3507"/>
      <c r="JSM24" s="3507"/>
      <c r="JSN24" s="3507"/>
      <c r="JSO24" s="3507"/>
      <c r="JSP24" s="3507"/>
      <c r="JSQ24" s="3507"/>
      <c r="JSR24" s="3507"/>
      <c r="JSS24" s="3507"/>
      <c r="JST24" s="3507"/>
      <c r="JSU24" s="3507"/>
      <c r="JSV24" s="3507"/>
      <c r="JSW24" s="3507"/>
      <c r="JSX24" s="3507"/>
      <c r="JSY24" s="3507"/>
      <c r="JSZ24" s="3507"/>
      <c r="JTA24" s="3507"/>
      <c r="JTB24" s="3507"/>
      <c r="JTC24" s="3507"/>
      <c r="JTD24" s="3507"/>
      <c r="JTE24" s="3507"/>
      <c r="JTF24" s="3507"/>
      <c r="JTG24" s="3507"/>
      <c r="JTH24" s="3507"/>
      <c r="JTI24" s="3507"/>
      <c r="JTJ24" s="3507"/>
      <c r="JTK24" s="3507"/>
      <c r="JTL24" s="3507"/>
      <c r="JTM24" s="3507"/>
      <c r="JTN24" s="3507"/>
      <c r="JTO24" s="3507"/>
      <c r="JTP24" s="3507"/>
      <c r="JTQ24" s="3507"/>
      <c r="JTR24" s="3507"/>
      <c r="JTS24" s="3507"/>
      <c r="JTT24" s="3507"/>
      <c r="JTU24" s="3507"/>
      <c r="JTV24" s="3507"/>
      <c r="JTW24" s="3507"/>
      <c r="JTX24" s="3507"/>
      <c r="JTY24" s="3507"/>
      <c r="JTZ24" s="3507"/>
      <c r="JUA24" s="3507"/>
      <c r="JUB24" s="3507"/>
      <c r="JUC24" s="3507"/>
      <c r="JUD24" s="3507"/>
      <c r="JUE24" s="3507"/>
      <c r="JUF24" s="3507"/>
      <c r="JUG24" s="3507"/>
      <c r="JUH24" s="3507"/>
      <c r="JUI24" s="3507"/>
      <c r="JUJ24" s="3507"/>
      <c r="JUK24" s="3507"/>
      <c r="JUL24" s="3507"/>
      <c r="JUM24" s="3507"/>
      <c r="JUN24" s="3507"/>
      <c r="JUO24" s="3507"/>
      <c r="JUP24" s="3507"/>
      <c r="JUQ24" s="3507"/>
      <c r="JUR24" s="3507"/>
      <c r="JUS24" s="3507"/>
      <c r="JUT24" s="3507"/>
      <c r="JUU24" s="3507"/>
      <c r="JUV24" s="3507"/>
      <c r="JUW24" s="3507"/>
      <c r="JUX24" s="3507"/>
      <c r="JUY24" s="3507"/>
      <c r="JUZ24" s="3507"/>
      <c r="JVA24" s="3507"/>
      <c r="JVB24" s="3507"/>
      <c r="JVC24" s="3507"/>
      <c r="JVD24" s="3507"/>
      <c r="JVE24" s="3507"/>
      <c r="JVF24" s="3507"/>
      <c r="JVG24" s="3507"/>
      <c r="JVH24" s="3507"/>
      <c r="JVI24" s="3507"/>
      <c r="JVJ24" s="3507"/>
      <c r="JVK24" s="3507"/>
      <c r="JVL24" s="3507"/>
      <c r="JVM24" s="3507"/>
      <c r="JVN24" s="3507"/>
      <c r="JVO24" s="3507"/>
      <c r="JVP24" s="3507"/>
      <c r="JVQ24" s="3507"/>
      <c r="JVR24" s="3507"/>
      <c r="JVS24" s="3507"/>
      <c r="JVT24" s="3507"/>
      <c r="JVU24" s="3507"/>
      <c r="JVV24" s="3507"/>
      <c r="JVW24" s="3507"/>
      <c r="JVX24" s="3507"/>
      <c r="JVY24" s="3507"/>
      <c r="JVZ24" s="3507"/>
      <c r="JWA24" s="3507"/>
      <c r="JWB24" s="3507"/>
      <c r="JWC24" s="3507"/>
      <c r="JWD24" s="3507"/>
      <c r="JWE24" s="3507"/>
      <c r="JWF24" s="3507"/>
      <c r="JWG24" s="3507"/>
      <c r="JWH24" s="3507"/>
      <c r="JWI24" s="3507"/>
      <c r="JWJ24" s="3507"/>
      <c r="JWK24" s="3507"/>
      <c r="JWL24" s="3507"/>
      <c r="JWM24" s="3507"/>
      <c r="JWN24" s="3507"/>
      <c r="JWO24" s="3507"/>
      <c r="JWP24" s="3507"/>
      <c r="JWQ24" s="3507"/>
      <c r="JWR24" s="3507"/>
      <c r="JWS24" s="3507"/>
      <c r="JWT24" s="3507"/>
      <c r="JWU24" s="3507"/>
      <c r="JWV24" s="3507"/>
      <c r="JWW24" s="3507"/>
      <c r="JWX24" s="3507"/>
      <c r="JWY24" s="3507"/>
      <c r="JWZ24" s="3507"/>
      <c r="JXA24" s="3507"/>
      <c r="JXB24" s="3507"/>
      <c r="JXC24" s="3507"/>
      <c r="JXD24" s="3507"/>
      <c r="JXE24" s="3507"/>
      <c r="JXF24" s="3507"/>
      <c r="JXG24" s="3507"/>
      <c r="JXH24" s="3507"/>
      <c r="JXI24" s="3507"/>
      <c r="JXJ24" s="3507"/>
      <c r="JXK24" s="3507"/>
      <c r="JXL24" s="3507"/>
      <c r="JXM24" s="3507"/>
      <c r="JXN24" s="3507"/>
      <c r="JXO24" s="3507"/>
      <c r="JXP24" s="3507"/>
      <c r="JXQ24" s="3507"/>
      <c r="JXR24" s="3507"/>
      <c r="JXS24" s="3507"/>
      <c r="JXT24" s="3507"/>
      <c r="JXU24" s="3507"/>
      <c r="JXV24" s="3507"/>
      <c r="JXW24" s="3507"/>
      <c r="JXX24" s="3507"/>
      <c r="JXY24" s="3507"/>
      <c r="JXZ24" s="3507"/>
      <c r="JYA24" s="3507"/>
      <c r="JYB24" s="3507"/>
      <c r="JYC24" s="3507"/>
      <c r="JYD24" s="3507"/>
      <c r="JYE24" s="3507"/>
      <c r="JYF24" s="3507"/>
      <c r="JYG24" s="3507"/>
      <c r="JYH24" s="3507"/>
      <c r="JYI24" s="3507"/>
      <c r="JYJ24" s="3507"/>
      <c r="JYK24" s="3507"/>
      <c r="JYL24" s="3507"/>
      <c r="JYM24" s="3507"/>
      <c r="JYN24" s="3507"/>
      <c r="JYO24" s="3507"/>
      <c r="JYP24" s="3507"/>
      <c r="JYQ24" s="3507"/>
      <c r="JYR24" s="3507"/>
      <c r="JYS24" s="3507"/>
      <c r="JYT24" s="3507"/>
      <c r="JYU24" s="3507"/>
      <c r="JYV24" s="3507"/>
      <c r="JYW24" s="3507"/>
      <c r="JYX24" s="3507"/>
      <c r="JYY24" s="3507"/>
      <c r="JYZ24" s="3507"/>
      <c r="JZA24" s="3507"/>
      <c r="JZB24" s="3507"/>
      <c r="JZC24" s="3507"/>
      <c r="JZD24" s="3507"/>
      <c r="JZE24" s="3507"/>
      <c r="JZF24" s="3507"/>
      <c r="JZG24" s="3507"/>
      <c r="JZH24" s="3507"/>
      <c r="JZI24" s="3507"/>
      <c r="JZJ24" s="3507"/>
      <c r="JZK24" s="3507"/>
      <c r="JZL24" s="3507"/>
      <c r="JZM24" s="3507"/>
      <c r="JZN24" s="3507"/>
      <c r="JZO24" s="3507"/>
      <c r="JZP24" s="3507"/>
      <c r="JZQ24" s="3507"/>
      <c r="JZR24" s="3507"/>
      <c r="JZS24" s="3507"/>
      <c r="JZT24" s="3507"/>
      <c r="JZU24" s="3507"/>
      <c r="JZV24" s="3507"/>
      <c r="JZW24" s="3507"/>
      <c r="JZX24" s="3507"/>
      <c r="JZY24" s="3507"/>
      <c r="JZZ24" s="3507"/>
      <c r="KAA24" s="3507"/>
      <c r="KAB24" s="3507"/>
      <c r="KAC24" s="3507"/>
      <c r="KAD24" s="3507"/>
      <c r="KAE24" s="3507"/>
      <c r="KAF24" s="3507"/>
      <c r="KAG24" s="3507"/>
      <c r="KAH24" s="3507"/>
      <c r="KAI24" s="3507"/>
      <c r="KAJ24" s="3507"/>
      <c r="KAK24" s="3507"/>
      <c r="KAL24" s="3507"/>
      <c r="KAM24" s="3507"/>
      <c r="KAN24" s="3507"/>
      <c r="KAO24" s="3507"/>
      <c r="KAP24" s="3507"/>
      <c r="KAQ24" s="3507"/>
      <c r="KAR24" s="3507"/>
      <c r="KAS24" s="3507"/>
      <c r="KAT24" s="3507"/>
      <c r="KAU24" s="3507"/>
      <c r="KAV24" s="3507"/>
      <c r="KAW24" s="3507"/>
      <c r="KAX24" s="3507"/>
      <c r="KAY24" s="3507"/>
      <c r="KAZ24" s="3507"/>
      <c r="KBA24" s="3507"/>
      <c r="KBB24" s="3507"/>
      <c r="KBC24" s="3507"/>
      <c r="KBD24" s="3507"/>
      <c r="KBE24" s="3507"/>
      <c r="KBF24" s="3507"/>
      <c r="KBG24" s="3507"/>
      <c r="KBH24" s="3507"/>
      <c r="KBI24" s="3507"/>
      <c r="KBJ24" s="3507"/>
      <c r="KBK24" s="3507"/>
      <c r="KBL24" s="3507"/>
      <c r="KBM24" s="3507"/>
      <c r="KBN24" s="3507"/>
      <c r="KBO24" s="3507"/>
      <c r="KBP24" s="3507"/>
      <c r="KBQ24" s="3507"/>
      <c r="KBR24" s="3507"/>
      <c r="KBS24" s="3507"/>
      <c r="KBT24" s="3507"/>
      <c r="KBU24" s="3507"/>
      <c r="KBV24" s="3507"/>
      <c r="KBW24" s="3507"/>
      <c r="KBX24" s="3507"/>
      <c r="KBY24" s="3507"/>
      <c r="KBZ24" s="3507"/>
      <c r="KCA24" s="3507"/>
      <c r="KCB24" s="3507"/>
      <c r="KCC24" s="3507"/>
      <c r="KCD24" s="3507"/>
      <c r="KCE24" s="3507"/>
      <c r="KCF24" s="3507"/>
      <c r="KCG24" s="3507"/>
      <c r="KCH24" s="3507"/>
      <c r="KCI24" s="3507"/>
      <c r="KCJ24" s="3507"/>
      <c r="KCK24" s="3507"/>
      <c r="KCL24" s="3507"/>
      <c r="KCM24" s="3507"/>
      <c r="KCN24" s="3507"/>
      <c r="KCO24" s="3507"/>
      <c r="KCP24" s="3507"/>
      <c r="KCQ24" s="3507"/>
      <c r="KCR24" s="3507"/>
      <c r="KCS24" s="3507"/>
      <c r="KCT24" s="3507"/>
      <c r="KCU24" s="3507"/>
      <c r="KCV24" s="3507"/>
      <c r="KCW24" s="3507"/>
      <c r="KCX24" s="3507"/>
      <c r="KCY24" s="3507"/>
      <c r="KCZ24" s="3507"/>
      <c r="KDA24" s="3507"/>
      <c r="KDB24" s="3507"/>
      <c r="KDC24" s="3507"/>
      <c r="KDD24" s="3507"/>
      <c r="KDE24" s="3507"/>
      <c r="KDF24" s="3507"/>
      <c r="KDG24" s="3507"/>
      <c r="KDH24" s="3507"/>
      <c r="KDI24" s="3507"/>
      <c r="KDJ24" s="3507"/>
      <c r="KDK24" s="3507"/>
      <c r="KDL24" s="3507"/>
      <c r="KDM24" s="3507"/>
      <c r="KDN24" s="3507"/>
      <c r="KDO24" s="3507"/>
      <c r="KDP24" s="3507"/>
      <c r="KDQ24" s="3507"/>
      <c r="KDR24" s="3507"/>
      <c r="KDS24" s="3507"/>
      <c r="KDT24" s="3507"/>
      <c r="KDU24" s="3507"/>
      <c r="KDV24" s="3507"/>
      <c r="KDW24" s="3507"/>
      <c r="KDX24" s="3507"/>
      <c r="KDY24" s="3507"/>
      <c r="KDZ24" s="3507"/>
      <c r="KEA24" s="3507"/>
      <c r="KEB24" s="3507"/>
      <c r="KEC24" s="3507"/>
      <c r="KED24" s="3507"/>
      <c r="KEE24" s="3507"/>
      <c r="KEF24" s="3507"/>
      <c r="KEG24" s="3507"/>
      <c r="KEH24" s="3507"/>
      <c r="KEI24" s="3507"/>
      <c r="KEJ24" s="3507"/>
      <c r="KEK24" s="3507"/>
      <c r="KEL24" s="3507"/>
      <c r="KEM24" s="3507"/>
      <c r="KEN24" s="3507"/>
      <c r="KEO24" s="3507"/>
      <c r="KEP24" s="3507"/>
      <c r="KEQ24" s="3507"/>
      <c r="KER24" s="3507"/>
      <c r="KES24" s="3507"/>
      <c r="KET24" s="3507"/>
      <c r="KEU24" s="3507"/>
      <c r="KEV24" s="3507"/>
      <c r="KEW24" s="3507"/>
      <c r="KEX24" s="3507"/>
      <c r="KEY24" s="3507"/>
      <c r="KEZ24" s="3507"/>
      <c r="KFA24" s="3507"/>
      <c r="KFB24" s="3507"/>
      <c r="KFC24" s="3507"/>
      <c r="KFD24" s="3507"/>
      <c r="KFE24" s="3507"/>
      <c r="KFF24" s="3507"/>
      <c r="KFG24" s="3507"/>
      <c r="KFH24" s="3507"/>
      <c r="KFI24" s="3507"/>
      <c r="KFJ24" s="3507"/>
      <c r="KFK24" s="3507"/>
      <c r="KFL24" s="3507"/>
      <c r="KFM24" s="3507"/>
      <c r="KFN24" s="3507"/>
      <c r="KFO24" s="3507"/>
      <c r="KFP24" s="3507"/>
      <c r="KFQ24" s="3507"/>
      <c r="KFR24" s="3507"/>
      <c r="KFS24" s="3507"/>
      <c r="KFT24" s="3507"/>
      <c r="KFU24" s="3507"/>
      <c r="KFV24" s="3507"/>
      <c r="KFW24" s="3507"/>
      <c r="KFX24" s="3507"/>
      <c r="KFY24" s="3507"/>
      <c r="KFZ24" s="3507"/>
      <c r="KGA24" s="3507"/>
      <c r="KGB24" s="3507"/>
      <c r="KGC24" s="3507"/>
      <c r="KGD24" s="3507"/>
      <c r="KGE24" s="3507"/>
      <c r="KGF24" s="3507"/>
      <c r="KGG24" s="3507"/>
      <c r="KGH24" s="3507"/>
      <c r="KGI24" s="3507"/>
      <c r="KGJ24" s="3507"/>
      <c r="KGK24" s="3507"/>
      <c r="KGL24" s="3507"/>
      <c r="KGM24" s="3507"/>
      <c r="KGN24" s="3507"/>
      <c r="KGO24" s="3507"/>
      <c r="KGP24" s="3507"/>
      <c r="KGQ24" s="3507"/>
      <c r="KGR24" s="3507"/>
      <c r="KGS24" s="3507"/>
      <c r="KGT24" s="3507"/>
      <c r="KGU24" s="3507"/>
      <c r="KGV24" s="3507"/>
      <c r="KGW24" s="3507"/>
      <c r="KGX24" s="3507"/>
      <c r="KGY24" s="3507"/>
      <c r="KGZ24" s="3507"/>
      <c r="KHA24" s="3507"/>
      <c r="KHB24" s="3507"/>
      <c r="KHC24" s="3507"/>
      <c r="KHD24" s="3507"/>
      <c r="KHE24" s="3507"/>
      <c r="KHF24" s="3507"/>
      <c r="KHG24" s="3507"/>
      <c r="KHH24" s="3507"/>
      <c r="KHI24" s="3507"/>
      <c r="KHJ24" s="3507"/>
      <c r="KHK24" s="3507"/>
      <c r="KHL24" s="3507"/>
      <c r="KHM24" s="3507"/>
      <c r="KHN24" s="3507"/>
      <c r="KHO24" s="3507"/>
      <c r="KHP24" s="3507"/>
      <c r="KHQ24" s="3507"/>
      <c r="KHR24" s="3507"/>
      <c r="KHS24" s="3507"/>
      <c r="KHT24" s="3507"/>
      <c r="KHU24" s="3507"/>
      <c r="KHV24" s="3507"/>
      <c r="KHW24" s="3507"/>
      <c r="KHX24" s="3507"/>
      <c r="KHY24" s="3507"/>
      <c r="KHZ24" s="3507"/>
      <c r="KIA24" s="3507"/>
      <c r="KIB24" s="3507"/>
      <c r="KIC24" s="3507"/>
      <c r="KID24" s="3507"/>
      <c r="KIE24" s="3507"/>
      <c r="KIF24" s="3507"/>
      <c r="KIG24" s="3507"/>
      <c r="KIH24" s="3507"/>
      <c r="KII24" s="3507"/>
      <c r="KIJ24" s="3507"/>
      <c r="KIK24" s="3507"/>
      <c r="KIL24" s="3507"/>
      <c r="KIM24" s="3507"/>
      <c r="KIN24" s="3507"/>
      <c r="KIO24" s="3507"/>
      <c r="KIP24" s="3507"/>
      <c r="KIQ24" s="3507"/>
      <c r="KIR24" s="3507"/>
      <c r="KIS24" s="3507"/>
      <c r="KIT24" s="3507"/>
      <c r="KIU24" s="3507"/>
      <c r="KIV24" s="3507"/>
      <c r="KIW24" s="3507"/>
      <c r="KIX24" s="3507"/>
      <c r="KIY24" s="3507"/>
      <c r="KIZ24" s="3507"/>
      <c r="KJA24" s="3507"/>
      <c r="KJB24" s="3507"/>
      <c r="KJC24" s="3507"/>
      <c r="KJD24" s="3507"/>
      <c r="KJE24" s="3507"/>
      <c r="KJF24" s="3507"/>
      <c r="KJG24" s="3507"/>
      <c r="KJH24" s="3507"/>
      <c r="KJI24" s="3507"/>
      <c r="KJJ24" s="3507"/>
      <c r="KJK24" s="3507"/>
      <c r="KJL24" s="3507"/>
      <c r="KJM24" s="3507"/>
      <c r="KJN24" s="3507"/>
      <c r="KJO24" s="3507"/>
      <c r="KJP24" s="3507"/>
      <c r="KJQ24" s="3507"/>
      <c r="KJR24" s="3507"/>
      <c r="KJS24" s="3507"/>
      <c r="KJT24" s="3507"/>
      <c r="KJU24" s="3507"/>
      <c r="KJV24" s="3507"/>
      <c r="KJW24" s="3507"/>
      <c r="KJX24" s="3507"/>
      <c r="KJY24" s="3507"/>
      <c r="KJZ24" s="3507"/>
      <c r="KKA24" s="3507"/>
      <c r="KKB24" s="3507"/>
      <c r="KKC24" s="3507"/>
      <c r="KKD24" s="3507"/>
      <c r="KKE24" s="3507"/>
      <c r="KKF24" s="3507"/>
      <c r="KKG24" s="3507"/>
      <c r="KKH24" s="3507"/>
      <c r="KKI24" s="3507"/>
      <c r="KKJ24" s="3507"/>
      <c r="KKK24" s="3507"/>
      <c r="KKL24" s="3507"/>
      <c r="KKM24" s="3507"/>
      <c r="KKN24" s="3507"/>
      <c r="KKO24" s="3507"/>
      <c r="KKP24" s="3507"/>
      <c r="KKQ24" s="3507"/>
      <c r="KKR24" s="3507"/>
      <c r="KKS24" s="3507"/>
      <c r="KKT24" s="3507"/>
      <c r="KKU24" s="3507"/>
      <c r="KKV24" s="3507"/>
      <c r="KKW24" s="3507"/>
      <c r="KKX24" s="3507"/>
      <c r="KKY24" s="3507"/>
      <c r="KKZ24" s="3507"/>
      <c r="KLA24" s="3507"/>
      <c r="KLB24" s="3507"/>
      <c r="KLC24" s="3507"/>
      <c r="KLD24" s="3507"/>
      <c r="KLE24" s="3507"/>
      <c r="KLF24" s="3507"/>
      <c r="KLG24" s="3507"/>
      <c r="KLH24" s="3507"/>
      <c r="KLI24" s="3507"/>
      <c r="KLJ24" s="3507"/>
      <c r="KLK24" s="3507"/>
      <c r="KLL24" s="3507"/>
      <c r="KLM24" s="3507"/>
      <c r="KLN24" s="3507"/>
      <c r="KLO24" s="3507"/>
      <c r="KLP24" s="3507"/>
      <c r="KLQ24" s="3507"/>
      <c r="KLR24" s="3507"/>
      <c r="KLS24" s="3507"/>
      <c r="KLT24" s="3507"/>
      <c r="KLU24" s="3507"/>
      <c r="KLV24" s="3507"/>
      <c r="KLW24" s="3507"/>
      <c r="KLX24" s="3507"/>
      <c r="KLY24" s="3507"/>
      <c r="KLZ24" s="3507"/>
      <c r="KMA24" s="3507"/>
      <c r="KMB24" s="3507"/>
      <c r="KMC24" s="3507"/>
      <c r="KMD24" s="3507"/>
      <c r="KME24" s="3507"/>
      <c r="KMF24" s="3507"/>
      <c r="KMG24" s="3507"/>
      <c r="KMH24" s="3507"/>
      <c r="KMI24" s="3507"/>
      <c r="KMJ24" s="3507"/>
      <c r="KMK24" s="3507"/>
      <c r="KML24" s="3507"/>
      <c r="KMM24" s="3507"/>
      <c r="KMN24" s="3507"/>
      <c r="KMO24" s="3507"/>
      <c r="KMP24" s="3507"/>
      <c r="KMQ24" s="3507"/>
      <c r="KMR24" s="3507"/>
      <c r="KMS24" s="3507"/>
      <c r="KMT24" s="3507"/>
      <c r="KMU24" s="3507"/>
      <c r="KMV24" s="3507"/>
      <c r="KMW24" s="3507"/>
      <c r="KMX24" s="3507"/>
      <c r="KMY24" s="3507"/>
      <c r="KMZ24" s="3507"/>
      <c r="KNA24" s="3507"/>
      <c r="KNB24" s="3507"/>
      <c r="KNC24" s="3507"/>
      <c r="KND24" s="3507"/>
      <c r="KNE24" s="3507"/>
      <c r="KNF24" s="3507"/>
      <c r="KNG24" s="3507"/>
      <c r="KNH24" s="3507"/>
      <c r="KNI24" s="3507"/>
      <c r="KNJ24" s="3507"/>
      <c r="KNK24" s="3507"/>
      <c r="KNL24" s="3507"/>
      <c r="KNM24" s="3507"/>
      <c r="KNN24" s="3507"/>
      <c r="KNO24" s="3507"/>
      <c r="KNP24" s="3507"/>
      <c r="KNQ24" s="3507"/>
      <c r="KNR24" s="3507"/>
      <c r="KNS24" s="3507"/>
      <c r="KNT24" s="3507"/>
      <c r="KNU24" s="3507"/>
      <c r="KNV24" s="3507"/>
      <c r="KNW24" s="3507"/>
      <c r="KNX24" s="3507"/>
      <c r="KNY24" s="3507"/>
      <c r="KNZ24" s="3507"/>
      <c r="KOA24" s="3507"/>
      <c r="KOB24" s="3507"/>
      <c r="KOC24" s="3507"/>
      <c r="KOD24" s="3507"/>
      <c r="KOE24" s="3507"/>
      <c r="KOF24" s="3507"/>
      <c r="KOG24" s="3507"/>
      <c r="KOH24" s="3507"/>
      <c r="KOI24" s="3507"/>
      <c r="KOJ24" s="3507"/>
      <c r="KOK24" s="3507"/>
      <c r="KOL24" s="3507"/>
      <c r="KOM24" s="3507"/>
      <c r="KON24" s="3507"/>
      <c r="KOO24" s="3507"/>
      <c r="KOP24" s="3507"/>
      <c r="KOQ24" s="3507"/>
      <c r="KOR24" s="3507"/>
      <c r="KOS24" s="3507"/>
      <c r="KOT24" s="3507"/>
      <c r="KOU24" s="3507"/>
      <c r="KOV24" s="3507"/>
      <c r="KOW24" s="3507"/>
      <c r="KOX24" s="3507"/>
      <c r="KOY24" s="3507"/>
      <c r="KOZ24" s="3507"/>
      <c r="KPA24" s="3507"/>
      <c r="KPB24" s="3507"/>
      <c r="KPC24" s="3507"/>
      <c r="KPD24" s="3507"/>
      <c r="KPE24" s="3507"/>
      <c r="KPF24" s="3507"/>
      <c r="KPG24" s="3507"/>
      <c r="KPH24" s="3507"/>
      <c r="KPI24" s="3507"/>
      <c r="KPJ24" s="3507"/>
      <c r="KPK24" s="3507"/>
      <c r="KPL24" s="3507"/>
      <c r="KPM24" s="3507"/>
      <c r="KPN24" s="3507"/>
      <c r="KPO24" s="3507"/>
      <c r="KPP24" s="3507"/>
      <c r="KPQ24" s="3507"/>
      <c r="KPR24" s="3507"/>
      <c r="KPS24" s="3507"/>
      <c r="KPT24" s="3507"/>
      <c r="KPU24" s="3507"/>
      <c r="KPV24" s="3507"/>
      <c r="KPW24" s="3507"/>
      <c r="KPX24" s="3507"/>
      <c r="KPY24" s="3507"/>
      <c r="KPZ24" s="3507"/>
      <c r="KQA24" s="3507"/>
      <c r="KQB24" s="3507"/>
      <c r="KQC24" s="3507"/>
      <c r="KQD24" s="3507"/>
      <c r="KQE24" s="3507"/>
      <c r="KQF24" s="3507"/>
      <c r="KQG24" s="3507"/>
      <c r="KQH24" s="3507"/>
      <c r="KQI24" s="3507"/>
      <c r="KQJ24" s="3507"/>
      <c r="KQK24" s="3507"/>
      <c r="KQL24" s="3507"/>
      <c r="KQM24" s="3507"/>
      <c r="KQN24" s="3507"/>
      <c r="KQO24" s="3507"/>
      <c r="KQP24" s="3507"/>
      <c r="KQQ24" s="3507"/>
      <c r="KQR24" s="3507"/>
      <c r="KQS24" s="3507"/>
      <c r="KQT24" s="3507"/>
      <c r="KQU24" s="3507"/>
      <c r="KQV24" s="3507"/>
      <c r="KQW24" s="3507"/>
      <c r="KQX24" s="3507"/>
      <c r="KQY24" s="3507"/>
      <c r="KQZ24" s="3507"/>
      <c r="KRA24" s="3507"/>
      <c r="KRB24" s="3507"/>
      <c r="KRC24" s="3507"/>
      <c r="KRD24" s="3507"/>
      <c r="KRE24" s="3507"/>
      <c r="KRF24" s="3507"/>
      <c r="KRG24" s="3507"/>
      <c r="KRH24" s="3507"/>
      <c r="KRI24" s="3507"/>
      <c r="KRJ24" s="3507"/>
      <c r="KRK24" s="3507"/>
      <c r="KRL24" s="3507"/>
      <c r="KRM24" s="3507"/>
      <c r="KRN24" s="3507"/>
      <c r="KRO24" s="3507"/>
      <c r="KRP24" s="3507"/>
      <c r="KRQ24" s="3507"/>
      <c r="KRR24" s="3507"/>
      <c r="KRS24" s="3507"/>
      <c r="KRT24" s="3507"/>
      <c r="KRU24" s="3507"/>
      <c r="KRV24" s="3507"/>
      <c r="KRW24" s="3507"/>
      <c r="KRX24" s="3507"/>
      <c r="KRY24" s="3507"/>
      <c r="KRZ24" s="3507"/>
      <c r="KSA24" s="3507"/>
      <c r="KSB24" s="3507"/>
      <c r="KSC24" s="3507"/>
      <c r="KSD24" s="3507"/>
      <c r="KSE24" s="3507"/>
      <c r="KSF24" s="3507"/>
      <c r="KSG24" s="3507"/>
      <c r="KSH24" s="3507"/>
      <c r="KSI24" s="3507"/>
      <c r="KSJ24" s="3507"/>
      <c r="KSK24" s="3507"/>
      <c r="KSL24" s="3507"/>
      <c r="KSM24" s="3507"/>
      <c r="KSN24" s="3507"/>
      <c r="KSO24" s="3507"/>
      <c r="KSP24" s="3507"/>
      <c r="KSQ24" s="3507"/>
      <c r="KSR24" s="3507"/>
      <c r="KSS24" s="3507"/>
      <c r="KST24" s="3507"/>
      <c r="KSU24" s="3507"/>
      <c r="KSV24" s="3507"/>
      <c r="KSW24" s="3507"/>
      <c r="KSX24" s="3507"/>
      <c r="KSY24" s="3507"/>
      <c r="KSZ24" s="3507"/>
      <c r="KTA24" s="3507"/>
      <c r="KTB24" s="3507"/>
      <c r="KTC24" s="3507"/>
      <c r="KTD24" s="3507"/>
      <c r="KTE24" s="3507"/>
      <c r="KTF24" s="3507"/>
      <c r="KTG24" s="3507"/>
      <c r="KTH24" s="3507"/>
      <c r="KTI24" s="3507"/>
      <c r="KTJ24" s="3507"/>
      <c r="KTK24" s="3507"/>
      <c r="KTL24" s="3507"/>
      <c r="KTM24" s="3507"/>
      <c r="KTN24" s="3507"/>
      <c r="KTO24" s="3507"/>
      <c r="KTP24" s="3507"/>
      <c r="KTQ24" s="3507"/>
      <c r="KTR24" s="3507"/>
      <c r="KTS24" s="3507"/>
      <c r="KTT24" s="3507"/>
      <c r="KTU24" s="3507"/>
      <c r="KTV24" s="3507"/>
      <c r="KTW24" s="3507"/>
      <c r="KTX24" s="3507"/>
      <c r="KTY24" s="3507"/>
      <c r="KTZ24" s="3507"/>
      <c r="KUA24" s="3507"/>
      <c r="KUB24" s="3507"/>
      <c r="KUC24" s="3507"/>
      <c r="KUD24" s="3507"/>
      <c r="KUE24" s="3507"/>
      <c r="KUF24" s="3507"/>
      <c r="KUG24" s="3507"/>
      <c r="KUH24" s="3507"/>
      <c r="KUI24" s="3507"/>
      <c r="KUJ24" s="3507"/>
      <c r="KUK24" s="3507"/>
      <c r="KUL24" s="3507"/>
      <c r="KUM24" s="3507"/>
      <c r="KUN24" s="3507"/>
      <c r="KUO24" s="3507"/>
      <c r="KUP24" s="3507"/>
      <c r="KUQ24" s="3507"/>
      <c r="KUR24" s="3507"/>
      <c r="KUS24" s="3507"/>
      <c r="KUT24" s="3507"/>
      <c r="KUU24" s="3507"/>
      <c r="KUV24" s="3507"/>
      <c r="KUW24" s="3507"/>
      <c r="KUX24" s="3507"/>
      <c r="KUY24" s="3507"/>
      <c r="KUZ24" s="3507"/>
      <c r="KVA24" s="3507"/>
      <c r="KVB24" s="3507"/>
      <c r="KVC24" s="3507"/>
      <c r="KVD24" s="3507"/>
      <c r="KVE24" s="3507"/>
      <c r="KVF24" s="3507"/>
      <c r="KVG24" s="3507"/>
      <c r="KVH24" s="3507"/>
      <c r="KVI24" s="3507"/>
      <c r="KVJ24" s="3507"/>
      <c r="KVK24" s="3507"/>
      <c r="KVL24" s="3507"/>
      <c r="KVM24" s="3507"/>
      <c r="KVN24" s="3507"/>
      <c r="KVO24" s="3507"/>
      <c r="KVP24" s="3507"/>
      <c r="KVQ24" s="3507"/>
      <c r="KVR24" s="3507"/>
      <c r="KVS24" s="3507"/>
      <c r="KVT24" s="3507"/>
      <c r="KVU24" s="3507"/>
      <c r="KVV24" s="3507"/>
      <c r="KVW24" s="3507"/>
      <c r="KVX24" s="3507"/>
      <c r="KVY24" s="3507"/>
      <c r="KVZ24" s="3507"/>
      <c r="KWA24" s="3507"/>
      <c r="KWB24" s="3507"/>
      <c r="KWC24" s="3507"/>
      <c r="KWD24" s="3507"/>
      <c r="KWE24" s="3507"/>
      <c r="KWF24" s="3507"/>
      <c r="KWG24" s="3507"/>
      <c r="KWH24" s="3507"/>
      <c r="KWI24" s="3507"/>
      <c r="KWJ24" s="3507"/>
      <c r="KWK24" s="3507"/>
      <c r="KWL24" s="3507"/>
      <c r="KWM24" s="3507"/>
      <c r="KWN24" s="3507"/>
      <c r="KWO24" s="3507"/>
      <c r="KWP24" s="3507"/>
      <c r="KWQ24" s="3507"/>
      <c r="KWR24" s="3507"/>
      <c r="KWS24" s="3507"/>
      <c r="KWT24" s="3507"/>
      <c r="KWU24" s="3507"/>
      <c r="KWV24" s="3507"/>
      <c r="KWW24" s="3507"/>
      <c r="KWX24" s="3507"/>
      <c r="KWY24" s="3507"/>
      <c r="KWZ24" s="3507"/>
      <c r="KXA24" s="3507"/>
      <c r="KXB24" s="3507"/>
      <c r="KXC24" s="3507"/>
      <c r="KXD24" s="3507"/>
      <c r="KXE24" s="3507"/>
      <c r="KXF24" s="3507"/>
      <c r="KXG24" s="3507"/>
      <c r="KXH24" s="3507"/>
      <c r="KXI24" s="3507"/>
      <c r="KXJ24" s="3507"/>
      <c r="KXK24" s="3507"/>
      <c r="KXL24" s="3507"/>
      <c r="KXM24" s="3507"/>
      <c r="KXN24" s="3507"/>
      <c r="KXO24" s="3507"/>
      <c r="KXP24" s="3507"/>
      <c r="KXQ24" s="3507"/>
      <c r="KXR24" s="3507"/>
      <c r="KXS24" s="3507"/>
      <c r="KXT24" s="3507"/>
      <c r="KXU24" s="3507"/>
      <c r="KXV24" s="3507"/>
      <c r="KXW24" s="3507"/>
      <c r="KXX24" s="3507"/>
      <c r="KXY24" s="3507"/>
      <c r="KXZ24" s="3507"/>
      <c r="KYA24" s="3507"/>
      <c r="KYB24" s="3507"/>
      <c r="KYC24" s="3507"/>
      <c r="KYD24" s="3507"/>
      <c r="KYE24" s="3507"/>
      <c r="KYF24" s="3507"/>
      <c r="KYG24" s="3507"/>
      <c r="KYH24" s="3507"/>
      <c r="KYI24" s="3507"/>
      <c r="KYJ24" s="3507"/>
      <c r="KYK24" s="3507"/>
      <c r="KYL24" s="3507"/>
      <c r="KYM24" s="3507"/>
      <c r="KYN24" s="3507"/>
      <c r="KYO24" s="3507"/>
      <c r="KYP24" s="3507"/>
      <c r="KYQ24" s="3507"/>
      <c r="KYR24" s="3507"/>
      <c r="KYS24" s="3507"/>
      <c r="KYT24" s="3507"/>
      <c r="KYU24" s="3507"/>
      <c r="KYV24" s="3507"/>
      <c r="KYW24" s="3507"/>
      <c r="KYX24" s="3507"/>
      <c r="KYY24" s="3507"/>
      <c r="KYZ24" s="3507"/>
      <c r="KZA24" s="3507"/>
      <c r="KZB24" s="3507"/>
      <c r="KZC24" s="3507"/>
      <c r="KZD24" s="3507"/>
      <c r="KZE24" s="3507"/>
      <c r="KZF24" s="3507"/>
      <c r="KZG24" s="3507"/>
      <c r="KZH24" s="3507"/>
      <c r="KZI24" s="3507"/>
      <c r="KZJ24" s="3507"/>
      <c r="KZK24" s="3507"/>
      <c r="KZL24" s="3507"/>
      <c r="KZM24" s="3507"/>
      <c r="KZN24" s="3507"/>
      <c r="KZO24" s="3507"/>
      <c r="KZP24" s="3507"/>
      <c r="KZQ24" s="3507"/>
      <c r="KZR24" s="3507"/>
      <c r="KZS24" s="3507"/>
      <c r="KZT24" s="3507"/>
      <c r="KZU24" s="3507"/>
      <c r="KZV24" s="3507"/>
      <c r="KZW24" s="3507"/>
      <c r="KZX24" s="3507"/>
      <c r="KZY24" s="3507"/>
      <c r="KZZ24" s="3507"/>
      <c r="LAA24" s="3507"/>
      <c r="LAB24" s="3507"/>
      <c r="LAC24" s="3507"/>
      <c r="LAD24" s="3507"/>
      <c r="LAE24" s="3507"/>
      <c r="LAF24" s="3507"/>
      <c r="LAG24" s="3507"/>
      <c r="LAH24" s="3507"/>
      <c r="LAI24" s="3507"/>
      <c r="LAJ24" s="3507"/>
      <c r="LAK24" s="3507"/>
      <c r="LAL24" s="3507"/>
      <c r="LAM24" s="3507"/>
      <c r="LAN24" s="3507"/>
      <c r="LAO24" s="3507"/>
      <c r="LAP24" s="3507"/>
      <c r="LAQ24" s="3507"/>
      <c r="LAR24" s="3507"/>
      <c r="LAS24" s="3507"/>
      <c r="LAT24" s="3507"/>
      <c r="LAU24" s="3507"/>
      <c r="LAV24" s="3507"/>
      <c r="LAW24" s="3507"/>
      <c r="LAX24" s="3507"/>
      <c r="LAY24" s="3507"/>
      <c r="LAZ24" s="3507"/>
      <c r="LBA24" s="3507"/>
      <c r="LBB24" s="3507"/>
      <c r="LBC24" s="3507"/>
      <c r="LBD24" s="3507"/>
      <c r="LBE24" s="3507"/>
      <c r="LBF24" s="3507"/>
      <c r="LBG24" s="3507"/>
      <c r="LBH24" s="3507"/>
      <c r="LBI24" s="3507"/>
      <c r="LBJ24" s="3507"/>
      <c r="LBK24" s="3507"/>
      <c r="LBL24" s="3507"/>
      <c r="LBM24" s="3507"/>
      <c r="LBN24" s="3507"/>
      <c r="LBO24" s="3507"/>
      <c r="LBP24" s="3507"/>
      <c r="LBQ24" s="3507"/>
      <c r="LBR24" s="3507"/>
      <c r="LBS24" s="3507"/>
      <c r="LBT24" s="3507"/>
      <c r="LBU24" s="3507"/>
      <c r="LBV24" s="3507"/>
      <c r="LBW24" s="3507"/>
      <c r="LBX24" s="3507"/>
      <c r="LBY24" s="3507"/>
      <c r="LBZ24" s="3507"/>
      <c r="LCA24" s="3507"/>
      <c r="LCB24" s="3507"/>
      <c r="LCC24" s="3507"/>
      <c r="LCD24" s="3507"/>
      <c r="LCE24" s="3507"/>
      <c r="LCF24" s="3507"/>
      <c r="LCG24" s="3507"/>
      <c r="LCH24" s="3507"/>
      <c r="LCI24" s="3507"/>
      <c r="LCJ24" s="3507"/>
      <c r="LCK24" s="3507"/>
      <c r="LCL24" s="3507"/>
      <c r="LCM24" s="3507"/>
      <c r="LCN24" s="3507"/>
      <c r="LCO24" s="3507"/>
      <c r="LCP24" s="3507"/>
      <c r="LCQ24" s="3507"/>
      <c r="LCR24" s="3507"/>
      <c r="LCS24" s="3507"/>
      <c r="LCT24" s="3507"/>
      <c r="LCU24" s="3507"/>
      <c r="LCV24" s="3507"/>
      <c r="LCW24" s="3507"/>
      <c r="LCX24" s="3507"/>
      <c r="LCY24" s="3507"/>
      <c r="LCZ24" s="3507"/>
      <c r="LDA24" s="3507"/>
      <c r="LDB24" s="3507"/>
      <c r="LDC24" s="3507"/>
      <c r="LDD24" s="3507"/>
      <c r="LDE24" s="3507"/>
      <c r="LDF24" s="3507"/>
      <c r="LDG24" s="3507"/>
      <c r="LDH24" s="3507"/>
      <c r="LDI24" s="3507"/>
      <c r="LDJ24" s="3507"/>
      <c r="LDK24" s="3507"/>
      <c r="LDL24" s="3507"/>
      <c r="LDM24" s="3507"/>
      <c r="LDN24" s="3507"/>
      <c r="LDO24" s="3507"/>
      <c r="LDP24" s="3507"/>
      <c r="LDQ24" s="3507"/>
      <c r="LDR24" s="3507"/>
      <c r="LDS24" s="3507"/>
      <c r="LDT24" s="3507"/>
      <c r="LDU24" s="3507"/>
      <c r="LDV24" s="3507"/>
      <c r="LDW24" s="3507"/>
      <c r="LDX24" s="3507"/>
      <c r="LDY24" s="3507"/>
      <c r="LDZ24" s="3507"/>
      <c r="LEA24" s="3507"/>
      <c r="LEB24" s="3507"/>
      <c r="LEC24" s="3507"/>
      <c r="LED24" s="3507"/>
      <c r="LEE24" s="3507"/>
      <c r="LEF24" s="3507"/>
      <c r="LEG24" s="3507"/>
      <c r="LEH24" s="3507"/>
      <c r="LEI24" s="3507"/>
      <c r="LEJ24" s="3507"/>
      <c r="LEK24" s="3507"/>
      <c r="LEL24" s="3507"/>
      <c r="LEM24" s="3507"/>
      <c r="LEN24" s="3507"/>
      <c r="LEO24" s="3507"/>
      <c r="LEP24" s="3507"/>
      <c r="LEQ24" s="3507"/>
      <c r="LER24" s="3507"/>
      <c r="LES24" s="3507"/>
      <c r="LET24" s="3507"/>
      <c r="LEU24" s="3507"/>
      <c r="LEV24" s="3507"/>
      <c r="LEW24" s="3507"/>
      <c r="LEX24" s="3507"/>
      <c r="LEY24" s="3507"/>
      <c r="LEZ24" s="3507"/>
      <c r="LFA24" s="3507"/>
      <c r="LFB24" s="3507"/>
      <c r="LFC24" s="3507"/>
      <c r="LFD24" s="3507"/>
      <c r="LFE24" s="3507"/>
      <c r="LFF24" s="3507"/>
      <c r="LFG24" s="3507"/>
      <c r="LFH24" s="3507"/>
      <c r="LFI24" s="3507"/>
      <c r="LFJ24" s="3507"/>
      <c r="LFK24" s="3507"/>
      <c r="LFL24" s="3507"/>
      <c r="LFM24" s="3507"/>
      <c r="LFN24" s="3507"/>
      <c r="LFO24" s="3507"/>
      <c r="LFP24" s="3507"/>
      <c r="LFQ24" s="3507"/>
      <c r="LFR24" s="3507"/>
      <c r="LFS24" s="3507"/>
      <c r="LFT24" s="3507"/>
      <c r="LFU24" s="3507"/>
      <c r="LFV24" s="3507"/>
      <c r="LFW24" s="3507"/>
      <c r="LFX24" s="3507"/>
      <c r="LFY24" s="3507"/>
      <c r="LFZ24" s="3507"/>
      <c r="LGA24" s="3507"/>
      <c r="LGB24" s="3507"/>
      <c r="LGC24" s="3507"/>
      <c r="LGD24" s="3507"/>
      <c r="LGE24" s="3507"/>
      <c r="LGF24" s="3507"/>
      <c r="LGG24" s="3507"/>
      <c r="LGH24" s="3507"/>
      <c r="LGI24" s="3507"/>
      <c r="LGJ24" s="3507"/>
      <c r="LGK24" s="3507"/>
      <c r="LGL24" s="3507"/>
      <c r="LGM24" s="3507"/>
      <c r="LGN24" s="3507"/>
      <c r="LGO24" s="3507"/>
      <c r="LGP24" s="3507"/>
      <c r="LGQ24" s="3507"/>
      <c r="LGR24" s="3507"/>
      <c r="LGS24" s="3507"/>
      <c r="LGT24" s="3507"/>
      <c r="LGU24" s="3507"/>
      <c r="LGV24" s="3507"/>
      <c r="LGW24" s="3507"/>
      <c r="LGX24" s="3507"/>
      <c r="LGY24" s="3507"/>
      <c r="LGZ24" s="3507"/>
      <c r="LHA24" s="3507"/>
      <c r="LHB24" s="3507"/>
      <c r="LHC24" s="3507"/>
      <c r="LHD24" s="3507"/>
      <c r="LHE24" s="3507"/>
      <c r="LHF24" s="3507"/>
      <c r="LHG24" s="3507"/>
      <c r="LHH24" s="3507"/>
      <c r="LHI24" s="3507"/>
      <c r="LHJ24" s="3507"/>
      <c r="LHK24" s="3507"/>
      <c r="LHL24" s="3507"/>
      <c r="LHM24" s="3507"/>
      <c r="LHN24" s="3507"/>
      <c r="LHO24" s="3507"/>
      <c r="LHP24" s="3507"/>
      <c r="LHQ24" s="3507"/>
      <c r="LHR24" s="3507"/>
      <c r="LHS24" s="3507"/>
      <c r="LHT24" s="3507"/>
      <c r="LHU24" s="3507"/>
      <c r="LHV24" s="3507"/>
      <c r="LHW24" s="3507"/>
      <c r="LHX24" s="3507"/>
      <c r="LHY24" s="3507"/>
      <c r="LHZ24" s="3507"/>
      <c r="LIA24" s="3507"/>
      <c r="LIB24" s="3507"/>
      <c r="LIC24" s="3507"/>
      <c r="LID24" s="3507"/>
      <c r="LIE24" s="3507"/>
      <c r="LIF24" s="3507"/>
      <c r="LIG24" s="3507"/>
      <c r="LIH24" s="3507"/>
      <c r="LII24" s="3507"/>
      <c r="LIJ24" s="3507"/>
      <c r="LIK24" s="3507"/>
      <c r="LIL24" s="3507"/>
      <c r="LIM24" s="3507"/>
      <c r="LIN24" s="3507"/>
      <c r="LIO24" s="3507"/>
      <c r="LIP24" s="3507"/>
      <c r="LIQ24" s="3507"/>
      <c r="LIR24" s="3507"/>
      <c r="LIS24" s="3507"/>
      <c r="LIT24" s="3507"/>
      <c r="LIU24" s="3507"/>
      <c r="LIV24" s="3507"/>
      <c r="LIW24" s="3507"/>
      <c r="LIX24" s="3507"/>
      <c r="LIY24" s="3507"/>
      <c r="LIZ24" s="3507"/>
      <c r="LJA24" s="3507"/>
      <c r="LJB24" s="3507"/>
      <c r="LJC24" s="3507"/>
      <c r="LJD24" s="3507"/>
      <c r="LJE24" s="3507"/>
      <c r="LJF24" s="3507"/>
      <c r="LJG24" s="3507"/>
      <c r="LJH24" s="3507"/>
      <c r="LJI24" s="3507"/>
      <c r="LJJ24" s="3507"/>
      <c r="LJK24" s="3507"/>
      <c r="LJL24" s="3507"/>
      <c r="LJM24" s="3507"/>
      <c r="LJN24" s="3507"/>
      <c r="LJO24" s="3507"/>
      <c r="LJP24" s="3507"/>
      <c r="LJQ24" s="3507"/>
      <c r="LJR24" s="3507"/>
      <c r="LJS24" s="3507"/>
      <c r="LJT24" s="3507"/>
      <c r="LJU24" s="3507"/>
      <c r="LJV24" s="3507"/>
      <c r="LJW24" s="3507"/>
      <c r="LJX24" s="3507"/>
      <c r="LJY24" s="3507"/>
      <c r="LJZ24" s="3507"/>
      <c r="LKA24" s="3507"/>
      <c r="LKB24" s="3507"/>
      <c r="LKC24" s="3507"/>
      <c r="LKD24" s="3507"/>
      <c r="LKE24" s="3507"/>
      <c r="LKF24" s="3507"/>
      <c r="LKG24" s="3507"/>
      <c r="LKH24" s="3507"/>
      <c r="LKI24" s="3507"/>
      <c r="LKJ24" s="3507"/>
      <c r="LKK24" s="3507"/>
      <c r="LKL24" s="3507"/>
      <c r="LKM24" s="3507"/>
      <c r="LKN24" s="3507"/>
      <c r="LKO24" s="3507"/>
      <c r="LKP24" s="3507"/>
      <c r="LKQ24" s="3507"/>
      <c r="LKR24" s="3507"/>
      <c r="LKS24" s="3507"/>
      <c r="LKT24" s="3507"/>
      <c r="LKU24" s="3507"/>
      <c r="LKV24" s="3507"/>
      <c r="LKW24" s="3507"/>
      <c r="LKX24" s="3507"/>
      <c r="LKY24" s="3507"/>
      <c r="LKZ24" s="3507"/>
      <c r="LLA24" s="3507"/>
      <c r="LLB24" s="3507"/>
      <c r="LLC24" s="3507"/>
      <c r="LLD24" s="3507"/>
      <c r="LLE24" s="3507"/>
      <c r="LLF24" s="3507"/>
      <c r="LLG24" s="3507"/>
      <c r="LLH24" s="3507"/>
      <c r="LLI24" s="3507"/>
      <c r="LLJ24" s="3507"/>
      <c r="LLK24" s="3507"/>
      <c r="LLL24" s="3507"/>
      <c r="LLM24" s="3507"/>
      <c r="LLN24" s="3507"/>
      <c r="LLO24" s="3507"/>
      <c r="LLP24" s="3507"/>
      <c r="LLQ24" s="3507"/>
      <c r="LLR24" s="3507"/>
      <c r="LLS24" s="3507"/>
      <c r="LLT24" s="3507"/>
      <c r="LLU24" s="3507"/>
      <c r="LLV24" s="3507"/>
      <c r="LLW24" s="3507"/>
      <c r="LLX24" s="3507"/>
      <c r="LLY24" s="3507"/>
      <c r="LLZ24" s="3507"/>
      <c r="LMA24" s="3507"/>
      <c r="LMB24" s="3507"/>
      <c r="LMC24" s="3507"/>
      <c r="LMD24" s="3507"/>
      <c r="LME24" s="3507"/>
      <c r="LMF24" s="3507"/>
      <c r="LMG24" s="3507"/>
      <c r="LMH24" s="3507"/>
      <c r="LMI24" s="3507"/>
      <c r="LMJ24" s="3507"/>
      <c r="LMK24" s="3507"/>
      <c r="LML24" s="3507"/>
      <c r="LMM24" s="3507"/>
      <c r="LMN24" s="3507"/>
      <c r="LMO24" s="3507"/>
      <c r="LMP24" s="3507"/>
      <c r="LMQ24" s="3507"/>
      <c r="LMR24" s="3507"/>
      <c r="LMS24" s="3507"/>
      <c r="LMT24" s="3507"/>
      <c r="LMU24" s="3507"/>
      <c r="LMV24" s="3507"/>
      <c r="LMW24" s="3507"/>
      <c r="LMX24" s="3507"/>
      <c r="LMY24" s="3507"/>
      <c r="LMZ24" s="3507"/>
      <c r="LNA24" s="3507"/>
      <c r="LNB24" s="3507"/>
      <c r="LNC24" s="3507"/>
      <c r="LND24" s="3507"/>
      <c r="LNE24" s="3507"/>
      <c r="LNF24" s="3507"/>
      <c r="LNG24" s="3507"/>
      <c r="LNH24" s="3507"/>
      <c r="LNI24" s="3507"/>
      <c r="LNJ24" s="3507"/>
      <c r="LNK24" s="3507"/>
      <c r="LNL24" s="3507"/>
      <c r="LNM24" s="3507"/>
      <c r="LNN24" s="3507"/>
      <c r="LNO24" s="3507"/>
      <c r="LNP24" s="3507"/>
      <c r="LNQ24" s="3507"/>
      <c r="LNR24" s="3507"/>
      <c r="LNS24" s="3507"/>
      <c r="LNT24" s="3507"/>
      <c r="LNU24" s="3507"/>
      <c r="LNV24" s="3507"/>
      <c r="LNW24" s="3507"/>
      <c r="LNX24" s="3507"/>
      <c r="LNY24" s="3507"/>
      <c r="LNZ24" s="3507"/>
      <c r="LOA24" s="3507"/>
      <c r="LOB24" s="3507"/>
      <c r="LOC24" s="3507"/>
      <c r="LOD24" s="3507"/>
      <c r="LOE24" s="3507"/>
      <c r="LOF24" s="3507"/>
      <c r="LOG24" s="3507"/>
      <c r="LOH24" s="3507"/>
      <c r="LOI24" s="3507"/>
      <c r="LOJ24" s="3507"/>
      <c r="LOK24" s="3507"/>
      <c r="LOL24" s="3507"/>
      <c r="LOM24" s="3507"/>
      <c r="LON24" s="3507"/>
      <c r="LOO24" s="3507"/>
      <c r="LOP24" s="3507"/>
      <c r="LOQ24" s="3507"/>
      <c r="LOR24" s="3507"/>
      <c r="LOS24" s="3507"/>
      <c r="LOT24" s="3507"/>
      <c r="LOU24" s="3507"/>
      <c r="LOV24" s="3507"/>
      <c r="LOW24" s="3507"/>
      <c r="LOX24" s="3507"/>
      <c r="LOY24" s="3507"/>
      <c r="LOZ24" s="3507"/>
      <c r="LPA24" s="3507"/>
      <c r="LPB24" s="3507"/>
      <c r="LPC24" s="3507"/>
      <c r="LPD24" s="3507"/>
      <c r="LPE24" s="3507"/>
      <c r="LPF24" s="3507"/>
      <c r="LPG24" s="3507"/>
      <c r="LPH24" s="3507"/>
      <c r="LPI24" s="3507"/>
      <c r="LPJ24" s="3507"/>
      <c r="LPK24" s="3507"/>
      <c r="LPL24" s="3507"/>
      <c r="LPM24" s="3507"/>
      <c r="LPN24" s="3507"/>
      <c r="LPO24" s="3507"/>
      <c r="LPP24" s="3507"/>
      <c r="LPQ24" s="3507"/>
      <c r="LPR24" s="3507"/>
      <c r="LPS24" s="3507"/>
      <c r="LPT24" s="3507"/>
      <c r="LPU24" s="3507"/>
      <c r="LPV24" s="3507"/>
      <c r="LPW24" s="3507"/>
      <c r="LPX24" s="3507"/>
      <c r="LPY24" s="3507"/>
      <c r="LPZ24" s="3507"/>
      <c r="LQA24" s="3507"/>
      <c r="LQB24" s="3507"/>
      <c r="LQC24" s="3507"/>
      <c r="LQD24" s="3507"/>
      <c r="LQE24" s="3507"/>
      <c r="LQF24" s="3507"/>
      <c r="LQG24" s="3507"/>
      <c r="LQH24" s="3507"/>
      <c r="LQI24" s="3507"/>
      <c r="LQJ24" s="3507"/>
      <c r="LQK24" s="3507"/>
      <c r="LQL24" s="3507"/>
      <c r="LQM24" s="3507"/>
      <c r="LQN24" s="3507"/>
      <c r="LQO24" s="3507"/>
      <c r="LQP24" s="3507"/>
      <c r="LQQ24" s="3507"/>
      <c r="LQR24" s="3507"/>
      <c r="LQS24" s="3507"/>
      <c r="LQT24" s="3507"/>
      <c r="LQU24" s="3507"/>
      <c r="LQV24" s="3507"/>
      <c r="LQW24" s="3507"/>
      <c r="LQX24" s="3507"/>
      <c r="LQY24" s="3507"/>
      <c r="LQZ24" s="3507"/>
      <c r="LRA24" s="3507"/>
      <c r="LRB24" s="3507"/>
      <c r="LRC24" s="3507"/>
      <c r="LRD24" s="3507"/>
      <c r="LRE24" s="3507"/>
      <c r="LRF24" s="3507"/>
      <c r="LRG24" s="3507"/>
      <c r="LRH24" s="3507"/>
      <c r="LRI24" s="3507"/>
      <c r="LRJ24" s="3507"/>
      <c r="LRK24" s="3507"/>
      <c r="LRL24" s="3507"/>
      <c r="LRM24" s="3507"/>
      <c r="LRN24" s="3507"/>
      <c r="LRO24" s="3507"/>
      <c r="LRP24" s="3507"/>
      <c r="LRQ24" s="3507"/>
      <c r="LRR24" s="3507"/>
      <c r="LRS24" s="3507"/>
      <c r="LRT24" s="3507"/>
      <c r="LRU24" s="3507"/>
      <c r="LRV24" s="3507"/>
      <c r="LRW24" s="3507"/>
      <c r="LRX24" s="3507"/>
      <c r="LRY24" s="3507"/>
      <c r="LRZ24" s="3507"/>
      <c r="LSA24" s="3507"/>
      <c r="LSB24" s="3507"/>
      <c r="LSC24" s="3507"/>
      <c r="LSD24" s="3507"/>
      <c r="LSE24" s="3507"/>
      <c r="LSF24" s="3507"/>
      <c r="LSG24" s="3507"/>
      <c r="LSH24" s="3507"/>
      <c r="LSI24" s="3507"/>
      <c r="LSJ24" s="3507"/>
      <c r="LSK24" s="3507"/>
      <c r="LSL24" s="3507"/>
      <c r="LSM24" s="3507"/>
      <c r="LSN24" s="3507"/>
      <c r="LSO24" s="3507"/>
      <c r="LSP24" s="3507"/>
      <c r="LSQ24" s="3507"/>
      <c r="LSR24" s="3507"/>
      <c r="LSS24" s="3507"/>
      <c r="LST24" s="3507"/>
      <c r="LSU24" s="3507"/>
      <c r="LSV24" s="3507"/>
      <c r="LSW24" s="3507"/>
      <c r="LSX24" s="3507"/>
      <c r="LSY24" s="3507"/>
      <c r="LSZ24" s="3507"/>
      <c r="LTA24" s="3507"/>
      <c r="LTB24" s="3507"/>
      <c r="LTC24" s="3507"/>
      <c r="LTD24" s="3507"/>
      <c r="LTE24" s="3507"/>
      <c r="LTF24" s="3507"/>
      <c r="LTG24" s="3507"/>
      <c r="LTH24" s="3507"/>
      <c r="LTI24" s="3507"/>
      <c r="LTJ24" s="3507"/>
      <c r="LTK24" s="3507"/>
      <c r="LTL24" s="3507"/>
      <c r="LTM24" s="3507"/>
      <c r="LTN24" s="3507"/>
      <c r="LTO24" s="3507"/>
      <c r="LTP24" s="3507"/>
      <c r="LTQ24" s="3507"/>
      <c r="LTR24" s="3507"/>
      <c r="LTS24" s="3507"/>
      <c r="LTT24" s="3507"/>
      <c r="LTU24" s="3507"/>
      <c r="LTV24" s="3507"/>
      <c r="LTW24" s="3507"/>
      <c r="LTX24" s="3507"/>
      <c r="LTY24" s="3507"/>
      <c r="LTZ24" s="3507"/>
      <c r="LUA24" s="3507"/>
      <c r="LUB24" s="3507"/>
      <c r="LUC24" s="3507"/>
      <c r="LUD24" s="3507"/>
      <c r="LUE24" s="3507"/>
      <c r="LUF24" s="3507"/>
      <c r="LUG24" s="3507"/>
      <c r="LUH24" s="3507"/>
      <c r="LUI24" s="3507"/>
      <c r="LUJ24" s="3507"/>
      <c r="LUK24" s="3507"/>
      <c r="LUL24" s="3507"/>
      <c r="LUM24" s="3507"/>
      <c r="LUN24" s="3507"/>
      <c r="LUO24" s="3507"/>
      <c r="LUP24" s="3507"/>
      <c r="LUQ24" s="3507"/>
      <c r="LUR24" s="3507"/>
      <c r="LUS24" s="3507"/>
      <c r="LUT24" s="3507"/>
      <c r="LUU24" s="3507"/>
      <c r="LUV24" s="3507"/>
      <c r="LUW24" s="3507"/>
      <c r="LUX24" s="3507"/>
      <c r="LUY24" s="3507"/>
      <c r="LUZ24" s="3507"/>
      <c r="LVA24" s="3507"/>
      <c r="LVB24" s="3507"/>
      <c r="LVC24" s="3507"/>
      <c r="LVD24" s="3507"/>
      <c r="LVE24" s="3507"/>
      <c r="LVF24" s="3507"/>
      <c r="LVG24" s="3507"/>
      <c r="LVH24" s="3507"/>
      <c r="LVI24" s="3507"/>
      <c r="LVJ24" s="3507"/>
      <c r="LVK24" s="3507"/>
      <c r="LVL24" s="3507"/>
      <c r="LVM24" s="3507"/>
      <c r="LVN24" s="3507"/>
      <c r="LVO24" s="3507"/>
      <c r="LVP24" s="3507"/>
      <c r="LVQ24" s="3507"/>
      <c r="LVR24" s="3507"/>
      <c r="LVS24" s="3507"/>
      <c r="LVT24" s="3507"/>
      <c r="LVU24" s="3507"/>
      <c r="LVV24" s="3507"/>
      <c r="LVW24" s="3507"/>
      <c r="LVX24" s="3507"/>
      <c r="LVY24" s="3507"/>
      <c r="LVZ24" s="3507"/>
      <c r="LWA24" s="3507"/>
      <c r="LWB24" s="3507"/>
      <c r="LWC24" s="3507"/>
      <c r="LWD24" s="3507"/>
      <c r="LWE24" s="3507"/>
      <c r="LWF24" s="3507"/>
      <c r="LWG24" s="3507"/>
      <c r="LWH24" s="3507"/>
      <c r="LWI24" s="3507"/>
      <c r="LWJ24" s="3507"/>
      <c r="LWK24" s="3507"/>
      <c r="LWL24" s="3507"/>
      <c r="LWM24" s="3507"/>
      <c r="LWN24" s="3507"/>
      <c r="LWO24" s="3507"/>
      <c r="LWP24" s="3507"/>
      <c r="LWQ24" s="3507"/>
      <c r="LWR24" s="3507"/>
      <c r="LWS24" s="3507"/>
      <c r="LWT24" s="3507"/>
      <c r="LWU24" s="3507"/>
      <c r="LWV24" s="3507"/>
      <c r="LWW24" s="3507"/>
      <c r="LWX24" s="3507"/>
      <c r="LWY24" s="3507"/>
      <c r="LWZ24" s="3507"/>
      <c r="LXA24" s="3507"/>
      <c r="LXB24" s="3507"/>
      <c r="LXC24" s="3507"/>
      <c r="LXD24" s="3507"/>
      <c r="LXE24" s="3507"/>
      <c r="LXF24" s="3507"/>
      <c r="LXG24" s="3507"/>
      <c r="LXH24" s="3507"/>
      <c r="LXI24" s="3507"/>
      <c r="LXJ24" s="3507"/>
      <c r="LXK24" s="3507"/>
      <c r="LXL24" s="3507"/>
      <c r="LXM24" s="3507"/>
      <c r="LXN24" s="3507"/>
      <c r="LXO24" s="3507"/>
      <c r="LXP24" s="3507"/>
      <c r="LXQ24" s="3507"/>
      <c r="LXR24" s="3507"/>
      <c r="LXS24" s="3507"/>
      <c r="LXT24" s="3507"/>
      <c r="LXU24" s="3507"/>
      <c r="LXV24" s="3507"/>
      <c r="LXW24" s="3507"/>
      <c r="LXX24" s="3507"/>
      <c r="LXY24" s="3507"/>
      <c r="LXZ24" s="3507"/>
      <c r="LYA24" s="3507"/>
      <c r="LYB24" s="3507"/>
      <c r="LYC24" s="3507"/>
      <c r="LYD24" s="3507"/>
      <c r="LYE24" s="3507"/>
      <c r="LYF24" s="3507"/>
      <c r="LYG24" s="3507"/>
      <c r="LYH24" s="3507"/>
      <c r="LYI24" s="3507"/>
      <c r="LYJ24" s="3507"/>
      <c r="LYK24" s="3507"/>
      <c r="LYL24" s="3507"/>
      <c r="LYM24" s="3507"/>
      <c r="LYN24" s="3507"/>
      <c r="LYO24" s="3507"/>
      <c r="LYP24" s="3507"/>
      <c r="LYQ24" s="3507"/>
      <c r="LYR24" s="3507"/>
      <c r="LYS24" s="3507"/>
      <c r="LYT24" s="3507"/>
      <c r="LYU24" s="3507"/>
      <c r="LYV24" s="3507"/>
      <c r="LYW24" s="3507"/>
      <c r="LYX24" s="3507"/>
      <c r="LYY24" s="3507"/>
      <c r="LYZ24" s="3507"/>
      <c r="LZA24" s="3507"/>
      <c r="LZB24" s="3507"/>
      <c r="LZC24" s="3507"/>
      <c r="LZD24" s="3507"/>
      <c r="LZE24" s="3507"/>
      <c r="LZF24" s="3507"/>
      <c r="LZG24" s="3507"/>
      <c r="LZH24" s="3507"/>
      <c r="LZI24" s="3507"/>
      <c r="LZJ24" s="3507"/>
      <c r="LZK24" s="3507"/>
      <c r="LZL24" s="3507"/>
      <c r="LZM24" s="3507"/>
      <c r="LZN24" s="3507"/>
      <c r="LZO24" s="3507"/>
      <c r="LZP24" s="3507"/>
      <c r="LZQ24" s="3507"/>
      <c r="LZR24" s="3507"/>
      <c r="LZS24" s="3507"/>
      <c r="LZT24" s="3507"/>
      <c r="LZU24" s="3507"/>
      <c r="LZV24" s="3507"/>
      <c r="LZW24" s="3507"/>
      <c r="LZX24" s="3507"/>
      <c r="LZY24" s="3507"/>
      <c r="LZZ24" s="3507"/>
      <c r="MAA24" s="3507"/>
      <c r="MAB24" s="3507"/>
      <c r="MAC24" s="3507"/>
      <c r="MAD24" s="3507"/>
      <c r="MAE24" s="3507"/>
      <c r="MAF24" s="3507"/>
      <c r="MAG24" s="3507"/>
      <c r="MAH24" s="3507"/>
      <c r="MAI24" s="3507"/>
      <c r="MAJ24" s="3507"/>
      <c r="MAK24" s="3507"/>
      <c r="MAL24" s="3507"/>
      <c r="MAM24" s="3507"/>
      <c r="MAN24" s="3507"/>
      <c r="MAO24" s="3507"/>
      <c r="MAP24" s="3507"/>
      <c r="MAQ24" s="3507"/>
      <c r="MAR24" s="3507"/>
      <c r="MAS24" s="3507"/>
      <c r="MAT24" s="3507"/>
      <c r="MAU24" s="3507"/>
      <c r="MAV24" s="3507"/>
      <c r="MAW24" s="3507"/>
      <c r="MAX24" s="3507"/>
      <c r="MAY24" s="3507"/>
      <c r="MAZ24" s="3507"/>
      <c r="MBA24" s="3507"/>
      <c r="MBB24" s="3507"/>
      <c r="MBC24" s="3507"/>
      <c r="MBD24" s="3507"/>
      <c r="MBE24" s="3507"/>
      <c r="MBF24" s="3507"/>
      <c r="MBG24" s="3507"/>
      <c r="MBH24" s="3507"/>
      <c r="MBI24" s="3507"/>
      <c r="MBJ24" s="3507"/>
      <c r="MBK24" s="3507"/>
      <c r="MBL24" s="3507"/>
      <c r="MBM24" s="3507"/>
      <c r="MBN24" s="3507"/>
      <c r="MBO24" s="3507"/>
      <c r="MBP24" s="3507"/>
      <c r="MBQ24" s="3507"/>
      <c r="MBR24" s="3507"/>
      <c r="MBS24" s="3507"/>
      <c r="MBT24" s="3507"/>
      <c r="MBU24" s="3507"/>
      <c r="MBV24" s="3507"/>
      <c r="MBW24" s="3507"/>
      <c r="MBX24" s="3507"/>
      <c r="MBY24" s="3507"/>
      <c r="MBZ24" s="3507"/>
      <c r="MCA24" s="3507"/>
      <c r="MCB24" s="3507"/>
      <c r="MCC24" s="3507"/>
      <c r="MCD24" s="3507"/>
      <c r="MCE24" s="3507"/>
      <c r="MCF24" s="3507"/>
      <c r="MCG24" s="3507"/>
      <c r="MCH24" s="3507"/>
      <c r="MCI24" s="3507"/>
      <c r="MCJ24" s="3507"/>
      <c r="MCK24" s="3507"/>
      <c r="MCL24" s="3507"/>
      <c r="MCM24" s="3507"/>
      <c r="MCN24" s="3507"/>
      <c r="MCO24" s="3507"/>
      <c r="MCP24" s="3507"/>
      <c r="MCQ24" s="3507"/>
      <c r="MCR24" s="3507"/>
      <c r="MCS24" s="3507"/>
      <c r="MCT24" s="3507"/>
      <c r="MCU24" s="3507"/>
      <c r="MCV24" s="3507"/>
      <c r="MCW24" s="3507"/>
      <c r="MCX24" s="3507"/>
      <c r="MCY24" s="3507"/>
      <c r="MCZ24" s="3507"/>
      <c r="MDA24" s="3507"/>
      <c r="MDB24" s="3507"/>
      <c r="MDC24" s="3507"/>
      <c r="MDD24" s="3507"/>
      <c r="MDE24" s="3507"/>
      <c r="MDF24" s="3507"/>
      <c r="MDG24" s="3507"/>
      <c r="MDH24" s="3507"/>
      <c r="MDI24" s="3507"/>
      <c r="MDJ24" s="3507"/>
      <c r="MDK24" s="3507"/>
      <c r="MDL24" s="3507"/>
      <c r="MDM24" s="3507"/>
      <c r="MDN24" s="3507"/>
      <c r="MDO24" s="3507"/>
      <c r="MDP24" s="3507"/>
      <c r="MDQ24" s="3507"/>
      <c r="MDR24" s="3507"/>
      <c r="MDS24" s="3507"/>
      <c r="MDT24" s="3507"/>
      <c r="MDU24" s="3507"/>
      <c r="MDV24" s="3507"/>
      <c r="MDW24" s="3507"/>
      <c r="MDX24" s="3507"/>
      <c r="MDY24" s="3507"/>
      <c r="MDZ24" s="3507"/>
      <c r="MEA24" s="3507"/>
      <c r="MEB24" s="3507"/>
      <c r="MEC24" s="3507"/>
      <c r="MED24" s="3507"/>
      <c r="MEE24" s="3507"/>
      <c r="MEF24" s="3507"/>
      <c r="MEG24" s="3507"/>
      <c r="MEH24" s="3507"/>
      <c r="MEI24" s="3507"/>
      <c r="MEJ24" s="3507"/>
      <c r="MEK24" s="3507"/>
      <c r="MEL24" s="3507"/>
      <c r="MEM24" s="3507"/>
      <c r="MEN24" s="3507"/>
      <c r="MEO24" s="3507"/>
      <c r="MEP24" s="3507"/>
      <c r="MEQ24" s="3507"/>
      <c r="MER24" s="3507"/>
      <c r="MES24" s="3507"/>
      <c r="MET24" s="3507"/>
      <c r="MEU24" s="3507"/>
      <c r="MEV24" s="3507"/>
      <c r="MEW24" s="3507"/>
      <c r="MEX24" s="3507"/>
      <c r="MEY24" s="3507"/>
      <c r="MEZ24" s="3507"/>
      <c r="MFA24" s="3507"/>
      <c r="MFB24" s="3507"/>
      <c r="MFC24" s="3507"/>
      <c r="MFD24" s="3507"/>
      <c r="MFE24" s="3507"/>
      <c r="MFF24" s="3507"/>
      <c r="MFG24" s="3507"/>
      <c r="MFH24" s="3507"/>
      <c r="MFI24" s="3507"/>
      <c r="MFJ24" s="3507"/>
      <c r="MFK24" s="3507"/>
      <c r="MFL24" s="3507"/>
      <c r="MFM24" s="3507"/>
      <c r="MFN24" s="3507"/>
      <c r="MFO24" s="3507"/>
      <c r="MFP24" s="3507"/>
      <c r="MFQ24" s="3507"/>
      <c r="MFR24" s="3507"/>
      <c r="MFS24" s="3507"/>
      <c r="MFT24" s="3507"/>
      <c r="MFU24" s="3507"/>
      <c r="MFV24" s="3507"/>
      <c r="MFW24" s="3507"/>
      <c r="MFX24" s="3507"/>
      <c r="MFY24" s="3507"/>
      <c r="MFZ24" s="3507"/>
      <c r="MGA24" s="3507"/>
      <c r="MGB24" s="3507"/>
      <c r="MGC24" s="3507"/>
      <c r="MGD24" s="3507"/>
      <c r="MGE24" s="3507"/>
      <c r="MGF24" s="3507"/>
      <c r="MGG24" s="3507"/>
      <c r="MGH24" s="3507"/>
      <c r="MGI24" s="3507"/>
      <c r="MGJ24" s="3507"/>
      <c r="MGK24" s="3507"/>
      <c r="MGL24" s="3507"/>
      <c r="MGM24" s="3507"/>
      <c r="MGN24" s="3507"/>
      <c r="MGO24" s="3507"/>
      <c r="MGP24" s="3507"/>
      <c r="MGQ24" s="3507"/>
      <c r="MGR24" s="3507"/>
      <c r="MGS24" s="3507"/>
      <c r="MGT24" s="3507"/>
      <c r="MGU24" s="3507"/>
      <c r="MGV24" s="3507"/>
      <c r="MGW24" s="3507"/>
      <c r="MGX24" s="3507"/>
      <c r="MGY24" s="3507"/>
      <c r="MGZ24" s="3507"/>
      <c r="MHA24" s="3507"/>
      <c r="MHB24" s="3507"/>
      <c r="MHC24" s="3507"/>
      <c r="MHD24" s="3507"/>
      <c r="MHE24" s="3507"/>
      <c r="MHF24" s="3507"/>
      <c r="MHG24" s="3507"/>
      <c r="MHH24" s="3507"/>
      <c r="MHI24" s="3507"/>
      <c r="MHJ24" s="3507"/>
      <c r="MHK24" s="3507"/>
      <c r="MHL24" s="3507"/>
      <c r="MHM24" s="3507"/>
      <c r="MHN24" s="3507"/>
      <c r="MHO24" s="3507"/>
      <c r="MHP24" s="3507"/>
      <c r="MHQ24" s="3507"/>
      <c r="MHR24" s="3507"/>
      <c r="MHS24" s="3507"/>
      <c r="MHT24" s="3507"/>
      <c r="MHU24" s="3507"/>
      <c r="MHV24" s="3507"/>
      <c r="MHW24" s="3507"/>
      <c r="MHX24" s="3507"/>
      <c r="MHY24" s="3507"/>
      <c r="MHZ24" s="3507"/>
      <c r="MIA24" s="3507"/>
      <c r="MIB24" s="3507"/>
      <c r="MIC24" s="3507"/>
      <c r="MID24" s="3507"/>
      <c r="MIE24" s="3507"/>
      <c r="MIF24" s="3507"/>
      <c r="MIG24" s="3507"/>
      <c r="MIH24" s="3507"/>
      <c r="MII24" s="3507"/>
      <c r="MIJ24" s="3507"/>
      <c r="MIK24" s="3507"/>
      <c r="MIL24" s="3507"/>
      <c r="MIM24" s="3507"/>
      <c r="MIN24" s="3507"/>
      <c r="MIO24" s="3507"/>
      <c r="MIP24" s="3507"/>
      <c r="MIQ24" s="3507"/>
      <c r="MIR24" s="3507"/>
      <c r="MIS24" s="3507"/>
      <c r="MIT24" s="3507"/>
      <c r="MIU24" s="3507"/>
      <c r="MIV24" s="3507"/>
      <c r="MIW24" s="3507"/>
      <c r="MIX24" s="3507"/>
      <c r="MIY24" s="3507"/>
      <c r="MIZ24" s="3507"/>
      <c r="MJA24" s="3507"/>
      <c r="MJB24" s="3507"/>
      <c r="MJC24" s="3507"/>
      <c r="MJD24" s="3507"/>
      <c r="MJE24" s="3507"/>
      <c r="MJF24" s="3507"/>
      <c r="MJG24" s="3507"/>
      <c r="MJH24" s="3507"/>
      <c r="MJI24" s="3507"/>
      <c r="MJJ24" s="3507"/>
      <c r="MJK24" s="3507"/>
      <c r="MJL24" s="3507"/>
      <c r="MJM24" s="3507"/>
      <c r="MJN24" s="3507"/>
      <c r="MJO24" s="3507"/>
      <c r="MJP24" s="3507"/>
      <c r="MJQ24" s="3507"/>
      <c r="MJR24" s="3507"/>
      <c r="MJS24" s="3507"/>
      <c r="MJT24" s="3507"/>
      <c r="MJU24" s="3507"/>
      <c r="MJV24" s="3507"/>
      <c r="MJW24" s="3507"/>
      <c r="MJX24" s="3507"/>
      <c r="MJY24" s="3507"/>
      <c r="MJZ24" s="3507"/>
      <c r="MKA24" s="3507"/>
      <c r="MKB24" s="3507"/>
      <c r="MKC24" s="3507"/>
      <c r="MKD24" s="3507"/>
      <c r="MKE24" s="3507"/>
      <c r="MKF24" s="3507"/>
      <c r="MKG24" s="3507"/>
      <c r="MKH24" s="3507"/>
      <c r="MKI24" s="3507"/>
      <c r="MKJ24" s="3507"/>
      <c r="MKK24" s="3507"/>
      <c r="MKL24" s="3507"/>
      <c r="MKM24" s="3507"/>
      <c r="MKN24" s="3507"/>
      <c r="MKO24" s="3507"/>
      <c r="MKP24" s="3507"/>
      <c r="MKQ24" s="3507"/>
      <c r="MKR24" s="3507"/>
      <c r="MKS24" s="3507"/>
      <c r="MKT24" s="3507"/>
      <c r="MKU24" s="3507"/>
      <c r="MKV24" s="3507"/>
      <c r="MKW24" s="3507"/>
      <c r="MKX24" s="3507"/>
      <c r="MKY24" s="3507"/>
      <c r="MKZ24" s="3507"/>
      <c r="MLA24" s="3507"/>
      <c r="MLB24" s="3507"/>
      <c r="MLC24" s="3507"/>
      <c r="MLD24" s="3507"/>
      <c r="MLE24" s="3507"/>
      <c r="MLF24" s="3507"/>
      <c r="MLG24" s="3507"/>
      <c r="MLH24" s="3507"/>
      <c r="MLI24" s="3507"/>
      <c r="MLJ24" s="3507"/>
      <c r="MLK24" s="3507"/>
      <c r="MLL24" s="3507"/>
      <c r="MLM24" s="3507"/>
      <c r="MLN24" s="3507"/>
      <c r="MLO24" s="3507"/>
      <c r="MLP24" s="3507"/>
      <c r="MLQ24" s="3507"/>
      <c r="MLR24" s="3507"/>
      <c r="MLS24" s="3507"/>
      <c r="MLT24" s="3507"/>
      <c r="MLU24" s="3507"/>
      <c r="MLV24" s="3507"/>
      <c r="MLW24" s="3507"/>
      <c r="MLX24" s="3507"/>
      <c r="MLY24" s="3507"/>
      <c r="MLZ24" s="3507"/>
      <c r="MMA24" s="3507"/>
      <c r="MMB24" s="3507"/>
      <c r="MMC24" s="3507"/>
      <c r="MMD24" s="3507"/>
      <c r="MME24" s="3507"/>
      <c r="MMF24" s="3507"/>
      <c r="MMG24" s="3507"/>
      <c r="MMH24" s="3507"/>
      <c r="MMI24" s="3507"/>
      <c r="MMJ24" s="3507"/>
      <c r="MMK24" s="3507"/>
      <c r="MML24" s="3507"/>
      <c r="MMM24" s="3507"/>
      <c r="MMN24" s="3507"/>
      <c r="MMO24" s="3507"/>
      <c r="MMP24" s="3507"/>
      <c r="MMQ24" s="3507"/>
      <c r="MMR24" s="3507"/>
      <c r="MMS24" s="3507"/>
      <c r="MMT24" s="3507"/>
      <c r="MMU24" s="3507"/>
      <c r="MMV24" s="3507"/>
      <c r="MMW24" s="3507"/>
      <c r="MMX24" s="3507"/>
      <c r="MMY24" s="3507"/>
      <c r="MMZ24" s="3507"/>
      <c r="MNA24" s="3507"/>
      <c r="MNB24" s="3507"/>
      <c r="MNC24" s="3507"/>
      <c r="MND24" s="3507"/>
      <c r="MNE24" s="3507"/>
      <c r="MNF24" s="3507"/>
      <c r="MNG24" s="3507"/>
      <c r="MNH24" s="3507"/>
      <c r="MNI24" s="3507"/>
      <c r="MNJ24" s="3507"/>
      <c r="MNK24" s="3507"/>
      <c r="MNL24" s="3507"/>
      <c r="MNM24" s="3507"/>
      <c r="MNN24" s="3507"/>
      <c r="MNO24" s="3507"/>
      <c r="MNP24" s="3507"/>
      <c r="MNQ24" s="3507"/>
      <c r="MNR24" s="3507"/>
      <c r="MNS24" s="3507"/>
      <c r="MNT24" s="3507"/>
      <c r="MNU24" s="3507"/>
      <c r="MNV24" s="3507"/>
      <c r="MNW24" s="3507"/>
      <c r="MNX24" s="3507"/>
      <c r="MNY24" s="3507"/>
      <c r="MNZ24" s="3507"/>
      <c r="MOA24" s="3507"/>
      <c r="MOB24" s="3507"/>
      <c r="MOC24" s="3507"/>
      <c r="MOD24" s="3507"/>
      <c r="MOE24" s="3507"/>
      <c r="MOF24" s="3507"/>
      <c r="MOG24" s="3507"/>
      <c r="MOH24" s="3507"/>
      <c r="MOI24" s="3507"/>
      <c r="MOJ24" s="3507"/>
      <c r="MOK24" s="3507"/>
      <c r="MOL24" s="3507"/>
      <c r="MOM24" s="3507"/>
      <c r="MON24" s="3507"/>
      <c r="MOO24" s="3507"/>
      <c r="MOP24" s="3507"/>
      <c r="MOQ24" s="3507"/>
      <c r="MOR24" s="3507"/>
      <c r="MOS24" s="3507"/>
      <c r="MOT24" s="3507"/>
      <c r="MOU24" s="3507"/>
      <c r="MOV24" s="3507"/>
      <c r="MOW24" s="3507"/>
      <c r="MOX24" s="3507"/>
      <c r="MOY24" s="3507"/>
      <c r="MOZ24" s="3507"/>
      <c r="MPA24" s="3507"/>
      <c r="MPB24" s="3507"/>
      <c r="MPC24" s="3507"/>
      <c r="MPD24" s="3507"/>
      <c r="MPE24" s="3507"/>
      <c r="MPF24" s="3507"/>
      <c r="MPG24" s="3507"/>
      <c r="MPH24" s="3507"/>
      <c r="MPI24" s="3507"/>
      <c r="MPJ24" s="3507"/>
      <c r="MPK24" s="3507"/>
      <c r="MPL24" s="3507"/>
      <c r="MPM24" s="3507"/>
      <c r="MPN24" s="3507"/>
      <c r="MPO24" s="3507"/>
      <c r="MPP24" s="3507"/>
      <c r="MPQ24" s="3507"/>
      <c r="MPR24" s="3507"/>
      <c r="MPS24" s="3507"/>
      <c r="MPT24" s="3507"/>
      <c r="MPU24" s="3507"/>
      <c r="MPV24" s="3507"/>
      <c r="MPW24" s="3507"/>
      <c r="MPX24" s="3507"/>
      <c r="MPY24" s="3507"/>
      <c r="MPZ24" s="3507"/>
      <c r="MQA24" s="3507"/>
      <c r="MQB24" s="3507"/>
      <c r="MQC24" s="3507"/>
      <c r="MQD24" s="3507"/>
      <c r="MQE24" s="3507"/>
      <c r="MQF24" s="3507"/>
      <c r="MQG24" s="3507"/>
      <c r="MQH24" s="3507"/>
      <c r="MQI24" s="3507"/>
      <c r="MQJ24" s="3507"/>
      <c r="MQK24" s="3507"/>
      <c r="MQL24" s="3507"/>
      <c r="MQM24" s="3507"/>
      <c r="MQN24" s="3507"/>
      <c r="MQO24" s="3507"/>
      <c r="MQP24" s="3507"/>
      <c r="MQQ24" s="3507"/>
      <c r="MQR24" s="3507"/>
      <c r="MQS24" s="3507"/>
      <c r="MQT24" s="3507"/>
      <c r="MQU24" s="3507"/>
      <c r="MQV24" s="3507"/>
      <c r="MQW24" s="3507"/>
      <c r="MQX24" s="3507"/>
      <c r="MQY24" s="3507"/>
      <c r="MQZ24" s="3507"/>
      <c r="MRA24" s="3507"/>
      <c r="MRB24" s="3507"/>
      <c r="MRC24" s="3507"/>
      <c r="MRD24" s="3507"/>
      <c r="MRE24" s="3507"/>
      <c r="MRF24" s="3507"/>
      <c r="MRG24" s="3507"/>
      <c r="MRH24" s="3507"/>
      <c r="MRI24" s="3507"/>
      <c r="MRJ24" s="3507"/>
      <c r="MRK24" s="3507"/>
      <c r="MRL24" s="3507"/>
      <c r="MRM24" s="3507"/>
      <c r="MRN24" s="3507"/>
      <c r="MRO24" s="3507"/>
      <c r="MRP24" s="3507"/>
      <c r="MRQ24" s="3507"/>
      <c r="MRR24" s="3507"/>
      <c r="MRS24" s="3507"/>
      <c r="MRT24" s="3507"/>
      <c r="MRU24" s="3507"/>
      <c r="MRV24" s="3507"/>
      <c r="MRW24" s="3507"/>
      <c r="MRX24" s="3507"/>
      <c r="MRY24" s="3507"/>
      <c r="MRZ24" s="3507"/>
      <c r="MSA24" s="3507"/>
      <c r="MSB24" s="3507"/>
      <c r="MSC24" s="3507"/>
      <c r="MSD24" s="3507"/>
      <c r="MSE24" s="3507"/>
      <c r="MSF24" s="3507"/>
      <c r="MSG24" s="3507"/>
      <c r="MSH24" s="3507"/>
      <c r="MSI24" s="3507"/>
      <c r="MSJ24" s="3507"/>
      <c r="MSK24" s="3507"/>
      <c r="MSL24" s="3507"/>
      <c r="MSM24" s="3507"/>
      <c r="MSN24" s="3507"/>
      <c r="MSO24" s="3507"/>
      <c r="MSP24" s="3507"/>
      <c r="MSQ24" s="3507"/>
      <c r="MSR24" s="3507"/>
      <c r="MSS24" s="3507"/>
      <c r="MST24" s="3507"/>
      <c r="MSU24" s="3507"/>
      <c r="MSV24" s="3507"/>
      <c r="MSW24" s="3507"/>
      <c r="MSX24" s="3507"/>
      <c r="MSY24" s="3507"/>
      <c r="MSZ24" s="3507"/>
      <c r="MTA24" s="3507"/>
      <c r="MTB24" s="3507"/>
      <c r="MTC24" s="3507"/>
      <c r="MTD24" s="3507"/>
      <c r="MTE24" s="3507"/>
      <c r="MTF24" s="3507"/>
      <c r="MTG24" s="3507"/>
      <c r="MTH24" s="3507"/>
      <c r="MTI24" s="3507"/>
      <c r="MTJ24" s="3507"/>
      <c r="MTK24" s="3507"/>
      <c r="MTL24" s="3507"/>
      <c r="MTM24" s="3507"/>
      <c r="MTN24" s="3507"/>
      <c r="MTO24" s="3507"/>
      <c r="MTP24" s="3507"/>
      <c r="MTQ24" s="3507"/>
      <c r="MTR24" s="3507"/>
      <c r="MTS24" s="3507"/>
      <c r="MTT24" s="3507"/>
      <c r="MTU24" s="3507"/>
      <c r="MTV24" s="3507"/>
      <c r="MTW24" s="3507"/>
      <c r="MTX24" s="3507"/>
      <c r="MTY24" s="3507"/>
      <c r="MTZ24" s="3507"/>
      <c r="MUA24" s="3507"/>
      <c r="MUB24" s="3507"/>
      <c r="MUC24" s="3507"/>
      <c r="MUD24" s="3507"/>
      <c r="MUE24" s="3507"/>
      <c r="MUF24" s="3507"/>
      <c r="MUG24" s="3507"/>
      <c r="MUH24" s="3507"/>
      <c r="MUI24" s="3507"/>
      <c r="MUJ24" s="3507"/>
      <c r="MUK24" s="3507"/>
      <c r="MUL24" s="3507"/>
      <c r="MUM24" s="3507"/>
      <c r="MUN24" s="3507"/>
      <c r="MUO24" s="3507"/>
      <c r="MUP24" s="3507"/>
      <c r="MUQ24" s="3507"/>
      <c r="MUR24" s="3507"/>
      <c r="MUS24" s="3507"/>
      <c r="MUT24" s="3507"/>
      <c r="MUU24" s="3507"/>
      <c r="MUV24" s="3507"/>
      <c r="MUW24" s="3507"/>
      <c r="MUX24" s="3507"/>
      <c r="MUY24" s="3507"/>
      <c r="MUZ24" s="3507"/>
      <c r="MVA24" s="3507"/>
      <c r="MVB24" s="3507"/>
      <c r="MVC24" s="3507"/>
      <c r="MVD24" s="3507"/>
      <c r="MVE24" s="3507"/>
      <c r="MVF24" s="3507"/>
      <c r="MVG24" s="3507"/>
      <c r="MVH24" s="3507"/>
      <c r="MVI24" s="3507"/>
      <c r="MVJ24" s="3507"/>
      <c r="MVK24" s="3507"/>
      <c r="MVL24" s="3507"/>
      <c r="MVM24" s="3507"/>
      <c r="MVN24" s="3507"/>
      <c r="MVO24" s="3507"/>
      <c r="MVP24" s="3507"/>
      <c r="MVQ24" s="3507"/>
      <c r="MVR24" s="3507"/>
      <c r="MVS24" s="3507"/>
      <c r="MVT24" s="3507"/>
      <c r="MVU24" s="3507"/>
      <c r="MVV24" s="3507"/>
      <c r="MVW24" s="3507"/>
      <c r="MVX24" s="3507"/>
      <c r="MVY24" s="3507"/>
      <c r="MVZ24" s="3507"/>
      <c r="MWA24" s="3507"/>
      <c r="MWB24" s="3507"/>
      <c r="MWC24" s="3507"/>
      <c r="MWD24" s="3507"/>
      <c r="MWE24" s="3507"/>
      <c r="MWF24" s="3507"/>
      <c r="MWG24" s="3507"/>
      <c r="MWH24" s="3507"/>
      <c r="MWI24" s="3507"/>
      <c r="MWJ24" s="3507"/>
      <c r="MWK24" s="3507"/>
      <c r="MWL24" s="3507"/>
      <c r="MWM24" s="3507"/>
      <c r="MWN24" s="3507"/>
      <c r="MWO24" s="3507"/>
      <c r="MWP24" s="3507"/>
      <c r="MWQ24" s="3507"/>
      <c r="MWR24" s="3507"/>
      <c r="MWS24" s="3507"/>
      <c r="MWT24" s="3507"/>
      <c r="MWU24" s="3507"/>
      <c r="MWV24" s="3507"/>
      <c r="MWW24" s="3507"/>
      <c r="MWX24" s="3507"/>
      <c r="MWY24" s="3507"/>
      <c r="MWZ24" s="3507"/>
      <c r="MXA24" s="3507"/>
      <c r="MXB24" s="3507"/>
      <c r="MXC24" s="3507"/>
      <c r="MXD24" s="3507"/>
      <c r="MXE24" s="3507"/>
      <c r="MXF24" s="3507"/>
      <c r="MXG24" s="3507"/>
      <c r="MXH24" s="3507"/>
      <c r="MXI24" s="3507"/>
      <c r="MXJ24" s="3507"/>
      <c r="MXK24" s="3507"/>
      <c r="MXL24" s="3507"/>
      <c r="MXM24" s="3507"/>
      <c r="MXN24" s="3507"/>
      <c r="MXO24" s="3507"/>
      <c r="MXP24" s="3507"/>
      <c r="MXQ24" s="3507"/>
      <c r="MXR24" s="3507"/>
      <c r="MXS24" s="3507"/>
      <c r="MXT24" s="3507"/>
      <c r="MXU24" s="3507"/>
      <c r="MXV24" s="3507"/>
      <c r="MXW24" s="3507"/>
      <c r="MXX24" s="3507"/>
      <c r="MXY24" s="3507"/>
      <c r="MXZ24" s="3507"/>
      <c r="MYA24" s="3507"/>
      <c r="MYB24" s="3507"/>
      <c r="MYC24" s="3507"/>
      <c r="MYD24" s="3507"/>
      <c r="MYE24" s="3507"/>
      <c r="MYF24" s="3507"/>
      <c r="MYG24" s="3507"/>
      <c r="MYH24" s="3507"/>
      <c r="MYI24" s="3507"/>
      <c r="MYJ24" s="3507"/>
      <c r="MYK24" s="3507"/>
      <c r="MYL24" s="3507"/>
      <c r="MYM24" s="3507"/>
      <c r="MYN24" s="3507"/>
      <c r="MYO24" s="3507"/>
      <c r="MYP24" s="3507"/>
      <c r="MYQ24" s="3507"/>
      <c r="MYR24" s="3507"/>
      <c r="MYS24" s="3507"/>
      <c r="MYT24" s="3507"/>
      <c r="MYU24" s="3507"/>
      <c r="MYV24" s="3507"/>
      <c r="MYW24" s="3507"/>
      <c r="MYX24" s="3507"/>
      <c r="MYY24" s="3507"/>
      <c r="MYZ24" s="3507"/>
      <c r="MZA24" s="3507"/>
      <c r="MZB24" s="3507"/>
      <c r="MZC24" s="3507"/>
      <c r="MZD24" s="3507"/>
      <c r="MZE24" s="3507"/>
      <c r="MZF24" s="3507"/>
      <c r="MZG24" s="3507"/>
      <c r="MZH24" s="3507"/>
      <c r="MZI24" s="3507"/>
      <c r="MZJ24" s="3507"/>
      <c r="MZK24" s="3507"/>
      <c r="MZL24" s="3507"/>
      <c r="MZM24" s="3507"/>
      <c r="MZN24" s="3507"/>
      <c r="MZO24" s="3507"/>
      <c r="MZP24" s="3507"/>
      <c r="MZQ24" s="3507"/>
      <c r="MZR24" s="3507"/>
      <c r="MZS24" s="3507"/>
      <c r="MZT24" s="3507"/>
      <c r="MZU24" s="3507"/>
      <c r="MZV24" s="3507"/>
      <c r="MZW24" s="3507"/>
      <c r="MZX24" s="3507"/>
      <c r="MZY24" s="3507"/>
      <c r="MZZ24" s="3507"/>
      <c r="NAA24" s="3507"/>
      <c r="NAB24" s="3507"/>
      <c r="NAC24" s="3507"/>
      <c r="NAD24" s="3507"/>
      <c r="NAE24" s="3507"/>
      <c r="NAF24" s="3507"/>
      <c r="NAG24" s="3507"/>
      <c r="NAH24" s="3507"/>
      <c r="NAI24" s="3507"/>
      <c r="NAJ24" s="3507"/>
      <c r="NAK24" s="3507"/>
      <c r="NAL24" s="3507"/>
      <c r="NAM24" s="3507"/>
      <c r="NAN24" s="3507"/>
      <c r="NAO24" s="3507"/>
      <c r="NAP24" s="3507"/>
      <c r="NAQ24" s="3507"/>
      <c r="NAR24" s="3507"/>
      <c r="NAS24" s="3507"/>
      <c r="NAT24" s="3507"/>
      <c r="NAU24" s="3507"/>
      <c r="NAV24" s="3507"/>
      <c r="NAW24" s="3507"/>
      <c r="NAX24" s="3507"/>
      <c r="NAY24" s="3507"/>
      <c r="NAZ24" s="3507"/>
      <c r="NBA24" s="3507"/>
      <c r="NBB24" s="3507"/>
      <c r="NBC24" s="3507"/>
      <c r="NBD24" s="3507"/>
      <c r="NBE24" s="3507"/>
      <c r="NBF24" s="3507"/>
      <c r="NBG24" s="3507"/>
      <c r="NBH24" s="3507"/>
      <c r="NBI24" s="3507"/>
      <c r="NBJ24" s="3507"/>
      <c r="NBK24" s="3507"/>
      <c r="NBL24" s="3507"/>
      <c r="NBM24" s="3507"/>
      <c r="NBN24" s="3507"/>
      <c r="NBO24" s="3507"/>
      <c r="NBP24" s="3507"/>
      <c r="NBQ24" s="3507"/>
      <c r="NBR24" s="3507"/>
      <c r="NBS24" s="3507"/>
      <c r="NBT24" s="3507"/>
      <c r="NBU24" s="3507"/>
      <c r="NBV24" s="3507"/>
      <c r="NBW24" s="3507"/>
      <c r="NBX24" s="3507"/>
      <c r="NBY24" s="3507"/>
      <c r="NBZ24" s="3507"/>
      <c r="NCA24" s="3507"/>
      <c r="NCB24" s="3507"/>
      <c r="NCC24" s="3507"/>
      <c r="NCD24" s="3507"/>
      <c r="NCE24" s="3507"/>
      <c r="NCF24" s="3507"/>
      <c r="NCG24" s="3507"/>
      <c r="NCH24" s="3507"/>
      <c r="NCI24" s="3507"/>
      <c r="NCJ24" s="3507"/>
      <c r="NCK24" s="3507"/>
      <c r="NCL24" s="3507"/>
      <c r="NCM24" s="3507"/>
      <c r="NCN24" s="3507"/>
      <c r="NCO24" s="3507"/>
      <c r="NCP24" s="3507"/>
      <c r="NCQ24" s="3507"/>
      <c r="NCR24" s="3507"/>
      <c r="NCS24" s="3507"/>
      <c r="NCT24" s="3507"/>
      <c r="NCU24" s="3507"/>
      <c r="NCV24" s="3507"/>
      <c r="NCW24" s="3507"/>
      <c r="NCX24" s="3507"/>
      <c r="NCY24" s="3507"/>
      <c r="NCZ24" s="3507"/>
      <c r="NDA24" s="3507"/>
      <c r="NDB24" s="3507"/>
      <c r="NDC24" s="3507"/>
      <c r="NDD24" s="3507"/>
      <c r="NDE24" s="3507"/>
      <c r="NDF24" s="3507"/>
      <c r="NDG24" s="3507"/>
      <c r="NDH24" s="3507"/>
      <c r="NDI24" s="3507"/>
      <c r="NDJ24" s="3507"/>
      <c r="NDK24" s="3507"/>
      <c r="NDL24" s="3507"/>
      <c r="NDM24" s="3507"/>
      <c r="NDN24" s="3507"/>
      <c r="NDO24" s="3507"/>
      <c r="NDP24" s="3507"/>
      <c r="NDQ24" s="3507"/>
      <c r="NDR24" s="3507"/>
      <c r="NDS24" s="3507"/>
      <c r="NDT24" s="3507"/>
      <c r="NDU24" s="3507"/>
      <c r="NDV24" s="3507"/>
      <c r="NDW24" s="3507"/>
      <c r="NDX24" s="3507"/>
      <c r="NDY24" s="3507"/>
      <c r="NDZ24" s="3507"/>
      <c r="NEA24" s="3507"/>
      <c r="NEB24" s="3507"/>
      <c r="NEC24" s="3507"/>
      <c r="NED24" s="3507"/>
      <c r="NEE24" s="3507"/>
      <c r="NEF24" s="3507"/>
      <c r="NEG24" s="3507"/>
      <c r="NEH24" s="3507"/>
      <c r="NEI24" s="3507"/>
      <c r="NEJ24" s="3507"/>
      <c r="NEK24" s="3507"/>
      <c r="NEL24" s="3507"/>
      <c r="NEM24" s="3507"/>
      <c r="NEN24" s="3507"/>
      <c r="NEO24" s="3507"/>
      <c r="NEP24" s="3507"/>
      <c r="NEQ24" s="3507"/>
      <c r="NER24" s="3507"/>
      <c r="NES24" s="3507"/>
      <c r="NET24" s="3507"/>
      <c r="NEU24" s="3507"/>
      <c r="NEV24" s="3507"/>
      <c r="NEW24" s="3507"/>
      <c r="NEX24" s="3507"/>
      <c r="NEY24" s="3507"/>
      <c r="NEZ24" s="3507"/>
      <c r="NFA24" s="3507"/>
      <c r="NFB24" s="3507"/>
      <c r="NFC24" s="3507"/>
      <c r="NFD24" s="3507"/>
      <c r="NFE24" s="3507"/>
      <c r="NFF24" s="3507"/>
      <c r="NFG24" s="3507"/>
      <c r="NFH24" s="3507"/>
      <c r="NFI24" s="3507"/>
      <c r="NFJ24" s="3507"/>
      <c r="NFK24" s="3507"/>
      <c r="NFL24" s="3507"/>
      <c r="NFM24" s="3507"/>
      <c r="NFN24" s="3507"/>
      <c r="NFO24" s="3507"/>
      <c r="NFP24" s="3507"/>
      <c r="NFQ24" s="3507"/>
      <c r="NFR24" s="3507"/>
      <c r="NFS24" s="3507"/>
      <c r="NFT24" s="3507"/>
      <c r="NFU24" s="3507"/>
      <c r="NFV24" s="3507"/>
      <c r="NFW24" s="3507"/>
      <c r="NFX24" s="3507"/>
      <c r="NFY24" s="3507"/>
      <c r="NFZ24" s="3507"/>
      <c r="NGA24" s="3507"/>
      <c r="NGB24" s="3507"/>
      <c r="NGC24" s="3507"/>
      <c r="NGD24" s="3507"/>
      <c r="NGE24" s="3507"/>
      <c r="NGF24" s="3507"/>
      <c r="NGG24" s="3507"/>
      <c r="NGH24" s="3507"/>
      <c r="NGI24" s="3507"/>
      <c r="NGJ24" s="3507"/>
      <c r="NGK24" s="3507"/>
      <c r="NGL24" s="3507"/>
      <c r="NGM24" s="3507"/>
      <c r="NGN24" s="3507"/>
      <c r="NGO24" s="3507"/>
      <c r="NGP24" s="3507"/>
      <c r="NGQ24" s="3507"/>
      <c r="NGR24" s="3507"/>
      <c r="NGS24" s="3507"/>
      <c r="NGT24" s="3507"/>
      <c r="NGU24" s="3507"/>
      <c r="NGV24" s="3507"/>
      <c r="NGW24" s="3507"/>
      <c r="NGX24" s="3507"/>
      <c r="NGY24" s="3507"/>
      <c r="NGZ24" s="3507"/>
      <c r="NHA24" s="3507"/>
      <c r="NHB24" s="3507"/>
      <c r="NHC24" s="3507"/>
      <c r="NHD24" s="3507"/>
      <c r="NHE24" s="3507"/>
      <c r="NHF24" s="3507"/>
      <c r="NHG24" s="3507"/>
      <c r="NHH24" s="3507"/>
      <c r="NHI24" s="3507"/>
      <c r="NHJ24" s="3507"/>
      <c r="NHK24" s="3507"/>
      <c r="NHL24" s="3507"/>
      <c r="NHM24" s="3507"/>
      <c r="NHN24" s="3507"/>
      <c r="NHO24" s="3507"/>
      <c r="NHP24" s="3507"/>
      <c r="NHQ24" s="3507"/>
      <c r="NHR24" s="3507"/>
      <c r="NHS24" s="3507"/>
      <c r="NHT24" s="3507"/>
      <c r="NHU24" s="3507"/>
      <c r="NHV24" s="3507"/>
      <c r="NHW24" s="3507"/>
      <c r="NHX24" s="3507"/>
      <c r="NHY24" s="3507"/>
      <c r="NHZ24" s="3507"/>
      <c r="NIA24" s="3507"/>
      <c r="NIB24" s="3507"/>
      <c r="NIC24" s="3507"/>
      <c r="NID24" s="3507"/>
      <c r="NIE24" s="3507"/>
      <c r="NIF24" s="3507"/>
      <c r="NIG24" s="3507"/>
      <c r="NIH24" s="3507"/>
      <c r="NII24" s="3507"/>
      <c r="NIJ24" s="3507"/>
      <c r="NIK24" s="3507"/>
      <c r="NIL24" s="3507"/>
      <c r="NIM24" s="3507"/>
      <c r="NIN24" s="3507"/>
      <c r="NIO24" s="3507"/>
      <c r="NIP24" s="3507"/>
      <c r="NIQ24" s="3507"/>
      <c r="NIR24" s="3507"/>
      <c r="NIS24" s="3507"/>
      <c r="NIT24" s="3507"/>
      <c r="NIU24" s="3507"/>
      <c r="NIV24" s="3507"/>
      <c r="NIW24" s="3507"/>
      <c r="NIX24" s="3507"/>
      <c r="NIY24" s="3507"/>
      <c r="NIZ24" s="3507"/>
      <c r="NJA24" s="3507"/>
      <c r="NJB24" s="3507"/>
      <c r="NJC24" s="3507"/>
      <c r="NJD24" s="3507"/>
      <c r="NJE24" s="3507"/>
      <c r="NJF24" s="3507"/>
      <c r="NJG24" s="3507"/>
      <c r="NJH24" s="3507"/>
      <c r="NJI24" s="3507"/>
      <c r="NJJ24" s="3507"/>
      <c r="NJK24" s="3507"/>
      <c r="NJL24" s="3507"/>
      <c r="NJM24" s="3507"/>
      <c r="NJN24" s="3507"/>
      <c r="NJO24" s="3507"/>
      <c r="NJP24" s="3507"/>
      <c r="NJQ24" s="3507"/>
      <c r="NJR24" s="3507"/>
      <c r="NJS24" s="3507"/>
      <c r="NJT24" s="3507"/>
      <c r="NJU24" s="3507"/>
      <c r="NJV24" s="3507"/>
      <c r="NJW24" s="3507"/>
      <c r="NJX24" s="3507"/>
      <c r="NJY24" s="3507"/>
      <c r="NJZ24" s="3507"/>
      <c r="NKA24" s="3507"/>
      <c r="NKB24" s="3507"/>
      <c r="NKC24" s="3507"/>
      <c r="NKD24" s="3507"/>
      <c r="NKE24" s="3507"/>
      <c r="NKF24" s="3507"/>
      <c r="NKG24" s="3507"/>
      <c r="NKH24" s="3507"/>
      <c r="NKI24" s="3507"/>
      <c r="NKJ24" s="3507"/>
      <c r="NKK24" s="3507"/>
      <c r="NKL24" s="3507"/>
      <c r="NKM24" s="3507"/>
      <c r="NKN24" s="3507"/>
      <c r="NKO24" s="3507"/>
      <c r="NKP24" s="3507"/>
      <c r="NKQ24" s="3507"/>
      <c r="NKR24" s="3507"/>
      <c r="NKS24" s="3507"/>
      <c r="NKT24" s="3507"/>
      <c r="NKU24" s="3507"/>
      <c r="NKV24" s="3507"/>
      <c r="NKW24" s="3507"/>
      <c r="NKX24" s="3507"/>
      <c r="NKY24" s="3507"/>
      <c r="NKZ24" s="3507"/>
      <c r="NLA24" s="3507"/>
      <c r="NLB24" s="3507"/>
      <c r="NLC24" s="3507"/>
      <c r="NLD24" s="3507"/>
      <c r="NLE24" s="3507"/>
      <c r="NLF24" s="3507"/>
      <c r="NLG24" s="3507"/>
      <c r="NLH24" s="3507"/>
      <c r="NLI24" s="3507"/>
      <c r="NLJ24" s="3507"/>
      <c r="NLK24" s="3507"/>
      <c r="NLL24" s="3507"/>
      <c r="NLM24" s="3507"/>
      <c r="NLN24" s="3507"/>
      <c r="NLO24" s="3507"/>
      <c r="NLP24" s="3507"/>
      <c r="NLQ24" s="3507"/>
      <c r="NLR24" s="3507"/>
      <c r="NLS24" s="3507"/>
      <c r="NLT24" s="3507"/>
      <c r="NLU24" s="3507"/>
      <c r="NLV24" s="3507"/>
      <c r="NLW24" s="3507"/>
      <c r="NLX24" s="3507"/>
      <c r="NLY24" s="3507"/>
      <c r="NLZ24" s="3507"/>
      <c r="NMA24" s="3507"/>
      <c r="NMB24" s="3507"/>
      <c r="NMC24" s="3507"/>
      <c r="NMD24" s="3507"/>
      <c r="NME24" s="3507"/>
      <c r="NMF24" s="3507"/>
      <c r="NMG24" s="3507"/>
      <c r="NMH24" s="3507"/>
      <c r="NMI24" s="3507"/>
      <c r="NMJ24" s="3507"/>
      <c r="NMK24" s="3507"/>
      <c r="NML24" s="3507"/>
      <c r="NMM24" s="3507"/>
      <c r="NMN24" s="3507"/>
      <c r="NMO24" s="3507"/>
      <c r="NMP24" s="3507"/>
      <c r="NMQ24" s="3507"/>
      <c r="NMR24" s="3507"/>
      <c r="NMS24" s="3507"/>
      <c r="NMT24" s="3507"/>
      <c r="NMU24" s="3507"/>
      <c r="NMV24" s="3507"/>
      <c r="NMW24" s="3507"/>
      <c r="NMX24" s="3507"/>
      <c r="NMY24" s="3507"/>
      <c r="NMZ24" s="3507"/>
      <c r="NNA24" s="3507"/>
      <c r="NNB24" s="3507"/>
      <c r="NNC24" s="3507"/>
      <c r="NND24" s="3507"/>
      <c r="NNE24" s="3507"/>
      <c r="NNF24" s="3507"/>
      <c r="NNG24" s="3507"/>
      <c r="NNH24" s="3507"/>
      <c r="NNI24" s="3507"/>
      <c r="NNJ24" s="3507"/>
      <c r="NNK24" s="3507"/>
      <c r="NNL24" s="3507"/>
      <c r="NNM24" s="3507"/>
      <c r="NNN24" s="3507"/>
      <c r="NNO24" s="3507"/>
      <c r="NNP24" s="3507"/>
      <c r="NNQ24" s="3507"/>
      <c r="NNR24" s="3507"/>
      <c r="NNS24" s="3507"/>
      <c r="NNT24" s="3507"/>
      <c r="NNU24" s="3507"/>
      <c r="NNV24" s="3507"/>
      <c r="NNW24" s="3507"/>
      <c r="NNX24" s="3507"/>
      <c r="NNY24" s="3507"/>
      <c r="NNZ24" s="3507"/>
      <c r="NOA24" s="3507"/>
      <c r="NOB24" s="3507"/>
      <c r="NOC24" s="3507"/>
      <c r="NOD24" s="3507"/>
      <c r="NOE24" s="3507"/>
      <c r="NOF24" s="3507"/>
      <c r="NOG24" s="3507"/>
      <c r="NOH24" s="3507"/>
      <c r="NOI24" s="3507"/>
      <c r="NOJ24" s="3507"/>
      <c r="NOK24" s="3507"/>
      <c r="NOL24" s="3507"/>
      <c r="NOM24" s="3507"/>
      <c r="NON24" s="3507"/>
      <c r="NOO24" s="3507"/>
      <c r="NOP24" s="3507"/>
      <c r="NOQ24" s="3507"/>
      <c r="NOR24" s="3507"/>
      <c r="NOS24" s="3507"/>
      <c r="NOT24" s="3507"/>
      <c r="NOU24" s="3507"/>
      <c r="NOV24" s="3507"/>
      <c r="NOW24" s="3507"/>
      <c r="NOX24" s="3507"/>
      <c r="NOY24" s="3507"/>
      <c r="NOZ24" s="3507"/>
      <c r="NPA24" s="3507"/>
      <c r="NPB24" s="3507"/>
      <c r="NPC24" s="3507"/>
      <c r="NPD24" s="3507"/>
      <c r="NPE24" s="3507"/>
      <c r="NPF24" s="3507"/>
      <c r="NPG24" s="3507"/>
      <c r="NPH24" s="3507"/>
      <c r="NPI24" s="3507"/>
      <c r="NPJ24" s="3507"/>
      <c r="NPK24" s="3507"/>
      <c r="NPL24" s="3507"/>
      <c r="NPM24" s="3507"/>
      <c r="NPN24" s="3507"/>
      <c r="NPO24" s="3507"/>
      <c r="NPP24" s="3507"/>
      <c r="NPQ24" s="3507"/>
      <c r="NPR24" s="3507"/>
      <c r="NPS24" s="3507"/>
      <c r="NPT24" s="3507"/>
      <c r="NPU24" s="3507"/>
      <c r="NPV24" s="3507"/>
      <c r="NPW24" s="3507"/>
      <c r="NPX24" s="3507"/>
      <c r="NPY24" s="3507"/>
      <c r="NPZ24" s="3507"/>
      <c r="NQA24" s="3507"/>
      <c r="NQB24" s="3507"/>
      <c r="NQC24" s="3507"/>
      <c r="NQD24" s="3507"/>
      <c r="NQE24" s="3507"/>
      <c r="NQF24" s="3507"/>
      <c r="NQG24" s="3507"/>
      <c r="NQH24" s="3507"/>
      <c r="NQI24" s="3507"/>
      <c r="NQJ24" s="3507"/>
      <c r="NQK24" s="3507"/>
      <c r="NQL24" s="3507"/>
      <c r="NQM24" s="3507"/>
      <c r="NQN24" s="3507"/>
      <c r="NQO24" s="3507"/>
      <c r="NQP24" s="3507"/>
      <c r="NQQ24" s="3507"/>
      <c r="NQR24" s="3507"/>
      <c r="NQS24" s="3507"/>
      <c r="NQT24" s="3507"/>
      <c r="NQU24" s="3507"/>
      <c r="NQV24" s="3507"/>
      <c r="NQW24" s="3507"/>
      <c r="NQX24" s="3507"/>
      <c r="NQY24" s="3507"/>
      <c r="NQZ24" s="3507"/>
      <c r="NRA24" s="3507"/>
      <c r="NRB24" s="3507"/>
      <c r="NRC24" s="3507"/>
      <c r="NRD24" s="3507"/>
      <c r="NRE24" s="3507"/>
      <c r="NRF24" s="3507"/>
      <c r="NRG24" s="3507"/>
      <c r="NRH24" s="3507"/>
      <c r="NRI24" s="3507"/>
      <c r="NRJ24" s="3507"/>
      <c r="NRK24" s="3507"/>
      <c r="NRL24" s="3507"/>
      <c r="NRM24" s="3507"/>
      <c r="NRN24" s="3507"/>
      <c r="NRO24" s="3507"/>
      <c r="NRP24" s="3507"/>
      <c r="NRQ24" s="3507"/>
      <c r="NRR24" s="3507"/>
      <c r="NRS24" s="3507"/>
      <c r="NRT24" s="3507"/>
      <c r="NRU24" s="3507"/>
      <c r="NRV24" s="3507"/>
      <c r="NRW24" s="3507"/>
      <c r="NRX24" s="3507"/>
      <c r="NRY24" s="3507"/>
      <c r="NRZ24" s="3507"/>
      <c r="NSA24" s="3507"/>
      <c r="NSB24" s="3507"/>
      <c r="NSC24" s="3507"/>
      <c r="NSD24" s="3507"/>
      <c r="NSE24" s="3507"/>
      <c r="NSF24" s="3507"/>
      <c r="NSG24" s="3507"/>
      <c r="NSH24" s="3507"/>
      <c r="NSI24" s="3507"/>
      <c r="NSJ24" s="3507"/>
      <c r="NSK24" s="3507"/>
      <c r="NSL24" s="3507"/>
      <c r="NSM24" s="3507"/>
      <c r="NSN24" s="3507"/>
      <c r="NSO24" s="3507"/>
      <c r="NSP24" s="3507"/>
      <c r="NSQ24" s="3507"/>
      <c r="NSR24" s="3507"/>
      <c r="NSS24" s="3507"/>
      <c r="NST24" s="3507"/>
      <c r="NSU24" s="3507"/>
      <c r="NSV24" s="3507"/>
      <c r="NSW24" s="3507"/>
      <c r="NSX24" s="3507"/>
      <c r="NSY24" s="3507"/>
      <c r="NSZ24" s="3507"/>
      <c r="NTA24" s="3507"/>
      <c r="NTB24" s="3507"/>
      <c r="NTC24" s="3507"/>
      <c r="NTD24" s="3507"/>
      <c r="NTE24" s="3507"/>
      <c r="NTF24" s="3507"/>
      <c r="NTG24" s="3507"/>
      <c r="NTH24" s="3507"/>
      <c r="NTI24" s="3507"/>
      <c r="NTJ24" s="3507"/>
      <c r="NTK24" s="3507"/>
      <c r="NTL24" s="3507"/>
      <c r="NTM24" s="3507"/>
      <c r="NTN24" s="3507"/>
      <c r="NTO24" s="3507"/>
      <c r="NTP24" s="3507"/>
      <c r="NTQ24" s="3507"/>
      <c r="NTR24" s="3507"/>
      <c r="NTS24" s="3507"/>
      <c r="NTT24" s="3507"/>
      <c r="NTU24" s="3507"/>
      <c r="NTV24" s="3507"/>
      <c r="NTW24" s="3507"/>
      <c r="NTX24" s="3507"/>
      <c r="NTY24" s="3507"/>
      <c r="NTZ24" s="3507"/>
      <c r="NUA24" s="3507"/>
      <c r="NUB24" s="3507"/>
      <c r="NUC24" s="3507"/>
      <c r="NUD24" s="3507"/>
      <c r="NUE24" s="3507"/>
      <c r="NUF24" s="3507"/>
      <c r="NUG24" s="3507"/>
      <c r="NUH24" s="3507"/>
      <c r="NUI24" s="3507"/>
      <c r="NUJ24" s="3507"/>
      <c r="NUK24" s="3507"/>
      <c r="NUL24" s="3507"/>
      <c r="NUM24" s="3507"/>
      <c r="NUN24" s="3507"/>
      <c r="NUO24" s="3507"/>
      <c r="NUP24" s="3507"/>
      <c r="NUQ24" s="3507"/>
      <c r="NUR24" s="3507"/>
      <c r="NUS24" s="3507"/>
      <c r="NUT24" s="3507"/>
      <c r="NUU24" s="3507"/>
      <c r="NUV24" s="3507"/>
      <c r="NUW24" s="3507"/>
      <c r="NUX24" s="3507"/>
      <c r="NUY24" s="3507"/>
      <c r="NUZ24" s="3507"/>
      <c r="NVA24" s="3507"/>
      <c r="NVB24" s="3507"/>
      <c r="NVC24" s="3507"/>
      <c r="NVD24" s="3507"/>
      <c r="NVE24" s="3507"/>
      <c r="NVF24" s="3507"/>
      <c r="NVG24" s="3507"/>
      <c r="NVH24" s="3507"/>
      <c r="NVI24" s="3507"/>
      <c r="NVJ24" s="3507"/>
      <c r="NVK24" s="3507"/>
      <c r="NVL24" s="3507"/>
      <c r="NVM24" s="3507"/>
      <c r="NVN24" s="3507"/>
      <c r="NVO24" s="3507"/>
      <c r="NVP24" s="3507"/>
      <c r="NVQ24" s="3507"/>
      <c r="NVR24" s="3507"/>
      <c r="NVS24" s="3507"/>
      <c r="NVT24" s="3507"/>
      <c r="NVU24" s="3507"/>
      <c r="NVV24" s="3507"/>
      <c r="NVW24" s="3507"/>
      <c r="NVX24" s="3507"/>
      <c r="NVY24" s="3507"/>
      <c r="NVZ24" s="3507"/>
      <c r="NWA24" s="3507"/>
      <c r="NWB24" s="3507"/>
      <c r="NWC24" s="3507"/>
      <c r="NWD24" s="3507"/>
      <c r="NWE24" s="3507"/>
      <c r="NWF24" s="3507"/>
      <c r="NWG24" s="3507"/>
      <c r="NWH24" s="3507"/>
      <c r="NWI24" s="3507"/>
      <c r="NWJ24" s="3507"/>
      <c r="NWK24" s="3507"/>
      <c r="NWL24" s="3507"/>
      <c r="NWM24" s="3507"/>
      <c r="NWN24" s="3507"/>
      <c r="NWO24" s="3507"/>
      <c r="NWP24" s="3507"/>
      <c r="NWQ24" s="3507"/>
      <c r="NWR24" s="3507"/>
      <c r="NWS24" s="3507"/>
      <c r="NWT24" s="3507"/>
      <c r="NWU24" s="3507"/>
      <c r="NWV24" s="3507"/>
      <c r="NWW24" s="3507"/>
      <c r="NWX24" s="3507"/>
      <c r="NWY24" s="3507"/>
      <c r="NWZ24" s="3507"/>
      <c r="NXA24" s="3507"/>
      <c r="NXB24" s="3507"/>
      <c r="NXC24" s="3507"/>
      <c r="NXD24" s="3507"/>
      <c r="NXE24" s="3507"/>
      <c r="NXF24" s="3507"/>
      <c r="NXG24" s="3507"/>
      <c r="NXH24" s="3507"/>
      <c r="NXI24" s="3507"/>
      <c r="NXJ24" s="3507"/>
      <c r="NXK24" s="3507"/>
      <c r="NXL24" s="3507"/>
      <c r="NXM24" s="3507"/>
      <c r="NXN24" s="3507"/>
      <c r="NXO24" s="3507"/>
      <c r="NXP24" s="3507"/>
      <c r="NXQ24" s="3507"/>
      <c r="NXR24" s="3507"/>
      <c r="NXS24" s="3507"/>
      <c r="NXT24" s="3507"/>
      <c r="NXU24" s="3507"/>
      <c r="NXV24" s="3507"/>
      <c r="NXW24" s="3507"/>
      <c r="NXX24" s="3507"/>
      <c r="NXY24" s="3507"/>
      <c r="NXZ24" s="3507"/>
      <c r="NYA24" s="3507"/>
      <c r="NYB24" s="3507"/>
      <c r="NYC24" s="3507"/>
      <c r="NYD24" s="3507"/>
      <c r="NYE24" s="3507"/>
      <c r="NYF24" s="3507"/>
      <c r="NYG24" s="3507"/>
      <c r="NYH24" s="3507"/>
      <c r="NYI24" s="3507"/>
      <c r="NYJ24" s="3507"/>
      <c r="NYK24" s="3507"/>
      <c r="NYL24" s="3507"/>
      <c r="NYM24" s="3507"/>
      <c r="NYN24" s="3507"/>
      <c r="NYO24" s="3507"/>
      <c r="NYP24" s="3507"/>
      <c r="NYQ24" s="3507"/>
      <c r="NYR24" s="3507"/>
      <c r="NYS24" s="3507"/>
      <c r="NYT24" s="3507"/>
      <c r="NYU24" s="3507"/>
      <c r="NYV24" s="3507"/>
      <c r="NYW24" s="3507"/>
      <c r="NYX24" s="3507"/>
      <c r="NYY24" s="3507"/>
      <c r="NYZ24" s="3507"/>
      <c r="NZA24" s="3507"/>
      <c r="NZB24" s="3507"/>
      <c r="NZC24" s="3507"/>
      <c r="NZD24" s="3507"/>
      <c r="NZE24" s="3507"/>
      <c r="NZF24" s="3507"/>
      <c r="NZG24" s="3507"/>
      <c r="NZH24" s="3507"/>
      <c r="NZI24" s="3507"/>
      <c r="NZJ24" s="3507"/>
      <c r="NZK24" s="3507"/>
      <c r="NZL24" s="3507"/>
      <c r="NZM24" s="3507"/>
      <c r="NZN24" s="3507"/>
      <c r="NZO24" s="3507"/>
      <c r="NZP24" s="3507"/>
      <c r="NZQ24" s="3507"/>
      <c r="NZR24" s="3507"/>
      <c r="NZS24" s="3507"/>
      <c r="NZT24" s="3507"/>
      <c r="NZU24" s="3507"/>
      <c r="NZV24" s="3507"/>
      <c r="NZW24" s="3507"/>
      <c r="NZX24" s="3507"/>
      <c r="NZY24" s="3507"/>
      <c r="NZZ24" s="3507"/>
      <c r="OAA24" s="3507"/>
      <c r="OAB24" s="3507"/>
      <c r="OAC24" s="3507"/>
      <c r="OAD24" s="3507"/>
      <c r="OAE24" s="3507"/>
      <c r="OAF24" s="3507"/>
      <c r="OAG24" s="3507"/>
      <c r="OAH24" s="3507"/>
      <c r="OAI24" s="3507"/>
      <c r="OAJ24" s="3507"/>
      <c r="OAK24" s="3507"/>
      <c r="OAL24" s="3507"/>
      <c r="OAM24" s="3507"/>
      <c r="OAN24" s="3507"/>
      <c r="OAO24" s="3507"/>
      <c r="OAP24" s="3507"/>
      <c r="OAQ24" s="3507"/>
      <c r="OAR24" s="3507"/>
      <c r="OAS24" s="3507"/>
      <c r="OAT24" s="3507"/>
      <c r="OAU24" s="3507"/>
      <c r="OAV24" s="3507"/>
      <c r="OAW24" s="3507"/>
      <c r="OAX24" s="3507"/>
      <c r="OAY24" s="3507"/>
      <c r="OAZ24" s="3507"/>
      <c r="OBA24" s="3507"/>
      <c r="OBB24" s="3507"/>
      <c r="OBC24" s="3507"/>
      <c r="OBD24" s="3507"/>
      <c r="OBE24" s="3507"/>
      <c r="OBF24" s="3507"/>
      <c r="OBG24" s="3507"/>
      <c r="OBH24" s="3507"/>
      <c r="OBI24" s="3507"/>
      <c r="OBJ24" s="3507"/>
      <c r="OBK24" s="3507"/>
      <c r="OBL24" s="3507"/>
      <c r="OBM24" s="3507"/>
      <c r="OBN24" s="3507"/>
      <c r="OBO24" s="3507"/>
      <c r="OBP24" s="3507"/>
      <c r="OBQ24" s="3507"/>
      <c r="OBR24" s="3507"/>
      <c r="OBS24" s="3507"/>
      <c r="OBT24" s="3507"/>
      <c r="OBU24" s="3507"/>
      <c r="OBV24" s="3507"/>
      <c r="OBW24" s="3507"/>
      <c r="OBX24" s="3507"/>
      <c r="OBY24" s="3507"/>
      <c r="OBZ24" s="3507"/>
      <c r="OCA24" s="3507"/>
      <c r="OCB24" s="3507"/>
      <c r="OCC24" s="3507"/>
      <c r="OCD24" s="3507"/>
      <c r="OCE24" s="3507"/>
      <c r="OCF24" s="3507"/>
      <c r="OCG24" s="3507"/>
      <c r="OCH24" s="3507"/>
      <c r="OCI24" s="3507"/>
      <c r="OCJ24" s="3507"/>
      <c r="OCK24" s="3507"/>
      <c r="OCL24" s="3507"/>
      <c r="OCM24" s="3507"/>
      <c r="OCN24" s="3507"/>
      <c r="OCO24" s="3507"/>
      <c r="OCP24" s="3507"/>
      <c r="OCQ24" s="3507"/>
      <c r="OCR24" s="3507"/>
      <c r="OCS24" s="3507"/>
      <c r="OCT24" s="3507"/>
      <c r="OCU24" s="3507"/>
      <c r="OCV24" s="3507"/>
      <c r="OCW24" s="3507"/>
      <c r="OCX24" s="3507"/>
      <c r="OCY24" s="3507"/>
      <c r="OCZ24" s="3507"/>
      <c r="ODA24" s="3507"/>
      <c r="ODB24" s="3507"/>
      <c r="ODC24" s="3507"/>
      <c r="ODD24" s="3507"/>
      <c r="ODE24" s="3507"/>
      <c r="ODF24" s="3507"/>
      <c r="ODG24" s="3507"/>
      <c r="ODH24" s="3507"/>
      <c r="ODI24" s="3507"/>
      <c r="ODJ24" s="3507"/>
      <c r="ODK24" s="3507"/>
      <c r="ODL24" s="3507"/>
      <c r="ODM24" s="3507"/>
      <c r="ODN24" s="3507"/>
      <c r="ODO24" s="3507"/>
      <c r="ODP24" s="3507"/>
      <c r="ODQ24" s="3507"/>
      <c r="ODR24" s="3507"/>
      <c r="ODS24" s="3507"/>
      <c r="ODT24" s="3507"/>
      <c r="ODU24" s="3507"/>
      <c r="ODV24" s="3507"/>
      <c r="ODW24" s="3507"/>
      <c r="ODX24" s="3507"/>
      <c r="ODY24" s="3507"/>
      <c r="ODZ24" s="3507"/>
      <c r="OEA24" s="3507"/>
      <c r="OEB24" s="3507"/>
      <c r="OEC24" s="3507"/>
      <c r="OED24" s="3507"/>
      <c r="OEE24" s="3507"/>
      <c r="OEF24" s="3507"/>
      <c r="OEG24" s="3507"/>
      <c r="OEH24" s="3507"/>
      <c r="OEI24" s="3507"/>
      <c r="OEJ24" s="3507"/>
      <c r="OEK24" s="3507"/>
      <c r="OEL24" s="3507"/>
      <c r="OEM24" s="3507"/>
      <c r="OEN24" s="3507"/>
      <c r="OEO24" s="3507"/>
      <c r="OEP24" s="3507"/>
      <c r="OEQ24" s="3507"/>
      <c r="OER24" s="3507"/>
      <c r="OES24" s="3507"/>
      <c r="OET24" s="3507"/>
      <c r="OEU24" s="3507"/>
      <c r="OEV24" s="3507"/>
      <c r="OEW24" s="3507"/>
      <c r="OEX24" s="3507"/>
      <c r="OEY24" s="3507"/>
      <c r="OEZ24" s="3507"/>
      <c r="OFA24" s="3507"/>
      <c r="OFB24" s="3507"/>
      <c r="OFC24" s="3507"/>
      <c r="OFD24" s="3507"/>
      <c r="OFE24" s="3507"/>
      <c r="OFF24" s="3507"/>
      <c r="OFG24" s="3507"/>
      <c r="OFH24" s="3507"/>
      <c r="OFI24" s="3507"/>
      <c r="OFJ24" s="3507"/>
      <c r="OFK24" s="3507"/>
      <c r="OFL24" s="3507"/>
      <c r="OFM24" s="3507"/>
      <c r="OFN24" s="3507"/>
      <c r="OFO24" s="3507"/>
      <c r="OFP24" s="3507"/>
      <c r="OFQ24" s="3507"/>
      <c r="OFR24" s="3507"/>
      <c r="OFS24" s="3507"/>
      <c r="OFT24" s="3507"/>
      <c r="OFU24" s="3507"/>
      <c r="OFV24" s="3507"/>
      <c r="OFW24" s="3507"/>
      <c r="OFX24" s="3507"/>
      <c r="OFY24" s="3507"/>
      <c r="OFZ24" s="3507"/>
      <c r="OGA24" s="3507"/>
      <c r="OGB24" s="3507"/>
      <c r="OGC24" s="3507"/>
      <c r="OGD24" s="3507"/>
      <c r="OGE24" s="3507"/>
      <c r="OGF24" s="3507"/>
      <c r="OGG24" s="3507"/>
      <c r="OGH24" s="3507"/>
      <c r="OGI24" s="3507"/>
      <c r="OGJ24" s="3507"/>
      <c r="OGK24" s="3507"/>
      <c r="OGL24" s="3507"/>
      <c r="OGM24" s="3507"/>
      <c r="OGN24" s="3507"/>
      <c r="OGO24" s="3507"/>
      <c r="OGP24" s="3507"/>
      <c r="OGQ24" s="3507"/>
      <c r="OGR24" s="3507"/>
      <c r="OGS24" s="3507"/>
      <c r="OGT24" s="3507"/>
      <c r="OGU24" s="3507"/>
      <c r="OGV24" s="3507"/>
      <c r="OGW24" s="3507"/>
      <c r="OGX24" s="3507"/>
      <c r="OGY24" s="3507"/>
      <c r="OGZ24" s="3507"/>
      <c r="OHA24" s="3507"/>
      <c r="OHB24" s="3507"/>
      <c r="OHC24" s="3507"/>
      <c r="OHD24" s="3507"/>
      <c r="OHE24" s="3507"/>
      <c r="OHF24" s="3507"/>
      <c r="OHG24" s="3507"/>
      <c r="OHH24" s="3507"/>
      <c r="OHI24" s="3507"/>
      <c r="OHJ24" s="3507"/>
      <c r="OHK24" s="3507"/>
      <c r="OHL24" s="3507"/>
      <c r="OHM24" s="3507"/>
      <c r="OHN24" s="3507"/>
      <c r="OHO24" s="3507"/>
      <c r="OHP24" s="3507"/>
      <c r="OHQ24" s="3507"/>
      <c r="OHR24" s="3507"/>
      <c r="OHS24" s="3507"/>
      <c r="OHT24" s="3507"/>
      <c r="OHU24" s="3507"/>
      <c r="OHV24" s="3507"/>
      <c r="OHW24" s="3507"/>
      <c r="OHX24" s="3507"/>
      <c r="OHY24" s="3507"/>
      <c r="OHZ24" s="3507"/>
      <c r="OIA24" s="3507"/>
      <c r="OIB24" s="3507"/>
      <c r="OIC24" s="3507"/>
      <c r="OID24" s="3507"/>
      <c r="OIE24" s="3507"/>
      <c r="OIF24" s="3507"/>
      <c r="OIG24" s="3507"/>
      <c r="OIH24" s="3507"/>
      <c r="OII24" s="3507"/>
      <c r="OIJ24" s="3507"/>
      <c r="OIK24" s="3507"/>
      <c r="OIL24" s="3507"/>
      <c r="OIM24" s="3507"/>
      <c r="OIN24" s="3507"/>
      <c r="OIO24" s="3507"/>
      <c r="OIP24" s="3507"/>
      <c r="OIQ24" s="3507"/>
      <c r="OIR24" s="3507"/>
      <c r="OIS24" s="3507"/>
      <c r="OIT24" s="3507"/>
      <c r="OIU24" s="3507"/>
      <c r="OIV24" s="3507"/>
      <c r="OIW24" s="3507"/>
      <c r="OIX24" s="3507"/>
      <c r="OIY24" s="3507"/>
      <c r="OIZ24" s="3507"/>
      <c r="OJA24" s="3507"/>
      <c r="OJB24" s="3507"/>
      <c r="OJC24" s="3507"/>
      <c r="OJD24" s="3507"/>
      <c r="OJE24" s="3507"/>
      <c r="OJF24" s="3507"/>
      <c r="OJG24" s="3507"/>
      <c r="OJH24" s="3507"/>
      <c r="OJI24" s="3507"/>
      <c r="OJJ24" s="3507"/>
      <c r="OJK24" s="3507"/>
      <c r="OJL24" s="3507"/>
      <c r="OJM24" s="3507"/>
      <c r="OJN24" s="3507"/>
      <c r="OJO24" s="3507"/>
      <c r="OJP24" s="3507"/>
      <c r="OJQ24" s="3507"/>
      <c r="OJR24" s="3507"/>
      <c r="OJS24" s="3507"/>
      <c r="OJT24" s="3507"/>
      <c r="OJU24" s="3507"/>
      <c r="OJV24" s="3507"/>
      <c r="OJW24" s="3507"/>
      <c r="OJX24" s="3507"/>
      <c r="OJY24" s="3507"/>
      <c r="OJZ24" s="3507"/>
      <c r="OKA24" s="3507"/>
      <c r="OKB24" s="3507"/>
      <c r="OKC24" s="3507"/>
      <c r="OKD24" s="3507"/>
      <c r="OKE24" s="3507"/>
      <c r="OKF24" s="3507"/>
      <c r="OKG24" s="3507"/>
      <c r="OKH24" s="3507"/>
      <c r="OKI24" s="3507"/>
      <c r="OKJ24" s="3507"/>
      <c r="OKK24" s="3507"/>
      <c r="OKL24" s="3507"/>
      <c r="OKM24" s="3507"/>
      <c r="OKN24" s="3507"/>
      <c r="OKO24" s="3507"/>
      <c r="OKP24" s="3507"/>
      <c r="OKQ24" s="3507"/>
      <c r="OKR24" s="3507"/>
      <c r="OKS24" s="3507"/>
      <c r="OKT24" s="3507"/>
      <c r="OKU24" s="3507"/>
      <c r="OKV24" s="3507"/>
      <c r="OKW24" s="3507"/>
      <c r="OKX24" s="3507"/>
      <c r="OKY24" s="3507"/>
      <c r="OKZ24" s="3507"/>
      <c r="OLA24" s="3507"/>
      <c r="OLB24" s="3507"/>
      <c r="OLC24" s="3507"/>
      <c r="OLD24" s="3507"/>
      <c r="OLE24" s="3507"/>
      <c r="OLF24" s="3507"/>
      <c r="OLG24" s="3507"/>
      <c r="OLH24" s="3507"/>
      <c r="OLI24" s="3507"/>
      <c r="OLJ24" s="3507"/>
      <c r="OLK24" s="3507"/>
      <c r="OLL24" s="3507"/>
      <c r="OLM24" s="3507"/>
      <c r="OLN24" s="3507"/>
      <c r="OLO24" s="3507"/>
      <c r="OLP24" s="3507"/>
      <c r="OLQ24" s="3507"/>
      <c r="OLR24" s="3507"/>
      <c r="OLS24" s="3507"/>
      <c r="OLT24" s="3507"/>
      <c r="OLU24" s="3507"/>
      <c r="OLV24" s="3507"/>
      <c r="OLW24" s="3507"/>
      <c r="OLX24" s="3507"/>
      <c r="OLY24" s="3507"/>
      <c r="OLZ24" s="3507"/>
      <c r="OMA24" s="3507"/>
      <c r="OMB24" s="3507"/>
      <c r="OMC24" s="3507"/>
      <c r="OMD24" s="3507"/>
      <c r="OME24" s="3507"/>
      <c r="OMF24" s="3507"/>
      <c r="OMG24" s="3507"/>
      <c r="OMH24" s="3507"/>
      <c r="OMI24" s="3507"/>
      <c r="OMJ24" s="3507"/>
      <c r="OMK24" s="3507"/>
      <c r="OML24" s="3507"/>
      <c r="OMM24" s="3507"/>
      <c r="OMN24" s="3507"/>
      <c r="OMO24" s="3507"/>
      <c r="OMP24" s="3507"/>
      <c r="OMQ24" s="3507"/>
      <c r="OMR24" s="3507"/>
      <c r="OMS24" s="3507"/>
      <c r="OMT24" s="3507"/>
      <c r="OMU24" s="3507"/>
      <c r="OMV24" s="3507"/>
      <c r="OMW24" s="3507"/>
      <c r="OMX24" s="3507"/>
      <c r="OMY24" s="3507"/>
      <c r="OMZ24" s="3507"/>
      <c r="ONA24" s="3507"/>
      <c r="ONB24" s="3507"/>
      <c r="ONC24" s="3507"/>
      <c r="OND24" s="3507"/>
      <c r="ONE24" s="3507"/>
      <c r="ONF24" s="3507"/>
      <c r="ONG24" s="3507"/>
      <c r="ONH24" s="3507"/>
      <c r="ONI24" s="3507"/>
      <c r="ONJ24" s="3507"/>
      <c r="ONK24" s="3507"/>
      <c r="ONL24" s="3507"/>
      <c r="ONM24" s="3507"/>
      <c r="ONN24" s="3507"/>
      <c r="ONO24" s="3507"/>
      <c r="ONP24" s="3507"/>
      <c r="ONQ24" s="3507"/>
      <c r="ONR24" s="3507"/>
      <c r="ONS24" s="3507"/>
      <c r="ONT24" s="3507"/>
      <c r="ONU24" s="3507"/>
      <c r="ONV24" s="3507"/>
      <c r="ONW24" s="3507"/>
      <c r="ONX24" s="3507"/>
      <c r="ONY24" s="3507"/>
      <c r="ONZ24" s="3507"/>
      <c r="OOA24" s="3507"/>
      <c r="OOB24" s="3507"/>
      <c r="OOC24" s="3507"/>
      <c r="OOD24" s="3507"/>
      <c r="OOE24" s="3507"/>
      <c r="OOF24" s="3507"/>
      <c r="OOG24" s="3507"/>
      <c r="OOH24" s="3507"/>
      <c r="OOI24" s="3507"/>
      <c r="OOJ24" s="3507"/>
      <c r="OOK24" s="3507"/>
      <c r="OOL24" s="3507"/>
      <c r="OOM24" s="3507"/>
      <c r="OON24" s="3507"/>
      <c r="OOO24" s="3507"/>
      <c r="OOP24" s="3507"/>
      <c r="OOQ24" s="3507"/>
      <c r="OOR24" s="3507"/>
      <c r="OOS24" s="3507"/>
      <c r="OOT24" s="3507"/>
      <c r="OOU24" s="3507"/>
      <c r="OOV24" s="3507"/>
      <c r="OOW24" s="3507"/>
      <c r="OOX24" s="3507"/>
      <c r="OOY24" s="3507"/>
      <c r="OOZ24" s="3507"/>
      <c r="OPA24" s="3507"/>
      <c r="OPB24" s="3507"/>
      <c r="OPC24" s="3507"/>
      <c r="OPD24" s="3507"/>
      <c r="OPE24" s="3507"/>
      <c r="OPF24" s="3507"/>
      <c r="OPG24" s="3507"/>
      <c r="OPH24" s="3507"/>
      <c r="OPI24" s="3507"/>
      <c r="OPJ24" s="3507"/>
      <c r="OPK24" s="3507"/>
      <c r="OPL24" s="3507"/>
      <c r="OPM24" s="3507"/>
      <c r="OPN24" s="3507"/>
      <c r="OPO24" s="3507"/>
      <c r="OPP24" s="3507"/>
      <c r="OPQ24" s="3507"/>
      <c r="OPR24" s="3507"/>
      <c r="OPS24" s="3507"/>
      <c r="OPT24" s="3507"/>
      <c r="OPU24" s="3507"/>
      <c r="OPV24" s="3507"/>
      <c r="OPW24" s="3507"/>
      <c r="OPX24" s="3507"/>
      <c r="OPY24" s="3507"/>
      <c r="OPZ24" s="3507"/>
      <c r="OQA24" s="3507"/>
      <c r="OQB24" s="3507"/>
      <c r="OQC24" s="3507"/>
      <c r="OQD24" s="3507"/>
      <c r="OQE24" s="3507"/>
      <c r="OQF24" s="3507"/>
      <c r="OQG24" s="3507"/>
      <c r="OQH24" s="3507"/>
      <c r="OQI24" s="3507"/>
      <c r="OQJ24" s="3507"/>
      <c r="OQK24" s="3507"/>
      <c r="OQL24" s="3507"/>
      <c r="OQM24" s="3507"/>
      <c r="OQN24" s="3507"/>
      <c r="OQO24" s="3507"/>
      <c r="OQP24" s="3507"/>
      <c r="OQQ24" s="3507"/>
      <c r="OQR24" s="3507"/>
      <c r="OQS24" s="3507"/>
      <c r="OQT24" s="3507"/>
      <c r="OQU24" s="3507"/>
      <c r="OQV24" s="3507"/>
      <c r="OQW24" s="3507"/>
      <c r="OQX24" s="3507"/>
      <c r="OQY24" s="3507"/>
      <c r="OQZ24" s="3507"/>
      <c r="ORA24" s="3507"/>
      <c r="ORB24" s="3507"/>
      <c r="ORC24" s="3507"/>
      <c r="ORD24" s="3507"/>
      <c r="ORE24" s="3507"/>
      <c r="ORF24" s="3507"/>
      <c r="ORG24" s="3507"/>
      <c r="ORH24" s="3507"/>
      <c r="ORI24" s="3507"/>
      <c r="ORJ24" s="3507"/>
      <c r="ORK24" s="3507"/>
      <c r="ORL24" s="3507"/>
      <c r="ORM24" s="3507"/>
      <c r="ORN24" s="3507"/>
      <c r="ORO24" s="3507"/>
      <c r="ORP24" s="3507"/>
      <c r="ORQ24" s="3507"/>
      <c r="ORR24" s="3507"/>
      <c r="ORS24" s="3507"/>
      <c r="ORT24" s="3507"/>
      <c r="ORU24" s="3507"/>
      <c r="ORV24" s="3507"/>
      <c r="ORW24" s="3507"/>
      <c r="ORX24" s="3507"/>
      <c r="ORY24" s="3507"/>
      <c r="ORZ24" s="3507"/>
      <c r="OSA24" s="3507"/>
      <c r="OSB24" s="3507"/>
      <c r="OSC24" s="3507"/>
      <c r="OSD24" s="3507"/>
      <c r="OSE24" s="3507"/>
      <c r="OSF24" s="3507"/>
      <c r="OSG24" s="3507"/>
      <c r="OSH24" s="3507"/>
      <c r="OSI24" s="3507"/>
      <c r="OSJ24" s="3507"/>
      <c r="OSK24" s="3507"/>
      <c r="OSL24" s="3507"/>
      <c r="OSM24" s="3507"/>
      <c r="OSN24" s="3507"/>
      <c r="OSO24" s="3507"/>
      <c r="OSP24" s="3507"/>
      <c r="OSQ24" s="3507"/>
      <c r="OSR24" s="3507"/>
      <c r="OSS24" s="3507"/>
      <c r="OST24" s="3507"/>
      <c r="OSU24" s="3507"/>
      <c r="OSV24" s="3507"/>
      <c r="OSW24" s="3507"/>
      <c r="OSX24" s="3507"/>
      <c r="OSY24" s="3507"/>
      <c r="OSZ24" s="3507"/>
      <c r="OTA24" s="3507"/>
      <c r="OTB24" s="3507"/>
      <c r="OTC24" s="3507"/>
      <c r="OTD24" s="3507"/>
      <c r="OTE24" s="3507"/>
      <c r="OTF24" s="3507"/>
      <c r="OTG24" s="3507"/>
      <c r="OTH24" s="3507"/>
      <c r="OTI24" s="3507"/>
      <c r="OTJ24" s="3507"/>
      <c r="OTK24" s="3507"/>
      <c r="OTL24" s="3507"/>
      <c r="OTM24" s="3507"/>
      <c r="OTN24" s="3507"/>
      <c r="OTO24" s="3507"/>
      <c r="OTP24" s="3507"/>
      <c r="OTQ24" s="3507"/>
      <c r="OTR24" s="3507"/>
      <c r="OTS24" s="3507"/>
      <c r="OTT24" s="3507"/>
      <c r="OTU24" s="3507"/>
      <c r="OTV24" s="3507"/>
      <c r="OTW24" s="3507"/>
      <c r="OTX24" s="3507"/>
      <c r="OTY24" s="3507"/>
      <c r="OTZ24" s="3507"/>
      <c r="OUA24" s="3507"/>
      <c r="OUB24" s="3507"/>
      <c r="OUC24" s="3507"/>
      <c r="OUD24" s="3507"/>
      <c r="OUE24" s="3507"/>
      <c r="OUF24" s="3507"/>
      <c r="OUG24" s="3507"/>
      <c r="OUH24" s="3507"/>
      <c r="OUI24" s="3507"/>
      <c r="OUJ24" s="3507"/>
      <c r="OUK24" s="3507"/>
      <c r="OUL24" s="3507"/>
      <c r="OUM24" s="3507"/>
      <c r="OUN24" s="3507"/>
      <c r="OUO24" s="3507"/>
      <c r="OUP24" s="3507"/>
      <c r="OUQ24" s="3507"/>
      <c r="OUR24" s="3507"/>
      <c r="OUS24" s="3507"/>
      <c r="OUT24" s="3507"/>
      <c r="OUU24" s="3507"/>
      <c r="OUV24" s="3507"/>
      <c r="OUW24" s="3507"/>
      <c r="OUX24" s="3507"/>
      <c r="OUY24" s="3507"/>
      <c r="OUZ24" s="3507"/>
      <c r="OVA24" s="3507"/>
      <c r="OVB24" s="3507"/>
      <c r="OVC24" s="3507"/>
      <c r="OVD24" s="3507"/>
      <c r="OVE24" s="3507"/>
      <c r="OVF24" s="3507"/>
      <c r="OVG24" s="3507"/>
      <c r="OVH24" s="3507"/>
      <c r="OVI24" s="3507"/>
      <c r="OVJ24" s="3507"/>
      <c r="OVK24" s="3507"/>
      <c r="OVL24" s="3507"/>
      <c r="OVM24" s="3507"/>
      <c r="OVN24" s="3507"/>
      <c r="OVO24" s="3507"/>
      <c r="OVP24" s="3507"/>
      <c r="OVQ24" s="3507"/>
      <c r="OVR24" s="3507"/>
      <c r="OVS24" s="3507"/>
      <c r="OVT24" s="3507"/>
      <c r="OVU24" s="3507"/>
      <c r="OVV24" s="3507"/>
      <c r="OVW24" s="3507"/>
      <c r="OVX24" s="3507"/>
      <c r="OVY24" s="3507"/>
      <c r="OVZ24" s="3507"/>
      <c r="OWA24" s="3507"/>
      <c r="OWB24" s="3507"/>
      <c r="OWC24" s="3507"/>
      <c r="OWD24" s="3507"/>
      <c r="OWE24" s="3507"/>
      <c r="OWF24" s="3507"/>
      <c r="OWG24" s="3507"/>
      <c r="OWH24" s="3507"/>
      <c r="OWI24" s="3507"/>
      <c r="OWJ24" s="3507"/>
      <c r="OWK24" s="3507"/>
      <c r="OWL24" s="3507"/>
      <c r="OWM24" s="3507"/>
      <c r="OWN24" s="3507"/>
      <c r="OWO24" s="3507"/>
      <c r="OWP24" s="3507"/>
      <c r="OWQ24" s="3507"/>
      <c r="OWR24" s="3507"/>
      <c r="OWS24" s="3507"/>
      <c r="OWT24" s="3507"/>
      <c r="OWU24" s="3507"/>
      <c r="OWV24" s="3507"/>
      <c r="OWW24" s="3507"/>
      <c r="OWX24" s="3507"/>
      <c r="OWY24" s="3507"/>
      <c r="OWZ24" s="3507"/>
      <c r="OXA24" s="3507"/>
      <c r="OXB24" s="3507"/>
      <c r="OXC24" s="3507"/>
      <c r="OXD24" s="3507"/>
      <c r="OXE24" s="3507"/>
      <c r="OXF24" s="3507"/>
      <c r="OXG24" s="3507"/>
      <c r="OXH24" s="3507"/>
      <c r="OXI24" s="3507"/>
      <c r="OXJ24" s="3507"/>
      <c r="OXK24" s="3507"/>
      <c r="OXL24" s="3507"/>
      <c r="OXM24" s="3507"/>
      <c r="OXN24" s="3507"/>
      <c r="OXO24" s="3507"/>
      <c r="OXP24" s="3507"/>
      <c r="OXQ24" s="3507"/>
      <c r="OXR24" s="3507"/>
      <c r="OXS24" s="3507"/>
      <c r="OXT24" s="3507"/>
      <c r="OXU24" s="3507"/>
      <c r="OXV24" s="3507"/>
      <c r="OXW24" s="3507"/>
      <c r="OXX24" s="3507"/>
      <c r="OXY24" s="3507"/>
      <c r="OXZ24" s="3507"/>
      <c r="OYA24" s="3507"/>
      <c r="OYB24" s="3507"/>
      <c r="OYC24" s="3507"/>
      <c r="OYD24" s="3507"/>
      <c r="OYE24" s="3507"/>
      <c r="OYF24" s="3507"/>
      <c r="OYG24" s="3507"/>
      <c r="OYH24" s="3507"/>
      <c r="OYI24" s="3507"/>
      <c r="OYJ24" s="3507"/>
      <c r="OYK24" s="3507"/>
      <c r="OYL24" s="3507"/>
      <c r="OYM24" s="3507"/>
      <c r="OYN24" s="3507"/>
      <c r="OYO24" s="3507"/>
      <c r="OYP24" s="3507"/>
      <c r="OYQ24" s="3507"/>
      <c r="OYR24" s="3507"/>
      <c r="OYS24" s="3507"/>
      <c r="OYT24" s="3507"/>
      <c r="OYU24" s="3507"/>
      <c r="OYV24" s="3507"/>
      <c r="OYW24" s="3507"/>
      <c r="OYX24" s="3507"/>
      <c r="OYY24" s="3507"/>
      <c r="OYZ24" s="3507"/>
      <c r="OZA24" s="3507"/>
      <c r="OZB24" s="3507"/>
      <c r="OZC24" s="3507"/>
      <c r="OZD24" s="3507"/>
      <c r="OZE24" s="3507"/>
      <c r="OZF24" s="3507"/>
      <c r="OZG24" s="3507"/>
      <c r="OZH24" s="3507"/>
      <c r="OZI24" s="3507"/>
      <c r="OZJ24" s="3507"/>
      <c r="OZK24" s="3507"/>
      <c r="OZL24" s="3507"/>
      <c r="OZM24" s="3507"/>
      <c r="OZN24" s="3507"/>
      <c r="OZO24" s="3507"/>
      <c r="OZP24" s="3507"/>
      <c r="OZQ24" s="3507"/>
      <c r="OZR24" s="3507"/>
      <c r="OZS24" s="3507"/>
      <c r="OZT24" s="3507"/>
      <c r="OZU24" s="3507"/>
      <c r="OZV24" s="3507"/>
      <c r="OZW24" s="3507"/>
      <c r="OZX24" s="3507"/>
      <c r="OZY24" s="3507"/>
      <c r="OZZ24" s="3507"/>
      <c r="PAA24" s="3507"/>
      <c r="PAB24" s="3507"/>
      <c r="PAC24" s="3507"/>
      <c r="PAD24" s="3507"/>
      <c r="PAE24" s="3507"/>
      <c r="PAF24" s="3507"/>
      <c r="PAG24" s="3507"/>
      <c r="PAH24" s="3507"/>
      <c r="PAI24" s="3507"/>
      <c r="PAJ24" s="3507"/>
      <c r="PAK24" s="3507"/>
      <c r="PAL24" s="3507"/>
      <c r="PAM24" s="3507"/>
      <c r="PAN24" s="3507"/>
      <c r="PAO24" s="3507"/>
      <c r="PAP24" s="3507"/>
      <c r="PAQ24" s="3507"/>
      <c r="PAR24" s="3507"/>
      <c r="PAS24" s="3507"/>
      <c r="PAT24" s="3507"/>
      <c r="PAU24" s="3507"/>
      <c r="PAV24" s="3507"/>
      <c r="PAW24" s="3507"/>
      <c r="PAX24" s="3507"/>
      <c r="PAY24" s="3507"/>
      <c r="PAZ24" s="3507"/>
      <c r="PBA24" s="3507"/>
      <c r="PBB24" s="3507"/>
      <c r="PBC24" s="3507"/>
      <c r="PBD24" s="3507"/>
      <c r="PBE24" s="3507"/>
      <c r="PBF24" s="3507"/>
      <c r="PBG24" s="3507"/>
      <c r="PBH24" s="3507"/>
      <c r="PBI24" s="3507"/>
      <c r="PBJ24" s="3507"/>
      <c r="PBK24" s="3507"/>
      <c r="PBL24" s="3507"/>
      <c r="PBM24" s="3507"/>
      <c r="PBN24" s="3507"/>
      <c r="PBO24" s="3507"/>
      <c r="PBP24" s="3507"/>
      <c r="PBQ24" s="3507"/>
      <c r="PBR24" s="3507"/>
      <c r="PBS24" s="3507"/>
      <c r="PBT24" s="3507"/>
      <c r="PBU24" s="3507"/>
      <c r="PBV24" s="3507"/>
      <c r="PBW24" s="3507"/>
      <c r="PBX24" s="3507"/>
      <c r="PBY24" s="3507"/>
      <c r="PBZ24" s="3507"/>
      <c r="PCA24" s="3507"/>
      <c r="PCB24" s="3507"/>
      <c r="PCC24" s="3507"/>
      <c r="PCD24" s="3507"/>
      <c r="PCE24" s="3507"/>
      <c r="PCF24" s="3507"/>
      <c r="PCG24" s="3507"/>
      <c r="PCH24" s="3507"/>
      <c r="PCI24" s="3507"/>
      <c r="PCJ24" s="3507"/>
      <c r="PCK24" s="3507"/>
      <c r="PCL24" s="3507"/>
      <c r="PCM24" s="3507"/>
      <c r="PCN24" s="3507"/>
      <c r="PCO24" s="3507"/>
      <c r="PCP24" s="3507"/>
      <c r="PCQ24" s="3507"/>
      <c r="PCR24" s="3507"/>
      <c r="PCS24" s="3507"/>
      <c r="PCT24" s="3507"/>
      <c r="PCU24" s="3507"/>
      <c r="PCV24" s="3507"/>
      <c r="PCW24" s="3507"/>
      <c r="PCX24" s="3507"/>
      <c r="PCY24" s="3507"/>
      <c r="PCZ24" s="3507"/>
      <c r="PDA24" s="3507"/>
      <c r="PDB24" s="3507"/>
      <c r="PDC24" s="3507"/>
      <c r="PDD24" s="3507"/>
      <c r="PDE24" s="3507"/>
      <c r="PDF24" s="3507"/>
      <c r="PDG24" s="3507"/>
      <c r="PDH24" s="3507"/>
      <c r="PDI24" s="3507"/>
      <c r="PDJ24" s="3507"/>
      <c r="PDK24" s="3507"/>
      <c r="PDL24" s="3507"/>
      <c r="PDM24" s="3507"/>
      <c r="PDN24" s="3507"/>
      <c r="PDO24" s="3507"/>
      <c r="PDP24" s="3507"/>
      <c r="PDQ24" s="3507"/>
      <c r="PDR24" s="3507"/>
      <c r="PDS24" s="3507"/>
      <c r="PDT24" s="3507"/>
      <c r="PDU24" s="3507"/>
      <c r="PDV24" s="3507"/>
      <c r="PDW24" s="3507"/>
      <c r="PDX24" s="3507"/>
      <c r="PDY24" s="3507"/>
      <c r="PDZ24" s="3507"/>
      <c r="PEA24" s="3507"/>
      <c r="PEB24" s="3507"/>
      <c r="PEC24" s="3507"/>
      <c r="PED24" s="3507"/>
      <c r="PEE24" s="3507"/>
      <c r="PEF24" s="3507"/>
      <c r="PEG24" s="3507"/>
      <c r="PEH24" s="3507"/>
      <c r="PEI24" s="3507"/>
      <c r="PEJ24" s="3507"/>
      <c r="PEK24" s="3507"/>
      <c r="PEL24" s="3507"/>
      <c r="PEM24" s="3507"/>
      <c r="PEN24" s="3507"/>
      <c r="PEO24" s="3507"/>
      <c r="PEP24" s="3507"/>
      <c r="PEQ24" s="3507"/>
      <c r="PER24" s="3507"/>
      <c r="PES24" s="3507"/>
      <c r="PET24" s="3507"/>
      <c r="PEU24" s="3507"/>
      <c r="PEV24" s="3507"/>
      <c r="PEW24" s="3507"/>
      <c r="PEX24" s="3507"/>
      <c r="PEY24" s="3507"/>
      <c r="PEZ24" s="3507"/>
      <c r="PFA24" s="3507"/>
      <c r="PFB24" s="3507"/>
      <c r="PFC24" s="3507"/>
      <c r="PFD24" s="3507"/>
      <c r="PFE24" s="3507"/>
      <c r="PFF24" s="3507"/>
      <c r="PFG24" s="3507"/>
      <c r="PFH24" s="3507"/>
      <c r="PFI24" s="3507"/>
      <c r="PFJ24" s="3507"/>
      <c r="PFK24" s="3507"/>
      <c r="PFL24" s="3507"/>
      <c r="PFM24" s="3507"/>
      <c r="PFN24" s="3507"/>
      <c r="PFO24" s="3507"/>
      <c r="PFP24" s="3507"/>
      <c r="PFQ24" s="3507"/>
      <c r="PFR24" s="3507"/>
      <c r="PFS24" s="3507"/>
      <c r="PFT24" s="3507"/>
      <c r="PFU24" s="3507"/>
      <c r="PFV24" s="3507"/>
      <c r="PFW24" s="3507"/>
      <c r="PFX24" s="3507"/>
      <c r="PFY24" s="3507"/>
      <c r="PFZ24" s="3507"/>
      <c r="PGA24" s="3507"/>
      <c r="PGB24" s="3507"/>
      <c r="PGC24" s="3507"/>
      <c r="PGD24" s="3507"/>
      <c r="PGE24" s="3507"/>
      <c r="PGF24" s="3507"/>
      <c r="PGG24" s="3507"/>
      <c r="PGH24" s="3507"/>
      <c r="PGI24" s="3507"/>
      <c r="PGJ24" s="3507"/>
      <c r="PGK24" s="3507"/>
      <c r="PGL24" s="3507"/>
      <c r="PGM24" s="3507"/>
      <c r="PGN24" s="3507"/>
      <c r="PGO24" s="3507"/>
      <c r="PGP24" s="3507"/>
      <c r="PGQ24" s="3507"/>
      <c r="PGR24" s="3507"/>
      <c r="PGS24" s="3507"/>
      <c r="PGT24" s="3507"/>
      <c r="PGU24" s="3507"/>
      <c r="PGV24" s="3507"/>
      <c r="PGW24" s="3507"/>
      <c r="PGX24" s="3507"/>
      <c r="PGY24" s="3507"/>
      <c r="PGZ24" s="3507"/>
      <c r="PHA24" s="3507"/>
      <c r="PHB24" s="3507"/>
      <c r="PHC24" s="3507"/>
      <c r="PHD24" s="3507"/>
      <c r="PHE24" s="3507"/>
      <c r="PHF24" s="3507"/>
      <c r="PHG24" s="3507"/>
      <c r="PHH24" s="3507"/>
      <c r="PHI24" s="3507"/>
      <c r="PHJ24" s="3507"/>
      <c r="PHK24" s="3507"/>
      <c r="PHL24" s="3507"/>
      <c r="PHM24" s="3507"/>
      <c r="PHN24" s="3507"/>
      <c r="PHO24" s="3507"/>
      <c r="PHP24" s="3507"/>
      <c r="PHQ24" s="3507"/>
      <c r="PHR24" s="3507"/>
      <c r="PHS24" s="3507"/>
      <c r="PHT24" s="3507"/>
      <c r="PHU24" s="3507"/>
      <c r="PHV24" s="3507"/>
      <c r="PHW24" s="3507"/>
      <c r="PHX24" s="3507"/>
      <c r="PHY24" s="3507"/>
      <c r="PHZ24" s="3507"/>
      <c r="PIA24" s="3507"/>
      <c r="PIB24" s="3507"/>
      <c r="PIC24" s="3507"/>
      <c r="PID24" s="3507"/>
      <c r="PIE24" s="3507"/>
      <c r="PIF24" s="3507"/>
      <c r="PIG24" s="3507"/>
      <c r="PIH24" s="3507"/>
      <c r="PII24" s="3507"/>
      <c r="PIJ24" s="3507"/>
      <c r="PIK24" s="3507"/>
      <c r="PIL24" s="3507"/>
      <c r="PIM24" s="3507"/>
      <c r="PIN24" s="3507"/>
      <c r="PIO24" s="3507"/>
      <c r="PIP24" s="3507"/>
      <c r="PIQ24" s="3507"/>
      <c r="PIR24" s="3507"/>
      <c r="PIS24" s="3507"/>
      <c r="PIT24" s="3507"/>
      <c r="PIU24" s="3507"/>
      <c r="PIV24" s="3507"/>
      <c r="PIW24" s="3507"/>
      <c r="PIX24" s="3507"/>
      <c r="PIY24" s="3507"/>
      <c r="PIZ24" s="3507"/>
      <c r="PJA24" s="3507"/>
      <c r="PJB24" s="3507"/>
      <c r="PJC24" s="3507"/>
      <c r="PJD24" s="3507"/>
      <c r="PJE24" s="3507"/>
      <c r="PJF24" s="3507"/>
      <c r="PJG24" s="3507"/>
      <c r="PJH24" s="3507"/>
      <c r="PJI24" s="3507"/>
      <c r="PJJ24" s="3507"/>
      <c r="PJK24" s="3507"/>
      <c r="PJL24" s="3507"/>
      <c r="PJM24" s="3507"/>
      <c r="PJN24" s="3507"/>
      <c r="PJO24" s="3507"/>
      <c r="PJP24" s="3507"/>
      <c r="PJQ24" s="3507"/>
      <c r="PJR24" s="3507"/>
      <c r="PJS24" s="3507"/>
      <c r="PJT24" s="3507"/>
      <c r="PJU24" s="3507"/>
      <c r="PJV24" s="3507"/>
      <c r="PJW24" s="3507"/>
      <c r="PJX24" s="3507"/>
      <c r="PJY24" s="3507"/>
      <c r="PJZ24" s="3507"/>
      <c r="PKA24" s="3507"/>
      <c r="PKB24" s="3507"/>
      <c r="PKC24" s="3507"/>
      <c r="PKD24" s="3507"/>
      <c r="PKE24" s="3507"/>
      <c r="PKF24" s="3507"/>
      <c r="PKG24" s="3507"/>
      <c r="PKH24" s="3507"/>
      <c r="PKI24" s="3507"/>
      <c r="PKJ24" s="3507"/>
      <c r="PKK24" s="3507"/>
      <c r="PKL24" s="3507"/>
      <c r="PKM24" s="3507"/>
      <c r="PKN24" s="3507"/>
      <c r="PKO24" s="3507"/>
      <c r="PKP24" s="3507"/>
      <c r="PKQ24" s="3507"/>
      <c r="PKR24" s="3507"/>
      <c r="PKS24" s="3507"/>
      <c r="PKT24" s="3507"/>
      <c r="PKU24" s="3507"/>
      <c r="PKV24" s="3507"/>
      <c r="PKW24" s="3507"/>
      <c r="PKX24" s="3507"/>
      <c r="PKY24" s="3507"/>
      <c r="PKZ24" s="3507"/>
      <c r="PLA24" s="3507"/>
      <c r="PLB24" s="3507"/>
      <c r="PLC24" s="3507"/>
      <c r="PLD24" s="3507"/>
      <c r="PLE24" s="3507"/>
      <c r="PLF24" s="3507"/>
      <c r="PLG24" s="3507"/>
      <c r="PLH24" s="3507"/>
      <c r="PLI24" s="3507"/>
      <c r="PLJ24" s="3507"/>
      <c r="PLK24" s="3507"/>
      <c r="PLL24" s="3507"/>
      <c r="PLM24" s="3507"/>
      <c r="PLN24" s="3507"/>
      <c r="PLO24" s="3507"/>
      <c r="PLP24" s="3507"/>
      <c r="PLQ24" s="3507"/>
      <c r="PLR24" s="3507"/>
      <c r="PLS24" s="3507"/>
      <c r="PLT24" s="3507"/>
      <c r="PLU24" s="3507"/>
      <c r="PLV24" s="3507"/>
      <c r="PLW24" s="3507"/>
      <c r="PLX24" s="3507"/>
      <c r="PLY24" s="3507"/>
      <c r="PLZ24" s="3507"/>
      <c r="PMA24" s="3507"/>
      <c r="PMB24" s="3507"/>
      <c r="PMC24" s="3507"/>
      <c r="PMD24" s="3507"/>
      <c r="PME24" s="3507"/>
      <c r="PMF24" s="3507"/>
      <c r="PMG24" s="3507"/>
      <c r="PMH24" s="3507"/>
      <c r="PMI24" s="3507"/>
      <c r="PMJ24" s="3507"/>
      <c r="PMK24" s="3507"/>
      <c r="PML24" s="3507"/>
      <c r="PMM24" s="3507"/>
      <c r="PMN24" s="3507"/>
      <c r="PMO24" s="3507"/>
      <c r="PMP24" s="3507"/>
      <c r="PMQ24" s="3507"/>
      <c r="PMR24" s="3507"/>
      <c r="PMS24" s="3507"/>
      <c r="PMT24" s="3507"/>
      <c r="PMU24" s="3507"/>
      <c r="PMV24" s="3507"/>
      <c r="PMW24" s="3507"/>
      <c r="PMX24" s="3507"/>
      <c r="PMY24" s="3507"/>
      <c r="PMZ24" s="3507"/>
      <c r="PNA24" s="3507"/>
      <c r="PNB24" s="3507"/>
      <c r="PNC24" s="3507"/>
      <c r="PND24" s="3507"/>
      <c r="PNE24" s="3507"/>
      <c r="PNF24" s="3507"/>
      <c r="PNG24" s="3507"/>
      <c r="PNH24" s="3507"/>
      <c r="PNI24" s="3507"/>
      <c r="PNJ24" s="3507"/>
      <c r="PNK24" s="3507"/>
      <c r="PNL24" s="3507"/>
      <c r="PNM24" s="3507"/>
      <c r="PNN24" s="3507"/>
      <c r="PNO24" s="3507"/>
      <c r="PNP24" s="3507"/>
      <c r="PNQ24" s="3507"/>
      <c r="PNR24" s="3507"/>
      <c r="PNS24" s="3507"/>
      <c r="PNT24" s="3507"/>
      <c r="PNU24" s="3507"/>
      <c r="PNV24" s="3507"/>
      <c r="PNW24" s="3507"/>
      <c r="PNX24" s="3507"/>
      <c r="PNY24" s="3507"/>
      <c r="PNZ24" s="3507"/>
      <c r="POA24" s="3507"/>
      <c r="POB24" s="3507"/>
      <c r="POC24" s="3507"/>
      <c r="POD24" s="3507"/>
      <c r="POE24" s="3507"/>
      <c r="POF24" s="3507"/>
      <c r="POG24" s="3507"/>
      <c r="POH24" s="3507"/>
      <c r="POI24" s="3507"/>
      <c r="POJ24" s="3507"/>
      <c r="POK24" s="3507"/>
      <c r="POL24" s="3507"/>
      <c r="POM24" s="3507"/>
      <c r="PON24" s="3507"/>
      <c r="POO24" s="3507"/>
      <c r="POP24" s="3507"/>
      <c r="POQ24" s="3507"/>
      <c r="POR24" s="3507"/>
      <c r="POS24" s="3507"/>
      <c r="POT24" s="3507"/>
      <c r="POU24" s="3507"/>
      <c r="POV24" s="3507"/>
      <c r="POW24" s="3507"/>
      <c r="POX24" s="3507"/>
      <c r="POY24" s="3507"/>
      <c r="POZ24" s="3507"/>
      <c r="PPA24" s="3507"/>
      <c r="PPB24" s="3507"/>
      <c r="PPC24" s="3507"/>
      <c r="PPD24" s="3507"/>
      <c r="PPE24" s="3507"/>
      <c r="PPF24" s="3507"/>
      <c r="PPG24" s="3507"/>
      <c r="PPH24" s="3507"/>
      <c r="PPI24" s="3507"/>
      <c r="PPJ24" s="3507"/>
      <c r="PPK24" s="3507"/>
      <c r="PPL24" s="3507"/>
      <c r="PPM24" s="3507"/>
      <c r="PPN24" s="3507"/>
      <c r="PPO24" s="3507"/>
      <c r="PPP24" s="3507"/>
      <c r="PPQ24" s="3507"/>
      <c r="PPR24" s="3507"/>
      <c r="PPS24" s="3507"/>
      <c r="PPT24" s="3507"/>
      <c r="PPU24" s="3507"/>
      <c r="PPV24" s="3507"/>
      <c r="PPW24" s="3507"/>
      <c r="PPX24" s="3507"/>
      <c r="PPY24" s="3507"/>
      <c r="PPZ24" s="3507"/>
      <c r="PQA24" s="3507"/>
      <c r="PQB24" s="3507"/>
      <c r="PQC24" s="3507"/>
      <c r="PQD24" s="3507"/>
      <c r="PQE24" s="3507"/>
      <c r="PQF24" s="3507"/>
      <c r="PQG24" s="3507"/>
      <c r="PQH24" s="3507"/>
      <c r="PQI24" s="3507"/>
      <c r="PQJ24" s="3507"/>
      <c r="PQK24" s="3507"/>
      <c r="PQL24" s="3507"/>
      <c r="PQM24" s="3507"/>
      <c r="PQN24" s="3507"/>
      <c r="PQO24" s="3507"/>
      <c r="PQP24" s="3507"/>
      <c r="PQQ24" s="3507"/>
      <c r="PQR24" s="3507"/>
      <c r="PQS24" s="3507"/>
      <c r="PQT24" s="3507"/>
      <c r="PQU24" s="3507"/>
      <c r="PQV24" s="3507"/>
      <c r="PQW24" s="3507"/>
      <c r="PQX24" s="3507"/>
      <c r="PQY24" s="3507"/>
      <c r="PQZ24" s="3507"/>
      <c r="PRA24" s="3507"/>
      <c r="PRB24" s="3507"/>
      <c r="PRC24" s="3507"/>
      <c r="PRD24" s="3507"/>
      <c r="PRE24" s="3507"/>
      <c r="PRF24" s="3507"/>
      <c r="PRG24" s="3507"/>
      <c r="PRH24" s="3507"/>
      <c r="PRI24" s="3507"/>
      <c r="PRJ24" s="3507"/>
      <c r="PRK24" s="3507"/>
      <c r="PRL24" s="3507"/>
      <c r="PRM24" s="3507"/>
      <c r="PRN24" s="3507"/>
      <c r="PRO24" s="3507"/>
      <c r="PRP24" s="3507"/>
      <c r="PRQ24" s="3507"/>
      <c r="PRR24" s="3507"/>
      <c r="PRS24" s="3507"/>
      <c r="PRT24" s="3507"/>
      <c r="PRU24" s="3507"/>
      <c r="PRV24" s="3507"/>
      <c r="PRW24" s="3507"/>
      <c r="PRX24" s="3507"/>
      <c r="PRY24" s="3507"/>
      <c r="PRZ24" s="3507"/>
      <c r="PSA24" s="3507"/>
      <c r="PSB24" s="3507"/>
      <c r="PSC24" s="3507"/>
      <c r="PSD24" s="3507"/>
      <c r="PSE24" s="3507"/>
      <c r="PSF24" s="3507"/>
      <c r="PSG24" s="3507"/>
      <c r="PSH24" s="3507"/>
      <c r="PSI24" s="3507"/>
      <c r="PSJ24" s="3507"/>
      <c r="PSK24" s="3507"/>
      <c r="PSL24" s="3507"/>
      <c r="PSM24" s="3507"/>
      <c r="PSN24" s="3507"/>
      <c r="PSO24" s="3507"/>
      <c r="PSP24" s="3507"/>
      <c r="PSQ24" s="3507"/>
      <c r="PSR24" s="3507"/>
      <c r="PSS24" s="3507"/>
      <c r="PST24" s="3507"/>
      <c r="PSU24" s="3507"/>
      <c r="PSV24" s="3507"/>
      <c r="PSW24" s="3507"/>
      <c r="PSX24" s="3507"/>
      <c r="PSY24" s="3507"/>
      <c r="PSZ24" s="3507"/>
      <c r="PTA24" s="3507"/>
      <c r="PTB24" s="3507"/>
      <c r="PTC24" s="3507"/>
      <c r="PTD24" s="3507"/>
      <c r="PTE24" s="3507"/>
      <c r="PTF24" s="3507"/>
      <c r="PTG24" s="3507"/>
      <c r="PTH24" s="3507"/>
      <c r="PTI24" s="3507"/>
      <c r="PTJ24" s="3507"/>
      <c r="PTK24" s="3507"/>
      <c r="PTL24" s="3507"/>
      <c r="PTM24" s="3507"/>
      <c r="PTN24" s="3507"/>
      <c r="PTO24" s="3507"/>
      <c r="PTP24" s="3507"/>
      <c r="PTQ24" s="3507"/>
      <c r="PTR24" s="3507"/>
      <c r="PTS24" s="3507"/>
      <c r="PTT24" s="3507"/>
      <c r="PTU24" s="3507"/>
      <c r="PTV24" s="3507"/>
      <c r="PTW24" s="3507"/>
      <c r="PTX24" s="3507"/>
      <c r="PTY24" s="3507"/>
      <c r="PTZ24" s="3507"/>
      <c r="PUA24" s="3507"/>
      <c r="PUB24" s="3507"/>
      <c r="PUC24" s="3507"/>
      <c r="PUD24" s="3507"/>
      <c r="PUE24" s="3507"/>
      <c r="PUF24" s="3507"/>
      <c r="PUG24" s="3507"/>
      <c r="PUH24" s="3507"/>
      <c r="PUI24" s="3507"/>
      <c r="PUJ24" s="3507"/>
      <c r="PUK24" s="3507"/>
      <c r="PUL24" s="3507"/>
      <c r="PUM24" s="3507"/>
      <c r="PUN24" s="3507"/>
      <c r="PUO24" s="3507"/>
      <c r="PUP24" s="3507"/>
      <c r="PUQ24" s="3507"/>
      <c r="PUR24" s="3507"/>
      <c r="PUS24" s="3507"/>
      <c r="PUT24" s="3507"/>
      <c r="PUU24" s="3507"/>
      <c r="PUV24" s="3507"/>
      <c r="PUW24" s="3507"/>
      <c r="PUX24" s="3507"/>
      <c r="PUY24" s="3507"/>
      <c r="PUZ24" s="3507"/>
      <c r="PVA24" s="3507"/>
      <c r="PVB24" s="3507"/>
      <c r="PVC24" s="3507"/>
      <c r="PVD24" s="3507"/>
      <c r="PVE24" s="3507"/>
      <c r="PVF24" s="3507"/>
      <c r="PVG24" s="3507"/>
      <c r="PVH24" s="3507"/>
      <c r="PVI24" s="3507"/>
      <c r="PVJ24" s="3507"/>
      <c r="PVK24" s="3507"/>
      <c r="PVL24" s="3507"/>
      <c r="PVM24" s="3507"/>
      <c r="PVN24" s="3507"/>
      <c r="PVO24" s="3507"/>
      <c r="PVP24" s="3507"/>
      <c r="PVQ24" s="3507"/>
      <c r="PVR24" s="3507"/>
      <c r="PVS24" s="3507"/>
      <c r="PVT24" s="3507"/>
      <c r="PVU24" s="3507"/>
      <c r="PVV24" s="3507"/>
      <c r="PVW24" s="3507"/>
      <c r="PVX24" s="3507"/>
      <c r="PVY24" s="3507"/>
      <c r="PVZ24" s="3507"/>
      <c r="PWA24" s="3507"/>
      <c r="PWB24" s="3507"/>
      <c r="PWC24" s="3507"/>
      <c r="PWD24" s="3507"/>
      <c r="PWE24" s="3507"/>
      <c r="PWF24" s="3507"/>
      <c r="PWG24" s="3507"/>
      <c r="PWH24" s="3507"/>
      <c r="PWI24" s="3507"/>
      <c r="PWJ24" s="3507"/>
      <c r="PWK24" s="3507"/>
      <c r="PWL24" s="3507"/>
      <c r="PWM24" s="3507"/>
      <c r="PWN24" s="3507"/>
      <c r="PWO24" s="3507"/>
      <c r="PWP24" s="3507"/>
      <c r="PWQ24" s="3507"/>
      <c r="PWR24" s="3507"/>
      <c r="PWS24" s="3507"/>
      <c r="PWT24" s="3507"/>
      <c r="PWU24" s="3507"/>
      <c r="PWV24" s="3507"/>
      <c r="PWW24" s="3507"/>
      <c r="PWX24" s="3507"/>
      <c r="PWY24" s="3507"/>
      <c r="PWZ24" s="3507"/>
      <c r="PXA24" s="3507"/>
      <c r="PXB24" s="3507"/>
      <c r="PXC24" s="3507"/>
      <c r="PXD24" s="3507"/>
      <c r="PXE24" s="3507"/>
      <c r="PXF24" s="3507"/>
      <c r="PXG24" s="3507"/>
      <c r="PXH24" s="3507"/>
      <c r="PXI24" s="3507"/>
      <c r="PXJ24" s="3507"/>
      <c r="PXK24" s="3507"/>
      <c r="PXL24" s="3507"/>
      <c r="PXM24" s="3507"/>
      <c r="PXN24" s="3507"/>
      <c r="PXO24" s="3507"/>
      <c r="PXP24" s="3507"/>
      <c r="PXQ24" s="3507"/>
      <c r="PXR24" s="3507"/>
      <c r="PXS24" s="3507"/>
      <c r="PXT24" s="3507"/>
      <c r="PXU24" s="3507"/>
      <c r="PXV24" s="3507"/>
      <c r="PXW24" s="3507"/>
      <c r="PXX24" s="3507"/>
      <c r="PXY24" s="3507"/>
      <c r="PXZ24" s="3507"/>
      <c r="PYA24" s="3507"/>
      <c r="PYB24" s="3507"/>
      <c r="PYC24" s="3507"/>
      <c r="PYD24" s="3507"/>
      <c r="PYE24" s="3507"/>
      <c r="PYF24" s="3507"/>
      <c r="PYG24" s="3507"/>
      <c r="PYH24" s="3507"/>
      <c r="PYI24" s="3507"/>
      <c r="PYJ24" s="3507"/>
      <c r="PYK24" s="3507"/>
      <c r="PYL24" s="3507"/>
      <c r="PYM24" s="3507"/>
      <c r="PYN24" s="3507"/>
      <c r="PYO24" s="3507"/>
      <c r="PYP24" s="3507"/>
      <c r="PYQ24" s="3507"/>
      <c r="PYR24" s="3507"/>
      <c r="PYS24" s="3507"/>
      <c r="PYT24" s="3507"/>
      <c r="PYU24" s="3507"/>
      <c r="PYV24" s="3507"/>
      <c r="PYW24" s="3507"/>
      <c r="PYX24" s="3507"/>
      <c r="PYY24" s="3507"/>
      <c r="PYZ24" s="3507"/>
      <c r="PZA24" s="3507"/>
      <c r="PZB24" s="3507"/>
      <c r="PZC24" s="3507"/>
      <c r="PZD24" s="3507"/>
      <c r="PZE24" s="3507"/>
      <c r="PZF24" s="3507"/>
      <c r="PZG24" s="3507"/>
      <c r="PZH24" s="3507"/>
      <c r="PZI24" s="3507"/>
      <c r="PZJ24" s="3507"/>
      <c r="PZK24" s="3507"/>
      <c r="PZL24" s="3507"/>
      <c r="PZM24" s="3507"/>
      <c r="PZN24" s="3507"/>
      <c r="PZO24" s="3507"/>
      <c r="PZP24" s="3507"/>
      <c r="PZQ24" s="3507"/>
      <c r="PZR24" s="3507"/>
      <c r="PZS24" s="3507"/>
      <c r="PZT24" s="3507"/>
      <c r="PZU24" s="3507"/>
      <c r="PZV24" s="3507"/>
      <c r="PZW24" s="3507"/>
      <c r="PZX24" s="3507"/>
      <c r="PZY24" s="3507"/>
      <c r="PZZ24" s="3507"/>
      <c r="QAA24" s="3507"/>
      <c r="QAB24" s="3507"/>
      <c r="QAC24" s="3507"/>
      <c r="QAD24" s="3507"/>
      <c r="QAE24" s="3507"/>
      <c r="QAF24" s="3507"/>
      <c r="QAG24" s="3507"/>
      <c r="QAH24" s="3507"/>
      <c r="QAI24" s="3507"/>
      <c r="QAJ24" s="3507"/>
      <c r="QAK24" s="3507"/>
      <c r="QAL24" s="3507"/>
      <c r="QAM24" s="3507"/>
      <c r="QAN24" s="3507"/>
      <c r="QAO24" s="3507"/>
      <c r="QAP24" s="3507"/>
      <c r="QAQ24" s="3507"/>
      <c r="QAR24" s="3507"/>
      <c r="QAS24" s="3507"/>
      <c r="QAT24" s="3507"/>
      <c r="QAU24" s="3507"/>
      <c r="QAV24" s="3507"/>
      <c r="QAW24" s="3507"/>
      <c r="QAX24" s="3507"/>
      <c r="QAY24" s="3507"/>
      <c r="QAZ24" s="3507"/>
      <c r="QBA24" s="3507"/>
      <c r="QBB24" s="3507"/>
      <c r="QBC24" s="3507"/>
      <c r="QBD24" s="3507"/>
      <c r="QBE24" s="3507"/>
      <c r="QBF24" s="3507"/>
      <c r="QBG24" s="3507"/>
      <c r="QBH24" s="3507"/>
      <c r="QBI24" s="3507"/>
      <c r="QBJ24" s="3507"/>
      <c r="QBK24" s="3507"/>
      <c r="QBL24" s="3507"/>
      <c r="QBM24" s="3507"/>
      <c r="QBN24" s="3507"/>
      <c r="QBO24" s="3507"/>
      <c r="QBP24" s="3507"/>
      <c r="QBQ24" s="3507"/>
      <c r="QBR24" s="3507"/>
      <c r="QBS24" s="3507"/>
      <c r="QBT24" s="3507"/>
      <c r="QBU24" s="3507"/>
      <c r="QBV24" s="3507"/>
      <c r="QBW24" s="3507"/>
      <c r="QBX24" s="3507"/>
      <c r="QBY24" s="3507"/>
      <c r="QBZ24" s="3507"/>
      <c r="QCA24" s="3507"/>
      <c r="QCB24" s="3507"/>
      <c r="QCC24" s="3507"/>
      <c r="QCD24" s="3507"/>
      <c r="QCE24" s="3507"/>
      <c r="QCF24" s="3507"/>
      <c r="QCG24" s="3507"/>
      <c r="QCH24" s="3507"/>
      <c r="QCI24" s="3507"/>
      <c r="QCJ24" s="3507"/>
      <c r="QCK24" s="3507"/>
      <c r="QCL24" s="3507"/>
      <c r="QCM24" s="3507"/>
      <c r="QCN24" s="3507"/>
      <c r="QCO24" s="3507"/>
      <c r="QCP24" s="3507"/>
      <c r="QCQ24" s="3507"/>
      <c r="QCR24" s="3507"/>
      <c r="QCS24" s="3507"/>
      <c r="QCT24" s="3507"/>
      <c r="QCU24" s="3507"/>
      <c r="QCV24" s="3507"/>
      <c r="QCW24" s="3507"/>
      <c r="QCX24" s="3507"/>
      <c r="QCY24" s="3507"/>
      <c r="QCZ24" s="3507"/>
      <c r="QDA24" s="3507"/>
      <c r="QDB24" s="3507"/>
      <c r="QDC24" s="3507"/>
      <c r="QDD24" s="3507"/>
      <c r="QDE24" s="3507"/>
      <c r="QDF24" s="3507"/>
      <c r="QDG24" s="3507"/>
      <c r="QDH24" s="3507"/>
      <c r="QDI24" s="3507"/>
      <c r="QDJ24" s="3507"/>
      <c r="QDK24" s="3507"/>
      <c r="QDL24" s="3507"/>
      <c r="QDM24" s="3507"/>
      <c r="QDN24" s="3507"/>
      <c r="QDO24" s="3507"/>
      <c r="QDP24" s="3507"/>
      <c r="QDQ24" s="3507"/>
      <c r="QDR24" s="3507"/>
      <c r="QDS24" s="3507"/>
      <c r="QDT24" s="3507"/>
      <c r="QDU24" s="3507"/>
      <c r="QDV24" s="3507"/>
      <c r="QDW24" s="3507"/>
      <c r="QDX24" s="3507"/>
      <c r="QDY24" s="3507"/>
      <c r="QDZ24" s="3507"/>
      <c r="QEA24" s="3507"/>
      <c r="QEB24" s="3507"/>
      <c r="QEC24" s="3507"/>
      <c r="QED24" s="3507"/>
      <c r="QEE24" s="3507"/>
      <c r="QEF24" s="3507"/>
      <c r="QEG24" s="3507"/>
      <c r="QEH24" s="3507"/>
      <c r="QEI24" s="3507"/>
      <c r="QEJ24" s="3507"/>
      <c r="QEK24" s="3507"/>
      <c r="QEL24" s="3507"/>
      <c r="QEM24" s="3507"/>
      <c r="QEN24" s="3507"/>
      <c r="QEO24" s="3507"/>
      <c r="QEP24" s="3507"/>
      <c r="QEQ24" s="3507"/>
      <c r="QER24" s="3507"/>
      <c r="QES24" s="3507"/>
      <c r="QET24" s="3507"/>
      <c r="QEU24" s="3507"/>
      <c r="QEV24" s="3507"/>
      <c r="QEW24" s="3507"/>
      <c r="QEX24" s="3507"/>
      <c r="QEY24" s="3507"/>
      <c r="QEZ24" s="3507"/>
      <c r="QFA24" s="3507"/>
      <c r="QFB24" s="3507"/>
      <c r="QFC24" s="3507"/>
      <c r="QFD24" s="3507"/>
      <c r="QFE24" s="3507"/>
      <c r="QFF24" s="3507"/>
      <c r="QFG24" s="3507"/>
      <c r="QFH24" s="3507"/>
      <c r="QFI24" s="3507"/>
      <c r="QFJ24" s="3507"/>
      <c r="QFK24" s="3507"/>
      <c r="QFL24" s="3507"/>
      <c r="QFM24" s="3507"/>
      <c r="QFN24" s="3507"/>
      <c r="QFO24" s="3507"/>
      <c r="QFP24" s="3507"/>
      <c r="QFQ24" s="3507"/>
      <c r="QFR24" s="3507"/>
      <c r="QFS24" s="3507"/>
      <c r="QFT24" s="3507"/>
      <c r="QFU24" s="3507"/>
      <c r="QFV24" s="3507"/>
      <c r="QFW24" s="3507"/>
      <c r="QFX24" s="3507"/>
      <c r="QFY24" s="3507"/>
      <c r="QFZ24" s="3507"/>
      <c r="QGA24" s="3507"/>
      <c r="QGB24" s="3507"/>
      <c r="QGC24" s="3507"/>
      <c r="QGD24" s="3507"/>
      <c r="QGE24" s="3507"/>
      <c r="QGF24" s="3507"/>
      <c r="QGG24" s="3507"/>
      <c r="QGH24" s="3507"/>
      <c r="QGI24" s="3507"/>
      <c r="QGJ24" s="3507"/>
      <c r="QGK24" s="3507"/>
      <c r="QGL24" s="3507"/>
      <c r="QGM24" s="3507"/>
      <c r="QGN24" s="3507"/>
      <c r="QGO24" s="3507"/>
      <c r="QGP24" s="3507"/>
      <c r="QGQ24" s="3507"/>
      <c r="QGR24" s="3507"/>
      <c r="QGS24" s="3507"/>
      <c r="QGT24" s="3507"/>
      <c r="QGU24" s="3507"/>
      <c r="QGV24" s="3507"/>
      <c r="QGW24" s="3507"/>
      <c r="QGX24" s="3507"/>
      <c r="QGY24" s="3507"/>
      <c r="QGZ24" s="3507"/>
      <c r="QHA24" s="3507"/>
      <c r="QHB24" s="3507"/>
      <c r="QHC24" s="3507"/>
      <c r="QHD24" s="3507"/>
      <c r="QHE24" s="3507"/>
      <c r="QHF24" s="3507"/>
      <c r="QHG24" s="3507"/>
      <c r="QHH24" s="3507"/>
      <c r="QHI24" s="3507"/>
      <c r="QHJ24" s="3507"/>
      <c r="QHK24" s="3507"/>
      <c r="QHL24" s="3507"/>
      <c r="QHM24" s="3507"/>
      <c r="QHN24" s="3507"/>
      <c r="QHO24" s="3507"/>
      <c r="QHP24" s="3507"/>
      <c r="QHQ24" s="3507"/>
      <c r="QHR24" s="3507"/>
      <c r="QHS24" s="3507"/>
      <c r="QHT24" s="3507"/>
      <c r="QHU24" s="3507"/>
      <c r="QHV24" s="3507"/>
      <c r="QHW24" s="3507"/>
      <c r="QHX24" s="3507"/>
      <c r="QHY24" s="3507"/>
      <c r="QHZ24" s="3507"/>
      <c r="QIA24" s="3507"/>
      <c r="QIB24" s="3507"/>
      <c r="QIC24" s="3507"/>
      <c r="QID24" s="3507"/>
      <c r="QIE24" s="3507"/>
      <c r="QIF24" s="3507"/>
      <c r="QIG24" s="3507"/>
      <c r="QIH24" s="3507"/>
      <c r="QII24" s="3507"/>
      <c r="QIJ24" s="3507"/>
      <c r="QIK24" s="3507"/>
      <c r="QIL24" s="3507"/>
      <c r="QIM24" s="3507"/>
      <c r="QIN24" s="3507"/>
      <c r="QIO24" s="3507"/>
      <c r="QIP24" s="3507"/>
      <c r="QIQ24" s="3507"/>
      <c r="QIR24" s="3507"/>
      <c r="QIS24" s="3507"/>
      <c r="QIT24" s="3507"/>
      <c r="QIU24" s="3507"/>
      <c r="QIV24" s="3507"/>
      <c r="QIW24" s="3507"/>
      <c r="QIX24" s="3507"/>
      <c r="QIY24" s="3507"/>
      <c r="QIZ24" s="3507"/>
      <c r="QJA24" s="3507"/>
      <c r="QJB24" s="3507"/>
      <c r="QJC24" s="3507"/>
      <c r="QJD24" s="3507"/>
      <c r="QJE24" s="3507"/>
      <c r="QJF24" s="3507"/>
      <c r="QJG24" s="3507"/>
      <c r="QJH24" s="3507"/>
      <c r="QJI24" s="3507"/>
      <c r="QJJ24" s="3507"/>
      <c r="QJK24" s="3507"/>
      <c r="QJL24" s="3507"/>
      <c r="QJM24" s="3507"/>
      <c r="QJN24" s="3507"/>
      <c r="QJO24" s="3507"/>
      <c r="QJP24" s="3507"/>
      <c r="QJQ24" s="3507"/>
      <c r="QJR24" s="3507"/>
      <c r="QJS24" s="3507"/>
      <c r="QJT24" s="3507"/>
      <c r="QJU24" s="3507"/>
      <c r="QJV24" s="3507"/>
      <c r="QJW24" s="3507"/>
      <c r="QJX24" s="3507"/>
      <c r="QJY24" s="3507"/>
      <c r="QJZ24" s="3507"/>
      <c r="QKA24" s="3507"/>
      <c r="QKB24" s="3507"/>
      <c r="QKC24" s="3507"/>
      <c r="QKD24" s="3507"/>
      <c r="QKE24" s="3507"/>
      <c r="QKF24" s="3507"/>
      <c r="QKG24" s="3507"/>
      <c r="QKH24" s="3507"/>
      <c r="QKI24" s="3507"/>
      <c r="QKJ24" s="3507"/>
      <c r="QKK24" s="3507"/>
      <c r="QKL24" s="3507"/>
      <c r="QKM24" s="3507"/>
      <c r="QKN24" s="3507"/>
      <c r="QKO24" s="3507"/>
      <c r="QKP24" s="3507"/>
      <c r="QKQ24" s="3507"/>
      <c r="QKR24" s="3507"/>
      <c r="QKS24" s="3507"/>
      <c r="QKT24" s="3507"/>
      <c r="QKU24" s="3507"/>
      <c r="QKV24" s="3507"/>
      <c r="QKW24" s="3507"/>
      <c r="QKX24" s="3507"/>
      <c r="QKY24" s="3507"/>
      <c r="QKZ24" s="3507"/>
      <c r="QLA24" s="3507"/>
      <c r="QLB24" s="3507"/>
      <c r="QLC24" s="3507"/>
      <c r="QLD24" s="3507"/>
      <c r="QLE24" s="3507"/>
      <c r="QLF24" s="3507"/>
      <c r="QLG24" s="3507"/>
      <c r="QLH24" s="3507"/>
      <c r="QLI24" s="3507"/>
      <c r="QLJ24" s="3507"/>
      <c r="QLK24" s="3507"/>
      <c r="QLL24" s="3507"/>
      <c r="QLM24" s="3507"/>
      <c r="QLN24" s="3507"/>
      <c r="QLO24" s="3507"/>
      <c r="QLP24" s="3507"/>
      <c r="QLQ24" s="3507"/>
      <c r="QLR24" s="3507"/>
      <c r="QLS24" s="3507"/>
      <c r="QLT24" s="3507"/>
      <c r="QLU24" s="3507"/>
      <c r="QLV24" s="3507"/>
      <c r="QLW24" s="3507"/>
      <c r="QLX24" s="3507"/>
      <c r="QLY24" s="3507"/>
      <c r="QLZ24" s="3507"/>
      <c r="QMA24" s="3507"/>
      <c r="QMB24" s="3507"/>
      <c r="QMC24" s="3507"/>
      <c r="QMD24" s="3507"/>
      <c r="QME24" s="3507"/>
      <c r="QMF24" s="3507"/>
      <c r="QMG24" s="3507"/>
      <c r="QMH24" s="3507"/>
      <c r="QMI24" s="3507"/>
      <c r="QMJ24" s="3507"/>
      <c r="QMK24" s="3507"/>
      <c r="QML24" s="3507"/>
      <c r="QMM24" s="3507"/>
      <c r="QMN24" s="3507"/>
      <c r="QMO24" s="3507"/>
      <c r="QMP24" s="3507"/>
      <c r="QMQ24" s="3507"/>
      <c r="QMR24" s="3507"/>
      <c r="QMS24" s="3507"/>
      <c r="QMT24" s="3507"/>
      <c r="QMU24" s="3507"/>
      <c r="QMV24" s="3507"/>
      <c r="QMW24" s="3507"/>
      <c r="QMX24" s="3507"/>
      <c r="QMY24" s="3507"/>
      <c r="QMZ24" s="3507"/>
      <c r="QNA24" s="3507"/>
      <c r="QNB24" s="3507"/>
      <c r="QNC24" s="3507"/>
      <c r="QND24" s="3507"/>
      <c r="QNE24" s="3507"/>
      <c r="QNF24" s="3507"/>
      <c r="QNG24" s="3507"/>
      <c r="QNH24" s="3507"/>
      <c r="QNI24" s="3507"/>
      <c r="QNJ24" s="3507"/>
      <c r="QNK24" s="3507"/>
      <c r="QNL24" s="3507"/>
      <c r="QNM24" s="3507"/>
      <c r="QNN24" s="3507"/>
      <c r="QNO24" s="3507"/>
      <c r="QNP24" s="3507"/>
      <c r="QNQ24" s="3507"/>
      <c r="QNR24" s="3507"/>
      <c r="QNS24" s="3507"/>
      <c r="QNT24" s="3507"/>
      <c r="QNU24" s="3507"/>
      <c r="QNV24" s="3507"/>
      <c r="QNW24" s="3507"/>
      <c r="QNX24" s="3507"/>
      <c r="QNY24" s="3507"/>
      <c r="QNZ24" s="3507"/>
      <c r="QOA24" s="3507"/>
      <c r="QOB24" s="3507"/>
      <c r="QOC24" s="3507"/>
      <c r="QOD24" s="3507"/>
      <c r="QOE24" s="3507"/>
      <c r="QOF24" s="3507"/>
      <c r="QOG24" s="3507"/>
      <c r="QOH24" s="3507"/>
      <c r="QOI24" s="3507"/>
      <c r="QOJ24" s="3507"/>
      <c r="QOK24" s="3507"/>
      <c r="QOL24" s="3507"/>
      <c r="QOM24" s="3507"/>
      <c r="QON24" s="3507"/>
      <c r="QOO24" s="3507"/>
      <c r="QOP24" s="3507"/>
      <c r="QOQ24" s="3507"/>
      <c r="QOR24" s="3507"/>
      <c r="QOS24" s="3507"/>
      <c r="QOT24" s="3507"/>
      <c r="QOU24" s="3507"/>
      <c r="QOV24" s="3507"/>
      <c r="QOW24" s="3507"/>
      <c r="QOX24" s="3507"/>
      <c r="QOY24" s="3507"/>
      <c r="QOZ24" s="3507"/>
      <c r="QPA24" s="3507"/>
      <c r="QPB24" s="3507"/>
      <c r="QPC24" s="3507"/>
      <c r="QPD24" s="3507"/>
      <c r="QPE24" s="3507"/>
      <c r="QPF24" s="3507"/>
      <c r="QPG24" s="3507"/>
      <c r="QPH24" s="3507"/>
      <c r="QPI24" s="3507"/>
      <c r="QPJ24" s="3507"/>
      <c r="QPK24" s="3507"/>
      <c r="QPL24" s="3507"/>
      <c r="QPM24" s="3507"/>
      <c r="QPN24" s="3507"/>
      <c r="QPO24" s="3507"/>
      <c r="QPP24" s="3507"/>
      <c r="QPQ24" s="3507"/>
      <c r="QPR24" s="3507"/>
      <c r="QPS24" s="3507"/>
      <c r="QPT24" s="3507"/>
      <c r="QPU24" s="3507"/>
      <c r="QPV24" s="3507"/>
      <c r="QPW24" s="3507"/>
      <c r="QPX24" s="3507"/>
      <c r="QPY24" s="3507"/>
      <c r="QPZ24" s="3507"/>
      <c r="QQA24" s="3507"/>
      <c r="QQB24" s="3507"/>
      <c r="QQC24" s="3507"/>
      <c r="QQD24" s="3507"/>
      <c r="QQE24" s="3507"/>
      <c r="QQF24" s="3507"/>
      <c r="QQG24" s="3507"/>
      <c r="QQH24" s="3507"/>
      <c r="QQI24" s="3507"/>
      <c r="QQJ24" s="3507"/>
      <c r="QQK24" s="3507"/>
      <c r="QQL24" s="3507"/>
      <c r="QQM24" s="3507"/>
      <c r="QQN24" s="3507"/>
      <c r="QQO24" s="3507"/>
      <c r="QQP24" s="3507"/>
      <c r="QQQ24" s="3507"/>
      <c r="QQR24" s="3507"/>
      <c r="QQS24" s="3507"/>
      <c r="QQT24" s="3507"/>
      <c r="QQU24" s="3507"/>
      <c r="QQV24" s="3507"/>
      <c r="QQW24" s="3507"/>
      <c r="QQX24" s="3507"/>
      <c r="QQY24" s="3507"/>
      <c r="QQZ24" s="3507"/>
      <c r="QRA24" s="3507"/>
      <c r="QRB24" s="3507"/>
      <c r="QRC24" s="3507"/>
      <c r="QRD24" s="3507"/>
      <c r="QRE24" s="3507"/>
      <c r="QRF24" s="3507"/>
      <c r="QRG24" s="3507"/>
      <c r="QRH24" s="3507"/>
      <c r="QRI24" s="3507"/>
      <c r="QRJ24" s="3507"/>
      <c r="QRK24" s="3507"/>
      <c r="QRL24" s="3507"/>
      <c r="QRM24" s="3507"/>
      <c r="QRN24" s="3507"/>
      <c r="QRO24" s="3507"/>
      <c r="QRP24" s="3507"/>
      <c r="QRQ24" s="3507"/>
      <c r="QRR24" s="3507"/>
      <c r="QRS24" s="3507"/>
      <c r="QRT24" s="3507"/>
      <c r="QRU24" s="3507"/>
      <c r="QRV24" s="3507"/>
      <c r="QRW24" s="3507"/>
      <c r="QRX24" s="3507"/>
      <c r="QRY24" s="3507"/>
      <c r="QRZ24" s="3507"/>
      <c r="QSA24" s="3507"/>
      <c r="QSB24" s="3507"/>
      <c r="QSC24" s="3507"/>
      <c r="QSD24" s="3507"/>
      <c r="QSE24" s="3507"/>
      <c r="QSF24" s="3507"/>
      <c r="QSG24" s="3507"/>
      <c r="QSH24" s="3507"/>
      <c r="QSI24" s="3507"/>
      <c r="QSJ24" s="3507"/>
      <c r="QSK24" s="3507"/>
      <c r="QSL24" s="3507"/>
      <c r="QSM24" s="3507"/>
      <c r="QSN24" s="3507"/>
      <c r="QSO24" s="3507"/>
      <c r="QSP24" s="3507"/>
      <c r="QSQ24" s="3507"/>
      <c r="QSR24" s="3507"/>
      <c r="QSS24" s="3507"/>
      <c r="QST24" s="3507"/>
      <c r="QSU24" s="3507"/>
      <c r="QSV24" s="3507"/>
      <c r="QSW24" s="3507"/>
      <c r="QSX24" s="3507"/>
      <c r="QSY24" s="3507"/>
      <c r="QSZ24" s="3507"/>
      <c r="QTA24" s="3507"/>
      <c r="QTB24" s="3507"/>
      <c r="QTC24" s="3507"/>
      <c r="QTD24" s="3507"/>
      <c r="QTE24" s="3507"/>
      <c r="QTF24" s="3507"/>
      <c r="QTG24" s="3507"/>
      <c r="QTH24" s="3507"/>
      <c r="QTI24" s="3507"/>
      <c r="QTJ24" s="3507"/>
      <c r="QTK24" s="3507"/>
      <c r="QTL24" s="3507"/>
      <c r="QTM24" s="3507"/>
      <c r="QTN24" s="3507"/>
      <c r="QTO24" s="3507"/>
      <c r="QTP24" s="3507"/>
      <c r="QTQ24" s="3507"/>
      <c r="QTR24" s="3507"/>
      <c r="QTS24" s="3507"/>
      <c r="QTT24" s="3507"/>
      <c r="QTU24" s="3507"/>
      <c r="QTV24" s="3507"/>
      <c r="QTW24" s="3507"/>
      <c r="QTX24" s="3507"/>
      <c r="QTY24" s="3507"/>
      <c r="QTZ24" s="3507"/>
      <c r="QUA24" s="3507"/>
      <c r="QUB24" s="3507"/>
      <c r="QUC24" s="3507"/>
      <c r="QUD24" s="3507"/>
      <c r="QUE24" s="3507"/>
      <c r="QUF24" s="3507"/>
      <c r="QUG24" s="3507"/>
      <c r="QUH24" s="3507"/>
      <c r="QUI24" s="3507"/>
      <c r="QUJ24" s="3507"/>
      <c r="QUK24" s="3507"/>
      <c r="QUL24" s="3507"/>
      <c r="QUM24" s="3507"/>
      <c r="QUN24" s="3507"/>
      <c r="QUO24" s="3507"/>
      <c r="QUP24" s="3507"/>
      <c r="QUQ24" s="3507"/>
      <c r="QUR24" s="3507"/>
      <c r="QUS24" s="3507"/>
      <c r="QUT24" s="3507"/>
      <c r="QUU24" s="3507"/>
      <c r="QUV24" s="3507"/>
      <c r="QUW24" s="3507"/>
      <c r="QUX24" s="3507"/>
      <c r="QUY24" s="3507"/>
      <c r="QUZ24" s="3507"/>
      <c r="QVA24" s="3507"/>
      <c r="QVB24" s="3507"/>
      <c r="QVC24" s="3507"/>
      <c r="QVD24" s="3507"/>
      <c r="QVE24" s="3507"/>
      <c r="QVF24" s="3507"/>
      <c r="QVG24" s="3507"/>
      <c r="QVH24" s="3507"/>
      <c r="QVI24" s="3507"/>
      <c r="QVJ24" s="3507"/>
      <c r="QVK24" s="3507"/>
      <c r="QVL24" s="3507"/>
      <c r="QVM24" s="3507"/>
      <c r="QVN24" s="3507"/>
      <c r="QVO24" s="3507"/>
      <c r="QVP24" s="3507"/>
      <c r="QVQ24" s="3507"/>
      <c r="QVR24" s="3507"/>
      <c r="QVS24" s="3507"/>
      <c r="QVT24" s="3507"/>
      <c r="QVU24" s="3507"/>
      <c r="QVV24" s="3507"/>
      <c r="QVW24" s="3507"/>
      <c r="QVX24" s="3507"/>
      <c r="QVY24" s="3507"/>
      <c r="QVZ24" s="3507"/>
      <c r="QWA24" s="3507"/>
      <c r="QWB24" s="3507"/>
      <c r="QWC24" s="3507"/>
      <c r="QWD24" s="3507"/>
      <c r="QWE24" s="3507"/>
      <c r="QWF24" s="3507"/>
      <c r="QWG24" s="3507"/>
      <c r="QWH24" s="3507"/>
      <c r="QWI24" s="3507"/>
      <c r="QWJ24" s="3507"/>
      <c r="QWK24" s="3507"/>
      <c r="QWL24" s="3507"/>
      <c r="QWM24" s="3507"/>
      <c r="QWN24" s="3507"/>
      <c r="QWO24" s="3507"/>
      <c r="QWP24" s="3507"/>
      <c r="QWQ24" s="3507"/>
      <c r="QWR24" s="3507"/>
      <c r="QWS24" s="3507"/>
      <c r="QWT24" s="3507"/>
      <c r="QWU24" s="3507"/>
      <c r="QWV24" s="3507"/>
      <c r="QWW24" s="3507"/>
      <c r="QWX24" s="3507"/>
      <c r="QWY24" s="3507"/>
      <c r="QWZ24" s="3507"/>
      <c r="QXA24" s="3507"/>
      <c r="QXB24" s="3507"/>
      <c r="QXC24" s="3507"/>
      <c r="QXD24" s="3507"/>
      <c r="QXE24" s="3507"/>
      <c r="QXF24" s="3507"/>
      <c r="QXG24" s="3507"/>
      <c r="QXH24" s="3507"/>
      <c r="QXI24" s="3507"/>
      <c r="QXJ24" s="3507"/>
      <c r="QXK24" s="3507"/>
      <c r="QXL24" s="3507"/>
      <c r="QXM24" s="3507"/>
      <c r="QXN24" s="3507"/>
      <c r="QXO24" s="3507"/>
      <c r="QXP24" s="3507"/>
      <c r="QXQ24" s="3507"/>
      <c r="QXR24" s="3507"/>
      <c r="QXS24" s="3507"/>
      <c r="QXT24" s="3507"/>
      <c r="QXU24" s="3507"/>
      <c r="QXV24" s="3507"/>
      <c r="QXW24" s="3507"/>
      <c r="QXX24" s="3507"/>
      <c r="QXY24" s="3507"/>
      <c r="QXZ24" s="3507"/>
      <c r="QYA24" s="3507"/>
      <c r="QYB24" s="3507"/>
      <c r="QYC24" s="3507"/>
      <c r="QYD24" s="3507"/>
      <c r="QYE24" s="3507"/>
      <c r="QYF24" s="3507"/>
      <c r="QYG24" s="3507"/>
      <c r="QYH24" s="3507"/>
      <c r="QYI24" s="3507"/>
      <c r="QYJ24" s="3507"/>
      <c r="QYK24" s="3507"/>
      <c r="QYL24" s="3507"/>
      <c r="QYM24" s="3507"/>
      <c r="QYN24" s="3507"/>
      <c r="QYO24" s="3507"/>
      <c r="QYP24" s="3507"/>
      <c r="QYQ24" s="3507"/>
      <c r="QYR24" s="3507"/>
      <c r="QYS24" s="3507"/>
      <c r="QYT24" s="3507"/>
      <c r="QYU24" s="3507"/>
      <c r="QYV24" s="3507"/>
      <c r="QYW24" s="3507"/>
      <c r="QYX24" s="3507"/>
      <c r="QYY24" s="3507"/>
      <c r="QYZ24" s="3507"/>
      <c r="QZA24" s="3507"/>
      <c r="QZB24" s="3507"/>
      <c r="QZC24" s="3507"/>
      <c r="QZD24" s="3507"/>
      <c r="QZE24" s="3507"/>
      <c r="QZF24" s="3507"/>
      <c r="QZG24" s="3507"/>
      <c r="QZH24" s="3507"/>
      <c r="QZI24" s="3507"/>
      <c r="QZJ24" s="3507"/>
      <c r="QZK24" s="3507"/>
      <c r="QZL24" s="3507"/>
      <c r="QZM24" s="3507"/>
      <c r="QZN24" s="3507"/>
      <c r="QZO24" s="3507"/>
      <c r="QZP24" s="3507"/>
      <c r="QZQ24" s="3507"/>
      <c r="QZR24" s="3507"/>
      <c r="QZS24" s="3507"/>
      <c r="QZT24" s="3507"/>
      <c r="QZU24" s="3507"/>
      <c r="QZV24" s="3507"/>
      <c r="QZW24" s="3507"/>
      <c r="QZX24" s="3507"/>
      <c r="QZY24" s="3507"/>
      <c r="QZZ24" s="3507"/>
      <c r="RAA24" s="3507"/>
      <c r="RAB24" s="3507"/>
      <c r="RAC24" s="3507"/>
      <c r="RAD24" s="3507"/>
      <c r="RAE24" s="3507"/>
      <c r="RAF24" s="3507"/>
      <c r="RAG24" s="3507"/>
      <c r="RAH24" s="3507"/>
      <c r="RAI24" s="3507"/>
      <c r="RAJ24" s="3507"/>
      <c r="RAK24" s="3507"/>
      <c r="RAL24" s="3507"/>
      <c r="RAM24" s="3507"/>
      <c r="RAN24" s="3507"/>
      <c r="RAO24" s="3507"/>
      <c r="RAP24" s="3507"/>
      <c r="RAQ24" s="3507"/>
      <c r="RAR24" s="3507"/>
      <c r="RAS24" s="3507"/>
      <c r="RAT24" s="3507"/>
      <c r="RAU24" s="3507"/>
      <c r="RAV24" s="3507"/>
      <c r="RAW24" s="3507"/>
      <c r="RAX24" s="3507"/>
      <c r="RAY24" s="3507"/>
      <c r="RAZ24" s="3507"/>
      <c r="RBA24" s="3507"/>
      <c r="RBB24" s="3507"/>
      <c r="RBC24" s="3507"/>
      <c r="RBD24" s="3507"/>
      <c r="RBE24" s="3507"/>
      <c r="RBF24" s="3507"/>
      <c r="RBG24" s="3507"/>
      <c r="RBH24" s="3507"/>
      <c r="RBI24" s="3507"/>
      <c r="RBJ24" s="3507"/>
      <c r="RBK24" s="3507"/>
      <c r="RBL24" s="3507"/>
      <c r="RBM24" s="3507"/>
      <c r="RBN24" s="3507"/>
      <c r="RBO24" s="3507"/>
      <c r="RBP24" s="3507"/>
      <c r="RBQ24" s="3507"/>
      <c r="RBR24" s="3507"/>
      <c r="RBS24" s="3507"/>
      <c r="RBT24" s="3507"/>
      <c r="RBU24" s="3507"/>
      <c r="RBV24" s="3507"/>
      <c r="RBW24" s="3507"/>
      <c r="RBX24" s="3507"/>
      <c r="RBY24" s="3507"/>
      <c r="RBZ24" s="3507"/>
      <c r="RCA24" s="3507"/>
      <c r="RCB24" s="3507"/>
      <c r="RCC24" s="3507"/>
      <c r="RCD24" s="3507"/>
      <c r="RCE24" s="3507"/>
      <c r="RCF24" s="3507"/>
      <c r="RCG24" s="3507"/>
      <c r="RCH24" s="3507"/>
      <c r="RCI24" s="3507"/>
      <c r="RCJ24" s="3507"/>
      <c r="RCK24" s="3507"/>
      <c r="RCL24" s="3507"/>
      <c r="RCM24" s="3507"/>
      <c r="RCN24" s="3507"/>
      <c r="RCO24" s="3507"/>
      <c r="RCP24" s="3507"/>
      <c r="RCQ24" s="3507"/>
      <c r="RCR24" s="3507"/>
      <c r="RCS24" s="3507"/>
      <c r="RCT24" s="3507"/>
      <c r="RCU24" s="3507"/>
      <c r="RCV24" s="3507"/>
      <c r="RCW24" s="3507"/>
      <c r="RCX24" s="3507"/>
      <c r="RCY24" s="3507"/>
      <c r="RCZ24" s="3507"/>
      <c r="RDA24" s="3507"/>
      <c r="RDB24" s="3507"/>
      <c r="RDC24" s="3507"/>
      <c r="RDD24" s="3507"/>
      <c r="RDE24" s="3507"/>
      <c r="RDF24" s="3507"/>
      <c r="RDG24" s="3507"/>
      <c r="RDH24" s="3507"/>
      <c r="RDI24" s="3507"/>
      <c r="RDJ24" s="3507"/>
      <c r="RDK24" s="3507"/>
      <c r="RDL24" s="3507"/>
      <c r="RDM24" s="3507"/>
      <c r="RDN24" s="3507"/>
      <c r="RDO24" s="3507"/>
      <c r="RDP24" s="3507"/>
      <c r="RDQ24" s="3507"/>
      <c r="RDR24" s="3507"/>
      <c r="RDS24" s="3507"/>
      <c r="RDT24" s="3507"/>
      <c r="RDU24" s="3507"/>
      <c r="RDV24" s="3507"/>
      <c r="RDW24" s="3507"/>
      <c r="RDX24" s="3507"/>
      <c r="RDY24" s="3507"/>
      <c r="RDZ24" s="3507"/>
      <c r="REA24" s="3507"/>
      <c r="REB24" s="3507"/>
      <c r="REC24" s="3507"/>
      <c r="RED24" s="3507"/>
      <c r="REE24" s="3507"/>
      <c r="REF24" s="3507"/>
      <c r="REG24" s="3507"/>
      <c r="REH24" s="3507"/>
      <c r="REI24" s="3507"/>
      <c r="REJ24" s="3507"/>
      <c r="REK24" s="3507"/>
      <c r="REL24" s="3507"/>
      <c r="REM24" s="3507"/>
      <c r="REN24" s="3507"/>
      <c r="REO24" s="3507"/>
      <c r="REP24" s="3507"/>
      <c r="REQ24" s="3507"/>
      <c r="RER24" s="3507"/>
      <c r="RES24" s="3507"/>
      <c r="RET24" s="3507"/>
      <c r="REU24" s="3507"/>
      <c r="REV24" s="3507"/>
      <c r="REW24" s="3507"/>
      <c r="REX24" s="3507"/>
      <c r="REY24" s="3507"/>
      <c r="REZ24" s="3507"/>
      <c r="RFA24" s="3507"/>
      <c r="RFB24" s="3507"/>
      <c r="RFC24" s="3507"/>
      <c r="RFD24" s="3507"/>
      <c r="RFE24" s="3507"/>
      <c r="RFF24" s="3507"/>
      <c r="RFG24" s="3507"/>
      <c r="RFH24" s="3507"/>
      <c r="RFI24" s="3507"/>
      <c r="RFJ24" s="3507"/>
      <c r="RFK24" s="3507"/>
      <c r="RFL24" s="3507"/>
      <c r="RFM24" s="3507"/>
      <c r="RFN24" s="3507"/>
      <c r="RFO24" s="3507"/>
      <c r="RFP24" s="3507"/>
      <c r="RFQ24" s="3507"/>
      <c r="RFR24" s="3507"/>
      <c r="RFS24" s="3507"/>
      <c r="RFT24" s="3507"/>
      <c r="RFU24" s="3507"/>
      <c r="RFV24" s="3507"/>
      <c r="RFW24" s="3507"/>
      <c r="RFX24" s="3507"/>
      <c r="RFY24" s="3507"/>
      <c r="RFZ24" s="3507"/>
      <c r="RGA24" s="3507"/>
      <c r="RGB24" s="3507"/>
      <c r="RGC24" s="3507"/>
      <c r="RGD24" s="3507"/>
      <c r="RGE24" s="3507"/>
      <c r="RGF24" s="3507"/>
      <c r="RGG24" s="3507"/>
      <c r="RGH24" s="3507"/>
      <c r="RGI24" s="3507"/>
      <c r="RGJ24" s="3507"/>
      <c r="RGK24" s="3507"/>
      <c r="RGL24" s="3507"/>
      <c r="RGM24" s="3507"/>
      <c r="RGN24" s="3507"/>
      <c r="RGO24" s="3507"/>
      <c r="RGP24" s="3507"/>
      <c r="RGQ24" s="3507"/>
      <c r="RGR24" s="3507"/>
      <c r="RGS24" s="3507"/>
      <c r="RGT24" s="3507"/>
      <c r="RGU24" s="3507"/>
      <c r="RGV24" s="3507"/>
      <c r="RGW24" s="3507"/>
      <c r="RGX24" s="3507"/>
      <c r="RGY24" s="3507"/>
      <c r="RGZ24" s="3507"/>
      <c r="RHA24" s="3507"/>
      <c r="RHB24" s="3507"/>
      <c r="RHC24" s="3507"/>
      <c r="RHD24" s="3507"/>
      <c r="RHE24" s="3507"/>
      <c r="RHF24" s="3507"/>
      <c r="RHG24" s="3507"/>
      <c r="RHH24" s="3507"/>
      <c r="RHI24" s="3507"/>
      <c r="RHJ24" s="3507"/>
      <c r="RHK24" s="3507"/>
      <c r="RHL24" s="3507"/>
      <c r="RHM24" s="3507"/>
      <c r="RHN24" s="3507"/>
      <c r="RHO24" s="3507"/>
      <c r="RHP24" s="3507"/>
      <c r="RHQ24" s="3507"/>
      <c r="RHR24" s="3507"/>
      <c r="RHS24" s="3507"/>
      <c r="RHT24" s="3507"/>
      <c r="RHU24" s="3507"/>
      <c r="RHV24" s="3507"/>
      <c r="RHW24" s="3507"/>
      <c r="RHX24" s="3507"/>
      <c r="RHY24" s="3507"/>
      <c r="RHZ24" s="3507"/>
      <c r="RIA24" s="3507"/>
      <c r="RIB24" s="3507"/>
      <c r="RIC24" s="3507"/>
      <c r="RID24" s="3507"/>
      <c r="RIE24" s="3507"/>
      <c r="RIF24" s="3507"/>
      <c r="RIG24" s="3507"/>
      <c r="RIH24" s="3507"/>
      <c r="RII24" s="3507"/>
      <c r="RIJ24" s="3507"/>
      <c r="RIK24" s="3507"/>
      <c r="RIL24" s="3507"/>
      <c r="RIM24" s="3507"/>
      <c r="RIN24" s="3507"/>
      <c r="RIO24" s="3507"/>
      <c r="RIP24" s="3507"/>
      <c r="RIQ24" s="3507"/>
      <c r="RIR24" s="3507"/>
      <c r="RIS24" s="3507"/>
      <c r="RIT24" s="3507"/>
      <c r="RIU24" s="3507"/>
      <c r="RIV24" s="3507"/>
      <c r="RIW24" s="3507"/>
      <c r="RIX24" s="3507"/>
      <c r="RIY24" s="3507"/>
      <c r="RIZ24" s="3507"/>
      <c r="RJA24" s="3507"/>
      <c r="RJB24" s="3507"/>
      <c r="RJC24" s="3507"/>
      <c r="RJD24" s="3507"/>
      <c r="RJE24" s="3507"/>
      <c r="RJF24" s="3507"/>
      <c r="RJG24" s="3507"/>
      <c r="RJH24" s="3507"/>
      <c r="RJI24" s="3507"/>
      <c r="RJJ24" s="3507"/>
      <c r="RJK24" s="3507"/>
      <c r="RJL24" s="3507"/>
      <c r="RJM24" s="3507"/>
      <c r="RJN24" s="3507"/>
      <c r="RJO24" s="3507"/>
      <c r="RJP24" s="3507"/>
      <c r="RJQ24" s="3507"/>
      <c r="RJR24" s="3507"/>
      <c r="RJS24" s="3507"/>
      <c r="RJT24" s="3507"/>
      <c r="RJU24" s="3507"/>
      <c r="RJV24" s="3507"/>
      <c r="RJW24" s="3507"/>
      <c r="RJX24" s="3507"/>
      <c r="RJY24" s="3507"/>
      <c r="RJZ24" s="3507"/>
      <c r="RKA24" s="3507"/>
      <c r="RKB24" s="3507"/>
      <c r="RKC24" s="3507"/>
      <c r="RKD24" s="3507"/>
      <c r="RKE24" s="3507"/>
      <c r="RKF24" s="3507"/>
      <c r="RKG24" s="3507"/>
      <c r="RKH24" s="3507"/>
      <c r="RKI24" s="3507"/>
      <c r="RKJ24" s="3507"/>
      <c r="RKK24" s="3507"/>
      <c r="RKL24" s="3507"/>
      <c r="RKM24" s="3507"/>
      <c r="RKN24" s="3507"/>
      <c r="RKO24" s="3507"/>
      <c r="RKP24" s="3507"/>
      <c r="RKQ24" s="3507"/>
      <c r="RKR24" s="3507"/>
      <c r="RKS24" s="3507"/>
      <c r="RKT24" s="3507"/>
      <c r="RKU24" s="3507"/>
      <c r="RKV24" s="3507"/>
      <c r="RKW24" s="3507"/>
      <c r="RKX24" s="3507"/>
      <c r="RKY24" s="3507"/>
      <c r="RKZ24" s="3507"/>
      <c r="RLA24" s="3507"/>
      <c r="RLB24" s="3507"/>
      <c r="RLC24" s="3507"/>
      <c r="RLD24" s="3507"/>
      <c r="RLE24" s="3507"/>
      <c r="RLF24" s="3507"/>
      <c r="RLG24" s="3507"/>
      <c r="RLH24" s="3507"/>
      <c r="RLI24" s="3507"/>
      <c r="RLJ24" s="3507"/>
      <c r="RLK24" s="3507"/>
      <c r="RLL24" s="3507"/>
      <c r="RLM24" s="3507"/>
      <c r="RLN24" s="3507"/>
      <c r="RLO24" s="3507"/>
      <c r="RLP24" s="3507"/>
      <c r="RLQ24" s="3507"/>
      <c r="RLR24" s="3507"/>
      <c r="RLS24" s="3507"/>
      <c r="RLT24" s="3507"/>
      <c r="RLU24" s="3507"/>
      <c r="RLV24" s="3507"/>
      <c r="RLW24" s="3507"/>
      <c r="RLX24" s="3507"/>
      <c r="RLY24" s="3507"/>
      <c r="RLZ24" s="3507"/>
      <c r="RMA24" s="3507"/>
      <c r="RMB24" s="3507"/>
      <c r="RMC24" s="3507"/>
      <c r="RMD24" s="3507"/>
      <c r="RME24" s="3507"/>
      <c r="RMF24" s="3507"/>
      <c r="RMG24" s="3507"/>
      <c r="RMH24" s="3507"/>
      <c r="RMI24" s="3507"/>
      <c r="RMJ24" s="3507"/>
      <c r="RMK24" s="3507"/>
      <c r="RML24" s="3507"/>
      <c r="RMM24" s="3507"/>
      <c r="RMN24" s="3507"/>
      <c r="RMO24" s="3507"/>
      <c r="RMP24" s="3507"/>
      <c r="RMQ24" s="3507"/>
      <c r="RMR24" s="3507"/>
      <c r="RMS24" s="3507"/>
      <c r="RMT24" s="3507"/>
      <c r="RMU24" s="3507"/>
      <c r="RMV24" s="3507"/>
      <c r="RMW24" s="3507"/>
      <c r="RMX24" s="3507"/>
      <c r="RMY24" s="3507"/>
      <c r="RMZ24" s="3507"/>
      <c r="RNA24" s="3507"/>
      <c r="RNB24" s="3507"/>
      <c r="RNC24" s="3507"/>
      <c r="RND24" s="3507"/>
      <c r="RNE24" s="3507"/>
      <c r="RNF24" s="3507"/>
      <c r="RNG24" s="3507"/>
      <c r="RNH24" s="3507"/>
      <c r="RNI24" s="3507"/>
      <c r="RNJ24" s="3507"/>
      <c r="RNK24" s="3507"/>
      <c r="RNL24" s="3507"/>
      <c r="RNM24" s="3507"/>
      <c r="RNN24" s="3507"/>
      <c r="RNO24" s="3507"/>
      <c r="RNP24" s="3507"/>
      <c r="RNQ24" s="3507"/>
      <c r="RNR24" s="3507"/>
      <c r="RNS24" s="3507"/>
      <c r="RNT24" s="3507"/>
      <c r="RNU24" s="3507"/>
      <c r="RNV24" s="3507"/>
      <c r="RNW24" s="3507"/>
      <c r="RNX24" s="3507"/>
      <c r="RNY24" s="3507"/>
      <c r="RNZ24" s="3507"/>
      <c r="ROA24" s="3507"/>
      <c r="ROB24" s="3507"/>
      <c r="ROC24" s="3507"/>
      <c r="ROD24" s="3507"/>
      <c r="ROE24" s="3507"/>
      <c r="ROF24" s="3507"/>
      <c r="ROG24" s="3507"/>
      <c r="ROH24" s="3507"/>
      <c r="ROI24" s="3507"/>
      <c r="ROJ24" s="3507"/>
      <c r="ROK24" s="3507"/>
      <c r="ROL24" s="3507"/>
      <c r="ROM24" s="3507"/>
      <c r="RON24" s="3507"/>
      <c r="ROO24" s="3507"/>
      <c r="ROP24" s="3507"/>
      <c r="ROQ24" s="3507"/>
      <c r="ROR24" s="3507"/>
      <c r="ROS24" s="3507"/>
      <c r="ROT24" s="3507"/>
      <c r="ROU24" s="3507"/>
      <c r="ROV24" s="3507"/>
      <c r="ROW24" s="3507"/>
      <c r="ROX24" s="3507"/>
      <c r="ROY24" s="3507"/>
      <c r="ROZ24" s="3507"/>
      <c r="RPA24" s="3507"/>
      <c r="RPB24" s="3507"/>
      <c r="RPC24" s="3507"/>
      <c r="RPD24" s="3507"/>
      <c r="RPE24" s="3507"/>
      <c r="RPF24" s="3507"/>
      <c r="RPG24" s="3507"/>
      <c r="RPH24" s="3507"/>
      <c r="RPI24" s="3507"/>
      <c r="RPJ24" s="3507"/>
      <c r="RPK24" s="3507"/>
      <c r="RPL24" s="3507"/>
      <c r="RPM24" s="3507"/>
      <c r="RPN24" s="3507"/>
      <c r="RPO24" s="3507"/>
      <c r="RPP24" s="3507"/>
      <c r="RPQ24" s="3507"/>
      <c r="RPR24" s="3507"/>
      <c r="RPS24" s="3507"/>
      <c r="RPT24" s="3507"/>
      <c r="RPU24" s="3507"/>
      <c r="RPV24" s="3507"/>
      <c r="RPW24" s="3507"/>
      <c r="RPX24" s="3507"/>
      <c r="RPY24" s="3507"/>
      <c r="RPZ24" s="3507"/>
      <c r="RQA24" s="3507"/>
      <c r="RQB24" s="3507"/>
      <c r="RQC24" s="3507"/>
      <c r="RQD24" s="3507"/>
      <c r="RQE24" s="3507"/>
      <c r="RQF24" s="3507"/>
      <c r="RQG24" s="3507"/>
      <c r="RQH24" s="3507"/>
      <c r="RQI24" s="3507"/>
      <c r="RQJ24" s="3507"/>
      <c r="RQK24" s="3507"/>
      <c r="RQL24" s="3507"/>
      <c r="RQM24" s="3507"/>
      <c r="RQN24" s="3507"/>
      <c r="RQO24" s="3507"/>
      <c r="RQP24" s="3507"/>
      <c r="RQQ24" s="3507"/>
      <c r="RQR24" s="3507"/>
      <c r="RQS24" s="3507"/>
      <c r="RQT24" s="3507"/>
      <c r="RQU24" s="3507"/>
      <c r="RQV24" s="3507"/>
      <c r="RQW24" s="3507"/>
      <c r="RQX24" s="3507"/>
      <c r="RQY24" s="3507"/>
      <c r="RQZ24" s="3507"/>
      <c r="RRA24" s="3507"/>
      <c r="RRB24" s="3507"/>
      <c r="RRC24" s="3507"/>
      <c r="RRD24" s="3507"/>
      <c r="RRE24" s="3507"/>
      <c r="RRF24" s="3507"/>
      <c r="RRG24" s="3507"/>
      <c r="RRH24" s="3507"/>
      <c r="RRI24" s="3507"/>
      <c r="RRJ24" s="3507"/>
      <c r="RRK24" s="3507"/>
      <c r="RRL24" s="3507"/>
      <c r="RRM24" s="3507"/>
      <c r="RRN24" s="3507"/>
      <c r="RRO24" s="3507"/>
      <c r="RRP24" s="3507"/>
      <c r="RRQ24" s="3507"/>
      <c r="RRR24" s="3507"/>
      <c r="RRS24" s="3507"/>
      <c r="RRT24" s="3507"/>
      <c r="RRU24" s="3507"/>
      <c r="RRV24" s="3507"/>
      <c r="RRW24" s="3507"/>
      <c r="RRX24" s="3507"/>
      <c r="RRY24" s="3507"/>
      <c r="RRZ24" s="3507"/>
      <c r="RSA24" s="3507"/>
      <c r="RSB24" s="3507"/>
      <c r="RSC24" s="3507"/>
      <c r="RSD24" s="3507"/>
      <c r="RSE24" s="3507"/>
      <c r="RSF24" s="3507"/>
      <c r="RSG24" s="3507"/>
      <c r="RSH24" s="3507"/>
      <c r="RSI24" s="3507"/>
      <c r="RSJ24" s="3507"/>
      <c r="RSK24" s="3507"/>
      <c r="RSL24" s="3507"/>
      <c r="RSM24" s="3507"/>
      <c r="RSN24" s="3507"/>
      <c r="RSO24" s="3507"/>
      <c r="RSP24" s="3507"/>
      <c r="RSQ24" s="3507"/>
      <c r="RSR24" s="3507"/>
      <c r="RSS24" s="3507"/>
      <c r="RST24" s="3507"/>
      <c r="RSU24" s="3507"/>
      <c r="RSV24" s="3507"/>
      <c r="RSW24" s="3507"/>
      <c r="RSX24" s="3507"/>
      <c r="RSY24" s="3507"/>
      <c r="RSZ24" s="3507"/>
      <c r="RTA24" s="3507"/>
      <c r="RTB24" s="3507"/>
      <c r="RTC24" s="3507"/>
      <c r="RTD24" s="3507"/>
      <c r="RTE24" s="3507"/>
      <c r="RTF24" s="3507"/>
      <c r="RTG24" s="3507"/>
      <c r="RTH24" s="3507"/>
      <c r="RTI24" s="3507"/>
      <c r="RTJ24" s="3507"/>
      <c r="RTK24" s="3507"/>
      <c r="RTL24" s="3507"/>
      <c r="RTM24" s="3507"/>
      <c r="RTN24" s="3507"/>
      <c r="RTO24" s="3507"/>
      <c r="RTP24" s="3507"/>
      <c r="RTQ24" s="3507"/>
      <c r="RTR24" s="3507"/>
      <c r="RTS24" s="3507"/>
      <c r="RTT24" s="3507"/>
      <c r="RTU24" s="3507"/>
      <c r="RTV24" s="3507"/>
      <c r="RTW24" s="3507"/>
      <c r="RTX24" s="3507"/>
      <c r="RTY24" s="3507"/>
      <c r="RTZ24" s="3507"/>
      <c r="RUA24" s="3507"/>
      <c r="RUB24" s="3507"/>
      <c r="RUC24" s="3507"/>
      <c r="RUD24" s="3507"/>
      <c r="RUE24" s="3507"/>
      <c r="RUF24" s="3507"/>
      <c r="RUG24" s="3507"/>
      <c r="RUH24" s="3507"/>
      <c r="RUI24" s="3507"/>
      <c r="RUJ24" s="3507"/>
      <c r="RUK24" s="3507"/>
      <c r="RUL24" s="3507"/>
      <c r="RUM24" s="3507"/>
      <c r="RUN24" s="3507"/>
      <c r="RUO24" s="3507"/>
      <c r="RUP24" s="3507"/>
      <c r="RUQ24" s="3507"/>
      <c r="RUR24" s="3507"/>
      <c r="RUS24" s="3507"/>
      <c r="RUT24" s="3507"/>
      <c r="RUU24" s="3507"/>
      <c r="RUV24" s="3507"/>
      <c r="RUW24" s="3507"/>
      <c r="RUX24" s="3507"/>
      <c r="RUY24" s="3507"/>
      <c r="RUZ24" s="3507"/>
      <c r="RVA24" s="3507"/>
      <c r="RVB24" s="3507"/>
      <c r="RVC24" s="3507"/>
      <c r="RVD24" s="3507"/>
      <c r="RVE24" s="3507"/>
      <c r="RVF24" s="3507"/>
      <c r="RVG24" s="3507"/>
      <c r="RVH24" s="3507"/>
      <c r="RVI24" s="3507"/>
      <c r="RVJ24" s="3507"/>
      <c r="RVK24" s="3507"/>
      <c r="RVL24" s="3507"/>
      <c r="RVM24" s="3507"/>
      <c r="RVN24" s="3507"/>
      <c r="RVO24" s="3507"/>
      <c r="RVP24" s="3507"/>
      <c r="RVQ24" s="3507"/>
      <c r="RVR24" s="3507"/>
      <c r="RVS24" s="3507"/>
      <c r="RVT24" s="3507"/>
      <c r="RVU24" s="3507"/>
      <c r="RVV24" s="3507"/>
      <c r="RVW24" s="3507"/>
      <c r="RVX24" s="3507"/>
      <c r="RVY24" s="3507"/>
      <c r="RVZ24" s="3507"/>
      <c r="RWA24" s="3507"/>
      <c r="RWB24" s="3507"/>
      <c r="RWC24" s="3507"/>
      <c r="RWD24" s="3507"/>
      <c r="RWE24" s="3507"/>
      <c r="RWF24" s="3507"/>
      <c r="RWG24" s="3507"/>
      <c r="RWH24" s="3507"/>
      <c r="RWI24" s="3507"/>
      <c r="RWJ24" s="3507"/>
      <c r="RWK24" s="3507"/>
      <c r="RWL24" s="3507"/>
      <c r="RWM24" s="3507"/>
      <c r="RWN24" s="3507"/>
      <c r="RWO24" s="3507"/>
      <c r="RWP24" s="3507"/>
      <c r="RWQ24" s="3507"/>
      <c r="RWR24" s="3507"/>
      <c r="RWS24" s="3507"/>
      <c r="RWT24" s="3507"/>
      <c r="RWU24" s="3507"/>
      <c r="RWV24" s="3507"/>
      <c r="RWW24" s="3507"/>
      <c r="RWX24" s="3507"/>
      <c r="RWY24" s="3507"/>
      <c r="RWZ24" s="3507"/>
      <c r="RXA24" s="3507"/>
      <c r="RXB24" s="3507"/>
      <c r="RXC24" s="3507"/>
      <c r="RXD24" s="3507"/>
      <c r="RXE24" s="3507"/>
      <c r="RXF24" s="3507"/>
      <c r="RXG24" s="3507"/>
      <c r="RXH24" s="3507"/>
      <c r="RXI24" s="3507"/>
      <c r="RXJ24" s="3507"/>
      <c r="RXK24" s="3507"/>
      <c r="RXL24" s="3507"/>
      <c r="RXM24" s="3507"/>
      <c r="RXN24" s="3507"/>
      <c r="RXO24" s="3507"/>
      <c r="RXP24" s="3507"/>
      <c r="RXQ24" s="3507"/>
      <c r="RXR24" s="3507"/>
      <c r="RXS24" s="3507"/>
      <c r="RXT24" s="3507"/>
      <c r="RXU24" s="3507"/>
      <c r="RXV24" s="3507"/>
      <c r="RXW24" s="3507"/>
      <c r="RXX24" s="3507"/>
      <c r="RXY24" s="3507"/>
      <c r="RXZ24" s="3507"/>
      <c r="RYA24" s="3507"/>
      <c r="RYB24" s="3507"/>
      <c r="RYC24" s="3507"/>
      <c r="RYD24" s="3507"/>
      <c r="RYE24" s="3507"/>
      <c r="RYF24" s="3507"/>
      <c r="RYG24" s="3507"/>
      <c r="RYH24" s="3507"/>
      <c r="RYI24" s="3507"/>
      <c r="RYJ24" s="3507"/>
      <c r="RYK24" s="3507"/>
      <c r="RYL24" s="3507"/>
      <c r="RYM24" s="3507"/>
      <c r="RYN24" s="3507"/>
      <c r="RYO24" s="3507"/>
      <c r="RYP24" s="3507"/>
      <c r="RYQ24" s="3507"/>
      <c r="RYR24" s="3507"/>
      <c r="RYS24" s="3507"/>
      <c r="RYT24" s="3507"/>
      <c r="RYU24" s="3507"/>
      <c r="RYV24" s="3507"/>
      <c r="RYW24" s="3507"/>
      <c r="RYX24" s="3507"/>
      <c r="RYY24" s="3507"/>
      <c r="RYZ24" s="3507"/>
      <c r="RZA24" s="3507"/>
      <c r="RZB24" s="3507"/>
      <c r="RZC24" s="3507"/>
      <c r="RZD24" s="3507"/>
      <c r="RZE24" s="3507"/>
      <c r="RZF24" s="3507"/>
      <c r="RZG24" s="3507"/>
      <c r="RZH24" s="3507"/>
      <c r="RZI24" s="3507"/>
      <c r="RZJ24" s="3507"/>
      <c r="RZK24" s="3507"/>
      <c r="RZL24" s="3507"/>
      <c r="RZM24" s="3507"/>
      <c r="RZN24" s="3507"/>
      <c r="RZO24" s="3507"/>
      <c r="RZP24" s="3507"/>
      <c r="RZQ24" s="3507"/>
      <c r="RZR24" s="3507"/>
      <c r="RZS24" s="3507"/>
      <c r="RZT24" s="3507"/>
      <c r="RZU24" s="3507"/>
      <c r="RZV24" s="3507"/>
      <c r="RZW24" s="3507"/>
      <c r="RZX24" s="3507"/>
      <c r="RZY24" s="3507"/>
      <c r="RZZ24" s="3507"/>
      <c r="SAA24" s="3507"/>
      <c r="SAB24" s="3507"/>
      <c r="SAC24" s="3507"/>
      <c r="SAD24" s="3507"/>
      <c r="SAE24" s="3507"/>
      <c r="SAF24" s="3507"/>
      <c r="SAG24" s="3507"/>
      <c r="SAH24" s="3507"/>
      <c r="SAI24" s="3507"/>
      <c r="SAJ24" s="3507"/>
      <c r="SAK24" s="3507"/>
      <c r="SAL24" s="3507"/>
      <c r="SAM24" s="3507"/>
      <c r="SAN24" s="3507"/>
      <c r="SAO24" s="3507"/>
      <c r="SAP24" s="3507"/>
      <c r="SAQ24" s="3507"/>
      <c r="SAR24" s="3507"/>
      <c r="SAS24" s="3507"/>
      <c r="SAT24" s="3507"/>
      <c r="SAU24" s="3507"/>
      <c r="SAV24" s="3507"/>
      <c r="SAW24" s="3507"/>
      <c r="SAX24" s="3507"/>
      <c r="SAY24" s="3507"/>
      <c r="SAZ24" s="3507"/>
      <c r="SBA24" s="3507"/>
      <c r="SBB24" s="3507"/>
      <c r="SBC24" s="3507"/>
      <c r="SBD24" s="3507"/>
      <c r="SBE24" s="3507"/>
      <c r="SBF24" s="3507"/>
      <c r="SBG24" s="3507"/>
      <c r="SBH24" s="3507"/>
      <c r="SBI24" s="3507"/>
      <c r="SBJ24" s="3507"/>
      <c r="SBK24" s="3507"/>
      <c r="SBL24" s="3507"/>
      <c r="SBM24" s="3507"/>
      <c r="SBN24" s="3507"/>
      <c r="SBO24" s="3507"/>
      <c r="SBP24" s="3507"/>
      <c r="SBQ24" s="3507"/>
      <c r="SBR24" s="3507"/>
      <c r="SBS24" s="3507"/>
      <c r="SBT24" s="3507"/>
      <c r="SBU24" s="3507"/>
      <c r="SBV24" s="3507"/>
      <c r="SBW24" s="3507"/>
      <c r="SBX24" s="3507"/>
      <c r="SBY24" s="3507"/>
      <c r="SBZ24" s="3507"/>
      <c r="SCA24" s="3507"/>
      <c r="SCB24" s="3507"/>
      <c r="SCC24" s="3507"/>
      <c r="SCD24" s="3507"/>
      <c r="SCE24" s="3507"/>
      <c r="SCF24" s="3507"/>
      <c r="SCG24" s="3507"/>
      <c r="SCH24" s="3507"/>
      <c r="SCI24" s="3507"/>
      <c r="SCJ24" s="3507"/>
      <c r="SCK24" s="3507"/>
      <c r="SCL24" s="3507"/>
      <c r="SCM24" s="3507"/>
      <c r="SCN24" s="3507"/>
      <c r="SCO24" s="3507"/>
      <c r="SCP24" s="3507"/>
      <c r="SCQ24" s="3507"/>
      <c r="SCR24" s="3507"/>
      <c r="SCS24" s="3507"/>
      <c r="SCT24" s="3507"/>
      <c r="SCU24" s="3507"/>
      <c r="SCV24" s="3507"/>
      <c r="SCW24" s="3507"/>
      <c r="SCX24" s="3507"/>
      <c r="SCY24" s="3507"/>
      <c r="SCZ24" s="3507"/>
      <c r="SDA24" s="3507"/>
      <c r="SDB24" s="3507"/>
      <c r="SDC24" s="3507"/>
      <c r="SDD24" s="3507"/>
      <c r="SDE24" s="3507"/>
      <c r="SDF24" s="3507"/>
      <c r="SDG24" s="3507"/>
      <c r="SDH24" s="3507"/>
      <c r="SDI24" s="3507"/>
      <c r="SDJ24" s="3507"/>
      <c r="SDK24" s="3507"/>
      <c r="SDL24" s="3507"/>
      <c r="SDM24" s="3507"/>
      <c r="SDN24" s="3507"/>
      <c r="SDO24" s="3507"/>
      <c r="SDP24" s="3507"/>
      <c r="SDQ24" s="3507"/>
      <c r="SDR24" s="3507"/>
      <c r="SDS24" s="3507"/>
      <c r="SDT24" s="3507"/>
      <c r="SDU24" s="3507"/>
      <c r="SDV24" s="3507"/>
      <c r="SDW24" s="3507"/>
      <c r="SDX24" s="3507"/>
      <c r="SDY24" s="3507"/>
      <c r="SDZ24" s="3507"/>
      <c r="SEA24" s="3507"/>
      <c r="SEB24" s="3507"/>
      <c r="SEC24" s="3507"/>
      <c r="SED24" s="3507"/>
      <c r="SEE24" s="3507"/>
      <c r="SEF24" s="3507"/>
      <c r="SEG24" s="3507"/>
      <c r="SEH24" s="3507"/>
      <c r="SEI24" s="3507"/>
      <c r="SEJ24" s="3507"/>
      <c r="SEK24" s="3507"/>
      <c r="SEL24" s="3507"/>
      <c r="SEM24" s="3507"/>
      <c r="SEN24" s="3507"/>
      <c r="SEO24" s="3507"/>
      <c r="SEP24" s="3507"/>
      <c r="SEQ24" s="3507"/>
      <c r="SER24" s="3507"/>
      <c r="SES24" s="3507"/>
      <c r="SET24" s="3507"/>
      <c r="SEU24" s="3507"/>
      <c r="SEV24" s="3507"/>
      <c r="SEW24" s="3507"/>
      <c r="SEX24" s="3507"/>
      <c r="SEY24" s="3507"/>
      <c r="SEZ24" s="3507"/>
      <c r="SFA24" s="3507"/>
      <c r="SFB24" s="3507"/>
      <c r="SFC24" s="3507"/>
      <c r="SFD24" s="3507"/>
      <c r="SFE24" s="3507"/>
      <c r="SFF24" s="3507"/>
      <c r="SFG24" s="3507"/>
      <c r="SFH24" s="3507"/>
      <c r="SFI24" s="3507"/>
      <c r="SFJ24" s="3507"/>
      <c r="SFK24" s="3507"/>
      <c r="SFL24" s="3507"/>
      <c r="SFM24" s="3507"/>
      <c r="SFN24" s="3507"/>
      <c r="SFO24" s="3507"/>
      <c r="SFP24" s="3507"/>
      <c r="SFQ24" s="3507"/>
      <c r="SFR24" s="3507"/>
      <c r="SFS24" s="3507"/>
      <c r="SFT24" s="3507"/>
      <c r="SFU24" s="3507"/>
      <c r="SFV24" s="3507"/>
      <c r="SFW24" s="3507"/>
      <c r="SFX24" s="3507"/>
      <c r="SFY24" s="3507"/>
      <c r="SFZ24" s="3507"/>
      <c r="SGA24" s="3507"/>
      <c r="SGB24" s="3507"/>
      <c r="SGC24" s="3507"/>
      <c r="SGD24" s="3507"/>
      <c r="SGE24" s="3507"/>
      <c r="SGF24" s="3507"/>
      <c r="SGG24" s="3507"/>
      <c r="SGH24" s="3507"/>
      <c r="SGI24" s="3507"/>
      <c r="SGJ24" s="3507"/>
      <c r="SGK24" s="3507"/>
      <c r="SGL24" s="3507"/>
      <c r="SGM24" s="3507"/>
      <c r="SGN24" s="3507"/>
      <c r="SGO24" s="3507"/>
      <c r="SGP24" s="3507"/>
      <c r="SGQ24" s="3507"/>
      <c r="SGR24" s="3507"/>
      <c r="SGS24" s="3507"/>
      <c r="SGT24" s="3507"/>
      <c r="SGU24" s="3507"/>
      <c r="SGV24" s="3507"/>
      <c r="SGW24" s="3507"/>
      <c r="SGX24" s="3507"/>
      <c r="SGY24" s="3507"/>
      <c r="SGZ24" s="3507"/>
      <c r="SHA24" s="3507"/>
      <c r="SHB24" s="3507"/>
      <c r="SHC24" s="3507"/>
      <c r="SHD24" s="3507"/>
      <c r="SHE24" s="3507"/>
      <c r="SHF24" s="3507"/>
      <c r="SHG24" s="3507"/>
      <c r="SHH24" s="3507"/>
      <c r="SHI24" s="3507"/>
      <c r="SHJ24" s="3507"/>
      <c r="SHK24" s="3507"/>
      <c r="SHL24" s="3507"/>
      <c r="SHM24" s="3507"/>
      <c r="SHN24" s="3507"/>
      <c r="SHO24" s="3507"/>
      <c r="SHP24" s="3507"/>
      <c r="SHQ24" s="3507"/>
      <c r="SHR24" s="3507"/>
      <c r="SHS24" s="3507"/>
      <c r="SHT24" s="3507"/>
      <c r="SHU24" s="3507"/>
      <c r="SHV24" s="3507"/>
      <c r="SHW24" s="3507"/>
      <c r="SHX24" s="3507"/>
      <c r="SHY24" s="3507"/>
      <c r="SHZ24" s="3507"/>
      <c r="SIA24" s="3507"/>
      <c r="SIB24" s="3507"/>
      <c r="SIC24" s="3507"/>
      <c r="SID24" s="3507"/>
      <c r="SIE24" s="3507"/>
      <c r="SIF24" s="3507"/>
      <c r="SIG24" s="3507"/>
      <c r="SIH24" s="3507"/>
      <c r="SII24" s="3507"/>
      <c r="SIJ24" s="3507"/>
      <c r="SIK24" s="3507"/>
      <c r="SIL24" s="3507"/>
      <c r="SIM24" s="3507"/>
      <c r="SIN24" s="3507"/>
      <c r="SIO24" s="3507"/>
      <c r="SIP24" s="3507"/>
      <c r="SIQ24" s="3507"/>
      <c r="SIR24" s="3507"/>
      <c r="SIS24" s="3507"/>
      <c r="SIT24" s="3507"/>
      <c r="SIU24" s="3507"/>
      <c r="SIV24" s="3507"/>
      <c r="SIW24" s="3507"/>
      <c r="SIX24" s="3507"/>
      <c r="SIY24" s="3507"/>
      <c r="SIZ24" s="3507"/>
      <c r="SJA24" s="3507"/>
      <c r="SJB24" s="3507"/>
      <c r="SJC24" s="3507"/>
      <c r="SJD24" s="3507"/>
      <c r="SJE24" s="3507"/>
      <c r="SJF24" s="3507"/>
      <c r="SJG24" s="3507"/>
      <c r="SJH24" s="3507"/>
      <c r="SJI24" s="3507"/>
      <c r="SJJ24" s="3507"/>
      <c r="SJK24" s="3507"/>
      <c r="SJL24" s="3507"/>
      <c r="SJM24" s="3507"/>
      <c r="SJN24" s="3507"/>
      <c r="SJO24" s="3507"/>
      <c r="SJP24" s="3507"/>
      <c r="SJQ24" s="3507"/>
      <c r="SJR24" s="3507"/>
      <c r="SJS24" s="3507"/>
      <c r="SJT24" s="3507"/>
      <c r="SJU24" s="3507"/>
      <c r="SJV24" s="3507"/>
      <c r="SJW24" s="3507"/>
      <c r="SJX24" s="3507"/>
      <c r="SJY24" s="3507"/>
      <c r="SJZ24" s="3507"/>
      <c r="SKA24" s="3507"/>
      <c r="SKB24" s="3507"/>
      <c r="SKC24" s="3507"/>
      <c r="SKD24" s="3507"/>
      <c r="SKE24" s="3507"/>
      <c r="SKF24" s="3507"/>
      <c r="SKG24" s="3507"/>
      <c r="SKH24" s="3507"/>
      <c r="SKI24" s="3507"/>
      <c r="SKJ24" s="3507"/>
      <c r="SKK24" s="3507"/>
      <c r="SKL24" s="3507"/>
      <c r="SKM24" s="3507"/>
      <c r="SKN24" s="3507"/>
      <c r="SKO24" s="3507"/>
      <c r="SKP24" s="3507"/>
      <c r="SKQ24" s="3507"/>
      <c r="SKR24" s="3507"/>
      <c r="SKS24" s="3507"/>
      <c r="SKT24" s="3507"/>
      <c r="SKU24" s="3507"/>
      <c r="SKV24" s="3507"/>
      <c r="SKW24" s="3507"/>
      <c r="SKX24" s="3507"/>
      <c r="SKY24" s="3507"/>
      <c r="SKZ24" s="3507"/>
      <c r="SLA24" s="3507"/>
      <c r="SLB24" s="3507"/>
      <c r="SLC24" s="3507"/>
      <c r="SLD24" s="3507"/>
      <c r="SLE24" s="3507"/>
      <c r="SLF24" s="3507"/>
      <c r="SLG24" s="3507"/>
      <c r="SLH24" s="3507"/>
      <c r="SLI24" s="3507"/>
      <c r="SLJ24" s="3507"/>
      <c r="SLK24" s="3507"/>
      <c r="SLL24" s="3507"/>
      <c r="SLM24" s="3507"/>
      <c r="SLN24" s="3507"/>
      <c r="SLO24" s="3507"/>
      <c r="SLP24" s="3507"/>
      <c r="SLQ24" s="3507"/>
      <c r="SLR24" s="3507"/>
      <c r="SLS24" s="3507"/>
      <c r="SLT24" s="3507"/>
      <c r="SLU24" s="3507"/>
      <c r="SLV24" s="3507"/>
      <c r="SLW24" s="3507"/>
      <c r="SLX24" s="3507"/>
      <c r="SLY24" s="3507"/>
      <c r="SLZ24" s="3507"/>
      <c r="SMA24" s="3507"/>
      <c r="SMB24" s="3507"/>
      <c r="SMC24" s="3507"/>
      <c r="SMD24" s="3507"/>
      <c r="SME24" s="3507"/>
      <c r="SMF24" s="3507"/>
      <c r="SMG24" s="3507"/>
      <c r="SMH24" s="3507"/>
      <c r="SMI24" s="3507"/>
      <c r="SMJ24" s="3507"/>
      <c r="SMK24" s="3507"/>
      <c r="SML24" s="3507"/>
      <c r="SMM24" s="3507"/>
      <c r="SMN24" s="3507"/>
      <c r="SMO24" s="3507"/>
      <c r="SMP24" s="3507"/>
      <c r="SMQ24" s="3507"/>
      <c r="SMR24" s="3507"/>
      <c r="SMS24" s="3507"/>
      <c r="SMT24" s="3507"/>
      <c r="SMU24" s="3507"/>
      <c r="SMV24" s="3507"/>
      <c r="SMW24" s="3507"/>
      <c r="SMX24" s="3507"/>
      <c r="SMY24" s="3507"/>
      <c r="SMZ24" s="3507"/>
      <c r="SNA24" s="3507"/>
      <c r="SNB24" s="3507"/>
      <c r="SNC24" s="3507"/>
      <c r="SND24" s="3507"/>
      <c r="SNE24" s="3507"/>
      <c r="SNF24" s="3507"/>
      <c r="SNG24" s="3507"/>
      <c r="SNH24" s="3507"/>
      <c r="SNI24" s="3507"/>
      <c r="SNJ24" s="3507"/>
      <c r="SNK24" s="3507"/>
      <c r="SNL24" s="3507"/>
      <c r="SNM24" s="3507"/>
      <c r="SNN24" s="3507"/>
      <c r="SNO24" s="3507"/>
      <c r="SNP24" s="3507"/>
      <c r="SNQ24" s="3507"/>
      <c r="SNR24" s="3507"/>
      <c r="SNS24" s="3507"/>
      <c r="SNT24" s="3507"/>
      <c r="SNU24" s="3507"/>
      <c r="SNV24" s="3507"/>
      <c r="SNW24" s="3507"/>
      <c r="SNX24" s="3507"/>
      <c r="SNY24" s="3507"/>
      <c r="SNZ24" s="3507"/>
      <c r="SOA24" s="3507"/>
      <c r="SOB24" s="3507"/>
      <c r="SOC24" s="3507"/>
      <c r="SOD24" s="3507"/>
      <c r="SOE24" s="3507"/>
      <c r="SOF24" s="3507"/>
      <c r="SOG24" s="3507"/>
      <c r="SOH24" s="3507"/>
      <c r="SOI24" s="3507"/>
      <c r="SOJ24" s="3507"/>
      <c r="SOK24" s="3507"/>
      <c r="SOL24" s="3507"/>
      <c r="SOM24" s="3507"/>
      <c r="SON24" s="3507"/>
      <c r="SOO24" s="3507"/>
      <c r="SOP24" s="3507"/>
      <c r="SOQ24" s="3507"/>
      <c r="SOR24" s="3507"/>
      <c r="SOS24" s="3507"/>
      <c r="SOT24" s="3507"/>
      <c r="SOU24" s="3507"/>
      <c r="SOV24" s="3507"/>
      <c r="SOW24" s="3507"/>
      <c r="SOX24" s="3507"/>
      <c r="SOY24" s="3507"/>
      <c r="SOZ24" s="3507"/>
      <c r="SPA24" s="3507"/>
      <c r="SPB24" s="3507"/>
      <c r="SPC24" s="3507"/>
      <c r="SPD24" s="3507"/>
      <c r="SPE24" s="3507"/>
      <c r="SPF24" s="3507"/>
      <c r="SPG24" s="3507"/>
      <c r="SPH24" s="3507"/>
      <c r="SPI24" s="3507"/>
      <c r="SPJ24" s="3507"/>
      <c r="SPK24" s="3507"/>
      <c r="SPL24" s="3507"/>
      <c r="SPM24" s="3507"/>
      <c r="SPN24" s="3507"/>
      <c r="SPO24" s="3507"/>
      <c r="SPP24" s="3507"/>
      <c r="SPQ24" s="3507"/>
      <c r="SPR24" s="3507"/>
      <c r="SPS24" s="3507"/>
      <c r="SPT24" s="3507"/>
      <c r="SPU24" s="3507"/>
      <c r="SPV24" s="3507"/>
      <c r="SPW24" s="3507"/>
      <c r="SPX24" s="3507"/>
      <c r="SPY24" s="3507"/>
      <c r="SPZ24" s="3507"/>
      <c r="SQA24" s="3507"/>
      <c r="SQB24" s="3507"/>
      <c r="SQC24" s="3507"/>
      <c r="SQD24" s="3507"/>
      <c r="SQE24" s="3507"/>
      <c r="SQF24" s="3507"/>
      <c r="SQG24" s="3507"/>
      <c r="SQH24" s="3507"/>
      <c r="SQI24" s="3507"/>
      <c r="SQJ24" s="3507"/>
      <c r="SQK24" s="3507"/>
      <c r="SQL24" s="3507"/>
      <c r="SQM24" s="3507"/>
      <c r="SQN24" s="3507"/>
      <c r="SQO24" s="3507"/>
      <c r="SQP24" s="3507"/>
      <c r="SQQ24" s="3507"/>
      <c r="SQR24" s="3507"/>
      <c r="SQS24" s="3507"/>
      <c r="SQT24" s="3507"/>
      <c r="SQU24" s="3507"/>
      <c r="SQV24" s="3507"/>
      <c r="SQW24" s="3507"/>
      <c r="SQX24" s="3507"/>
      <c r="SQY24" s="3507"/>
      <c r="SQZ24" s="3507"/>
      <c r="SRA24" s="3507"/>
      <c r="SRB24" s="3507"/>
      <c r="SRC24" s="3507"/>
      <c r="SRD24" s="3507"/>
      <c r="SRE24" s="3507"/>
      <c r="SRF24" s="3507"/>
      <c r="SRG24" s="3507"/>
      <c r="SRH24" s="3507"/>
      <c r="SRI24" s="3507"/>
      <c r="SRJ24" s="3507"/>
      <c r="SRK24" s="3507"/>
      <c r="SRL24" s="3507"/>
      <c r="SRM24" s="3507"/>
      <c r="SRN24" s="3507"/>
      <c r="SRO24" s="3507"/>
      <c r="SRP24" s="3507"/>
      <c r="SRQ24" s="3507"/>
      <c r="SRR24" s="3507"/>
      <c r="SRS24" s="3507"/>
      <c r="SRT24" s="3507"/>
      <c r="SRU24" s="3507"/>
      <c r="SRV24" s="3507"/>
      <c r="SRW24" s="3507"/>
      <c r="SRX24" s="3507"/>
      <c r="SRY24" s="3507"/>
      <c r="SRZ24" s="3507"/>
      <c r="SSA24" s="3507"/>
      <c r="SSB24" s="3507"/>
      <c r="SSC24" s="3507"/>
      <c r="SSD24" s="3507"/>
      <c r="SSE24" s="3507"/>
      <c r="SSF24" s="3507"/>
      <c r="SSG24" s="3507"/>
      <c r="SSH24" s="3507"/>
      <c r="SSI24" s="3507"/>
      <c r="SSJ24" s="3507"/>
      <c r="SSK24" s="3507"/>
      <c r="SSL24" s="3507"/>
      <c r="SSM24" s="3507"/>
      <c r="SSN24" s="3507"/>
      <c r="SSO24" s="3507"/>
      <c r="SSP24" s="3507"/>
      <c r="SSQ24" s="3507"/>
      <c r="SSR24" s="3507"/>
      <c r="SSS24" s="3507"/>
      <c r="SST24" s="3507"/>
      <c r="SSU24" s="3507"/>
      <c r="SSV24" s="3507"/>
      <c r="SSW24" s="3507"/>
      <c r="SSX24" s="3507"/>
      <c r="SSY24" s="3507"/>
      <c r="SSZ24" s="3507"/>
      <c r="STA24" s="3507"/>
      <c r="STB24" s="3507"/>
      <c r="STC24" s="3507"/>
      <c r="STD24" s="3507"/>
      <c r="STE24" s="3507"/>
      <c r="STF24" s="3507"/>
      <c r="STG24" s="3507"/>
      <c r="STH24" s="3507"/>
      <c r="STI24" s="3507"/>
      <c r="STJ24" s="3507"/>
      <c r="STK24" s="3507"/>
      <c r="STL24" s="3507"/>
      <c r="STM24" s="3507"/>
      <c r="STN24" s="3507"/>
      <c r="STO24" s="3507"/>
      <c r="STP24" s="3507"/>
      <c r="STQ24" s="3507"/>
      <c r="STR24" s="3507"/>
      <c r="STS24" s="3507"/>
      <c r="STT24" s="3507"/>
      <c r="STU24" s="3507"/>
      <c r="STV24" s="3507"/>
      <c r="STW24" s="3507"/>
      <c r="STX24" s="3507"/>
      <c r="STY24" s="3507"/>
      <c r="STZ24" s="3507"/>
      <c r="SUA24" s="3507"/>
      <c r="SUB24" s="3507"/>
      <c r="SUC24" s="3507"/>
      <c r="SUD24" s="3507"/>
      <c r="SUE24" s="3507"/>
      <c r="SUF24" s="3507"/>
      <c r="SUG24" s="3507"/>
      <c r="SUH24" s="3507"/>
      <c r="SUI24" s="3507"/>
      <c r="SUJ24" s="3507"/>
      <c r="SUK24" s="3507"/>
      <c r="SUL24" s="3507"/>
      <c r="SUM24" s="3507"/>
      <c r="SUN24" s="3507"/>
      <c r="SUO24" s="3507"/>
      <c r="SUP24" s="3507"/>
      <c r="SUQ24" s="3507"/>
      <c r="SUR24" s="3507"/>
      <c r="SUS24" s="3507"/>
      <c r="SUT24" s="3507"/>
      <c r="SUU24" s="3507"/>
      <c r="SUV24" s="3507"/>
      <c r="SUW24" s="3507"/>
      <c r="SUX24" s="3507"/>
      <c r="SUY24" s="3507"/>
      <c r="SUZ24" s="3507"/>
      <c r="SVA24" s="3507"/>
      <c r="SVB24" s="3507"/>
      <c r="SVC24" s="3507"/>
      <c r="SVD24" s="3507"/>
      <c r="SVE24" s="3507"/>
      <c r="SVF24" s="3507"/>
      <c r="SVG24" s="3507"/>
      <c r="SVH24" s="3507"/>
      <c r="SVI24" s="3507"/>
      <c r="SVJ24" s="3507"/>
      <c r="SVK24" s="3507"/>
      <c r="SVL24" s="3507"/>
      <c r="SVM24" s="3507"/>
      <c r="SVN24" s="3507"/>
      <c r="SVO24" s="3507"/>
      <c r="SVP24" s="3507"/>
      <c r="SVQ24" s="3507"/>
      <c r="SVR24" s="3507"/>
      <c r="SVS24" s="3507"/>
      <c r="SVT24" s="3507"/>
      <c r="SVU24" s="3507"/>
      <c r="SVV24" s="3507"/>
      <c r="SVW24" s="3507"/>
      <c r="SVX24" s="3507"/>
      <c r="SVY24" s="3507"/>
      <c r="SVZ24" s="3507"/>
      <c r="SWA24" s="3507"/>
      <c r="SWB24" s="3507"/>
      <c r="SWC24" s="3507"/>
      <c r="SWD24" s="3507"/>
      <c r="SWE24" s="3507"/>
      <c r="SWF24" s="3507"/>
      <c r="SWG24" s="3507"/>
      <c r="SWH24" s="3507"/>
      <c r="SWI24" s="3507"/>
      <c r="SWJ24" s="3507"/>
      <c r="SWK24" s="3507"/>
      <c r="SWL24" s="3507"/>
      <c r="SWM24" s="3507"/>
      <c r="SWN24" s="3507"/>
      <c r="SWO24" s="3507"/>
      <c r="SWP24" s="3507"/>
      <c r="SWQ24" s="3507"/>
      <c r="SWR24" s="3507"/>
      <c r="SWS24" s="3507"/>
      <c r="SWT24" s="3507"/>
      <c r="SWU24" s="3507"/>
      <c r="SWV24" s="3507"/>
      <c r="SWW24" s="3507"/>
      <c r="SWX24" s="3507"/>
      <c r="SWY24" s="3507"/>
      <c r="SWZ24" s="3507"/>
      <c r="SXA24" s="3507"/>
      <c r="SXB24" s="3507"/>
      <c r="SXC24" s="3507"/>
      <c r="SXD24" s="3507"/>
      <c r="SXE24" s="3507"/>
      <c r="SXF24" s="3507"/>
      <c r="SXG24" s="3507"/>
      <c r="SXH24" s="3507"/>
      <c r="SXI24" s="3507"/>
      <c r="SXJ24" s="3507"/>
      <c r="SXK24" s="3507"/>
      <c r="SXL24" s="3507"/>
      <c r="SXM24" s="3507"/>
      <c r="SXN24" s="3507"/>
      <c r="SXO24" s="3507"/>
      <c r="SXP24" s="3507"/>
      <c r="SXQ24" s="3507"/>
      <c r="SXR24" s="3507"/>
      <c r="SXS24" s="3507"/>
      <c r="SXT24" s="3507"/>
      <c r="SXU24" s="3507"/>
      <c r="SXV24" s="3507"/>
      <c r="SXW24" s="3507"/>
      <c r="SXX24" s="3507"/>
      <c r="SXY24" s="3507"/>
      <c r="SXZ24" s="3507"/>
      <c r="SYA24" s="3507"/>
      <c r="SYB24" s="3507"/>
      <c r="SYC24" s="3507"/>
      <c r="SYD24" s="3507"/>
      <c r="SYE24" s="3507"/>
      <c r="SYF24" s="3507"/>
      <c r="SYG24" s="3507"/>
      <c r="SYH24" s="3507"/>
      <c r="SYI24" s="3507"/>
      <c r="SYJ24" s="3507"/>
      <c r="SYK24" s="3507"/>
      <c r="SYL24" s="3507"/>
      <c r="SYM24" s="3507"/>
      <c r="SYN24" s="3507"/>
      <c r="SYO24" s="3507"/>
      <c r="SYP24" s="3507"/>
      <c r="SYQ24" s="3507"/>
      <c r="SYR24" s="3507"/>
      <c r="SYS24" s="3507"/>
      <c r="SYT24" s="3507"/>
      <c r="SYU24" s="3507"/>
      <c r="SYV24" s="3507"/>
      <c r="SYW24" s="3507"/>
      <c r="SYX24" s="3507"/>
      <c r="SYY24" s="3507"/>
      <c r="SYZ24" s="3507"/>
      <c r="SZA24" s="3507"/>
      <c r="SZB24" s="3507"/>
      <c r="SZC24" s="3507"/>
      <c r="SZD24" s="3507"/>
      <c r="SZE24" s="3507"/>
      <c r="SZF24" s="3507"/>
      <c r="SZG24" s="3507"/>
      <c r="SZH24" s="3507"/>
      <c r="SZI24" s="3507"/>
      <c r="SZJ24" s="3507"/>
      <c r="SZK24" s="3507"/>
      <c r="SZL24" s="3507"/>
      <c r="SZM24" s="3507"/>
      <c r="SZN24" s="3507"/>
      <c r="SZO24" s="3507"/>
      <c r="SZP24" s="3507"/>
      <c r="SZQ24" s="3507"/>
      <c r="SZR24" s="3507"/>
      <c r="SZS24" s="3507"/>
      <c r="SZT24" s="3507"/>
      <c r="SZU24" s="3507"/>
      <c r="SZV24" s="3507"/>
      <c r="SZW24" s="3507"/>
      <c r="SZX24" s="3507"/>
      <c r="SZY24" s="3507"/>
      <c r="SZZ24" s="3507"/>
      <c r="TAA24" s="3507"/>
      <c r="TAB24" s="3507"/>
      <c r="TAC24" s="3507"/>
      <c r="TAD24" s="3507"/>
      <c r="TAE24" s="3507"/>
      <c r="TAF24" s="3507"/>
      <c r="TAG24" s="3507"/>
      <c r="TAH24" s="3507"/>
      <c r="TAI24" s="3507"/>
      <c r="TAJ24" s="3507"/>
      <c r="TAK24" s="3507"/>
      <c r="TAL24" s="3507"/>
      <c r="TAM24" s="3507"/>
      <c r="TAN24" s="3507"/>
      <c r="TAO24" s="3507"/>
      <c r="TAP24" s="3507"/>
      <c r="TAQ24" s="3507"/>
      <c r="TAR24" s="3507"/>
      <c r="TAS24" s="3507"/>
      <c r="TAT24" s="3507"/>
      <c r="TAU24" s="3507"/>
      <c r="TAV24" s="3507"/>
      <c r="TAW24" s="3507"/>
      <c r="TAX24" s="3507"/>
      <c r="TAY24" s="3507"/>
      <c r="TAZ24" s="3507"/>
      <c r="TBA24" s="3507"/>
      <c r="TBB24" s="3507"/>
      <c r="TBC24" s="3507"/>
      <c r="TBD24" s="3507"/>
      <c r="TBE24" s="3507"/>
      <c r="TBF24" s="3507"/>
      <c r="TBG24" s="3507"/>
      <c r="TBH24" s="3507"/>
      <c r="TBI24" s="3507"/>
      <c r="TBJ24" s="3507"/>
      <c r="TBK24" s="3507"/>
      <c r="TBL24" s="3507"/>
      <c r="TBM24" s="3507"/>
      <c r="TBN24" s="3507"/>
      <c r="TBO24" s="3507"/>
      <c r="TBP24" s="3507"/>
      <c r="TBQ24" s="3507"/>
      <c r="TBR24" s="3507"/>
      <c r="TBS24" s="3507"/>
      <c r="TBT24" s="3507"/>
      <c r="TBU24" s="3507"/>
      <c r="TBV24" s="3507"/>
      <c r="TBW24" s="3507"/>
      <c r="TBX24" s="3507"/>
      <c r="TBY24" s="3507"/>
      <c r="TBZ24" s="3507"/>
      <c r="TCA24" s="3507"/>
      <c r="TCB24" s="3507"/>
      <c r="TCC24" s="3507"/>
      <c r="TCD24" s="3507"/>
      <c r="TCE24" s="3507"/>
      <c r="TCF24" s="3507"/>
      <c r="TCG24" s="3507"/>
      <c r="TCH24" s="3507"/>
      <c r="TCI24" s="3507"/>
      <c r="TCJ24" s="3507"/>
      <c r="TCK24" s="3507"/>
      <c r="TCL24" s="3507"/>
      <c r="TCM24" s="3507"/>
      <c r="TCN24" s="3507"/>
      <c r="TCO24" s="3507"/>
      <c r="TCP24" s="3507"/>
      <c r="TCQ24" s="3507"/>
      <c r="TCR24" s="3507"/>
      <c r="TCS24" s="3507"/>
      <c r="TCT24" s="3507"/>
      <c r="TCU24" s="3507"/>
      <c r="TCV24" s="3507"/>
      <c r="TCW24" s="3507"/>
      <c r="TCX24" s="3507"/>
      <c r="TCY24" s="3507"/>
      <c r="TCZ24" s="3507"/>
      <c r="TDA24" s="3507"/>
      <c r="TDB24" s="3507"/>
      <c r="TDC24" s="3507"/>
      <c r="TDD24" s="3507"/>
      <c r="TDE24" s="3507"/>
      <c r="TDF24" s="3507"/>
      <c r="TDG24" s="3507"/>
      <c r="TDH24" s="3507"/>
      <c r="TDI24" s="3507"/>
      <c r="TDJ24" s="3507"/>
      <c r="TDK24" s="3507"/>
      <c r="TDL24" s="3507"/>
      <c r="TDM24" s="3507"/>
      <c r="TDN24" s="3507"/>
      <c r="TDO24" s="3507"/>
      <c r="TDP24" s="3507"/>
      <c r="TDQ24" s="3507"/>
      <c r="TDR24" s="3507"/>
      <c r="TDS24" s="3507"/>
      <c r="TDT24" s="3507"/>
      <c r="TDU24" s="3507"/>
      <c r="TDV24" s="3507"/>
      <c r="TDW24" s="3507"/>
      <c r="TDX24" s="3507"/>
      <c r="TDY24" s="3507"/>
      <c r="TDZ24" s="3507"/>
      <c r="TEA24" s="3507"/>
      <c r="TEB24" s="3507"/>
      <c r="TEC24" s="3507"/>
      <c r="TED24" s="3507"/>
      <c r="TEE24" s="3507"/>
      <c r="TEF24" s="3507"/>
      <c r="TEG24" s="3507"/>
      <c r="TEH24" s="3507"/>
      <c r="TEI24" s="3507"/>
      <c r="TEJ24" s="3507"/>
      <c r="TEK24" s="3507"/>
      <c r="TEL24" s="3507"/>
      <c r="TEM24" s="3507"/>
      <c r="TEN24" s="3507"/>
      <c r="TEO24" s="3507"/>
      <c r="TEP24" s="3507"/>
      <c r="TEQ24" s="3507"/>
      <c r="TER24" s="3507"/>
      <c r="TES24" s="3507"/>
      <c r="TET24" s="3507"/>
      <c r="TEU24" s="3507"/>
      <c r="TEV24" s="3507"/>
      <c r="TEW24" s="3507"/>
      <c r="TEX24" s="3507"/>
      <c r="TEY24" s="3507"/>
      <c r="TEZ24" s="3507"/>
      <c r="TFA24" s="3507"/>
      <c r="TFB24" s="3507"/>
      <c r="TFC24" s="3507"/>
      <c r="TFD24" s="3507"/>
      <c r="TFE24" s="3507"/>
      <c r="TFF24" s="3507"/>
      <c r="TFG24" s="3507"/>
      <c r="TFH24" s="3507"/>
      <c r="TFI24" s="3507"/>
      <c r="TFJ24" s="3507"/>
      <c r="TFK24" s="3507"/>
      <c r="TFL24" s="3507"/>
      <c r="TFM24" s="3507"/>
      <c r="TFN24" s="3507"/>
      <c r="TFO24" s="3507"/>
      <c r="TFP24" s="3507"/>
      <c r="TFQ24" s="3507"/>
      <c r="TFR24" s="3507"/>
      <c r="TFS24" s="3507"/>
      <c r="TFT24" s="3507"/>
      <c r="TFU24" s="3507"/>
      <c r="TFV24" s="3507"/>
      <c r="TFW24" s="3507"/>
      <c r="TFX24" s="3507"/>
      <c r="TFY24" s="3507"/>
      <c r="TFZ24" s="3507"/>
      <c r="TGA24" s="3507"/>
      <c r="TGB24" s="3507"/>
      <c r="TGC24" s="3507"/>
      <c r="TGD24" s="3507"/>
      <c r="TGE24" s="3507"/>
      <c r="TGF24" s="3507"/>
      <c r="TGG24" s="3507"/>
      <c r="TGH24" s="3507"/>
      <c r="TGI24" s="3507"/>
      <c r="TGJ24" s="3507"/>
      <c r="TGK24" s="3507"/>
      <c r="TGL24" s="3507"/>
      <c r="TGM24" s="3507"/>
      <c r="TGN24" s="3507"/>
      <c r="TGO24" s="3507"/>
      <c r="TGP24" s="3507"/>
      <c r="TGQ24" s="3507"/>
      <c r="TGR24" s="3507"/>
      <c r="TGS24" s="3507"/>
      <c r="TGT24" s="3507"/>
      <c r="TGU24" s="3507"/>
      <c r="TGV24" s="3507"/>
      <c r="TGW24" s="3507"/>
      <c r="TGX24" s="3507"/>
      <c r="TGY24" s="3507"/>
      <c r="TGZ24" s="3507"/>
      <c r="THA24" s="3507"/>
      <c r="THB24" s="3507"/>
      <c r="THC24" s="3507"/>
      <c r="THD24" s="3507"/>
      <c r="THE24" s="3507"/>
      <c r="THF24" s="3507"/>
      <c r="THG24" s="3507"/>
      <c r="THH24" s="3507"/>
      <c r="THI24" s="3507"/>
      <c r="THJ24" s="3507"/>
      <c r="THK24" s="3507"/>
      <c r="THL24" s="3507"/>
      <c r="THM24" s="3507"/>
      <c r="THN24" s="3507"/>
      <c r="THO24" s="3507"/>
      <c r="THP24" s="3507"/>
      <c r="THQ24" s="3507"/>
      <c r="THR24" s="3507"/>
      <c r="THS24" s="3507"/>
      <c r="THT24" s="3507"/>
      <c r="THU24" s="3507"/>
      <c r="THV24" s="3507"/>
      <c r="THW24" s="3507"/>
      <c r="THX24" s="3507"/>
      <c r="THY24" s="3507"/>
      <c r="THZ24" s="3507"/>
      <c r="TIA24" s="3507"/>
      <c r="TIB24" s="3507"/>
      <c r="TIC24" s="3507"/>
      <c r="TID24" s="3507"/>
      <c r="TIE24" s="3507"/>
      <c r="TIF24" s="3507"/>
      <c r="TIG24" s="3507"/>
      <c r="TIH24" s="3507"/>
      <c r="TII24" s="3507"/>
      <c r="TIJ24" s="3507"/>
      <c r="TIK24" s="3507"/>
      <c r="TIL24" s="3507"/>
      <c r="TIM24" s="3507"/>
      <c r="TIN24" s="3507"/>
      <c r="TIO24" s="3507"/>
      <c r="TIP24" s="3507"/>
      <c r="TIQ24" s="3507"/>
      <c r="TIR24" s="3507"/>
      <c r="TIS24" s="3507"/>
      <c r="TIT24" s="3507"/>
      <c r="TIU24" s="3507"/>
      <c r="TIV24" s="3507"/>
      <c r="TIW24" s="3507"/>
      <c r="TIX24" s="3507"/>
      <c r="TIY24" s="3507"/>
      <c r="TIZ24" s="3507"/>
      <c r="TJA24" s="3507"/>
      <c r="TJB24" s="3507"/>
      <c r="TJC24" s="3507"/>
      <c r="TJD24" s="3507"/>
      <c r="TJE24" s="3507"/>
      <c r="TJF24" s="3507"/>
      <c r="TJG24" s="3507"/>
      <c r="TJH24" s="3507"/>
      <c r="TJI24" s="3507"/>
      <c r="TJJ24" s="3507"/>
      <c r="TJK24" s="3507"/>
      <c r="TJL24" s="3507"/>
      <c r="TJM24" s="3507"/>
      <c r="TJN24" s="3507"/>
      <c r="TJO24" s="3507"/>
      <c r="TJP24" s="3507"/>
      <c r="TJQ24" s="3507"/>
      <c r="TJR24" s="3507"/>
      <c r="TJS24" s="3507"/>
      <c r="TJT24" s="3507"/>
      <c r="TJU24" s="3507"/>
      <c r="TJV24" s="3507"/>
      <c r="TJW24" s="3507"/>
      <c r="TJX24" s="3507"/>
      <c r="TJY24" s="3507"/>
      <c r="TJZ24" s="3507"/>
      <c r="TKA24" s="3507"/>
      <c r="TKB24" s="3507"/>
      <c r="TKC24" s="3507"/>
      <c r="TKD24" s="3507"/>
      <c r="TKE24" s="3507"/>
      <c r="TKF24" s="3507"/>
      <c r="TKG24" s="3507"/>
      <c r="TKH24" s="3507"/>
      <c r="TKI24" s="3507"/>
      <c r="TKJ24" s="3507"/>
      <c r="TKK24" s="3507"/>
      <c r="TKL24" s="3507"/>
      <c r="TKM24" s="3507"/>
      <c r="TKN24" s="3507"/>
      <c r="TKO24" s="3507"/>
      <c r="TKP24" s="3507"/>
      <c r="TKQ24" s="3507"/>
      <c r="TKR24" s="3507"/>
      <c r="TKS24" s="3507"/>
      <c r="TKT24" s="3507"/>
      <c r="TKU24" s="3507"/>
      <c r="TKV24" s="3507"/>
      <c r="TKW24" s="3507"/>
      <c r="TKX24" s="3507"/>
      <c r="TKY24" s="3507"/>
      <c r="TKZ24" s="3507"/>
      <c r="TLA24" s="3507"/>
      <c r="TLB24" s="3507"/>
      <c r="TLC24" s="3507"/>
      <c r="TLD24" s="3507"/>
      <c r="TLE24" s="3507"/>
      <c r="TLF24" s="3507"/>
      <c r="TLG24" s="3507"/>
      <c r="TLH24" s="3507"/>
      <c r="TLI24" s="3507"/>
      <c r="TLJ24" s="3507"/>
      <c r="TLK24" s="3507"/>
      <c r="TLL24" s="3507"/>
      <c r="TLM24" s="3507"/>
      <c r="TLN24" s="3507"/>
      <c r="TLO24" s="3507"/>
      <c r="TLP24" s="3507"/>
      <c r="TLQ24" s="3507"/>
      <c r="TLR24" s="3507"/>
      <c r="TLS24" s="3507"/>
      <c r="TLT24" s="3507"/>
      <c r="TLU24" s="3507"/>
      <c r="TLV24" s="3507"/>
      <c r="TLW24" s="3507"/>
      <c r="TLX24" s="3507"/>
      <c r="TLY24" s="3507"/>
      <c r="TLZ24" s="3507"/>
      <c r="TMA24" s="3507"/>
      <c r="TMB24" s="3507"/>
      <c r="TMC24" s="3507"/>
      <c r="TMD24" s="3507"/>
      <c r="TME24" s="3507"/>
      <c r="TMF24" s="3507"/>
      <c r="TMG24" s="3507"/>
      <c r="TMH24" s="3507"/>
      <c r="TMI24" s="3507"/>
      <c r="TMJ24" s="3507"/>
      <c r="TMK24" s="3507"/>
      <c r="TML24" s="3507"/>
      <c r="TMM24" s="3507"/>
      <c r="TMN24" s="3507"/>
      <c r="TMO24" s="3507"/>
      <c r="TMP24" s="3507"/>
      <c r="TMQ24" s="3507"/>
      <c r="TMR24" s="3507"/>
      <c r="TMS24" s="3507"/>
      <c r="TMT24" s="3507"/>
      <c r="TMU24" s="3507"/>
      <c r="TMV24" s="3507"/>
      <c r="TMW24" s="3507"/>
      <c r="TMX24" s="3507"/>
      <c r="TMY24" s="3507"/>
      <c r="TMZ24" s="3507"/>
      <c r="TNA24" s="3507"/>
      <c r="TNB24" s="3507"/>
      <c r="TNC24" s="3507"/>
      <c r="TND24" s="3507"/>
      <c r="TNE24" s="3507"/>
      <c r="TNF24" s="3507"/>
      <c r="TNG24" s="3507"/>
      <c r="TNH24" s="3507"/>
      <c r="TNI24" s="3507"/>
      <c r="TNJ24" s="3507"/>
      <c r="TNK24" s="3507"/>
      <c r="TNL24" s="3507"/>
      <c r="TNM24" s="3507"/>
      <c r="TNN24" s="3507"/>
      <c r="TNO24" s="3507"/>
      <c r="TNP24" s="3507"/>
      <c r="TNQ24" s="3507"/>
      <c r="TNR24" s="3507"/>
      <c r="TNS24" s="3507"/>
      <c r="TNT24" s="3507"/>
      <c r="TNU24" s="3507"/>
      <c r="TNV24" s="3507"/>
      <c r="TNW24" s="3507"/>
      <c r="TNX24" s="3507"/>
      <c r="TNY24" s="3507"/>
      <c r="TNZ24" s="3507"/>
      <c r="TOA24" s="3507"/>
      <c r="TOB24" s="3507"/>
      <c r="TOC24" s="3507"/>
      <c r="TOD24" s="3507"/>
      <c r="TOE24" s="3507"/>
      <c r="TOF24" s="3507"/>
      <c r="TOG24" s="3507"/>
      <c r="TOH24" s="3507"/>
      <c r="TOI24" s="3507"/>
      <c r="TOJ24" s="3507"/>
      <c r="TOK24" s="3507"/>
      <c r="TOL24" s="3507"/>
      <c r="TOM24" s="3507"/>
      <c r="TON24" s="3507"/>
      <c r="TOO24" s="3507"/>
      <c r="TOP24" s="3507"/>
      <c r="TOQ24" s="3507"/>
      <c r="TOR24" s="3507"/>
      <c r="TOS24" s="3507"/>
      <c r="TOT24" s="3507"/>
      <c r="TOU24" s="3507"/>
      <c r="TOV24" s="3507"/>
      <c r="TOW24" s="3507"/>
      <c r="TOX24" s="3507"/>
      <c r="TOY24" s="3507"/>
      <c r="TOZ24" s="3507"/>
      <c r="TPA24" s="3507"/>
      <c r="TPB24" s="3507"/>
      <c r="TPC24" s="3507"/>
      <c r="TPD24" s="3507"/>
      <c r="TPE24" s="3507"/>
      <c r="TPF24" s="3507"/>
      <c r="TPG24" s="3507"/>
      <c r="TPH24" s="3507"/>
      <c r="TPI24" s="3507"/>
      <c r="TPJ24" s="3507"/>
      <c r="TPK24" s="3507"/>
      <c r="TPL24" s="3507"/>
      <c r="TPM24" s="3507"/>
      <c r="TPN24" s="3507"/>
      <c r="TPO24" s="3507"/>
      <c r="TPP24" s="3507"/>
      <c r="TPQ24" s="3507"/>
      <c r="TPR24" s="3507"/>
      <c r="TPS24" s="3507"/>
      <c r="TPT24" s="3507"/>
      <c r="TPU24" s="3507"/>
      <c r="TPV24" s="3507"/>
      <c r="TPW24" s="3507"/>
      <c r="TPX24" s="3507"/>
      <c r="TPY24" s="3507"/>
      <c r="TPZ24" s="3507"/>
      <c r="TQA24" s="3507"/>
      <c r="TQB24" s="3507"/>
      <c r="TQC24" s="3507"/>
      <c r="TQD24" s="3507"/>
      <c r="TQE24" s="3507"/>
      <c r="TQF24" s="3507"/>
      <c r="TQG24" s="3507"/>
      <c r="TQH24" s="3507"/>
      <c r="TQI24" s="3507"/>
      <c r="TQJ24" s="3507"/>
      <c r="TQK24" s="3507"/>
      <c r="TQL24" s="3507"/>
      <c r="TQM24" s="3507"/>
      <c r="TQN24" s="3507"/>
      <c r="TQO24" s="3507"/>
      <c r="TQP24" s="3507"/>
      <c r="TQQ24" s="3507"/>
      <c r="TQR24" s="3507"/>
      <c r="TQS24" s="3507"/>
      <c r="TQT24" s="3507"/>
      <c r="TQU24" s="3507"/>
      <c r="TQV24" s="3507"/>
      <c r="TQW24" s="3507"/>
      <c r="TQX24" s="3507"/>
      <c r="TQY24" s="3507"/>
      <c r="TQZ24" s="3507"/>
      <c r="TRA24" s="3507"/>
      <c r="TRB24" s="3507"/>
      <c r="TRC24" s="3507"/>
      <c r="TRD24" s="3507"/>
      <c r="TRE24" s="3507"/>
      <c r="TRF24" s="3507"/>
      <c r="TRG24" s="3507"/>
      <c r="TRH24" s="3507"/>
      <c r="TRI24" s="3507"/>
      <c r="TRJ24" s="3507"/>
      <c r="TRK24" s="3507"/>
      <c r="TRL24" s="3507"/>
      <c r="TRM24" s="3507"/>
      <c r="TRN24" s="3507"/>
      <c r="TRO24" s="3507"/>
      <c r="TRP24" s="3507"/>
      <c r="TRQ24" s="3507"/>
      <c r="TRR24" s="3507"/>
      <c r="TRS24" s="3507"/>
      <c r="TRT24" s="3507"/>
      <c r="TRU24" s="3507"/>
      <c r="TRV24" s="3507"/>
      <c r="TRW24" s="3507"/>
      <c r="TRX24" s="3507"/>
      <c r="TRY24" s="3507"/>
      <c r="TRZ24" s="3507"/>
      <c r="TSA24" s="3507"/>
      <c r="TSB24" s="3507"/>
      <c r="TSC24" s="3507"/>
      <c r="TSD24" s="3507"/>
      <c r="TSE24" s="3507"/>
      <c r="TSF24" s="3507"/>
      <c r="TSG24" s="3507"/>
      <c r="TSH24" s="3507"/>
      <c r="TSI24" s="3507"/>
      <c r="TSJ24" s="3507"/>
      <c r="TSK24" s="3507"/>
      <c r="TSL24" s="3507"/>
      <c r="TSM24" s="3507"/>
      <c r="TSN24" s="3507"/>
      <c r="TSO24" s="3507"/>
      <c r="TSP24" s="3507"/>
      <c r="TSQ24" s="3507"/>
      <c r="TSR24" s="3507"/>
      <c r="TSS24" s="3507"/>
      <c r="TST24" s="3507"/>
      <c r="TSU24" s="3507"/>
      <c r="TSV24" s="3507"/>
      <c r="TSW24" s="3507"/>
      <c r="TSX24" s="3507"/>
      <c r="TSY24" s="3507"/>
      <c r="TSZ24" s="3507"/>
      <c r="TTA24" s="3507"/>
      <c r="TTB24" s="3507"/>
      <c r="TTC24" s="3507"/>
      <c r="TTD24" s="3507"/>
      <c r="TTE24" s="3507"/>
      <c r="TTF24" s="3507"/>
      <c r="TTG24" s="3507"/>
      <c r="TTH24" s="3507"/>
      <c r="TTI24" s="3507"/>
      <c r="TTJ24" s="3507"/>
      <c r="TTK24" s="3507"/>
      <c r="TTL24" s="3507"/>
      <c r="TTM24" s="3507"/>
      <c r="TTN24" s="3507"/>
      <c r="TTO24" s="3507"/>
      <c r="TTP24" s="3507"/>
      <c r="TTQ24" s="3507"/>
      <c r="TTR24" s="3507"/>
      <c r="TTS24" s="3507"/>
      <c r="TTT24" s="3507"/>
      <c r="TTU24" s="3507"/>
      <c r="TTV24" s="3507"/>
      <c r="TTW24" s="3507"/>
      <c r="TTX24" s="3507"/>
      <c r="TTY24" s="3507"/>
      <c r="TTZ24" s="3507"/>
      <c r="TUA24" s="3507"/>
      <c r="TUB24" s="3507"/>
      <c r="TUC24" s="3507"/>
      <c r="TUD24" s="3507"/>
      <c r="TUE24" s="3507"/>
      <c r="TUF24" s="3507"/>
      <c r="TUG24" s="3507"/>
      <c r="TUH24" s="3507"/>
      <c r="TUI24" s="3507"/>
      <c r="TUJ24" s="3507"/>
      <c r="TUK24" s="3507"/>
      <c r="TUL24" s="3507"/>
      <c r="TUM24" s="3507"/>
      <c r="TUN24" s="3507"/>
      <c r="TUO24" s="3507"/>
      <c r="TUP24" s="3507"/>
      <c r="TUQ24" s="3507"/>
      <c r="TUR24" s="3507"/>
      <c r="TUS24" s="3507"/>
      <c r="TUT24" s="3507"/>
      <c r="TUU24" s="3507"/>
      <c r="TUV24" s="3507"/>
      <c r="TUW24" s="3507"/>
      <c r="TUX24" s="3507"/>
      <c r="TUY24" s="3507"/>
      <c r="TUZ24" s="3507"/>
      <c r="TVA24" s="3507"/>
      <c r="TVB24" s="3507"/>
      <c r="TVC24" s="3507"/>
      <c r="TVD24" s="3507"/>
      <c r="TVE24" s="3507"/>
      <c r="TVF24" s="3507"/>
      <c r="TVG24" s="3507"/>
      <c r="TVH24" s="3507"/>
      <c r="TVI24" s="3507"/>
      <c r="TVJ24" s="3507"/>
      <c r="TVK24" s="3507"/>
      <c r="TVL24" s="3507"/>
      <c r="TVM24" s="3507"/>
      <c r="TVN24" s="3507"/>
      <c r="TVO24" s="3507"/>
      <c r="TVP24" s="3507"/>
      <c r="TVQ24" s="3507"/>
      <c r="TVR24" s="3507"/>
      <c r="TVS24" s="3507"/>
      <c r="TVT24" s="3507"/>
      <c r="TVU24" s="3507"/>
      <c r="TVV24" s="3507"/>
      <c r="TVW24" s="3507"/>
      <c r="TVX24" s="3507"/>
      <c r="TVY24" s="3507"/>
      <c r="TVZ24" s="3507"/>
      <c r="TWA24" s="3507"/>
      <c r="TWB24" s="3507"/>
      <c r="TWC24" s="3507"/>
      <c r="TWD24" s="3507"/>
      <c r="TWE24" s="3507"/>
      <c r="TWF24" s="3507"/>
      <c r="TWG24" s="3507"/>
      <c r="TWH24" s="3507"/>
      <c r="TWI24" s="3507"/>
      <c r="TWJ24" s="3507"/>
      <c r="TWK24" s="3507"/>
      <c r="TWL24" s="3507"/>
      <c r="TWM24" s="3507"/>
      <c r="TWN24" s="3507"/>
      <c r="TWO24" s="3507"/>
      <c r="TWP24" s="3507"/>
      <c r="TWQ24" s="3507"/>
      <c r="TWR24" s="3507"/>
      <c r="TWS24" s="3507"/>
      <c r="TWT24" s="3507"/>
      <c r="TWU24" s="3507"/>
      <c r="TWV24" s="3507"/>
      <c r="TWW24" s="3507"/>
      <c r="TWX24" s="3507"/>
      <c r="TWY24" s="3507"/>
      <c r="TWZ24" s="3507"/>
      <c r="TXA24" s="3507"/>
      <c r="TXB24" s="3507"/>
      <c r="TXC24" s="3507"/>
      <c r="TXD24" s="3507"/>
      <c r="TXE24" s="3507"/>
      <c r="TXF24" s="3507"/>
      <c r="TXG24" s="3507"/>
      <c r="TXH24" s="3507"/>
      <c r="TXI24" s="3507"/>
      <c r="TXJ24" s="3507"/>
      <c r="TXK24" s="3507"/>
      <c r="TXL24" s="3507"/>
      <c r="TXM24" s="3507"/>
      <c r="TXN24" s="3507"/>
      <c r="TXO24" s="3507"/>
      <c r="TXP24" s="3507"/>
      <c r="TXQ24" s="3507"/>
      <c r="TXR24" s="3507"/>
      <c r="TXS24" s="3507"/>
      <c r="TXT24" s="3507"/>
      <c r="TXU24" s="3507"/>
      <c r="TXV24" s="3507"/>
      <c r="TXW24" s="3507"/>
      <c r="TXX24" s="3507"/>
      <c r="TXY24" s="3507"/>
      <c r="TXZ24" s="3507"/>
      <c r="TYA24" s="3507"/>
      <c r="TYB24" s="3507"/>
      <c r="TYC24" s="3507"/>
      <c r="TYD24" s="3507"/>
      <c r="TYE24" s="3507"/>
      <c r="TYF24" s="3507"/>
      <c r="TYG24" s="3507"/>
      <c r="TYH24" s="3507"/>
      <c r="TYI24" s="3507"/>
      <c r="TYJ24" s="3507"/>
      <c r="TYK24" s="3507"/>
      <c r="TYL24" s="3507"/>
      <c r="TYM24" s="3507"/>
      <c r="TYN24" s="3507"/>
      <c r="TYO24" s="3507"/>
      <c r="TYP24" s="3507"/>
      <c r="TYQ24" s="3507"/>
      <c r="TYR24" s="3507"/>
      <c r="TYS24" s="3507"/>
      <c r="TYT24" s="3507"/>
      <c r="TYU24" s="3507"/>
      <c r="TYV24" s="3507"/>
      <c r="TYW24" s="3507"/>
      <c r="TYX24" s="3507"/>
      <c r="TYY24" s="3507"/>
      <c r="TYZ24" s="3507"/>
      <c r="TZA24" s="3507"/>
      <c r="TZB24" s="3507"/>
      <c r="TZC24" s="3507"/>
      <c r="TZD24" s="3507"/>
      <c r="TZE24" s="3507"/>
      <c r="TZF24" s="3507"/>
      <c r="TZG24" s="3507"/>
      <c r="TZH24" s="3507"/>
      <c r="TZI24" s="3507"/>
      <c r="TZJ24" s="3507"/>
      <c r="TZK24" s="3507"/>
      <c r="TZL24" s="3507"/>
      <c r="TZM24" s="3507"/>
      <c r="TZN24" s="3507"/>
      <c r="TZO24" s="3507"/>
      <c r="TZP24" s="3507"/>
      <c r="TZQ24" s="3507"/>
      <c r="TZR24" s="3507"/>
      <c r="TZS24" s="3507"/>
      <c r="TZT24" s="3507"/>
      <c r="TZU24" s="3507"/>
      <c r="TZV24" s="3507"/>
      <c r="TZW24" s="3507"/>
      <c r="TZX24" s="3507"/>
      <c r="TZY24" s="3507"/>
      <c r="TZZ24" s="3507"/>
      <c r="UAA24" s="3507"/>
      <c r="UAB24" s="3507"/>
      <c r="UAC24" s="3507"/>
      <c r="UAD24" s="3507"/>
      <c r="UAE24" s="3507"/>
      <c r="UAF24" s="3507"/>
      <c r="UAG24" s="3507"/>
      <c r="UAH24" s="3507"/>
      <c r="UAI24" s="3507"/>
      <c r="UAJ24" s="3507"/>
      <c r="UAK24" s="3507"/>
      <c r="UAL24" s="3507"/>
      <c r="UAM24" s="3507"/>
      <c r="UAN24" s="3507"/>
      <c r="UAO24" s="3507"/>
      <c r="UAP24" s="3507"/>
      <c r="UAQ24" s="3507"/>
      <c r="UAR24" s="3507"/>
      <c r="UAS24" s="3507"/>
      <c r="UAT24" s="3507"/>
      <c r="UAU24" s="3507"/>
      <c r="UAV24" s="3507"/>
      <c r="UAW24" s="3507"/>
      <c r="UAX24" s="3507"/>
      <c r="UAY24" s="3507"/>
      <c r="UAZ24" s="3507"/>
      <c r="UBA24" s="3507"/>
      <c r="UBB24" s="3507"/>
      <c r="UBC24" s="3507"/>
      <c r="UBD24" s="3507"/>
      <c r="UBE24" s="3507"/>
      <c r="UBF24" s="3507"/>
      <c r="UBG24" s="3507"/>
      <c r="UBH24" s="3507"/>
      <c r="UBI24" s="3507"/>
      <c r="UBJ24" s="3507"/>
      <c r="UBK24" s="3507"/>
      <c r="UBL24" s="3507"/>
      <c r="UBM24" s="3507"/>
      <c r="UBN24" s="3507"/>
      <c r="UBO24" s="3507"/>
      <c r="UBP24" s="3507"/>
      <c r="UBQ24" s="3507"/>
      <c r="UBR24" s="3507"/>
      <c r="UBS24" s="3507"/>
      <c r="UBT24" s="3507"/>
      <c r="UBU24" s="3507"/>
      <c r="UBV24" s="3507"/>
      <c r="UBW24" s="3507"/>
      <c r="UBX24" s="3507"/>
      <c r="UBY24" s="3507"/>
      <c r="UBZ24" s="3507"/>
      <c r="UCA24" s="3507"/>
      <c r="UCB24" s="3507"/>
      <c r="UCC24" s="3507"/>
      <c r="UCD24" s="3507"/>
      <c r="UCE24" s="3507"/>
      <c r="UCF24" s="3507"/>
      <c r="UCG24" s="3507"/>
      <c r="UCH24" s="3507"/>
      <c r="UCI24" s="3507"/>
      <c r="UCJ24" s="3507"/>
      <c r="UCK24" s="3507"/>
      <c r="UCL24" s="3507"/>
      <c r="UCM24" s="3507"/>
      <c r="UCN24" s="3507"/>
      <c r="UCO24" s="3507"/>
      <c r="UCP24" s="3507"/>
      <c r="UCQ24" s="3507"/>
      <c r="UCR24" s="3507"/>
      <c r="UCS24" s="3507"/>
      <c r="UCT24" s="3507"/>
      <c r="UCU24" s="3507"/>
      <c r="UCV24" s="3507"/>
      <c r="UCW24" s="3507"/>
      <c r="UCX24" s="3507"/>
      <c r="UCY24" s="3507"/>
      <c r="UCZ24" s="3507"/>
      <c r="UDA24" s="3507"/>
      <c r="UDB24" s="3507"/>
      <c r="UDC24" s="3507"/>
      <c r="UDD24" s="3507"/>
      <c r="UDE24" s="3507"/>
      <c r="UDF24" s="3507"/>
      <c r="UDG24" s="3507"/>
      <c r="UDH24" s="3507"/>
      <c r="UDI24" s="3507"/>
      <c r="UDJ24" s="3507"/>
      <c r="UDK24" s="3507"/>
      <c r="UDL24" s="3507"/>
      <c r="UDM24" s="3507"/>
      <c r="UDN24" s="3507"/>
      <c r="UDO24" s="3507"/>
      <c r="UDP24" s="3507"/>
      <c r="UDQ24" s="3507"/>
      <c r="UDR24" s="3507"/>
      <c r="UDS24" s="3507"/>
      <c r="UDT24" s="3507"/>
      <c r="UDU24" s="3507"/>
      <c r="UDV24" s="3507"/>
      <c r="UDW24" s="3507"/>
      <c r="UDX24" s="3507"/>
      <c r="UDY24" s="3507"/>
      <c r="UDZ24" s="3507"/>
      <c r="UEA24" s="3507"/>
      <c r="UEB24" s="3507"/>
      <c r="UEC24" s="3507"/>
      <c r="UED24" s="3507"/>
      <c r="UEE24" s="3507"/>
      <c r="UEF24" s="3507"/>
      <c r="UEG24" s="3507"/>
      <c r="UEH24" s="3507"/>
      <c r="UEI24" s="3507"/>
      <c r="UEJ24" s="3507"/>
      <c r="UEK24" s="3507"/>
      <c r="UEL24" s="3507"/>
      <c r="UEM24" s="3507"/>
      <c r="UEN24" s="3507"/>
      <c r="UEO24" s="3507"/>
      <c r="UEP24" s="3507"/>
      <c r="UEQ24" s="3507"/>
      <c r="UER24" s="3507"/>
      <c r="UES24" s="3507"/>
      <c r="UET24" s="3507"/>
      <c r="UEU24" s="3507"/>
      <c r="UEV24" s="3507"/>
      <c r="UEW24" s="3507"/>
      <c r="UEX24" s="3507"/>
      <c r="UEY24" s="3507"/>
      <c r="UEZ24" s="3507"/>
      <c r="UFA24" s="3507"/>
      <c r="UFB24" s="3507"/>
      <c r="UFC24" s="3507"/>
      <c r="UFD24" s="3507"/>
      <c r="UFE24" s="3507"/>
      <c r="UFF24" s="3507"/>
      <c r="UFG24" s="3507"/>
      <c r="UFH24" s="3507"/>
      <c r="UFI24" s="3507"/>
      <c r="UFJ24" s="3507"/>
      <c r="UFK24" s="3507"/>
      <c r="UFL24" s="3507"/>
      <c r="UFM24" s="3507"/>
      <c r="UFN24" s="3507"/>
      <c r="UFO24" s="3507"/>
      <c r="UFP24" s="3507"/>
      <c r="UFQ24" s="3507"/>
      <c r="UFR24" s="3507"/>
      <c r="UFS24" s="3507"/>
      <c r="UFT24" s="3507"/>
      <c r="UFU24" s="3507"/>
      <c r="UFV24" s="3507"/>
      <c r="UFW24" s="3507"/>
      <c r="UFX24" s="3507"/>
      <c r="UFY24" s="3507"/>
      <c r="UFZ24" s="3507"/>
      <c r="UGA24" s="3507"/>
      <c r="UGB24" s="3507"/>
      <c r="UGC24" s="3507"/>
      <c r="UGD24" s="3507"/>
      <c r="UGE24" s="3507"/>
      <c r="UGF24" s="3507"/>
      <c r="UGG24" s="3507"/>
      <c r="UGH24" s="3507"/>
      <c r="UGI24" s="3507"/>
      <c r="UGJ24" s="3507"/>
      <c r="UGK24" s="3507"/>
      <c r="UGL24" s="3507"/>
      <c r="UGM24" s="3507"/>
      <c r="UGN24" s="3507"/>
      <c r="UGO24" s="3507"/>
      <c r="UGP24" s="3507"/>
      <c r="UGQ24" s="3507"/>
      <c r="UGR24" s="3507"/>
      <c r="UGS24" s="3507"/>
      <c r="UGT24" s="3507"/>
      <c r="UGU24" s="3507"/>
      <c r="UGV24" s="3507"/>
      <c r="UGW24" s="3507"/>
      <c r="UGX24" s="3507"/>
      <c r="UGY24" s="3507"/>
      <c r="UGZ24" s="3507"/>
      <c r="UHA24" s="3507"/>
      <c r="UHB24" s="3507"/>
      <c r="UHC24" s="3507"/>
      <c r="UHD24" s="3507"/>
      <c r="UHE24" s="3507"/>
      <c r="UHF24" s="3507"/>
      <c r="UHG24" s="3507"/>
      <c r="UHH24" s="3507"/>
      <c r="UHI24" s="3507"/>
      <c r="UHJ24" s="3507"/>
      <c r="UHK24" s="3507"/>
      <c r="UHL24" s="3507"/>
      <c r="UHM24" s="3507"/>
      <c r="UHN24" s="3507"/>
      <c r="UHO24" s="3507"/>
      <c r="UHP24" s="3507"/>
      <c r="UHQ24" s="3507"/>
      <c r="UHR24" s="3507"/>
      <c r="UHS24" s="3507"/>
      <c r="UHT24" s="3507"/>
      <c r="UHU24" s="3507"/>
      <c r="UHV24" s="3507"/>
      <c r="UHW24" s="3507"/>
      <c r="UHX24" s="3507"/>
      <c r="UHY24" s="3507"/>
      <c r="UHZ24" s="3507"/>
      <c r="UIA24" s="3507"/>
      <c r="UIB24" s="3507"/>
      <c r="UIC24" s="3507"/>
      <c r="UID24" s="3507"/>
      <c r="UIE24" s="3507"/>
      <c r="UIF24" s="3507"/>
      <c r="UIG24" s="3507"/>
      <c r="UIH24" s="3507"/>
      <c r="UII24" s="3507"/>
      <c r="UIJ24" s="3507"/>
      <c r="UIK24" s="3507"/>
      <c r="UIL24" s="3507"/>
      <c r="UIM24" s="3507"/>
      <c r="UIN24" s="3507"/>
      <c r="UIO24" s="3507"/>
      <c r="UIP24" s="3507"/>
      <c r="UIQ24" s="3507"/>
      <c r="UIR24" s="3507"/>
      <c r="UIS24" s="3507"/>
      <c r="UIT24" s="3507"/>
      <c r="UIU24" s="3507"/>
      <c r="UIV24" s="3507"/>
      <c r="UIW24" s="3507"/>
      <c r="UIX24" s="3507"/>
      <c r="UIY24" s="3507"/>
      <c r="UIZ24" s="3507"/>
      <c r="UJA24" s="3507"/>
      <c r="UJB24" s="3507"/>
      <c r="UJC24" s="3507"/>
      <c r="UJD24" s="3507"/>
      <c r="UJE24" s="3507"/>
      <c r="UJF24" s="3507"/>
      <c r="UJG24" s="3507"/>
      <c r="UJH24" s="3507"/>
      <c r="UJI24" s="3507"/>
      <c r="UJJ24" s="3507"/>
      <c r="UJK24" s="3507"/>
      <c r="UJL24" s="3507"/>
      <c r="UJM24" s="3507"/>
      <c r="UJN24" s="3507"/>
      <c r="UJO24" s="3507"/>
      <c r="UJP24" s="3507"/>
      <c r="UJQ24" s="3507"/>
      <c r="UJR24" s="3507"/>
      <c r="UJS24" s="3507"/>
      <c r="UJT24" s="3507"/>
      <c r="UJU24" s="3507"/>
      <c r="UJV24" s="3507"/>
      <c r="UJW24" s="3507"/>
      <c r="UJX24" s="3507"/>
      <c r="UJY24" s="3507"/>
      <c r="UJZ24" s="3507"/>
      <c r="UKA24" s="3507"/>
      <c r="UKB24" s="3507"/>
      <c r="UKC24" s="3507"/>
      <c r="UKD24" s="3507"/>
      <c r="UKE24" s="3507"/>
      <c r="UKF24" s="3507"/>
      <c r="UKG24" s="3507"/>
      <c r="UKH24" s="3507"/>
      <c r="UKI24" s="3507"/>
      <c r="UKJ24" s="3507"/>
      <c r="UKK24" s="3507"/>
      <c r="UKL24" s="3507"/>
      <c r="UKM24" s="3507"/>
      <c r="UKN24" s="3507"/>
      <c r="UKO24" s="3507"/>
      <c r="UKP24" s="3507"/>
      <c r="UKQ24" s="3507"/>
      <c r="UKR24" s="3507"/>
      <c r="UKS24" s="3507"/>
      <c r="UKT24" s="3507"/>
      <c r="UKU24" s="3507"/>
      <c r="UKV24" s="3507"/>
      <c r="UKW24" s="3507"/>
      <c r="UKX24" s="3507"/>
      <c r="UKY24" s="3507"/>
      <c r="UKZ24" s="3507"/>
      <c r="ULA24" s="3507"/>
      <c r="ULB24" s="3507"/>
      <c r="ULC24" s="3507"/>
      <c r="ULD24" s="3507"/>
      <c r="ULE24" s="3507"/>
      <c r="ULF24" s="3507"/>
      <c r="ULG24" s="3507"/>
      <c r="ULH24" s="3507"/>
      <c r="ULI24" s="3507"/>
      <c r="ULJ24" s="3507"/>
      <c r="ULK24" s="3507"/>
      <c r="ULL24" s="3507"/>
      <c r="ULM24" s="3507"/>
      <c r="ULN24" s="3507"/>
      <c r="ULO24" s="3507"/>
      <c r="ULP24" s="3507"/>
      <c r="ULQ24" s="3507"/>
      <c r="ULR24" s="3507"/>
      <c r="ULS24" s="3507"/>
      <c r="ULT24" s="3507"/>
      <c r="ULU24" s="3507"/>
      <c r="ULV24" s="3507"/>
      <c r="ULW24" s="3507"/>
      <c r="ULX24" s="3507"/>
      <c r="ULY24" s="3507"/>
      <c r="ULZ24" s="3507"/>
      <c r="UMA24" s="3507"/>
      <c r="UMB24" s="3507"/>
      <c r="UMC24" s="3507"/>
      <c r="UMD24" s="3507"/>
      <c r="UME24" s="3507"/>
      <c r="UMF24" s="3507"/>
      <c r="UMG24" s="3507"/>
      <c r="UMH24" s="3507"/>
      <c r="UMI24" s="3507"/>
      <c r="UMJ24" s="3507"/>
      <c r="UMK24" s="3507"/>
      <c r="UML24" s="3507"/>
      <c r="UMM24" s="3507"/>
      <c r="UMN24" s="3507"/>
      <c r="UMO24" s="3507"/>
      <c r="UMP24" s="3507"/>
      <c r="UMQ24" s="3507"/>
      <c r="UMR24" s="3507"/>
      <c r="UMS24" s="3507"/>
      <c r="UMT24" s="3507"/>
      <c r="UMU24" s="3507"/>
      <c r="UMV24" s="3507"/>
      <c r="UMW24" s="3507"/>
      <c r="UMX24" s="3507"/>
      <c r="UMY24" s="3507"/>
      <c r="UMZ24" s="3507"/>
      <c r="UNA24" s="3507"/>
      <c r="UNB24" s="3507"/>
      <c r="UNC24" s="3507"/>
      <c r="UND24" s="3507"/>
      <c r="UNE24" s="3507"/>
      <c r="UNF24" s="3507"/>
      <c r="UNG24" s="3507"/>
      <c r="UNH24" s="3507"/>
      <c r="UNI24" s="3507"/>
      <c r="UNJ24" s="3507"/>
      <c r="UNK24" s="3507"/>
      <c r="UNL24" s="3507"/>
      <c r="UNM24" s="3507"/>
      <c r="UNN24" s="3507"/>
      <c r="UNO24" s="3507"/>
      <c r="UNP24" s="3507"/>
      <c r="UNQ24" s="3507"/>
      <c r="UNR24" s="3507"/>
      <c r="UNS24" s="3507"/>
      <c r="UNT24" s="3507"/>
      <c r="UNU24" s="3507"/>
      <c r="UNV24" s="3507"/>
      <c r="UNW24" s="3507"/>
      <c r="UNX24" s="3507"/>
      <c r="UNY24" s="3507"/>
      <c r="UNZ24" s="3507"/>
      <c r="UOA24" s="3507"/>
      <c r="UOB24" s="3507"/>
      <c r="UOC24" s="3507"/>
      <c r="UOD24" s="3507"/>
      <c r="UOE24" s="3507"/>
      <c r="UOF24" s="3507"/>
      <c r="UOG24" s="3507"/>
      <c r="UOH24" s="3507"/>
      <c r="UOI24" s="3507"/>
      <c r="UOJ24" s="3507"/>
      <c r="UOK24" s="3507"/>
      <c r="UOL24" s="3507"/>
      <c r="UOM24" s="3507"/>
      <c r="UON24" s="3507"/>
      <c r="UOO24" s="3507"/>
      <c r="UOP24" s="3507"/>
      <c r="UOQ24" s="3507"/>
      <c r="UOR24" s="3507"/>
      <c r="UOS24" s="3507"/>
      <c r="UOT24" s="3507"/>
      <c r="UOU24" s="3507"/>
      <c r="UOV24" s="3507"/>
      <c r="UOW24" s="3507"/>
      <c r="UOX24" s="3507"/>
      <c r="UOY24" s="3507"/>
      <c r="UOZ24" s="3507"/>
      <c r="UPA24" s="3507"/>
      <c r="UPB24" s="3507"/>
      <c r="UPC24" s="3507"/>
      <c r="UPD24" s="3507"/>
      <c r="UPE24" s="3507"/>
      <c r="UPF24" s="3507"/>
      <c r="UPG24" s="3507"/>
      <c r="UPH24" s="3507"/>
      <c r="UPI24" s="3507"/>
      <c r="UPJ24" s="3507"/>
      <c r="UPK24" s="3507"/>
      <c r="UPL24" s="3507"/>
      <c r="UPM24" s="3507"/>
      <c r="UPN24" s="3507"/>
      <c r="UPO24" s="3507"/>
      <c r="UPP24" s="3507"/>
      <c r="UPQ24" s="3507"/>
      <c r="UPR24" s="3507"/>
      <c r="UPS24" s="3507"/>
      <c r="UPT24" s="3507"/>
      <c r="UPU24" s="3507"/>
      <c r="UPV24" s="3507"/>
      <c r="UPW24" s="3507"/>
      <c r="UPX24" s="3507"/>
      <c r="UPY24" s="3507"/>
      <c r="UPZ24" s="3507"/>
      <c r="UQA24" s="3507"/>
      <c r="UQB24" s="3507"/>
      <c r="UQC24" s="3507"/>
      <c r="UQD24" s="3507"/>
      <c r="UQE24" s="3507"/>
      <c r="UQF24" s="3507"/>
      <c r="UQG24" s="3507"/>
      <c r="UQH24" s="3507"/>
      <c r="UQI24" s="3507"/>
      <c r="UQJ24" s="3507"/>
      <c r="UQK24" s="3507"/>
      <c r="UQL24" s="3507"/>
      <c r="UQM24" s="3507"/>
      <c r="UQN24" s="3507"/>
      <c r="UQO24" s="3507"/>
      <c r="UQP24" s="3507"/>
      <c r="UQQ24" s="3507"/>
      <c r="UQR24" s="3507"/>
      <c r="UQS24" s="3507"/>
      <c r="UQT24" s="3507"/>
      <c r="UQU24" s="3507"/>
      <c r="UQV24" s="3507"/>
      <c r="UQW24" s="3507"/>
      <c r="UQX24" s="3507"/>
      <c r="UQY24" s="3507"/>
      <c r="UQZ24" s="3507"/>
      <c r="URA24" s="3507"/>
      <c r="URB24" s="3507"/>
      <c r="URC24" s="3507"/>
      <c r="URD24" s="3507"/>
      <c r="URE24" s="3507"/>
      <c r="URF24" s="3507"/>
      <c r="URG24" s="3507"/>
      <c r="URH24" s="3507"/>
      <c r="URI24" s="3507"/>
      <c r="URJ24" s="3507"/>
      <c r="URK24" s="3507"/>
      <c r="URL24" s="3507"/>
      <c r="URM24" s="3507"/>
      <c r="URN24" s="3507"/>
      <c r="URO24" s="3507"/>
      <c r="URP24" s="3507"/>
      <c r="URQ24" s="3507"/>
      <c r="URR24" s="3507"/>
      <c r="URS24" s="3507"/>
      <c r="URT24" s="3507"/>
      <c r="URU24" s="3507"/>
      <c r="URV24" s="3507"/>
      <c r="URW24" s="3507"/>
      <c r="URX24" s="3507"/>
      <c r="URY24" s="3507"/>
      <c r="URZ24" s="3507"/>
      <c r="USA24" s="3507"/>
      <c r="USB24" s="3507"/>
      <c r="USC24" s="3507"/>
      <c r="USD24" s="3507"/>
      <c r="USE24" s="3507"/>
      <c r="USF24" s="3507"/>
      <c r="USG24" s="3507"/>
      <c r="USH24" s="3507"/>
      <c r="USI24" s="3507"/>
      <c r="USJ24" s="3507"/>
      <c r="USK24" s="3507"/>
      <c r="USL24" s="3507"/>
      <c r="USM24" s="3507"/>
      <c r="USN24" s="3507"/>
      <c r="USO24" s="3507"/>
      <c r="USP24" s="3507"/>
      <c r="USQ24" s="3507"/>
      <c r="USR24" s="3507"/>
      <c r="USS24" s="3507"/>
      <c r="UST24" s="3507"/>
      <c r="USU24" s="3507"/>
      <c r="USV24" s="3507"/>
      <c r="USW24" s="3507"/>
      <c r="USX24" s="3507"/>
      <c r="USY24" s="3507"/>
      <c r="USZ24" s="3507"/>
      <c r="UTA24" s="3507"/>
      <c r="UTB24" s="3507"/>
      <c r="UTC24" s="3507"/>
      <c r="UTD24" s="3507"/>
      <c r="UTE24" s="3507"/>
      <c r="UTF24" s="3507"/>
      <c r="UTG24" s="3507"/>
      <c r="UTH24" s="3507"/>
      <c r="UTI24" s="3507"/>
      <c r="UTJ24" s="3507"/>
      <c r="UTK24" s="3507"/>
      <c r="UTL24" s="3507"/>
      <c r="UTM24" s="3507"/>
      <c r="UTN24" s="3507"/>
      <c r="UTO24" s="3507"/>
      <c r="UTP24" s="3507"/>
      <c r="UTQ24" s="3507"/>
      <c r="UTR24" s="3507"/>
      <c r="UTS24" s="3507"/>
      <c r="UTT24" s="3507"/>
      <c r="UTU24" s="3507"/>
      <c r="UTV24" s="3507"/>
      <c r="UTW24" s="3507"/>
      <c r="UTX24" s="3507"/>
      <c r="UTY24" s="3507"/>
      <c r="UTZ24" s="3507"/>
      <c r="UUA24" s="3507"/>
      <c r="UUB24" s="3507"/>
      <c r="UUC24" s="3507"/>
      <c r="UUD24" s="3507"/>
      <c r="UUE24" s="3507"/>
      <c r="UUF24" s="3507"/>
      <c r="UUG24" s="3507"/>
      <c r="UUH24" s="3507"/>
      <c r="UUI24" s="3507"/>
      <c r="UUJ24" s="3507"/>
      <c r="UUK24" s="3507"/>
      <c r="UUL24" s="3507"/>
      <c r="UUM24" s="3507"/>
      <c r="UUN24" s="3507"/>
      <c r="UUO24" s="3507"/>
      <c r="UUP24" s="3507"/>
      <c r="UUQ24" s="3507"/>
      <c r="UUR24" s="3507"/>
      <c r="UUS24" s="3507"/>
      <c r="UUT24" s="3507"/>
      <c r="UUU24" s="3507"/>
      <c r="UUV24" s="3507"/>
      <c r="UUW24" s="3507"/>
      <c r="UUX24" s="3507"/>
      <c r="UUY24" s="3507"/>
      <c r="UUZ24" s="3507"/>
      <c r="UVA24" s="3507"/>
      <c r="UVB24" s="3507"/>
      <c r="UVC24" s="3507"/>
      <c r="UVD24" s="3507"/>
      <c r="UVE24" s="3507"/>
      <c r="UVF24" s="3507"/>
      <c r="UVG24" s="3507"/>
      <c r="UVH24" s="3507"/>
      <c r="UVI24" s="3507"/>
      <c r="UVJ24" s="3507"/>
      <c r="UVK24" s="3507"/>
      <c r="UVL24" s="3507"/>
      <c r="UVM24" s="3507"/>
      <c r="UVN24" s="3507"/>
      <c r="UVO24" s="3507"/>
      <c r="UVP24" s="3507"/>
      <c r="UVQ24" s="3507"/>
      <c r="UVR24" s="3507"/>
      <c r="UVS24" s="3507"/>
      <c r="UVT24" s="3507"/>
      <c r="UVU24" s="3507"/>
      <c r="UVV24" s="3507"/>
      <c r="UVW24" s="3507"/>
      <c r="UVX24" s="3507"/>
      <c r="UVY24" s="3507"/>
      <c r="UVZ24" s="3507"/>
      <c r="UWA24" s="3507"/>
      <c r="UWB24" s="3507"/>
      <c r="UWC24" s="3507"/>
      <c r="UWD24" s="3507"/>
      <c r="UWE24" s="3507"/>
      <c r="UWF24" s="3507"/>
      <c r="UWG24" s="3507"/>
      <c r="UWH24" s="3507"/>
      <c r="UWI24" s="3507"/>
      <c r="UWJ24" s="3507"/>
      <c r="UWK24" s="3507"/>
      <c r="UWL24" s="3507"/>
      <c r="UWM24" s="3507"/>
      <c r="UWN24" s="3507"/>
      <c r="UWO24" s="3507"/>
      <c r="UWP24" s="3507"/>
      <c r="UWQ24" s="3507"/>
      <c r="UWR24" s="3507"/>
      <c r="UWS24" s="3507"/>
      <c r="UWT24" s="3507"/>
      <c r="UWU24" s="3507"/>
      <c r="UWV24" s="3507"/>
      <c r="UWW24" s="3507"/>
      <c r="UWX24" s="3507"/>
      <c r="UWY24" s="3507"/>
      <c r="UWZ24" s="3507"/>
      <c r="UXA24" s="3507"/>
      <c r="UXB24" s="3507"/>
      <c r="UXC24" s="3507"/>
      <c r="UXD24" s="3507"/>
      <c r="UXE24" s="3507"/>
      <c r="UXF24" s="3507"/>
      <c r="UXG24" s="3507"/>
      <c r="UXH24" s="3507"/>
      <c r="UXI24" s="3507"/>
      <c r="UXJ24" s="3507"/>
      <c r="UXK24" s="3507"/>
      <c r="UXL24" s="3507"/>
      <c r="UXM24" s="3507"/>
      <c r="UXN24" s="3507"/>
      <c r="UXO24" s="3507"/>
      <c r="UXP24" s="3507"/>
      <c r="UXQ24" s="3507"/>
      <c r="UXR24" s="3507"/>
      <c r="UXS24" s="3507"/>
      <c r="UXT24" s="3507"/>
      <c r="UXU24" s="3507"/>
      <c r="UXV24" s="3507"/>
      <c r="UXW24" s="3507"/>
      <c r="UXX24" s="3507"/>
      <c r="UXY24" s="3507"/>
      <c r="UXZ24" s="3507"/>
      <c r="UYA24" s="3507"/>
      <c r="UYB24" s="3507"/>
      <c r="UYC24" s="3507"/>
      <c r="UYD24" s="3507"/>
      <c r="UYE24" s="3507"/>
      <c r="UYF24" s="3507"/>
      <c r="UYG24" s="3507"/>
      <c r="UYH24" s="3507"/>
      <c r="UYI24" s="3507"/>
      <c r="UYJ24" s="3507"/>
      <c r="UYK24" s="3507"/>
      <c r="UYL24" s="3507"/>
      <c r="UYM24" s="3507"/>
      <c r="UYN24" s="3507"/>
      <c r="UYO24" s="3507"/>
      <c r="UYP24" s="3507"/>
      <c r="UYQ24" s="3507"/>
      <c r="UYR24" s="3507"/>
      <c r="UYS24" s="3507"/>
      <c r="UYT24" s="3507"/>
      <c r="UYU24" s="3507"/>
      <c r="UYV24" s="3507"/>
      <c r="UYW24" s="3507"/>
      <c r="UYX24" s="3507"/>
      <c r="UYY24" s="3507"/>
      <c r="UYZ24" s="3507"/>
      <c r="UZA24" s="3507"/>
      <c r="UZB24" s="3507"/>
      <c r="UZC24" s="3507"/>
      <c r="UZD24" s="3507"/>
      <c r="UZE24" s="3507"/>
      <c r="UZF24" s="3507"/>
      <c r="UZG24" s="3507"/>
      <c r="UZH24" s="3507"/>
      <c r="UZI24" s="3507"/>
      <c r="UZJ24" s="3507"/>
      <c r="UZK24" s="3507"/>
      <c r="UZL24" s="3507"/>
      <c r="UZM24" s="3507"/>
      <c r="UZN24" s="3507"/>
      <c r="UZO24" s="3507"/>
      <c r="UZP24" s="3507"/>
      <c r="UZQ24" s="3507"/>
      <c r="UZR24" s="3507"/>
      <c r="UZS24" s="3507"/>
      <c r="UZT24" s="3507"/>
      <c r="UZU24" s="3507"/>
      <c r="UZV24" s="3507"/>
      <c r="UZW24" s="3507"/>
      <c r="UZX24" s="3507"/>
      <c r="UZY24" s="3507"/>
      <c r="UZZ24" s="3507"/>
      <c r="VAA24" s="3507"/>
      <c r="VAB24" s="3507"/>
      <c r="VAC24" s="3507"/>
      <c r="VAD24" s="3507"/>
      <c r="VAE24" s="3507"/>
      <c r="VAF24" s="3507"/>
      <c r="VAG24" s="3507"/>
      <c r="VAH24" s="3507"/>
      <c r="VAI24" s="3507"/>
      <c r="VAJ24" s="3507"/>
      <c r="VAK24" s="3507"/>
      <c r="VAL24" s="3507"/>
      <c r="VAM24" s="3507"/>
      <c r="VAN24" s="3507"/>
      <c r="VAO24" s="3507"/>
      <c r="VAP24" s="3507"/>
      <c r="VAQ24" s="3507"/>
      <c r="VAR24" s="3507"/>
      <c r="VAS24" s="3507"/>
      <c r="VAT24" s="3507"/>
      <c r="VAU24" s="3507"/>
      <c r="VAV24" s="3507"/>
      <c r="VAW24" s="3507"/>
      <c r="VAX24" s="3507"/>
      <c r="VAY24" s="3507"/>
      <c r="VAZ24" s="3507"/>
      <c r="VBA24" s="3507"/>
      <c r="VBB24" s="3507"/>
      <c r="VBC24" s="3507"/>
      <c r="VBD24" s="3507"/>
      <c r="VBE24" s="3507"/>
      <c r="VBF24" s="3507"/>
      <c r="VBG24" s="3507"/>
      <c r="VBH24" s="3507"/>
      <c r="VBI24" s="3507"/>
      <c r="VBJ24" s="3507"/>
      <c r="VBK24" s="3507"/>
      <c r="VBL24" s="3507"/>
      <c r="VBM24" s="3507"/>
      <c r="VBN24" s="3507"/>
      <c r="VBO24" s="3507"/>
      <c r="VBP24" s="3507"/>
      <c r="VBQ24" s="3507"/>
      <c r="VBR24" s="3507"/>
      <c r="VBS24" s="3507"/>
      <c r="VBT24" s="3507"/>
      <c r="VBU24" s="3507"/>
      <c r="VBV24" s="3507"/>
      <c r="VBW24" s="3507"/>
      <c r="VBX24" s="3507"/>
      <c r="VBY24" s="3507"/>
      <c r="VBZ24" s="3507"/>
      <c r="VCA24" s="3507"/>
      <c r="VCB24" s="3507"/>
      <c r="VCC24" s="3507"/>
      <c r="VCD24" s="3507"/>
      <c r="VCE24" s="3507"/>
      <c r="VCF24" s="3507"/>
      <c r="VCG24" s="3507"/>
      <c r="VCH24" s="3507"/>
      <c r="VCI24" s="3507"/>
      <c r="VCJ24" s="3507"/>
      <c r="VCK24" s="3507"/>
      <c r="VCL24" s="3507"/>
      <c r="VCM24" s="3507"/>
      <c r="VCN24" s="3507"/>
      <c r="VCO24" s="3507"/>
      <c r="VCP24" s="3507"/>
      <c r="VCQ24" s="3507"/>
      <c r="VCR24" s="3507"/>
      <c r="VCS24" s="3507"/>
      <c r="VCT24" s="3507"/>
      <c r="VCU24" s="3507"/>
      <c r="VCV24" s="3507"/>
      <c r="VCW24" s="3507"/>
      <c r="VCX24" s="3507"/>
      <c r="VCY24" s="3507"/>
      <c r="VCZ24" s="3507"/>
      <c r="VDA24" s="3507"/>
      <c r="VDB24" s="3507"/>
      <c r="VDC24" s="3507"/>
      <c r="VDD24" s="3507"/>
      <c r="VDE24" s="3507"/>
      <c r="VDF24" s="3507"/>
      <c r="VDG24" s="3507"/>
      <c r="VDH24" s="3507"/>
      <c r="VDI24" s="3507"/>
      <c r="VDJ24" s="3507"/>
      <c r="VDK24" s="3507"/>
      <c r="VDL24" s="3507"/>
      <c r="VDM24" s="3507"/>
      <c r="VDN24" s="3507"/>
      <c r="VDO24" s="3507"/>
      <c r="VDP24" s="3507"/>
      <c r="VDQ24" s="3507"/>
      <c r="VDR24" s="3507"/>
      <c r="VDS24" s="3507"/>
      <c r="VDT24" s="3507"/>
      <c r="VDU24" s="3507"/>
      <c r="VDV24" s="3507"/>
      <c r="VDW24" s="3507"/>
      <c r="VDX24" s="3507"/>
      <c r="VDY24" s="3507"/>
      <c r="VDZ24" s="3507"/>
      <c r="VEA24" s="3507"/>
      <c r="VEB24" s="3507"/>
      <c r="VEC24" s="3507"/>
      <c r="VED24" s="3507"/>
      <c r="VEE24" s="3507"/>
      <c r="VEF24" s="3507"/>
      <c r="VEG24" s="3507"/>
      <c r="VEH24" s="3507"/>
      <c r="VEI24" s="3507"/>
      <c r="VEJ24" s="3507"/>
      <c r="VEK24" s="3507"/>
      <c r="VEL24" s="3507"/>
      <c r="VEM24" s="3507"/>
      <c r="VEN24" s="3507"/>
      <c r="VEO24" s="3507"/>
      <c r="VEP24" s="3507"/>
      <c r="VEQ24" s="3507"/>
      <c r="VER24" s="3507"/>
      <c r="VES24" s="3507"/>
      <c r="VET24" s="3507"/>
      <c r="VEU24" s="3507"/>
      <c r="VEV24" s="3507"/>
      <c r="VEW24" s="3507"/>
      <c r="VEX24" s="3507"/>
      <c r="VEY24" s="3507"/>
      <c r="VEZ24" s="3507"/>
      <c r="VFA24" s="3507"/>
      <c r="VFB24" s="3507"/>
      <c r="VFC24" s="3507"/>
      <c r="VFD24" s="3507"/>
      <c r="VFE24" s="3507"/>
      <c r="VFF24" s="3507"/>
      <c r="VFG24" s="3507"/>
      <c r="VFH24" s="3507"/>
      <c r="VFI24" s="3507"/>
      <c r="VFJ24" s="3507"/>
      <c r="VFK24" s="3507"/>
      <c r="VFL24" s="3507"/>
      <c r="VFM24" s="3507"/>
      <c r="VFN24" s="3507"/>
      <c r="VFO24" s="3507"/>
      <c r="VFP24" s="3507"/>
      <c r="VFQ24" s="3507"/>
      <c r="VFR24" s="3507"/>
      <c r="VFS24" s="3507"/>
      <c r="VFT24" s="3507"/>
      <c r="VFU24" s="3507"/>
      <c r="VFV24" s="3507"/>
      <c r="VFW24" s="3507"/>
      <c r="VFX24" s="3507"/>
      <c r="VFY24" s="3507"/>
      <c r="VFZ24" s="3507"/>
      <c r="VGA24" s="3507"/>
      <c r="VGB24" s="3507"/>
      <c r="VGC24" s="3507"/>
      <c r="VGD24" s="3507"/>
      <c r="VGE24" s="3507"/>
      <c r="VGF24" s="3507"/>
      <c r="VGG24" s="3507"/>
      <c r="VGH24" s="3507"/>
      <c r="VGI24" s="3507"/>
      <c r="VGJ24" s="3507"/>
      <c r="VGK24" s="3507"/>
      <c r="VGL24" s="3507"/>
      <c r="VGM24" s="3507"/>
      <c r="VGN24" s="3507"/>
      <c r="VGO24" s="3507"/>
      <c r="VGP24" s="3507"/>
      <c r="VGQ24" s="3507"/>
      <c r="VGR24" s="3507"/>
      <c r="VGS24" s="3507"/>
      <c r="VGT24" s="3507"/>
      <c r="VGU24" s="3507"/>
      <c r="VGV24" s="3507"/>
      <c r="VGW24" s="3507"/>
      <c r="VGX24" s="3507"/>
      <c r="VGY24" s="3507"/>
      <c r="VGZ24" s="3507"/>
      <c r="VHA24" s="3507"/>
      <c r="VHB24" s="3507"/>
      <c r="VHC24" s="3507"/>
      <c r="VHD24" s="3507"/>
      <c r="VHE24" s="3507"/>
      <c r="VHF24" s="3507"/>
      <c r="VHG24" s="3507"/>
      <c r="VHH24" s="3507"/>
      <c r="VHI24" s="3507"/>
      <c r="VHJ24" s="3507"/>
      <c r="VHK24" s="3507"/>
      <c r="VHL24" s="3507"/>
      <c r="VHM24" s="3507"/>
      <c r="VHN24" s="3507"/>
      <c r="VHO24" s="3507"/>
      <c r="VHP24" s="3507"/>
      <c r="VHQ24" s="3507"/>
      <c r="VHR24" s="3507"/>
      <c r="VHS24" s="3507"/>
      <c r="VHT24" s="3507"/>
      <c r="VHU24" s="3507"/>
      <c r="VHV24" s="3507"/>
      <c r="VHW24" s="3507"/>
      <c r="VHX24" s="3507"/>
      <c r="VHY24" s="3507"/>
      <c r="VHZ24" s="3507"/>
      <c r="VIA24" s="3507"/>
      <c r="VIB24" s="3507"/>
      <c r="VIC24" s="3507"/>
      <c r="VID24" s="3507"/>
      <c r="VIE24" s="3507"/>
      <c r="VIF24" s="3507"/>
      <c r="VIG24" s="3507"/>
      <c r="VIH24" s="3507"/>
      <c r="VII24" s="3507"/>
      <c r="VIJ24" s="3507"/>
      <c r="VIK24" s="3507"/>
      <c r="VIL24" s="3507"/>
      <c r="VIM24" s="3507"/>
      <c r="VIN24" s="3507"/>
      <c r="VIO24" s="3507"/>
      <c r="VIP24" s="3507"/>
      <c r="VIQ24" s="3507"/>
      <c r="VIR24" s="3507"/>
      <c r="VIS24" s="3507"/>
      <c r="VIT24" s="3507"/>
      <c r="VIU24" s="3507"/>
      <c r="VIV24" s="3507"/>
      <c r="VIW24" s="3507"/>
      <c r="VIX24" s="3507"/>
      <c r="VIY24" s="3507"/>
      <c r="VIZ24" s="3507"/>
      <c r="VJA24" s="3507"/>
      <c r="VJB24" s="3507"/>
      <c r="VJC24" s="3507"/>
      <c r="VJD24" s="3507"/>
      <c r="VJE24" s="3507"/>
      <c r="VJF24" s="3507"/>
      <c r="VJG24" s="3507"/>
      <c r="VJH24" s="3507"/>
      <c r="VJI24" s="3507"/>
      <c r="VJJ24" s="3507"/>
      <c r="VJK24" s="3507"/>
      <c r="VJL24" s="3507"/>
      <c r="VJM24" s="3507"/>
      <c r="VJN24" s="3507"/>
      <c r="VJO24" s="3507"/>
      <c r="VJP24" s="3507"/>
      <c r="VJQ24" s="3507"/>
      <c r="VJR24" s="3507"/>
      <c r="VJS24" s="3507"/>
      <c r="VJT24" s="3507"/>
      <c r="VJU24" s="3507"/>
      <c r="VJV24" s="3507"/>
      <c r="VJW24" s="3507"/>
      <c r="VJX24" s="3507"/>
      <c r="VJY24" s="3507"/>
      <c r="VJZ24" s="3507"/>
      <c r="VKA24" s="3507"/>
      <c r="VKB24" s="3507"/>
      <c r="VKC24" s="3507"/>
      <c r="VKD24" s="3507"/>
      <c r="VKE24" s="3507"/>
      <c r="VKF24" s="3507"/>
      <c r="VKG24" s="3507"/>
      <c r="VKH24" s="3507"/>
      <c r="VKI24" s="3507"/>
      <c r="VKJ24" s="3507"/>
      <c r="VKK24" s="3507"/>
      <c r="VKL24" s="3507"/>
      <c r="VKM24" s="3507"/>
      <c r="VKN24" s="3507"/>
      <c r="VKO24" s="3507"/>
      <c r="VKP24" s="3507"/>
      <c r="VKQ24" s="3507"/>
      <c r="VKR24" s="3507"/>
      <c r="VKS24" s="3507"/>
      <c r="VKT24" s="3507"/>
      <c r="VKU24" s="3507"/>
      <c r="VKV24" s="3507"/>
      <c r="VKW24" s="3507"/>
      <c r="VKX24" s="3507"/>
      <c r="VKY24" s="3507"/>
      <c r="VKZ24" s="3507"/>
      <c r="VLA24" s="3507"/>
      <c r="VLB24" s="3507"/>
      <c r="VLC24" s="3507"/>
      <c r="VLD24" s="3507"/>
      <c r="VLE24" s="3507"/>
      <c r="VLF24" s="3507"/>
      <c r="VLG24" s="3507"/>
      <c r="VLH24" s="3507"/>
      <c r="VLI24" s="3507"/>
      <c r="VLJ24" s="3507"/>
      <c r="VLK24" s="3507"/>
      <c r="VLL24" s="3507"/>
      <c r="VLM24" s="3507"/>
      <c r="VLN24" s="3507"/>
      <c r="VLO24" s="3507"/>
      <c r="VLP24" s="3507"/>
      <c r="VLQ24" s="3507"/>
      <c r="VLR24" s="3507"/>
      <c r="VLS24" s="3507"/>
      <c r="VLT24" s="3507"/>
      <c r="VLU24" s="3507"/>
      <c r="VLV24" s="3507"/>
      <c r="VLW24" s="3507"/>
      <c r="VLX24" s="3507"/>
      <c r="VLY24" s="3507"/>
      <c r="VLZ24" s="3507"/>
      <c r="VMA24" s="3507"/>
      <c r="VMB24" s="3507"/>
      <c r="VMC24" s="3507"/>
      <c r="VMD24" s="3507"/>
      <c r="VME24" s="3507"/>
      <c r="VMF24" s="3507"/>
      <c r="VMG24" s="3507"/>
      <c r="VMH24" s="3507"/>
      <c r="VMI24" s="3507"/>
      <c r="VMJ24" s="3507"/>
      <c r="VMK24" s="3507"/>
      <c r="VML24" s="3507"/>
      <c r="VMM24" s="3507"/>
      <c r="VMN24" s="3507"/>
      <c r="VMO24" s="3507"/>
      <c r="VMP24" s="3507"/>
      <c r="VMQ24" s="3507"/>
      <c r="VMR24" s="3507"/>
      <c r="VMS24" s="3507"/>
      <c r="VMT24" s="3507"/>
      <c r="VMU24" s="3507"/>
      <c r="VMV24" s="3507"/>
      <c r="VMW24" s="3507"/>
      <c r="VMX24" s="3507"/>
      <c r="VMY24" s="3507"/>
      <c r="VMZ24" s="3507"/>
      <c r="VNA24" s="3507"/>
      <c r="VNB24" s="3507"/>
      <c r="VNC24" s="3507"/>
      <c r="VND24" s="3507"/>
      <c r="VNE24" s="3507"/>
      <c r="VNF24" s="3507"/>
      <c r="VNG24" s="3507"/>
      <c r="VNH24" s="3507"/>
      <c r="VNI24" s="3507"/>
      <c r="VNJ24" s="3507"/>
      <c r="VNK24" s="3507"/>
      <c r="VNL24" s="3507"/>
      <c r="VNM24" s="3507"/>
      <c r="VNN24" s="3507"/>
      <c r="VNO24" s="3507"/>
      <c r="VNP24" s="3507"/>
      <c r="VNQ24" s="3507"/>
      <c r="VNR24" s="3507"/>
      <c r="VNS24" s="3507"/>
      <c r="VNT24" s="3507"/>
      <c r="VNU24" s="3507"/>
      <c r="VNV24" s="3507"/>
      <c r="VNW24" s="3507"/>
      <c r="VNX24" s="3507"/>
      <c r="VNY24" s="3507"/>
      <c r="VNZ24" s="3507"/>
      <c r="VOA24" s="3507"/>
      <c r="VOB24" s="3507"/>
      <c r="VOC24" s="3507"/>
      <c r="VOD24" s="3507"/>
      <c r="VOE24" s="3507"/>
      <c r="VOF24" s="3507"/>
      <c r="VOG24" s="3507"/>
      <c r="VOH24" s="3507"/>
      <c r="VOI24" s="3507"/>
      <c r="VOJ24" s="3507"/>
      <c r="VOK24" s="3507"/>
      <c r="VOL24" s="3507"/>
      <c r="VOM24" s="3507"/>
      <c r="VON24" s="3507"/>
      <c r="VOO24" s="3507"/>
      <c r="VOP24" s="3507"/>
      <c r="VOQ24" s="3507"/>
      <c r="VOR24" s="3507"/>
      <c r="VOS24" s="3507"/>
      <c r="VOT24" s="3507"/>
      <c r="VOU24" s="3507"/>
      <c r="VOV24" s="3507"/>
      <c r="VOW24" s="3507"/>
      <c r="VOX24" s="3507"/>
      <c r="VOY24" s="3507"/>
      <c r="VOZ24" s="3507"/>
      <c r="VPA24" s="3507"/>
      <c r="VPB24" s="3507"/>
      <c r="VPC24" s="3507"/>
      <c r="VPD24" s="3507"/>
      <c r="VPE24" s="3507"/>
      <c r="VPF24" s="3507"/>
      <c r="VPG24" s="3507"/>
      <c r="VPH24" s="3507"/>
      <c r="VPI24" s="3507"/>
      <c r="VPJ24" s="3507"/>
      <c r="VPK24" s="3507"/>
      <c r="VPL24" s="3507"/>
      <c r="VPM24" s="3507"/>
      <c r="VPN24" s="3507"/>
      <c r="VPO24" s="3507"/>
      <c r="VPP24" s="3507"/>
      <c r="VPQ24" s="3507"/>
      <c r="VPR24" s="3507"/>
      <c r="VPS24" s="3507"/>
      <c r="VPT24" s="3507"/>
      <c r="VPU24" s="3507"/>
      <c r="VPV24" s="3507"/>
      <c r="VPW24" s="3507"/>
      <c r="VPX24" s="3507"/>
      <c r="VPY24" s="3507"/>
      <c r="VPZ24" s="3507"/>
      <c r="VQA24" s="3507"/>
      <c r="VQB24" s="3507"/>
      <c r="VQC24" s="3507"/>
      <c r="VQD24" s="3507"/>
      <c r="VQE24" s="3507"/>
      <c r="VQF24" s="3507"/>
      <c r="VQG24" s="3507"/>
      <c r="VQH24" s="3507"/>
      <c r="VQI24" s="3507"/>
      <c r="VQJ24" s="3507"/>
      <c r="VQK24" s="3507"/>
      <c r="VQL24" s="3507"/>
      <c r="VQM24" s="3507"/>
      <c r="VQN24" s="3507"/>
      <c r="VQO24" s="3507"/>
      <c r="VQP24" s="3507"/>
      <c r="VQQ24" s="3507"/>
      <c r="VQR24" s="3507"/>
      <c r="VQS24" s="3507"/>
      <c r="VQT24" s="3507"/>
      <c r="VQU24" s="3507"/>
      <c r="VQV24" s="3507"/>
      <c r="VQW24" s="3507"/>
      <c r="VQX24" s="3507"/>
      <c r="VQY24" s="3507"/>
      <c r="VQZ24" s="3507"/>
      <c r="VRA24" s="3507"/>
      <c r="VRB24" s="3507"/>
      <c r="VRC24" s="3507"/>
      <c r="VRD24" s="3507"/>
      <c r="VRE24" s="3507"/>
      <c r="VRF24" s="3507"/>
      <c r="VRG24" s="3507"/>
      <c r="VRH24" s="3507"/>
      <c r="VRI24" s="3507"/>
      <c r="VRJ24" s="3507"/>
      <c r="VRK24" s="3507"/>
      <c r="VRL24" s="3507"/>
      <c r="VRM24" s="3507"/>
      <c r="VRN24" s="3507"/>
      <c r="VRO24" s="3507"/>
      <c r="VRP24" s="3507"/>
      <c r="VRQ24" s="3507"/>
      <c r="VRR24" s="3507"/>
      <c r="VRS24" s="3507"/>
      <c r="VRT24" s="3507"/>
      <c r="VRU24" s="3507"/>
      <c r="VRV24" s="3507"/>
      <c r="VRW24" s="3507"/>
      <c r="VRX24" s="3507"/>
      <c r="VRY24" s="3507"/>
      <c r="VRZ24" s="3507"/>
      <c r="VSA24" s="3507"/>
      <c r="VSB24" s="3507"/>
      <c r="VSC24" s="3507"/>
      <c r="VSD24" s="3507"/>
      <c r="VSE24" s="3507"/>
      <c r="VSF24" s="3507"/>
      <c r="VSG24" s="3507"/>
      <c r="VSH24" s="3507"/>
      <c r="VSI24" s="3507"/>
      <c r="VSJ24" s="3507"/>
      <c r="VSK24" s="3507"/>
      <c r="VSL24" s="3507"/>
      <c r="VSM24" s="3507"/>
      <c r="VSN24" s="3507"/>
      <c r="VSO24" s="3507"/>
      <c r="VSP24" s="3507"/>
      <c r="VSQ24" s="3507"/>
      <c r="VSR24" s="3507"/>
      <c r="VSS24" s="3507"/>
      <c r="VST24" s="3507"/>
      <c r="VSU24" s="3507"/>
      <c r="VSV24" s="3507"/>
      <c r="VSW24" s="3507"/>
      <c r="VSX24" s="3507"/>
      <c r="VSY24" s="3507"/>
      <c r="VSZ24" s="3507"/>
      <c r="VTA24" s="3507"/>
      <c r="VTB24" s="3507"/>
      <c r="VTC24" s="3507"/>
      <c r="VTD24" s="3507"/>
      <c r="VTE24" s="3507"/>
      <c r="VTF24" s="3507"/>
      <c r="VTG24" s="3507"/>
      <c r="VTH24" s="3507"/>
      <c r="VTI24" s="3507"/>
      <c r="VTJ24" s="3507"/>
      <c r="VTK24" s="3507"/>
      <c r="VTL24" s="3507"/>
      <c r="VTM24" s="3507"/>
      <c r="VTN24" s="3507"/>
      <c r="VTO24" s="3507"/>
      <c r="VTP24" s="3507"/>
      <c r="VTQ24" s="3507"/>
      <c r="VTR24" s="3507"/>
      <c r="VTS24" s="3507"/>
      <c r="VTT24" s="3507"/>
      <c r="VTU24" s="3507"/>
      <c r="VTV24" s="3507"/>
      <c r="VTW24" s="3507"/>
      <c r="VTX24" s="3507"/>
      <c r="VTY24" s="3507"/>
      <c r="VTZ24" s="3507"/>
      <c r="VUA24" s="3507"/>
      <c r="VUB24" s="3507"/>
      <c r="VUC24" s="3507"/>
      <c r="VUD24" s="3507"/>
      <c r="VUE24" s="3507"/>
      <c r="VUF24" s="3507"/>
      <c r="VUG24" s="3507"/>
      <c r="VUH24" s="3507"/>
      <c r="VUI24" s="3507"/>
      <c r="VUJ24" s="3507"/>
      <c r="VUK24" s="3507"/>
      <c r="VUL24" s="3507"/>
      <c r="VUM24" s="3507"/>
      <c r="VUN24" s="3507"/>
      <c r="VUO24" s="3507"/>
      <c r="VUP24" s="3507"/>
      <c r="VUQ24" s="3507"/>
      <c r="VUR24" s="3507"/>
      <c r="VUS24" s="3507"/>
      <c r="VUT24" s="3507"/>
      <c r="VUU24" s="3507"/>
      <c r="VUV24" s="3507"/>
      <c r="VUW24" s="3507"/>
      <c r="VUX24" s="3507"/>
      <c r="VUY24" s="3507"/>
      <c r="VUZ24" s="3507"/>
      <c r="VVA24" s="3507"/>
      <c r="VVB24" s="3507"/>
      <c r="VVC24" s="3507"/>
      <c r="VVD24" s="3507"/>
      <c r="VVE24" s="3507"/>
      <c r="VVF24" s="3507"/>
      <c r="VVG24" s="3507"/>
      <c r="VVH24" s="3507"/>
      <c r="VVI24" s="3507"/>
      <c r="VVJ24" s="3507"/>
      <c r="VVK24" s="3507"/>
      <c r="VVL24" s="3507"/>
      <c r="VVM24" s="3507"/>
      <c r="VVN24" s="3507"/>
      <c r="VVO24" s="3507"/>
      <c r="VVP24" s="3507"/>
      <c r="VVQ24" s="3507"/>
      <c r="VVR24" s="3507"/>
      <c r="VVS24" s="3507"/>
      <c r="VVT24" s="3507"/>
      <c r="VVU24" s="3507"/>
      <c r="VVV24" s="3507"/>
      <c r="VVW24" s="3507"/>
      <c r="VVX24" s="3507"/>
      <c r="VVY24" s="3507"/>
      <c r="VVZ24" s="3507"/>
      <c r="VWA24" s="3507"/>
      <c r="VWB24" s="3507"/>
      <c r="VWC24" s="3507"/>
      <c r="VWD24" s="3507"/>
      <c r="VWE24" s="3507"/>
      <c r="VWF24" s="3507"/>
      <c r="VWG24" s="3507"/>
      <c r="VWH24" s="3507"/>
      <c r="VWI24" s="3507"/>
      <c r="VWJ24" s="3507"/>
      <c r="VWK24" s="3507"/>
      <c r="VWL24" s="3507"/>
      <c r="VWM24" s="3507"/>
      <c r="VWN24" s="3507"/>
      <c r="VWO24" s="3507"/>
      <c r="VWP24" s="3507"/>
      <c r="VWQ24" s="3507"/>
      <c r="VWR24" s="3507"/>
      <c r="VWS24" s="3507"/>
      <c r="VWT24" s="3507"/>
      <c r="VWU24" s="3507"/>
      <c r="VWV24" s="3507"/>
      <c r="VWW24" s="3507"/>
      <c r="VWX24" s="3507"/>
      <c r="VWY24" s="3507"/>
      <c r="VWZ24" s="3507"/>
      <c r="VXA24" s="3507"/>
      <c r="VXB24" s="3507"/>
      <c r="VXC24" s="3507"/>
      <c r="VXD24" s="3507"/>
      <c r="VXE24" s="3507"/>
      <c r="VXF24" s="3507"/>
      <c r="VXG24" s="3507"/>
      <c r="VXH24" s="3507"/>
      <c r="VXI24" s="3507"/>
      <c r="VXJ24" s="3507"/>
      <c r="VXK24" s="3507"/>
      <c r="VXL24" s="3507"/>
      <c r="VXM24" s="3507"/>
      <c r="VXN24" s="3507"/>
      <c r="VXO24" s="3507"/>
      <c r="VXP24" s="3507"/>
      <c r="VXQ24" s="3507"/>
      <c r="VXR24" s="3507"/>
      <c r="VXS24" s="3507"/>
      <c r="VXT24" s="3507"/>
      <c r="VXU24" s="3507"/>
      <c r="VXV24" s="3507"/>
      <c r="VXW24" s="3507"/>
      <c r="VXX24" s="3507"/>
      <c r="VXY24" s="3507"/>
      <c r="VXZ24" s="3507"/>
      <c r="VYA24" s="3507"/>
      <c r="VYB24" s="3507"/>
      <c r="VYC24" s="3507"/>
      <c r="VYD24" s="3507"/>
      <c r="VYE24" s="3507"/>
      <c r="VYF24" s="3507"/>
      <c r="VYG24" s="3507"/>
      <c r="VYH24" s="3507"/>
      <c r="VYI24" s="3507"/>
      <c r="VYJ24" s="3507"/>
      <c r="VYK24" s="3507"/>
      <c r="VYL24" s="3507"/>
      <c r="VYM24" s="3507"/>
      <c r="VYN24" s="3507"/>
      <c r="VYO24" s="3507"/>
      <c r="VYP24" s="3507"/>
      <c r="VYQ24" s="3507"/>
      <c r="VYR24" s="3507"/>
      <c r="VYS24" s="3507"/>
      <c r="VYT24" s="3507"/>
      <c r="VYU24" s="3507"/>
      <c r="VYV24" s="3507"/>
      <c r="VYW24" s="3507"/>
      <c r="VYX24" s="3507"/>
      <c r="VYY24" s="3507"/>
      <c r="VYZ24" s="3507"/>
      <c r="VZA24" s="3507"/>
      <c r="VZB24" s="3507"/>
      <c r="VZC24" s="3507"/>
      <c r="VZD24" s="3507"/>
      <c r="VZE24" s="3507"/>
      <c r="VZF24" s="3507"/>
      <c r="VZG24" s="3507"/>
      <c r="VZH24" s="3507"/>
      <c r="VZI24" s="3507"/>
      <c r="VZJ24" s="3507"/>
      <c r="VZK24" s="3507"/>
      <c r="VZL24" s="3507"/>
      <c r="VZM24" s="3507"/>
      <c r="VZN24" s="3507"/>
      <c r="VZO24" s="3507"/>
      <c r="VZP24" s="3507"/>
      <c r="VZQ24" s="3507"/>
      <c r="VZR24" s="3507"/>
      <c r="VZS24" s="3507"/>
      <c r="VZT24" s="3507"/>
      <c r="VZU24" s="3507"/>
      <c r="VZV24" s="3507"/>
      <c r="VZW24" s="3507"/>
      <c r="VZX24" s="3507"/>
      <c r="VZY24" s="3507"/>
      <c r="VZZ24" s="3507"/>
      <c r="WAA24" s="3507"/>
      <c r="WAB24" s="3507"/>
      <c r="WAC24" s="3507"/>
      <c r="WAD24" s="3507"/>
      <c r="WAE24" s="3507"/>
      <c r="WAF24" s="3507"/>
      <c r="WAG24" s="3507"/>
      <c r="WAH24" s="3507"/>
      <c r="WAI24" s="3507"/>
      <c r="WAJ24" s="3507"/>
      <c r="WAK24" s="3507"/>
      <c r="WAL24" s="3507"/>
      <c r="WAM24" s="3507"/>
      <c r="WAN24" s="3507"/>
      <c r="WAO24" s="3507"/>
      <c r="WAP24" s="3507"/>
      <c r="WAQ24" s="3507"/>
      <c r="WAR24" s="3507"/>
      <c r="WAS24" s="3507"/>
      <c r="WAT24" s="3507"/>
      <c r="WAU24" s="3507"/>
      <c r="WAV24" s="3507"/>
      <c r="WAW24" s="3507"/>
      <c r="WAX24" s="3507"/>
      <c r="WAY24" s="3507"/>
      <c r="WAZ24" s="3507"/>
      <c r="WBA24" s="3507"/>
      <c r="WBB24" s="3507"/>
      <c r="WBC24" s="3507"/>
      <c r="WBD24" s="3507"/>
      <c r="WBE24" s="3507"/>
      <c r="WBF24" s="3507"/>
      <c r="WBG24" s="3507"/>
      <c r="WBH24" s="3507"/>
      <c r="WBI24" s="3507"/>
      <c r="WBJ24" s="3507"/>
      <c r="WBK24" s="3507"/>
      <c r="WBL24" s="3507"/>
      <c r="WBM24" s="3507"/>
      <c r="WBN24" s="3507"/>
      <c r="WBO24" s="3507"/>
      <c r="WBP24" s="3507"/>
      <c r="WBQ24" s="3507"/>
      <c r="WBR24" s="3507"/>
      <c r="WBS24" s="3507"/>
      <c r="WBT24" s="3507"/>
      <c r="WBU24" s="3507"/>
      <c r="WBV24" s="3507"/>
      <c r="WBW24" s="3507"/>
      <c r="WBX24" s="3507"/>
      <c r="WBY24" s="3507"/>
      <c r="WBZ24" s="3507"/>
      <c r="WCA24" s="3507"/>
      <c r="WCB24" s="3507"/>
      <c r="WCC24" s="3507"/>
      <c r="WCD24" s="3507"/>
      <c r="WCE24" s="3507"/>
      <c r="WCF24" s="3507"/>
      <c r="WCG24" s="3507"/>
      <c r="WCH24" s="3507"/>
      <c r="WCI24" s="3507"/>
      <c r="WCJ24" s="3507"/>
      <c r="WCK24" s="3507"/>
      <c r="WCL24" s="3507"/>
      <c r="WCM24" s="3507"/>
      <c r="WCN24" s="3507"/>
      <c r="WCO24" s="3507"/>
      <c r="WCP24" s="3507"/>
      <c r="WCQ24" s="3507"/>
      <c r="WCR24" s="3507"/>
      <c r="WCS24" s="3507"/>
      <c r="WCT24" s="3507"/>
      <c r="WCU24" s="3507"/>
      <c r="WCV24" s="3507"/>
      <c r="WCW24" s="3507"/>
      <c r="WCX24" s="3507"/>
      <c r="WCY24" s="3507"/>
      <c r="WCZ24" s="3507"/>
      <c r="WDA24" s="3507"/>
      <c r="WDB24" s="3507"/>
      <c r="WDC24" s="3507"/>
      <c r="WDD24" s="3507"/>
      <c r="WDE24" s="3507"/>
      <c r="WDF24" s="3507"/>
      <c r="WDG24" s="3507"/>
      <c r="WDH24" s="3507"/>
      <c r="WDI24" s="3507"/>
      <c r="WDJ24" s="3507"/>
      <c r="WDK24" s="3507"/>
      <c r="WDL24" s="3507"/>
      <c r="WDM24" s="3507"/>
      <c r="WDN24" s="3507"/>
      <c r="WDO24" s="3507"/>
      <c r="WDP24" s="3507"/>
      <c r="WDQ24" s="3507"/>
      <c r="WDR24" s="3507"/>
      <c r="WDS24" s="3507"/>
      <c r="WDT24" s="3507"/>
      <c r="WDU24" s="3507"/>
      <c r="WDV24" s="3507"/>
      <c r="WDW24" s="3507"/>
      <c r="WDX24" s="3507"/>
      <c r="WDY24" s="3507"/>
      <c r="WDZ24" s="3507"/>
      <c r="WEA24" s="3507"/>
      <c r="WEB24" s="3507"/>
      <c r="WEC24" s="3507"/>
      <c r="WED24" s="3507"/>
      <c r="WEE24" s="3507"/>
      <c r="WEF24" s="3507"/>
      <c r="WEG24" s="3507"/>
      <c r="WEH24" s="3507"/>
      <c r="WEI24" s="3507"/>
      <c r="WEJ24" s="3507"/>
      <c r="WEK24" s="3507"/>
      <c r="WEL24" s="3507"/>
      <c r="WEM24" s="3507"/>
      <c r="WEN24" s="3507"/>
      <c r="WEO24" s="3507"/>
      <c r="WEP24" s="3507"/>
      <c r="WEQ24" s="3507"/>
      <c r="WER24" s="3507"/>
      <c r="WES24" s="3507"/>
      <c r="WET24" s="3507"/>
      <c r="WEU24" s="3507"/>
      <c r="WEV24" s="3507"/>
      <c r="WEW24" s="3507"/>
      <c r="WEX24" s="3507"/>
      <c r="WEY24" s="3507"/>
      <c r="WEZ24" s="3507"/>
      <c r="WFA24" s="3507"/>
      <c r="WFB24" s="3507"/>
      <c r="WFC24" s="3507"/>
      <c r="WFD24" s="3507"/>
      <c r="WFE24" s="3507"/>
      <c r="WFF24" s="3507"/>
      <c r="WFG24" s="3507"/>
      <c r="WFH24" s="3507"/>
      <c r="WFI24" s="3507"/>
      <c r="WFJ24" s="3507"/>
      <c r="WFK24" s="3507"/>
      <c r="WFL24" s="3507"/>
      <c r="WFM24" s="3507"/>
      <c r="WFN24" s="3507"/>
      <c r="WFO24" s="3507"/>
      <c r="WFP24" s="3507"/>
      <c r="WFQ24" s="3507"/>
      <c r="WFR24" s="3507"/>
      <c r="WFS24" s="3507"/>
      <c r="WFT24" s="3507"/>
      <c r="WFU24" s="3507"/>
      <c r="WFV24" s="3507"/>
      <c r="WFW24" s="3507"/>
      <c r="WFX24" s="3507"/>
      <c r="WFY24" s="3507"/>
      <c r="WFZ24" s="3507"/>
      <c r="WGA24" s="3507"/>
      <c r="WGB24" s="3507"/>
      <c r="WGC24" s="3507"/>
      <c r="WGD24" s="3507"/>
      <c r="WGE24" s="3507"/>
      <c r="WGF24" s="3507"/>
      <c r="WGG24" s="3507"/>
      <c r="WGH24" s="3507"/>
      <c r="WGI24" s="3507"/>
      <c r="WGJ24" s="3507"/>
      <c r="WGK24" s="3507"/>
      <c r="WGL24" s="3507"/>
      <c r="WGM24" s="3507"/>
      <c r="WGN24" s="3507"/>
      <c r="WGO24" s="3507"/>
      <c r="WGP24" s="3507"/>
      <c r="WGQ24" s="3507"/>
      <c r="WGR24" s="3507"/>
      <c r="WGS24" s="3507"/>
      <c r="WGT24" s="3507"/>
      <c r="WGU24" s="3507"/>
      <c r="WGV24" s="3507"/>
      <c r="WGW24" s="3507"/>
      <c r="WGX24" s="3507"/>
      <c r="WGY24" s="3507"/>
      <c r="WGZ24" s="3507"/>
      <c r="WHA24" s="3507"/>
      <c r="WHB24" s="3507"/>
      <c r="WHC24" s="3507"/>
      <c r="WHD24" s="3507"/>
      <c r="WHE24" s="3507"/>
      <c r="WHF24" s="3507"/>
      <c r="WHG24" s="3507"/>
      <c r="WHH24" s="3507"/>
      <c r="WHI24" s="3507"/>
      <c r="WHJ24" s="3507"/>
      <c r="WHK24" s="3507"/>
      <c r="WHL24" s="3507"/>
      <c r="WHM24" s="3507"/>
      <c r="WHN24" s="3507"/>
      <c r="WHO24" s="3507"/>
      <c r="WHP24" s="3507"/>
      <c r="WHQ24" s="3507"/>
      <c r="WHR24" s="3507"/>
      <c r="WHS24" s="3507"/>
      <c r="WHT24" s="3507"/>
      <c r="WHU24" s="3507"/>
      <c r="WHV24" s="3507"/>
      <c r="WHW24" s="3507"/>
      <c r="WHX24" s="3507"/>
      <c r="WHY24" s="3507"/>
      <c r="WHZ24" s="3507"/>
      <c r="WIA24" s="3507"/>
      <c r="WIB24" s="3507"/>
      <c r="WIC24" s="3507"/>
      <c r="WID24" s="3507"/>
      <c r="WIE24" s="3507"/>
      <c r="WIF24" s="3507"/>
      <c r="WIG24" s="3507"/>
      <c r="WIH24" s="3507"/>
      <c r="WII24" s="3507"/>
      <c r="WIJ24" s="3507"/>
      <c r="WIK24" s="3507"/>
      <c r="WIL24" s="3507"/>
      <c r="WIM24" s="3507"/>
      <c r="WIN24" s="3507"/>
      <c r="WIO24" s="3507"/>
      <c r="WIP24" s="3507"/>
      <c r="WIQ24" s="3507"/>
      <c r="WIR24" s="3507"/>
      <c r="WIS24" s="3507"/>
      <c r="WIT24" s="3507"/>
      <c r="WIU24" s="3507"/>
      <c r="WIV24" s="3507"/>
      <c r="WIW24" s="3507"/>
      <c r="WIX24" s="3507"/>
      <c r="WIY24" s="3507"/>
      <c r="WIZ24" s="3507"/>
      <c r="WJA24" s="3507"/>
      <c r="WJB24" s="3507"/>
      <c r="WJC24" s="3507"/>
      <c r="WJD24" s="3507"/>
      <c r="WJE24" s="3507"/>
      <c r="WJF24" s="3507"/>
      <c r="WJG24" s="3507"/>
      <c r="WJH24" s="3507"/>
      <c r="WJI24" s="3507"/>
      <c r="WJJ24" s="3507"/>
      <c r="WJK24" s="3507"/>
      <c r="WJL24" s="3507"/>
      <c r="WJM24" s="3507"/>
      <c r="WJN24" s="3507"/>
      <c r="WJO24" s="3507"/>
      <c r="WJP24" s="3507"/>
      <c r="WJQ24" s="3507"/>
      <c r="WJR24" s="3507"/>
      <c r="WJS24" s="3507"/>
      <c r="WJT24" s="3507"/>
      <c r="WJU24" s="3507"/>
      <c r="WJV24" s="3507"/>
      <c r="WJW24" s="3507"/>
      <c r="WJX24" s="3507"/>
      <c r="WJY24" s="3507"/>
      <c r="WJZ24" s="3507"/>
      <c r="WKA24" s="3507"/>
      <c r="WKB24" s="3507"/>
      <c r="WKC24" s="3507"/>
      <c r="WKD24" s="3507"/>
      <c r="WKE24" s="3507"/>
      <c r="WKF24" s="3507"/>
      <c r="WKG24" s="3507"/>
      <c r="WKH24" s="3507"/>
      <c r="WKI24" s="3507"/>
      <c r="WKJ24" s="3507"/>
      <c r="WKK24" s="3507"/>
      <c r="WKL24" s="3507"/>
      <c r="WKM24" s="3507"/>
      <c r="WKN24" s="3507"/>
      <c r="WKO24" s="3507"/>
      <c r="WKP24" s="3507"/>
      <c r="WKQ24" s="3507"/>
      <c r="WKR24" s="3507"/>
      <c r="WKS24" s="3507"/>
      <c r="WKT24" s="3507"/>
      <c r="WKU24" s="3507"/>
      <c r="WKV24" s="3507"/>
      <c r="WKW24" s="3507"/>
      <c r="WKX24" s="3507"/>
      <c r="WKY24" s="3507"/>
      <c r="WKZ24" s="3507"/>
      <c r="WLA24" s="3507"/>
      <c r="WLB24" s="3507"/>
      <c r="WLC24" s="3507"/>
      <c r="WLD24" s="3507"/>
      <c r="WLE24" s="3507"/>
      <c r="WLF24" s="3507"/>
      <c r="WLG24" s="3507"/>
      <c r="WLH24" s="3507"/>
      <c r="WLI24" s="3507"/>
      <c r="WLJ24" s="3507"/>
      <c r="WLK24" s="3507"/>
      <c r="WLL24" s="3507"/>
      <c r="WLM24" s="3507"/>
      <c r="WLN24" s="3507"/>
      <c r="WLO24" s="3507"/>
      <c r="WLP24" s="3507"/>
      <c r="WLQ24" s="3507"/>
      <c r="WLR24" s="3507"/>
      <c r="WLS24" s="3507"/>
      <c r="WLT24" s="3507"/>
      <c r="WLU24" s="3507"/>
      <c r="WLV24" s="3507"/>
      <c r="WLW24" s="3507"/>
      <c r="WLX24" s="3507"/>
      <c r="WLY24" s="3507"/>
      <c r="WLZ24" s="3507"/>
      <c r="WMA24" s="3507"/>
      <c r="WMB24" s="3507"/>
      <c r="WMC24" s="3507"/>
      <c r="WMD24" s="3507"/>
      <c r="WME24" s="3507"/>
      <c r="WMF24" s="3507"/>
      <c r="WMG24" s="3507"/>
      <c r="WMH24" s="3507"/>
      <c r="WMI24" s="3507"/>
      <c r="WMJ24" s="3507"/>
      <c r="WMK24" s="3507"/>
      <c r="WML24" s="3507"/>
      <c r="WMM24" s="3507"/>
      <c r="WMN24" s="3507"/>
      <c r="WMO24" s="3507"/>
      <c r="WMP24" s="3507"/>
      <c r="WMQ24" s="3507"/>
      <c r="WMR24" s="3507"/>
      <c r="WMS24" s="3507"/>
      <c r="WMT24" s="3507"/>
      <c r="WMU24" s="3507"/>
      <c r="WMV24" s="3507"/>
      <c r="WMW24" s="3507"/>
      <c r="WMX24" s="3507"/>
      <c r="WMY24" s="3507"/>
      <c r="WMZ24" s="3507"/>
      <c r="WNA24" s="3507"/>
      <c r="WNB24" s="3507"/>
      <c r="WNC24" s="3507"/>
      <c r="WND24" s="3507"/>
      <c r="WNE24" s="3507"/>
      <c r="WNF24" s="3507"/>
      <c r="WNG24" s="3507"/>
      <c r="WNH24" s="3507"/>
      <c r="WNI24" s="3507"/>
      <c r="WNJ24" s="3507"/>
      <c r="WNK24" s="3507"/>
      <c r="WNL24" s="3507"/>
      <c r="WNM24" s="3507"/>
      <c r="WNN24" s="3507"/>
      <c r="WNO24" s="3507"/>
      <c r="WNP24" s="3507"/>
      <c r="WNQ24" s="3507"/>
      <c r="WNR24" s="3507"/>
      <c r="WNS24" s="3507"/>
      <c r="WNT24" s="3507"/>
      <c r="WNU24" s="3507"/>
      <c r="WNV24" s="3507"/>
      <c r="WNW24" s="3507"/>
      <c r="WNX24" s="3507"/>
      <c r="WNY24" s="3507"/>
      <c r="WNZ24" s="3507"/>
      <c r="WOA24" s="3507"/>
      <c r="WOB24" s="3507"/>
      <c r="WOC24" s="3507"/>
      <c r="WOD24" s="3507"/>
      <c r="WOE24" s="3507"/>
      <c r="WOF24" s="3507"/>
      <c r="WOG24" s="3507"/>
      <c r="WOH24" s="3507"/>
      <c r="WOI24" s="3507"/>
      <c r="WOJ24" s="3507"/>
      <c r="WOK24" s="3507"/>
      <c r="WOL24" s="3507"/>
      <c r="WOM24" s="3507"/>
      <c r="WON24" s="3507"/>
      <c r="WOO24" s="3507"/>
      <c r="WOP24" s="3507"/>
      <c r="WOQ24" s="3507"/>
      <c r="WOR24" s="3507"/>
      <c r="WOS24" s="3507"/>
      <c r="WOT24" s="3507"/>
      <c r="WOU24" s="3507"/>
      <c r="WOV24" s="3507"/>
      <c r="WOW24" s="3507"/>
      <c r="WOX24" s="3507"/>
      <c r="WOY24" s="3507"/>
      <c r="WOZ24" s="3507"/>
      <c r="WPA24" s="3507"/>
      <c r="WPB24" s="3507"/>
      <c r="WPC24" s="3507"/>
      <c r="WPD24" s="3507"/>
      <c r="WPE24" s="3507"/>
      <c r="WPF24" s="3507"/>
      <c r="WPG24" s="3507"/>
      <c r="WPH24" s="3507"/>
      <c r="WPI24" s="3507"/>
      <c r="WPJ24" s="3507"/>
      <c r="WPK24" s="3507"/>
      <c r="WPL24" s="3507"/>
      <c r="WPM24" s="3507"/>
      <c r="WPN24" s="3507"/>
      <c r="WPO24" s="3507"/>
      <c r="WPP24" s="3507"/>
      <c r="WPQ24" s="3507"/>
      <c r="WPR24" s="3507"/>
      <c r="WPS24" s="3507"/>
      <c r="WPT24" s="3507"/>
      <c r="WPU24" s="3507"/>
      <c r="WPV24" s="3507"/>
      <c r="WPW24" s="3507"/>
      <c r="WPX24" s="3507"/>
      <c r="WPY24" s="3507"/>
      <c r="WPZ24" s="3507"/>
      <c r="WQA24" s="3507"/>
      <c r="WQB24" s="3507"/>
      <c r="WQC24" s="3507"/>
      <c r="WQD24" s="3507"/>
      <c r="WQE24" s="3507"/>
      <c r="WQF24" s="3507"/>
      <c r="WQG24" s="3507"/>
      <c r="WQH24" s="3507"/>
      <c r="WQI24" s="3507"/>
      <c r="WQJ24" s="3507"/>
      <c r="WQK24" s="3507"/>
      <c r="WQL24" s="3507"/>
      <c r="WQM24" s="3507"/>
      <c r="WQN24" s="3507"/>
      <c r="WQO24" s="3507"/>
      <c r="WQP24" s="3507"/>
      <c r="WQQ24" s="3507"/>
      <c r="WQR24" s="3507"/>
      <c r="WQS24" s="3507"/>
      <c r="WQT24" s="3507"/>
      <c r="WQU24" s="3507"/>
      <c r="WQV24" s="3507"/>
      <c r="WQW24" s="3507"/>
      <c r="WQX24" s="3507"/>
      <c r="WQY24" s="3507"/>
      <c r="WQZ24" s="3507"/>
      <c r="WRA24" s="3507"/>
      <c r="WRB24" s="3507"/>
      <c r="WRC24" s="3507"/>
      <c r="WRD24" s="3507"/>
      <c r="WRE24" s="3507"/>
      <c r="WRF24" s="3507"/>
      <c r="WRG24" s="3507"/>
      <c r="WRH24" s="3507"/>
      <c r="WRI24" s="3507"/>
      <c r="WRJ24" s="3507"/>
      <c r="WRK24" s="3507"/>
      <c r="WRL24" s="3507"/>
      <c r="WRM24" s="3507"/>
      <c r="WRN24" s="3507"/>
      <c r="WRO24" s="3507"/>
      <c r="WRP24" s="3507"/>
      <c r="WRQ24" s="3507"/>
      <c r="WRR24" s="3507"/>
      <c r="WRS24" s="3507"/>
      <c r="WRT24" s="3507"/>
      <c r="WRU24" s="3507"/>
      <c r="WRV24" s="3507"/>
      <c r="WRW24" s="3507"/>
      <c r="WRX24" s="3507"/>
      <c r="WRY24" s="3507"/>
      <c r="WRZ24" s="3507"/>
      <c r="WSA24" s="3507"/>
      <c r="WSB24" s="3507"/>
      <c r="WSC24" s="3507"/>
      <c r="WSD24" s="3507"/>
      <c r="WSE24" s="3507"/>
      <c r="WSF24" s="3507"/>
      <c r="WSG24" s="3507"/>
      <c r="WSH24" s="3507"/>
      <c r="WSI24" s="3507"/>
      <c r="WSJ24" s="3507"/>
      <c r="WSK24" s="3507"/>
      <c r="WSL24" s="3507"/>
      <c r="WSM24" s="3507"/>
      <c r="WSN24" s="3507"/>
      <c r="WSO24" s="3507"/>
      <c r="WSP24" s="3507"/>
      <c r="WSQ24" s="3507"/>
      <c r="WSR24" s="3507"/>
      <c r="WSS24" s="3507"/>
      <c r="WST24" s="3507"/>
      <c r="WSU24" s="3507"/>
      <c r="WSV24" s="3507"/>
      <c r="WSW24" s="3507"/>
      <c r="WSX24" s="3507"/>
      <c r="WSY24" s="3507"/>
      <c r="WSZ24" s="3507"/>
      <c r="WTA24" s="3507"/>
      <c r="WTB24" s="3507"/>
      <c r="WTC24" s="3507"/>
      <c r="WTD24" s="3507"/>
      <c r="WTE24" s="3507"/>
      <c r="WTF24" s="3507"/>
      <c r="WTG24" s="3507"/>
      <c r="WTH24" s="3507"/>
      <c r="WTI24" s="3507"/>
      <c r="WTJ24" s="3507"/>
      <c r="WTK24" s="3507"/>
      <c r="WTL24" s="3507"/>
      <c r="WTM24" s="3507"/>
      <c r="WTN24" s="3507"/>
      <c r="WTO24" s="3507"/>
      <c r="WTP24" s="3507"/>
      <c r="WTQ24" s="3507"/>
      <c r="WTR24" s="3507"/>
      <c r="WTS24" s="3507"/>
      <c r="WTT24" s="3507"/>
      <c r="WTU24" s="3507"/>
      <c r="WTV24" s="3507"/>
      <c r="WTW24" s="3507"/>
      <c r="WTX24" s="3507"/>
      <c r="WTY24" s="3507"/>
      <c r="WTZ24" s="3507"/>
      <c r="WUA24" s="3507"/>
      <c r="WUB24" s="3507"/>
      <c r="WUC24" s="3507"/>
      <c r="WUD24" s="3507"/>
      <c r="WUE24" s="3507"/>
      <c r="WUF24" s="3507"/>
      <c r="WUG24" s="3507"/>
      <c r="WUH24" s="3507"/>
      <c r="WUI24" s="3507"/>
      <c r="WUJ24" s="3507"/>
      <c r="WUK24" s="3507"/>
      <c r="WUL24" s="3507"/>
      <c r="WUM24" s="3507"/>
      <c r="WUN24" s="3507"/>
      <c r="WUO24" s="3507"/>
      <c r="WUP24" s="3507"/>
      <c r="WUQ24" s="3507"/>
      <c r="WUR24" s="3507"/>
      <c r="WUS24" s="3507"/>
      <c r="WUT24" s="3507"/>
      <c r="WUU24" s="3507"/>
      <c r="WUV24" s="3507"/>
      <c r="WUW24" s="3507"/>
      <c r="WUX24" s="3507"/>
      <c r="WUY24" s="3507"/>
      <c r="WUZ24" s="3507"/>
      <c r="WVA24" s="3507"/>
      <c r="WVB24" s="3507"/>
      <c r="WVC24" s="3507"/>
      <c r="WVD24" s="3507"/>
      <c r="WVE24" s="3507"/>
      <c r="WVF24" s="3507"/>
      <c r="WVG24" s="3507"/>
      <c r="WVH24" s="3507"/>
      <c r="WVI24" s="3507"/>
      <c r="WVJ24" s="3507"/>
      <c r="WVK24" s="3507"/>
      <c r="WVL24" s="3507"/>
      <c r="WVM24" s="3507"/>
      <c r="WVN24" s="3507"/>
      <c r="WVO24" s="3507"/>
      <c r="WVP24" s="3507"/>
      <c r="WVQ24" s="3507"/>
      <c r="WVR24" s="3507"/>
      <c r="WVS24" s="3507"/>
      <c r="WVT24" s="3507"/>
      <c r="WVU24" s="3507"/>
      <c r="WVV24" s="3507"/>
      <c r="WVW24" s="3507"/>
      <c r="WVX24" s="3507"/>
      <c r="WVY24" s="3507"/>
      <c r="WVZ24" s="3507"/>
      <c r="WWA24" s="3507"/>
      <c r="WWB24" s="3507"/>
      <c r="WWC24" s="3507"/>
      <c r="WWD24" s="3507"/>
      <c r="WWE24" s="3507"/>
      <c r="WWF24" s="3507"/>
      <c r="WWG24" s="3507"/>
      <c r="WWH24" s="3507"/>
      <c r="WWI24" s="3507"/>
      <c r="WWJ24" s="3507"/>
      <c r="WWK24" s="3507"/>
      <c r="WWL24" s="3507"/>
      <c r="WWM24" s="3507"/>
      <c r="WWN24" s="3507"/>
      <c r="WWO24" s="3507"/>
      <c r="WWP24" s="3507"/>
      <c r="WWQ24" s="3507"/>
      <c r="WWR24" s="3507"/>
      <c r="WWS24" s="3507"/>
      <c r="WWT24" s="3507"/>
      <c r="WWU24" s="3507"/>
      <c r="WWV24" s="3507"/>
      <c r="WWW24" s="3507"/>
      <c r="WWX24" s="3507"/>
      <c r="WWY24" s="3507"/>
      <c r="WWZ24" s="3507"/>
      <c r="WXA24" s="3507"/>
      <c r="WXB24" s="3507"/>
      <c r="WXC24" s="3507"/>
      <c r="WXD24" s="3507"/>
      <c r="WXE24" s="3507"/>
      <c r="WXF24" s="3507"/>
      <c r="WXG24" s="3507"/>
      <c r="WXH24" s="3507"/>
      <c r="WXI24" s="3507"/>
      <c r="WXJ24" s="3507"/>
      <c r="WXK24" s="3507"/>
      <c r="WXL24" s="3507"/>
      <c r="WXM24" s="3507"/>
      <c r="WXN24" s="3507"/>
      <c r="WXO24" s="3507"/>
      <c r="WXP24" s="3507"/>
      <c r="WXQ24" s="3507"/>
      <c r="WXR24" s="3507"/>
      <c r="WXS24" s="3507"/>
      <c r="WXT24" s="3507"/>
      <c r="WXU24" s="3507"/>
      <c r="WXV24" s="3507"/>
      <c r="WXW24" s="3507"/>
      <c r="WXX24" s="3507"/>
      <c r="WXY24" s="3507"/>
      <c r="WXZ24" s="3507"/>
      <c r="WYA24" s="3507"/>
      <c r="WYB24" s="3507"/>
      <c r="WYC24" s="3507"/>
      <c r="WYD24" s="3507"/>
      <c r="WYE24" s="3507"/>
      <c r="WYF24" s="3507"/>
      <c r="WYG24" s="3507"/>
      <c r="WYH24" s="3507"/>
      <c r="WYI24" s="3507"/>
      <c r="WYJ24" s="3507"/>
      <c r="WYK24" s="3507"/>
      <c r="WYL24" s="3507"/>
      <c r="WYM24" s="3507"/>
      <c r="WYN24" s="3507"/>
      <c r="WYO24" s="3507"/>
      <c r="WYP24" s="3507"/>
      <c r="WYQ24" s="3507"/>
      <c r="WYR24" s="3507"/>
      <c r="WYS24" s="3507"/>
      <c r="WYT24" s="3507"/>
      <c r="WYU24" s="3507"/>
      <c r="WYV24" s="3507"/>
      <c r="WYW24" s="3507"/>
      <c r="WYX24" s="3507"/>
      <c r="WYY24" s="3507"/>
      <c r="WYZ24" s="3507"/>
      <c r="WZA24" s="3507"/>
      <c r="WZB24" s="3507"/>
      <c r="WZC24" s="3507"/>
      <c r="WZD24" s="3507"/>
      <c r="WZE24" s="3507"/>
      <c r="WZF24" s="3507"/>
      <c r="WZG24" s="3507"/>
      <c r="WZH24" s="3507"/>
      <c r="WZI24" s="3507"/>
      <c r="WZJ24" s="3507"/>
      <c r="WZK24" s="3507"/>
      <c r="WZL24" s="3507"/>
      <c r="WZM24" s="3507"/>
      <c r="WZN24" s="3507"/>
      <c r="WZO24" s="3507"/>
      <c r="WZP24" s="3507"/>
      <c r="WZQ24" s="3507"/>
      <c r="WZR24" s="3507"/>
      <c r="WZS24" s="3507"/>
      <c r="WZT24" s="3507"/>
      <c r="WZU24" s="3507"/>
      <c r="WZV24" s="3507"/>
      <c r="WZW24" s="3507"/>
      <c r="WZX24" s="3507"/>
      <c r="WZY24" s="3507"/>
      <c r="WZZ24" s="3507"/>
      <c r="XAA24" s="3507"/>
      <c r="XAB24" s="3507"/>
      <c r="XAC24" s="3507"/>
      <c r="XAD24" s="3507"/>
      <c r="XAE24" s="3507"/>
      <c r="XAF24" s="3507"/>
      <c r="XAG24" s="3507"/>
      <c r="XAH24" s="3507"/>
      <c r="XAI24" s="3507"/>
      <c r="XAJ24" s="3507"/>
      <c r="XAK24" s="3507"/>
      <c r="XAL24" s="3507"/>
      <c r="XAM24" s="3507"/>
      <c r="XAN24" s="3507"/>
      <c r="XAO24" s="3507"/>
      <c r="XAP24" s="3507"/>
      <c r="XAQ24" s="3507"/>
      <c r="XAR24" s="3507"/>
      <c r="XAS24" s="3507"/>
      <c r="XAT24" s="3507"/>
      <c r="XAU24" s="3507"/>
      <c r="XAV24" s="3507"/>
      <c r="XAW24" s="3507"/>
      <c r="XAX24" s="3507"/>
      <c r="XAY24" s="3507"/>
      <c r="XAZ24" s="3507"/>
      <c r="XBA24" s="3507"/>
      <c r="XBB24" s="3507"/>
      <c r="XBC24" s="3507"/>
      <c r="XBD24" s="3507"/>
      <c r="XBE24" s="3507"/>
      <c r="XBF24" s="3507"/>
      <c r="XBG24" s="3507"/>
      <c r="XBH24" s="3507"/>
      <c r="XBI24" s="3507"/>
      <c r="XBJ24" s="3507"/>
      <c r="XBK24" s="3507"/>
      <c r="XBL24" s="3507"/>
      <c r="XBM24" s="3507"/>
      <c r="XBN24" s="3507"/>
      <c r="XBO24" s="3507"/>
      <c r="XBP24" s="3507"/>
      <c r="XBQ24" s="3507"/>
      <c r="XBR24" s="3507"/>
      <c r="XBS24" s="3507"/>
      <c r="XBT24" s="3507"/>
      <c r="XBU24" s="3507"/>
      <c r="XBV24" s="3507"/>
      <c r="XBW24" s="3507"/>
      <c r="XBX24" s="3507"/>
      <c r="XBY24" s="3507"/>
      <c r="XBZ24" s="3507"/>
      <c r="XCA24" s="3507"/>
      <c r="XCB24" s="3507"/>
      <c r="XCC24" s="3507"/>
      <c r="XCD24" s="3507"/>
      <c r="XCE24" s="3507"/>
      <c r="XCF24" s="3507"/>
      <c r="XCG24" s="3507"/>
      <c r="XCH24" s="3507"/>
      <c r="XCI24" s="3507"/>
      <c r="XCJ24" s="3507"/>
      <c r="XCK24" s="3507"/>
      <c r="XCL24" s="3507"/>
      <c r="XCM24" s="3507"/>
      <c r="XCN24" s="3507"/>
      <c r="XCO24" s="3507"/>
      <c r="XCP24" s="3507"/>
      <c r="XCQ24" s="3507"/>
      <c r="XCR24" s="3507"/>
      <c r="XCS24" s="3507"/>
      <c r="XCT24" s="3507"/>
      <c r="XCU24" s="3507"/>
      <c r="XCV24" s="3507"/>
      <c r="XCW24" s="3507"/>
      <c r="XCX24" s="3507"/>
      <c r="XCY24" s="3507"/>
      <c r="XCZ24" s="3507"/>
      <c r="XDA24" s="3507"/>
      <c r="XDB24" s="3507"/>
      <c r="XDC24" s="3507"/>
      <c r="XDD24" s="3507"/>
      <c r="XDE24" s="3507"/>
      <c r="XDF24" s="3507"/>
      <c r="XDG24" s="3507"/>
      <c r="XDH24" s="3507"/>
      <c r="XDI24" s="3507"/>
      <c r="XDJ24" s="3507"/>
      <c r="XDK24" s="3507"/>
      <c r="XDL24" s="3507"/>
      <c r="XDM24" s="3507"/>
      <c r="XDN24" s="3507"/>
      <c r="XDO24" s="3507"/>
      <c r="XDP24" s="3507"/>
      <c r="XDQ24" s="3507"/>
      <c r="XDR24" s="3507"/>
      <c r="XDS24" s="3507"/>
      <c r="XDT24" s="3507"/>
      <c r="XDU24" s="3507"/>
      <c r="XDV24" s="3507"/>
      <c r="XDW24" s="3507"/>
      <c r="XDX24" s="3507"/>
      <c r="XDY24" s="3507"/>
      <c r="XDZ24" s="3507"/>
      <c r="XEA24" s="3507"/>
      <c r="XEB24" s="3507"/>
      <c r="XEC24" s="3507"/>
      <c r="XED24" s="3507"/>
      <c r="XEE24" s="3507"/>
      <c r="XEF24" s="3507"/>
      <c r="XEG24" s="3507"/>
      <c r="XEH24" s="3507"/>
      <c r="XEI24" s="3507"/>
      <c r="XEJ24" s="3507"/>
      <c r="XEK24" s="3507"/>
      <c r="XEL24" s="3507"/>
      <c r="XEM24" s="3507"/>
      <c r="XEN24" s="3507"/>
    </row>
    <row r="25" spans="1:16368" s="3516" customFormat="1" ht="17.100000000000001" customHeight="1">
      <c r="A25" s="3507"/>
      <c r="B25" s="3507"/>
      <c r="C25" s="3507"/>
      <c r="D25" s="3508"/>
      <c r="G25" s="3824"/>
      <c r="H25" s="3517"/>
      <c r="I25" s="3580"/>
      <c r="J25" s="3580"/>
      <c r="K25" s="3507"/>
      <c r="L25" s="3507"/>
      <c r="M25" s="3514"/>
      <c r="N25" s="3514"/>
      <c r="O25" s="3514"/>
      <c r="P25" s="3514"/>
      <c r="Q25" s="3514"/>
      <c r="R25" s="3514"/>
      <c r="S25" s="3514"/>
      <c r="T25" s="3514"/>
      <c r="U25" s="3514"/>
      <c r="V25" s="3514"/>
      <c r="W25" s="3514"/>
      <c r="X25" s="3514"/>
      <c r="Y25" s="3514"/>
      <c r="Z25" s="3514"/>
      <c r="AA25" s="3514"/>
      <c r="AB25" s="3514"/>
      <c r="AC25" s="3514"/>
      <c r="AD25" s="3514"/>
      <c r="AE25" s="3508"/>
      <c r="AF25" s="3511"/>
      <c r="AG25" s="3508"/>
      <c r="AH25" s="3508"/>
      <c r="AI25" s="3508"/>
      <c r="AJ25" s="3508"/>
      <c r="AK25" s="3508"/>
      <c r="AL25" s="3508"/>
      <c r="AM25" s="3508"/>
      <c r="AN25" s="3509"/>
      <c r="AO25" s="3510"/>
      <c r="AP25" s="3510"/>
      <c r="AQ25" s="3510"/>
      <c r="AR25" s="3510"/>
      <c r="AS25" s="3508"/>
      <c r="AT25" s="3508"/>
      <c r="AU25" s="3508"/>
      <c r="AV25" s="3509"/>
      <c r="AW25" s="3510"/>
      <c r="AX25" s="3508"/>
      <c r="AY25" s="3509"/>
      <c r="AZ25" s="3510"/>
      <c r="BA25" s="3508"/>
      <c r="BB25" s="3508"/>
      <c r="BC25" s="3508"/>
      <c r="BD25" s="3509"/>
      <c r="BE25" s="3512"/>
      <c r="BF25" s="3511"/>
      <c r="BG25" s="3511"/>
      <c r="BH25" s="3511"/>
      <c r="BI25" s="3511"/>
      <c r="BJ25" s="3508"/>
      <c r="BK25" s="3508"/>
      <c r="BL25" s="3509"/>
      <c r="BM25" s="3510"/>
      <c r="BN25" s="3511"/>
      <c r="BO25" s="3509"/>
      <c r="BP25" s="3510"/>
      <c r="BQ25" s="3511"/>
      <c r="BR25" s="3508"/>
      <c r="BS25" s="3508"/>
      <c r="BT25" s="3509"/>
      <c r="BU25" s="3510"/>
      <c r="BV25" s="3511"/>
      <c r="BW25" s="3509"/>
      <c r="BX25" s="3510"/>
      <c r="BY25" s="3511"/>
      <c r="BZ25" s="3508"/>
      <c r="CA25" s="3508"/>
      <c r="CB25" s="3509"/>
      <c r="CC25" s="3510"/>
      <c r="CD25" s="3508"/>
      <c r="CE25" s="3509"/>
      <c r="CF25" s="3510"/>
      <c r="CG25" s="3508"/>
      <c r="CH25" s="3508"/>
      <c r="CI25" s="3508"/>
      <c r="CJ25" s="3509"/>
      <c r="CK25" s="3510"/>
      <c r="CL25" s="3508"/>
      <c r="CM25" s="3508"/>
      <c r="CN25" s="3510"/>
      <c r="CO25" s="3508"/>
      <c r="CP25" s="3508"/>
      <c r="CQ25" s="3508"/>
      <c r="CR25" s="3509"/>
      <c r="CS25" s="3510"/>
      <c r="CT25" s="3508"/>
      <c r="CU25" s="3508"/>
      <c r="CV25" s="3510"/>
      <c r="CW25" s="3508"/>
      <c r="CX25" s="3508"/>
      <c r="CY25" s="3508"/>
      <c r="CZ25" s="3509"/>
      <c r="DA25" s="3510"/>
      <c r="DB25" s="3508"/>
      <c r="DC25" s="3509"/>
      <c r="DD25" s="3510"/>
      <c r="DE25" s="3508"/>
      <c r="DF25" s="3508"/>
      <c r="DG25" s="3508"/>
      <c r="DH25" s="3509"/>
      <c r="DI25" s="3510"/>
      <c r="DJ25" s="3508"/>
      <c r="DK25" s="3509"/>
      <c r="DL25" s="3510"/>
      <c r="DM25" s="3508"/>
      <c r="DN25" s="3513"/>
      <c r="DO25" s="3508"/>
      <c r="DP25" s="3509"/>
      <c r="DQ25" s="3510"/>
      <c r="DR25" s="3508"/>
      <c r="DS25" s="3509"/>
      <c r="DT25" s="3510"/>
      <c r="DU25" s="3508"/>
      <c r="DV25" s="3513"/>
      <c r="DW25" s="3508"/>
      <c r="DX25" s="3509"/>
      <c r="DY25" s="3510"/>
      <c r="DZ25" s="3508"/>
      <c r="EA25" s="3509"/>
      <c r="EB25" s="3510"/>
      <c r="EC25" s="3508"/>
      <c r="ED25" s="3508"/>
      <c r="EF25" s="3508"/>
      <c r="EG25" s="3508"/>
      <c r="EH25" s="3508"/>
      <c r="EI25" s="3508"/>
      <c r="EJ25" s="3508"/>
      <c r="EK25" s="3508"/>
      <c r="EL25" s="3508"/>
      <c r="EM25" s="3508"/>
      <c r="EN25" s="3508"/>
      <c r="EO25" s="3508"/>
      <c r="EP25" s="3508"/>
      <c r="EQ25" s="3508"/>
      <c r="ER25" s="3508"/>
      <c r="ES25" s="3508"/>
      <c r="ET25" s="3509"/>
      <c r="EU25" s="3510"/>
      <c r="EV25" s="3756">
        <f>JQ18+AO18/1.05-EV18-EV24</f>
        <v>0</v>
      </c>
      <c r="EW25" s="3823"/>
      <c r="EX25" s="3509"/>
      <c r="EY25" s="3510"/>
      <c r="EZ25" s="3756">
        <f>JR18+AR18/1.06-EZ18-EZ24</f>
        <v>0</v>
      </c>
      <c r="FA25" s="3511"/>
      <c r="FB25" s="3509"/>
      <c r="FC25" s="3510"/>
      <c r="FD25" s="3756">
        <f>EV24+AW18/1.05-FD18-FD24</f>
        <v>7.9162418842315674E-9</v>
      </c>
      <c r="FE25" s="3823"/>
      <c r="FF25" s="3509"/>
      <c r="FG25" s="3510"/>
      <c r="FH25" s="3756">
        <f>EZ24+AZ18/1.06-FH18-FH24</f>
        <v>0</v>
      </c>
      <c r="FI25" s="3511"/>
      <c r="FJ25" s="3509"/>
      <c r="FK25" s="3510"/>
      <c r="FL25" s="3756">
        <f>FD24+BE18/1.05-FL18-FL24</f>
        <v>-6.0535967350006104E-9</v>
      </c>
      <c r="FM25" s="3823"/>
      <c r="FN25" s="3509"/>
      <c r="FO25" s="3510"/>
      <c r="FP25" s="3756">
        <f>FH24+BH18/1.06-FP18-FP24</f>
        <v>5.2386894822120667E-10</v>
      </c>
      <c r="FQ25" s="3511"/>
      <c r="FR25" s="3509"/>
      <c r="FS25" s="3510"/>
      <c r="FT25" s="3756">
        <f>FL24+BM18/1.05-FT18-FT24</f>
        <v>3.7252902984619141E-9</v>
      </c>
      <c r="FU25" s="3823"/>
      <c r="FV25" s="3509"/>
      <c r="FW25" s="3510"/>
      <c r="FX25" s="3756">
        <f>FP24+BP18/1.06-FX18-FX24</f>
        <v>0</v>
      </c>
      <c r="FY25" s="3511"/>
      <c r="FZ25" s="3509"/>
      <c r="GA25" s="3510"/>
      <c r="GB25" s="3756">
        <f>FT24+BU18/1.05-GB18-GB24</f>
        <v>0</v>
      </c>
      <c r="GC25" s="3823"/>
      <c r="GD25" s="3509"/>
      <c r="GE25" s="3510"/>
      <c r="GF25" s="3756">
        <f>FX24+BX18/1.06-GF18-GF24</f>
        <v>0</v>
      </c>
      <c r="GG25" s="3511"/>
      <c r="GH25" s="3509"/>
      <c r="GI25" s="3510"/>
      <c r="GJ25" s="3756">
        <f>GB24+CC18/1.05-GJ18-GJ24</f>
        <v>5.1222741603851318E-9</v>
      </c>
      <c r="GK25" s="3823"/>
      <c r="GL25" s="3509"/>
      <c r="GM25" s="3510"/>
      <c r="GN25" s="3756">
        <f>GF24+CF18/1.06-GN18-GN24</f>
        <v>0</v>
      </c>
      <c r="GO25" s="3511"/>
      <c r="GP25" s="3509"/>
      <c r="GQ25" s="3510"/>
      <c r="GR25" s="3756">
        <f>GJ24+CK18/1.05-GR18-GR24</f>
        <v>-3.7252902984619141E-9</v>
      </c>
      <c r="GS25" s="3823"/>
      <c r="GT25" s="3509"/>
      <c r="GU25" s="3510"/>
      <c r="GV25" s="3756">
        <f>GN24+CN18/1.06-GV18-GV24</f>
        <v>0</v>
      </c>
      <c r="GW25" s="3511"/>
      <c r="GX25" s="3509"/>
      <c r="GY25" s="3510"/>
      <c r="GZ25" s="3756">
        <f>GR24+CS18/1.05-GZ18-GZ24</f>
        <v>-5.5879354476928711E-9</v>
      </c>
      <c r="HA25" s="3823"/>
      <c r="HB25" s="3509"/>
      <c r="HC25" s="3510"/>
      <c r="HD25" s="3756">
        <f>GV24+CV18/1.06-HD18-HD24</f>
        <v>0</v>
      </c>
      <c r="HE25" s="3511"/>
      <c r="HF25" s="3509"/>
      <c r="HG25" s="3510"/>
      <c r="HH25" s="3756">
        <f>GZ24+DA18/1.05-HH18-HH24</f>
        <v>3.7252902984619141E-9</v>
      </c>
      <c r="HI25" s="3823"/>
      <c r="HJ25" s="3509"/>
      <c r="HK25" s="3510"/>
      <c r="HL25" s="3756">
        <f>HD24+DD18/1.06-HL18-HL24</f>
        <v>0</v>
      </c>
      <c r="HM25" s="3511"/>
      <c r="HN25" s="3509"/>
      <c r="HO25" s="3510"/>
      <c r="HP25" s="3756">
        <f>HH24+DI18/1.05-HP18-HP24</f>
        <v>0</v>
      </c>
      <c r="HQ25" s="3823"/>
      <c r="HR25" s="3509"/>
      <c r="HS25" s="3510"/>
      <c r="HT25" s="3756">
        <f>HL24+DL18/1.06-HT18-HT24</f>
        <v>0</v>
      </c>
      <c r="HU25" s="3511"/>
      <c r="HV25" s="3509"/>
      <c r="HW25" s="3510"/>
      <c r="HX25" s="3756">
        <f>HP24+DQ18/1.05-HX18-HX24</f>
        <v>0</v>
      </c>
      <c r="HY25" s="3823"/>
      <c r="HZ25" s="3509"/>
      <c r="IA25" s="3510"/>
      <c r="IB25" s="3756">
        <f>HT24+DT18/1.06-IB18-IB24</f>
        <v>0</v>
      </c>
      <c r="IC25" s="3511"/>
      <c r="ID25" s="3509"/>
      <c r="IE25" s="3510"/>
      <c r="IF25" s="3756">
        <f>HX24+DY18/1.05-IF18-IF24</f>
        <v>0</v>
      </c>
      <c r="IG25" s="3823"/>
      <c r="IH25" s="3509"/>
      <c r="II25" s="3510"/>
      <c r="IJ25" s="3756">
        <f>IB24+EB18/1.06-IJ18-IJ24</f>
        <v>0</v>
      </c>
      <c r="IK25" s="3511"/>
      <c r="IL25" s="3517"/>
      <c r="IO25" s="3507"/>
      <c r="IP25" s="3515"/>
      <c r="IQ25" s="3515"/>
      <c r="IR25" s="3515"/>
      <c r="IS25" s="3515"/>
      <c r="IT25" s="3515"/>
      <c r="IU25" s="3515"/>
      <c r="IV25" s="3515"/>
      <c r="IW25" s="3515"/>
      <c r="IX25" s="3515"/>
      <c r="IY25" s="3515"/>
      <c r="IZ25" s="3515"/>
      <c r="JA25" s="3515"/>
      <c r="JB25" s="3515"/>
      <c r="JC25" s="3515"/>
      <c r="JD25" s="3515"/>
      <c r="JE25" s="3515"/>
      <c r="JF25" s="3515"/>
      <c r="JG25" s="3515"/>
      <c r="JH25" s="3515"/>
      <c r="JI25" s="3515"/>
      <c r="JJ25" s="3515"/>
      <c r="JK25" s="3515"/>
      <c r="JL25" s="3515"/>
      <c r="JM25" s="3515"/>
      <c r="JN25" s="3515"/>
      <c r="JO25" s="3515"/>
      <c r="JY25" s="3507"/>
      <c r="KA25" s="3577"/>
      <c r="KB25" s="3577"/>
      <c r="KC25" s="3577"/>
      <c r="KD25" s="3577"/>
      <c r="KE25" s="3577"/>
      <c r="KF25" s="3577"/>
      <c r="KG25" s="3577"/>
      <c r="KH25" s="3577"/>
      <c r="KI25" s="3577"/>
      <c r="KJ25" s="3577"/>
      <c r="KK25" s="3577"/>
      <c r="KL25" s="3577"/>
      <c r="KM25" s="3577"/>
      <c r="KN25" s="3577"/>
      <c r="KO25" s="3577"/>
      <c r="KP25" s="3577"/>
    </row>
    <row r="26" spans="1:16368" s="3825" customFormat="1" ht="17.100000000000001" customHeight="1">
      <c r="A26" s="3507"/>
      <c r="B26" s="3507"/>
      <c r="C26" s="3507"/>
      <c r="D26" s="3508"/>
      <c r="G26" s="3826"/>
      <c r="H26" s="3517"/>
      <c r="I26" s="3580"/>
      <c r="J26" s="3580"/>
      <c r="K26" s="3507"/>
      <c r="L26" s="3507"/>
      <c r="M26" s="3514"/>
      <c r="N26" s="3514"/>
      <c r="O26" s="3514"/>
      <c r="P26" s="3514"/>
      <c r="Q26" s="3514"/>
      <c r="R26" s="3514"/>
      <c r="S26" s="3514"/>
      <c r="T26" s="3514"/>
      <c r="U26" s="3514"/>
      <c r="V26" s="3514"/>
      <c r="W26" s="3514"/>
      <c r="X26" s="3514"/>
      <c r="Y26" s="3514"/>
      <c r="Z26" s="3514"/>
      <c r="AA26" s="3514"/>
      <c r="AB26" s="3514"/>
      <c r="AC26" s="3514"/>
      <c r="AD26" s="3514"/>
      <c r="AE26" s="3508"/>
      <c r="AF26" s="3511"/>
      <c r="AG26" s="3508"/>
      <c r="AH26" s="3508"/>
      <c r="AI26" s="3508"/>
      <c r="AJ26" s="3508"/>
      <c r="AK26" s="3508"/>
      <c r="AL26" s="3508"/>
      <c r="AM26" s="3508"/>
      <c r="AN26" s="3509"/>
      <c r="AO26" s="3510"/>
      <c r="AP26" s="3510"/>
      <c r="AQ26" s="3510"/>
      <c r="AR26" s="3510"/>
      <c r="AS26" s="3508"/>
      <c r="AT26" s="3508"/>
      <c r="AU26" s="3508"/>
      <c r="AV26" s="3509"/>
      <c r="AW26" s="3510"/>
      <c r="AX26" s="3508"/>
      <c r="AY26" s="3509"/>
      <c r="AZ26" s="3510"/>
      <c r="BA26" s="3508"/>
      <c r="BB26" s="3508"/>
      <c r="BC26" s="3508"/>
      <c r="BD26" s="3509"/>
      <c r="BE26" s="3512"/>
      <c r="BF26" s="3742"/>
      <c r="BG26" s="3742"/>
      <c r="BH26" s="3742"/>
      <c r="BI26" s="3742"/>
      <c r="BJ26" s="3508"/>
      <c r="BK26" s="3508"/>
      <c r="BL26" s="3509"/>
      <c r="BM26" s="3510"/>
      <c r="BN26" s="3511"/>
      <c r="BO26" s="3509"/>
      <c r="BP26" s="3510"/>
      <c r="BQ26" s="3511"/>
      <c r="BR26" s="3508"/>
      <c r="BS26" s="3508"/>
      <c r="BT26" s="3509"/>
      <c r="BU26" s="3510"/>
      <c r="BV26" s="3511"/>
      <c r="BW26" s="3509"/>
      <c r="BX26" s="3510"/>
      <c r="BY26" s="3511"/>
      <c r="BZ26" s="3508"/>
      <c r="CA26" s="3508"/>
      <c r="CB26" s="3509"/>
      <c r="CC26" s="3510"/>
      <c r="CD26" s="3508"/>
      <c r="CE26" s="3509"/>
      <c r="CF26" s="3510"/>
      <c r="CG26" s="3508"/>
      <c r="CH26" s="3508"/>
      <c r="CI26" s="3508"/>
      <c r="CJ26" s="3509"/>
      <c r="CK26" s="3510"/>
      <c r="CL26" s="3508"/>
      <c r="CM26" s="3508"/>
      <c r="CN26" s="3510"/>
      <c r="CO26" s="3508"/>
      <c r="CP26" s="3508"/>
      <c r="CQ26" s="3508"/>
      <c r="CR26" s="3509"/>
      <c r="CS26" s="3510"/>
      <c r="CT26" s="3508"/>
      <c r="CU26" s="3508"/>
      <c r="CV26" s="3510"/>
      <c r="CW26" s="3508"/>
      <c r="CX26" s="3508"/>
      <c r="CY26" s="3508"/>
      <c r="CZ26" s="3509"/>
      <c r="DA26" s="3510"/>
      <c r="DB26" s="3508"/>
      <c r="DC26" s="3509"/>
      <c r="DD26" s="3510"/>
      <c r="DE26" s="3508"/>
      <c r="DF26" s="3508"/>
      <c r="DG26" s="3508"/>
      <c r="DH26" s="3509"/>
      <c r="DI26" s="3510"/>
      <c r="DJ26" s="3508"/>
      <c r="DK26" s="3509"/>
      <c r="DL26" s="3510"/>
      <c r="DM26" s="3508"/>
      <c r="DN26" s="3513"/>
      <c r="DO26" s="3508"/>
      <c r="DP26" s="3509"/>
      <c r="DQ26" s="3510"/>
      <c r="DR26" s="3508"/>
      <c r="DS26" s="3509"/>
      <c r="DT26" s="3510"/>
      <c r="DU26" s="3508"/>
      <c r="DV26" s="3513"/>
      <c r="DW26" s="3508"/>
      <c r="DX26" s="3509"/>
      <c r="DY26" s="3510"/>
      <c r="DZ26" s="3508"/>
      <c r="EA26" s="3509"/>
      <c r="EB26" s="3510"/>
      <c r="EC26" s="3508"/>
      <c r="ED26" s="3508"/>
      <c r="EF26" s="3508"/>
      <c r="EG26" s="3508"/>
      <c r="EH26" s="3508"/>
      <c r="EI26" s="3508"/>
      <c r="EJ26" s="3508"/>
      <c r="EK26" s="3508"/>
      <c r="EL26" s="3508"/>
      <c r="EM26" s="3508"/>
      <c r="EN26" s="3508"/>
      <c r="EO26" s="3508"/>
      <c r="EP26" s="3508"/>
      <c r="EQ26" s="3508"/>
      <c r="ER26" s="3508"/>
      <c r="ES26" s="3508"/>
      <c r="ET26" s="3509"/>
      <c r="EU26" s="3510"/>
      <c r="EV26" s="3510"/>
      <c r="EW26" s="3511"/>
      <c r="EX26" s="3509"/>
      <c r="EY26" s="3510"/>
      <c r="EZ26" s="3510"/>
      <c r="FA26" s="3511"/>
      <c r="FB26" s="3509"/>
      <c r="FC26" s="3510"/>
      <c r="FD26" s="3510"/>
      <c r="FE26" s="3511"/>
      <c r="FF26" s="3509"/>
      <c r="FG26" s="3510"/>
      <c r="FH26" s="3510"/>
      <c r="FI26" s="3511"/>
      <c r="FJ26" s="3509"/>
      <c r="FK26" s="3510"/>
      <c r="FL26" s="3510"/>
      <c r="FM26" s="3511"/>
      <c r="FN26" s="3509"/>
      <c r="FO26" s="3510"/>
      <c r="FP26" s="3510"/>
      <c r="FQ26" s="3511"/>
      <c r="FR26" s="3509"/>
      <c r="FS26" s="3510"/>
      <c r="FT26" s="3510"/>
      <c r="FU26" s="3511"/>
      <c r="FV26" s="3509"/>
      <c r="FW26" s="3510"/>
      <c r="FX26" s="3510"/>
      <c r="FY26" s="3511"/>
      <c r="FZ26" s="3509"/>
      <c r="GA26" s="3510"/>
      <c r="GB26" s="3510"/>
      <c r="GC26" s="3511"/>
      <c r="GD26" s="3509"/>
      <c r="GE26" s="3510"/>
      <c r="GF26" s="3510"/>
      <c r="GG26" s="3511"/>
      <c r="GH26" s="3509"/>
      <c r="GI26" s="3510"/>
      <c r="GJ26" s="3510"/>
      <c r="GK26" s="3511"/>
      <c r="GL26" s="3509"/>
      <c r="GM26" s="3510"/>
      <c r="GN26" s="3510"/>
      <c r="GO26" s="3511"/>
      <c r="GP26" s="3509"/>
      <c r="GQ26" s="3510"/>
      <c r="GR26" s="3510"/>
      <c r="GS26" s="3511"/>
      <c r="GT26" s="3509"/>
      <c r="GU26" s="3510"/>
      <c r="GV26" s="3510"/>
      <c r="GW26" s="3511"/>
      <c r="GX26" s="3509"/>
      <c r="GY26" s="3510"/>
      <c r="GZ26" s="3510"/>
      <c r="HA26" s="3511"/>
      <c r="HB26" s="3509"/>
      <c r="HC26" s="3510"/>
      <c r="HD26" s="3510"/>
      <c r="HE26" s="3511"/>
      <c r="HF26" s="3509"/>
      <c r="HG26" s="3510"/>
      <c r="HH26" s="3510"/>
      <c r="HI26" s="3511"/>
      <c r="HJ26" s="3509"/>
      <c r="HK26" s="3510"/>
      <c r="HL26" s="3510"/>
      <c r="HM26" s="3511"/>
      <c r="HN26" s="3509"/>
      <c r="HO26" s="3510"/>
      <c r="HP26" s="3510"/>
      <c r="HQ26" s="3511"/>
      <c r="HR26" s="3509"/>
      <c r="HS26" s="3510"/>
      <c r="HT26" s="3510"/>
      <c r="HU26" s="3511"/>
      <c r="HV26" s="3509"/>
      <c r="HW26" s="3510"/>
      <c r="HX26" s="3510"/>
      <c r="HY26" s="3511"/>
      <c r="HZ26" s="3509"/>
      <c r="IA26" s="3510"/>
      <c r="IB26" s="3510"/>
      <c r="IC26" s="3511"/>
      <c r="ID26" s="3509"/>
      <c r="IE26" s="3510"/>
      <c r="IF26" s="3510"/>
      <c r="IG26" s="3511"/>
      <c r="IH26" s="3509"/>
      <c r="II26" s="3510"/>
      <c r="IJ26" s="3510"/>
      <c r="IK26" s="3511"/>
      <c r="IL26" s="3517"/>
      <c r="IO26" s="3507"/>
      <c r="IP26" s="3827"/>
      <c r="IQ26" s="3827"/>
      <c r="IR26" s="3827"/>
      <c r="IS26" s="3827"/>
      <c r="IT26" s="3827"/>
      <c r="IU26" s="3827"/>
      <c r="IV26" s="3827"/>
      <c r="IW26" s="3827"/>
      <c r="IX26" s="3827"/>
      <c r="IY26" s="3827"/>
      <c r="IZ26" s="3827"/>
      <c r="JA26" s="3827"/>
      <c r="JB26" s="3827"/>
      <c r="JC26" s="3827"/>
      <c r="JD26" s="3827"/>
      <c r="JE26" s="3827"/>
      <c r="JF26" s="3827"/>
      <c r="JG26" s="3827"/>
      <c r="JH26" s="3827"/>
      <c r="JI26" s="3827"/>
      <c r="JJ26" s="3827"/>
      <c r="JK26" s="3827"/>
      <c r="JL26" s="3827"/>
      <c r="JM26" s="3827"/>
      <c r="JN26" s="3827"/>
      <c r="JO26" s="3827"/>
      <c r="JY26" s="3507"/>
      <c r="KA26" s="3577"/>
      <c r="KB26" s="3577"/>
      <c r="KC26" s="3577"/>
      <c r="KD26" s="3577"/>
      <c r="KE26" s="3577"/>
      <c r="KF26" s="3577"/>
      <c r="KG26" s="3577"/>
      <c r="KH26" s="3577"/>
      <c r="KI26" s="3577"/>
      <c r="KJ26" s="3577"/>
      <c r="KK26" s="3577"/>
      <c r="KL26" s="3577"/>
      <c r="KM26" s="3577"/>
      <c r="KN26" s="3577"/>
      <c r="KO26" s="3828"/>
      <c r="KP26" s="3577"/>
    </row>
    <row r="27" spans="1:16368" ht="15" customHeight="1">
      <c r="M27" s="3514"/>
      <c r="N27" s="3514"/>
      <c r="O27" s="3514"/>
      <c r="P27" s="3514"/>
      <c r="Q27" s="3514"/>
      <c r="R27" s="3514"/>
      <c r="S27" s="3514"/>
      <c r="T27" s="3514"/>
      <c r="U27" s="3514"/>
      <c r="V27" s="3514"/>
      <c r="W27" s="3514"/>
      <c r="X27" s="3514"/>
      <c r="Y27" s="3514"/>
      <c r="Z27" s="3514"/>
      <c r="AA27" s="3514"/>
      <c r="AB27" s="3514"/>
      <c r="AC27" s="3514"/>
      <c r="AD27" s="3514"/>
      <c r="AP27" s="3510"/>
      <c r="AQ27" s="3510"/>
      <c r="BG27" s="3511"/>
      <c r="BH27" s="3511"/>
      <c r="CM27" s="3508"/>
      <c r="CU27" s="3508"/>
      <c r="ET27" s="3510"/>
      <c r="EV27" s="3511"/>
      <c r="EW27" s="3509"/>
      <c r="EZ27" s="3511"/>
      <c r="FA27" s="3517"/>
      <c r="FB27" s="3825"/>
      <c r="IM27" s="3825"/>
      <c r="IN27" s="3825"/>
      <c r="IP27" s="3827"/>
      <c r="IQ27" s="3827"/>
      <c r="IR27" s="3827"/>
      <c r="IS27" s="3827"/>
      <c r="IT27" s="3827"/>
      <c r="IU27" s="3827"/>
      <c r="IV27" s="3827"/>
      <c r="IW27" s="3827"/>
      <c r="IX27" s="3827"/>
      <c r="IY27" s="3827"/>
      <c r="IZ27" s="3827"/>
      <c r="JA27" s="3827"/>
      <c r="JB27" s="3827"/>
      <c r="JC27" s="3827"/>
      <c r="JD27" s="3827"/>
      <c r="JE27" s="3827"/>
      <c r="JF27" s="3827"/>
      <c r="JG27" s="3827"/>
      <c r="JH27" s="3827"/>
      <c r="JI27" s="3827"/>
      <c r="JJ27" s="3827"/>
      <c r="JK27" s="3827"/>
      <c r="JL27" s="3827"/>
      <c r="JM27" s="3827"/>
      <c r="JN27" s="3827"/>
      <c r="JO27" s="3827"/>
      <c r="JQ27" s="3825"/>
      <c r="JR27" s="3825"/>
      <c r="JZ27" s="3825"/>
      <c r="KA27" s="3577"/>
      <c r="KB27" s="3577"/>
      <c r="KC27" s="3577"/>
      <c r="KD27" s="3577"/>
      <c r="KE27" s="3577"/>
      <c r="KF27" s="3577"/>
      <c r="KG27" s="3577"/>
      <c r="KH27" s="3577"/>
      <c r="KI27" s="3577"/>
      <c r="KJ27" s="3577"/>
      <c r="KK27" s="3577"/>
      <c r="KL27" s="3577"/>
      <c r="KM27" s="3577"/>
      <c r="KN27" s="3577"/>
      <c r="KO27" s="3577"/>
      <c r="KP27" s="3577"/>
      <c r="KQ27" s="3825"/>
      <c r="KR27" s="3825"/>
    </row>
    <row r="28" spans="1:16368" ht="15" customHeight="1">
      <c r="AF28" s="3510"/>
      <c r="AP28" s="3510"/>
      <c r="AQ28" s="3510"/>
      <c r="BG28" s="3511"/>
      <c r="BH28" s="3511"/>
      <c r="CM28" s="3508"/>
      <c r="CU28" s="3508"/>
      <c r="ET28" s="3510"/>
      <c r="EV28" s="3511"/>
      <c r="EW28" s="3509"/>
      <c r="EZ28" s="3511"/>
      <c r="FA28" s="3517"/>
      <c r="FB28" s="3825"/>
      <c r="FL28" s="3508"/>
      <c r="FM28" s="3509"/>
      <c r="IM28" s="3825"/>
      <c r="IN28" s="3825"/>
      <c r="IP28" s="3827"/>
      <c r="IQ28" s="3827"/>
      <c r="IR28" s="3827"/>
      <c r="IS28" s="3827"/>
      <c r="IT28" s="3827"/>
      <c r="IU28" s="3827"/>
      <c r="IV28" s="3827"/>
      <c r="IW28" s="3827"/>
      <c r="IX28" s="3827"/>
      <c r="IY28" s="3827"/>
      <c r="IZ28" s="3827"/>
      <c r="JA28" s="3827"/>
      <c r="JB28" s="3827"/>
      <c r="JC28" s="3827"/>
      <c r="JD28" s="3827"/>
      <c r="JE28" s="3827"/>
      <c r="JF28" s="3827"/>
      <c r="JG28" s="3827"/>
      <c r="JH28" s="3827"/>
      <c r="JI28" s="3827"/>
      <c r="JJ28" s="3827"/>
      <c r="JK28" s="3827"/>
      <c r="JL28" s="3827"/>
      <c r="JM28" s="3827"/>
      <c r="JN28" s="3827"/>
      <c r="JO28" s="3827"/>
      <c r="JQ28" s="3825"/>
      <c r="JR28" s="3825"/>
      <c r="JZ28" s="3825"/>
      <c r="KA28" s="3577"/>
      <c r="KB28" s="3577"/>
      <c r="KC28" s="3577"/>
      <c r="KD28" s="3577"/>
      <c r="KE28" s="3577"/>
      <c r="KF28" s="3577"/>
      <c r="KG28" s="3577"/>
      <c r="KH28" s="3577"/>
      <c r="KI28" s="3577"/>
      <c r="KJ28" s="3577"/>
      <c r="KK28" s="3577"/>
      <c r="KL28" s="3577"/>
      <c r="KM28" s="3577"/>
      <c r="KN28" s="3577"/>
      <c r="KO28" s="3577"/>
      <c r="KP28" s="3577"/>
      <c r="KQ28" s="3825"/>
      <c r="KR28" s="3825"/>
    </row>
    <row r="29" spans="1:16368" ht="15" customHeight="1">
      <c r="AF29" s="3510"/>
      <c r="BG29" s="3511"/>
      <c r="BH29" s="3511"/>
      <c r="CU29" s="3508"/>
      <c r="FL29" s="3508"/>
      <c r="FM29" s="3509"/>
      <c r="IM29" s="3825"/>
      <c r="IN29" s="3825"/>
      <c r="IP29" s="3827"/>
      <c r="IQ29" s="3827"/>
      <c r="IR29" s="3827"/>
      <c r="IS29" s="3827"/>
      <c r="IT29" s="3827"/>
      <c r="IU29" s="3827"/>
      <c r="IV29" s="3827"/>
      <c r="IW29" s="3827"/>
      <c r="IX29" s="3827"/>
      <c r="IY29" s="3827"/>
      <c r="IZ29" s="3827"/>
      <c r="JA29" s="3827"/>
      <c r="JB29" s="3827"/>
      <c r="JC29" s="3827"/>
      <c r="JD29" s="3827"/>
      <c r="JE29" s="3827"/>
      <c r="JF29" s="3827"/>
      <c r="JG29" s="3827"/>
      <c r="JH29" s="3827"/>
      <c r="JI29" s="3827"/>
      <c r="JJ29" s="3827"/>
      <c r="JK29" s="3827"/>
      <c r="JL29" s="3827"/>
      <c r="JM29" s="3827"/>
      <c r="JN29" s="3827"/>
      <c r="JO29" s="3827"/>
      <c r="JQ29" s="3825"/>
      <c r="JR29" s="3825"/>
      <c r="JZ29" s="3825"/>
      <c r="KA29" s="3577"/>
      <c r="KB29" s="3577"/>
      <c r="KC29" s="3577"/>
      <c r="KD29" s="3577"/>
      <c r="KE29" s="3577"/>
      <c r="KF29" s="3577"/>
      <c r="KG29" s="3577"/>
      <c r="KH29" s="3577"/>
      <c r="KI29" s="3577"/>
      <c r="KJ29" s="3577"/>
      <c r="KK29" s="3577"/>
      <c r="KL29" s="3577"/>
      <c r="KM29" s="3577"/>
      <c r="KN29" s="3577"/>
      <c r="KO29" s="3577"/>
      <c r="KP29" s="3577"/>
      <c r="KQ29" s="3825"/>
      <c r="KR29" s="3825"/>
    </row>
    <row r="30" spans="1:16368" ht="15" customHeight="1">
      <c r="AF30" s="3510"/>
      <c r="BF30" s="3742"/>
      <c r="BG30" s="3742"/>
      <c r="BH30" s="3742"/>
      <c r="BI30" s="3742"/>
      <c r="FL30" s="3508"/>
      <c r="FM30" s="3509"/>
      <c r="GK30" s="3510"/>
      <c r="GL30" s="3510"/>
      <c r="IM30" s="3825"/>
      <c r="IN30" s="3825"/>
      <c r="IP30" s="3827"/>
      <c r="IQ30" s="3827"/>
      <c r="IR30" s="3827"/>
      <c r="IS30" s="3827"/>
      <c r="IT30" s="3827"/>
      <c r="IU30" s="3827"/>
      <c r="IV30" s="3827"/>
      <c r="IW30" s="3827"/>
      <c r="IX30" s="3827"/>
      <c r="IY30" s="3827"/>
      <c r="IZ30" s="3827"/>
      <c r="JA30" s="3827"/>
      <c r="JB30" s="3827"/>
      <c r="JC30" s="3827"/>
      <c r="JD30" s="3827"/>
      <c r="JE30" s="3827"/>
      <c r="JF30" s="3827"/>
      <c r="JG30" s="3827"/>
      <c r="JH30" s="3827"/>
      <c r="JI30" s="3827"/>
      <c r="JJ30" s="3827"/>
      <c r="JK30" s="3827"/>
      <c r="JL30" s="3827"/>
      <c r="JM30" s="3827"/>
      <c r="JN30" s="3827"/>
      <c r="JO30" s="3827"/>
      <c r="JQ30" s="3825"/>
      <c r="JR30" s="3825"/>
      <c r="JZ30" s="3825"/>
      <c r="KA30" s="3577"/>
      <c r="KB30" s="3577"/>
      <c r="KC30" s="3577"/>
      <c r="KD30" s="3577"/>
      <c r="KE30" s="3577"/>
      <c r="KF30" s="3577"/>
      <c r="KG30" s="3577"/>
      <c r="KH30" s="3577"/>
      <c r="KI30" s="3577"/>
      <c r="KJ30" s="3577"/>
      <c r="KK30" s="3577"/>
      <c r="KL30" s="3577"/>
      <c r="KM30" s="3577"/>
      <c r="KN30" s="3577"/>
      <c r="KO30" s="3577"/>
      <c r="KP30" s="3577"/>
      <c r="KQ30" s="3825"/>
      <c r="KR30" s="3825"/>
    </row>
    <row r="31" spans="1:16368" ht="15" customHeight="1">
      <c r="BG31" s="3511"/>
      <c r="BH31" s="3511"/>
      <c r="IM31" s="3825"/>
      <c r="IN31" s="3825"/>
      <c r="IP31" s="3827"/>
      <c r="IQ31" s="3827"/>
      <c r="IR31" s="3827"/>
      <c r="IS31" s="3827"/>
      <c r="IT31" s="3827"/>
      <c r="IU31" s="3827"/>
      <c r="IV31" s="3827"/>
      <c r="IW31" s="3827"/>
      <c r="IX31" s="3827"/>
      <c r="IY31" s="3827"/>
      <c r="IZ31" s="3827"/>
      <c r="JA31" s="3827"/>
      <c r="JB31" s="3827"/>
      <c r="JC31" s="3827"/>
      <c r="JD31" s="3827"/>
      <c r="JE31" s="3827"/>
      <c r="JF31" s="3827"/>
      <c r="JG31" s="3827"/>
      <c r="JH31" s="3827"/>
      <c r="JI31" s="3827"/>
      <c r="JJ31" s="3827"/>
      <c r="JK31" s="3827"/>
      <c r="JL31" s="3827"/>
      <c r="JM31" s="3827"/>
      <c r="JN31" s="3827"/>
      <c r="JO31" s="3827"/>
      <c r="JQ31" s="3825"/>
      <c r="JR31" s="3825"/>
      <c r="JZ31" s="3825"/>
      <c r="KA31" s="3577"/>
      <c r="KB31" s="3577"/>
      <c r="KC31" s="3577"/>
      <c r="KD31" s="3577"/>
      <c r="KE31" s="3577"/>
      <c r="KF31" s="3577"/>
      <c r="KG31" s="3577"/>
      <c r="KH31" s="3577"/>
      <c r="KI31" s="3577"/>
      <c r="KJ31" s="3577"/>
      <c r="KK31" s="3577"/>
      <c r="KL31" s="3577"/>
      <c r="KM31" s="3577"/>
      <c r="KN31" s="3577"/>
      <c r="KO31" s="3577"/>
      <c r="KP31" s="3577"/>
      <c r="KQ31" s="3825"/>
      <c r="KR31" s="3825"/>
    </row>
    <row r="32" spans="1:16368">
      <c r="BG32" s="3511"/>
      <c r="BH32" s="3511"/>
      <c r="IM32" s="3825"/>
      <c r="IN32" s="3825"/>
      <c r="IP32" s="3827"/>
      <c r="IQ32" s="3827"/>
      <c r="IR32" s="3827"/>
      <c r="IS32" s="3827"/>
      <c r="IT32" s="3827"/>
      <c r="IU32" s="3827"/>
      <c r="IV32" s="3827"/>
      <c r="IW32" s="3827"/>
      <c r="IX32" s="3827"/>
      <c r="IY32" s="3827"/>
      <c r="IZ32" s="3827"/>
      <c r="JA32" s="3827"/>
      <c r="JB32" s="3827"/>
      <c r="JC32" s="3827"/>
      <c r="JD32" s="3827"/>
      <c r="JE32" s="3827"/>
      <c r="JF32" s="3827"/>
      <c r="JG32" s="3827"/>
      <c r="JH32" s="3827"/>
      <c r="JI32" s="3827"/>
      <c r="JJ32" s="3827"/>
      <c r="JK32" s="3827"/>
      <c r="JL32" s="3827"/>
      <c r="JM32" s="3827"/>
      <c r="JN32" s="3827"/>
      <c r="JO32" s="3827"/>
      <c r="JQ32" s="3825"/>
      <c r="JR32" s="3825"/>
      <c r="JZ32" s="3825"/>
      <c r="KA32" s="3577"/>
      <c r="KB32" s="3577"/>
      <c r="KC32" s="3577"/>
      <c r="KD32" s="3577"/>
      <c r="KE32" s="3577"/>
      <c r="KF32" s="3577"/>
      <c r="KG32" s="3577"/>
      <c r="KH32" s="3577"/>
      <c r="KI32" s="3577"/>
      <c r="KJ32" s="3577"/>
      <c r="KK32" s="3577"/>
      <c r="KL32" s="3577"/>
      <c r="KM32" s="3577"/>
      <c r="KN32" s="3577"/>
      <c r="KO32" s="3577"/>
      <c r="KP32" s="3577"/>
      <c r="KQ32" s="3825"/>
      <c r="KR32" s="3825"/>
    </row>
    <row r="33" spans="58:304">
      <c r="BF33" s="3742"/>
      <c r="BG33" s="3742"/>
      <c r="BH33" s="3742"/>
      <c r="BI33" s="3742"/>
      <c r="FF33" s="3510"/>
      <c r="IM33" s="3825"/>
      <c r="IN33" s="3825"/>
      <c r="IP33" s="3827"/>
      <c r="IQ33" s="3827"/>
      <c r="IR33" s="3827"/>
      <c r="IS33" s="3827"/>
      <c r="IT33" s="3827"/>
      <c r="IU33" s="3827"/>
      <c r="IV33" s="3827"/>
      <c r="IW33" s="3827"/>
      <c r="IX33" s="3827"/>
      <c r="IY33" s="3827"/>
      <c r="IZ33" s="3827"/>
      <c r="JA33" s="3827"/>
      <c r="JB33" s="3827"/>
      <c r="JC33" s="3827"/>
      <c r="JD33" s="3827"/>
      <c r="JE33" s="3827"/>
      <c r="JF33" s="3827"/>
      <c r="JG33" s="3827"/>
      <c r="JH33" s="3827"/>
      <c r="JI33" s="3827"/>
      <c r="JJ33" s="3827"/>
      <c r="JK33" s="3827"/>
      <c r="JL33" s="3827"/>
      <c r="JM33" s="3827"/>
      <c r="JN33" s="3827"/>
      <c r="JO33" s="3827"/>
      <c r="JQ33" s="3825"/>
      <c r="JR33" s="3825"/>
      <c r="JZ33" s="3825"/>
      <c r="KA33" s="3577"/>
      <c r="KB33" s="3577"/>
      <c r="KC33" s="3577"/>
      <c r="KD33" s="3577"/>
      <c r="KE33" s="3577"/>
      <c r="KF33" s="3577"/>
      <c r="KG33" s="3577"/>
      <c r="KH33" s="3577"/>
      <c r="KI33" s="3577"/>
      <c r="KJ33" s="3577"/>
      <c r="KK33" s="3577"/>
      <c r="KL33" s="3577"/>
      <c r="KM33" s="3577"/>
      <c r="KN33" s="3577"/>
      <c r="KO33" s="3577"/>
      <c r="KP33" s="3577"/>
      <c r="KQ33" s="3825"/>
      <c r="KR33" s="3825"/>
    </row>
    <row r="34" spans="58:304">
      <c r="IM34" s="3825"/>
      <c r="IN34" s="3825"/>
      <c r="IP34" s="3827"/>
      <c r="IQ34" s="3827"/>
      <c r="IR34" s="3827"/>
      <c r="IS34" s="3827"/>
      <c r="IT34" s="3827"/>
      <c r="IU34" s="3827"/>
      <c r="IV34" s="3827"/>
      <c r="IW34" s="3827"/>
      <c r="IX34" s="3827"/>
      <c r="IY34" s="3827"/>
      <c r="IZ34" s="3827"/>
      <c r="JA34" s="3827"/>
      <c r="JB34" s="3827"/>
      <c r="JC34" s="3827"/>
      <c r="JD34" s="3827"/>
      <c r="JE34" s="3827"/>
      <c r="JF34" s="3827"/>
      <c r="JG34" s="3827"/>
      <c r="JH34" s="3827"/>
      <c r="JI34" s="3827"/>
      <c r="JJ34" s="3827"/>
      <c r="JK34" s="3827"/>
      <c r="JL34" s="3827"/>
      <c r="JM34" s="3827"/>
      <c r="JN34" s="3827"/>
      <c r="JO34" s="3827"/>
      <c r="JQ34" s="3825"/>
      <c r="JR34" s="3825"/>
      <c r="JZ34" s="3825"/>
      <c r="KA34" s="3577"/>
      <c r="KB34" s="3577"/>
      <c r="KC34" s="3577"/>
      <c r="KD34" s="3577"/>
      <c r="KE34" s="3577"/>
      <c r="KF34" s="3577"/>
      <c r="KG34" s="3577"/>
      <c r="KH34" s="3577"/>
      <c r="KI34" s="3577"/>
      <c r="KJ34" s="3577"/>
      <c r="KK34" s="3577"/>
      <c r="KL34" s="3577"/>
      <c r="KM34" s="3577"/>
      <c r="KN34" s="3577"/>
      <c r="KO34" s="3577"/>
      <c r="KP34" s="3577"/>
      <c r="KQ34" s="3825"/>
      <c r="KR34" s="3825"/>
    </row>
    <row r="35" spans="58:304">
      <c r="IM35" s="3825"/>
      <c r="IN35" s="3825"/>
      <c r="IP35" s="3827"/>
      <c r="IQ35" s="3827"/>
      <c r="IR35" s="3827"/>
      <c r="IS35" s="3827"/>
      <c r="IT35" s="3827"/>
      <c r="IU35" s="3827"/>
      <c r="IV35" s="3827"/>
      <c r="IW35" s="3827"/>
      <c r="IX35" s="3827"/>
      <c r="IY35" s="3827"/>
      <c r="IZ35" s="3827"/>
      <c r="JA35" s="3827"/>
      <c r="JB35" s="3827"/>
      <c r="JC35" s="3827"/>
      <c r="JD35" s="3827"/>
      <c r="JE35" s="3827"/>
      <c r="JF35" s="3827"/>
      <c r="JG35" s="3827"/>
      <c r="JH35" s="3827"/>
      <c r="JI35" s="3827"/>
      <c r="JJ35" s="3827"/>
      <c r="JK35" s="3827"/>
      <c r="JL35" s="3827"/>
      <c r="JM35" s="3827"/>
      <c r="JN35" s="3827"/>
      <c r="JO35" s="3827"/>
      <c r="JQ35" s="3825"/>
      <c r="JR35" s="3825"/>
      <c r="JZ35" s="3825"/>
      <c r="KA35" s="3577"/>
      <c r="KB35" s="3577"/>
      <c r="KC35" s="3577"/>
      <c r="KD35" s="3577"/>
      <c r="KE35" s="3577"/>
      <c r="KF35" s="3577"/>
      <c r="KG35" s="3577"/>
      <c r="KH35" s="3577"/>
      <c r="KI35" s="3577"/>
      <c r="KJ35" s="3577"/>
      <c r="KK35" s="3577"/>
      <c r="KL35" s="3577"/>
      <c r="KM35" s="3577"/>
      <c r="KN35" s="3577"/>
      <c r="KO35" s="3577"/>
      <c r="KP35" s="3577"/>
      <c r="KQ35" s="3825"/>
      <c r="KR35" s="3825"/>
    </row>
    <row r="36" spans="58:304">
      <c r="IM36" s="3825"/>
      <c r="IN36" s="3825"/>
      <c r="IP36" s="3827"/>
      <c r="IQ36" s="3827"/>
      <c r="IR36" s="3827"/>
      <c r="IS36" s="3827"/>
      <c r="IT36" s="3827"/>
      <c r="IU36" s="3827"/>
      <c r="IV36" s="3827"/>
      <c r="IW36" s="3827"/>
      <c r="IX36" s="3827"/>
      <c r="IY36" s="3827"/>
      <c r="IZ36" s="3827"/>
      <c r="JA36" s="3827"/>
      <c r="JB36" s="3827"/>
      <c r="JC36" s="3827"/>
      <c r="JD36" s="3827"/>
      <c r="JE36" s="3827"/>
      <c r="JF36" s="3827"/>
      <c r="JG36" s="3827"/>
      <c r="JH36" s="3827"/>
      <c r="JI36" s="3827"/>
      <c r="JJ36" s="3827"/>
      <c r="JK36" s="3827"/>
      <c r="JL36" s="3827"/>
      <c r="JM36" s="3827"/>
      <c r="JN36" s="3827"/>
      <c r="JO36" s="3827"/>
      <c r="JQ36" s="3825"/>
      <c r="JR36" s="3825"/>
      <c r="JZ36" s="3825"/>
      <c r="KA36" s="3577"/>
      <c r="KB36" s="3577"/>
      <c r="KC36" s="3577"/>
      <c r="KD36" s="3577"/>
      <c r="KE36" s="3577"/>
      <c r="KF36" s="3577"/>
      <c r="KG36" s="3577"/>
      <c r="KH36" s="3577"/>
      <c r="KI36" s="3577"/>
      <c r="KJ36" s="3577"/>
      <c r="KK36" s="3577"/>
      <c r="KL36" s="3577"/>
      <c r="KM36" s="3577"/>
      <c r="KN36" s="3577"/>
      <c r="KO36" s="3577"/>
      <c r="KP36" s="3577"/>
      <c r="KQ36" s="3825"/>
      <c r="KR36" s="3825"/>
    </row>
    <row r="37" spans="58:304">
      <c r="IM37" s="3825"/>
      <c r="IN37" s="3825"/>
      <c r="IP37" s="3827"/>
      <c r="IQ37" s="3827"/>
      <c r="IR37" s="3827"/>
      <c r="IS37" s="3827"/>
      <c r="IT37" s="3827"/>
      <c r="IU37" s="3827"/>
      <c r="IV37" s="3827"/>
      <c r="IW37" s="3827"/>
      <c r="IX37" s="3827"/>
      <c r="IY37" s="3827"/>
      <c r="IZ37" s="3827"/>
      <c r="JA37" s="3827"/>
      <c r="JB37" s="3827"/>
      <c r="JC37" s="3827"/>
      <c r="JD37" s="3827"/>
      <c r="JE37" s="3827"/>
      <c r="JF37" s="3827"/>
      <c r="JG37" s="3827"/>
      <c r="JH37" s="3827"/>
      <c r="JI37" s="3827"/>
      <c r="JJ37" s="3827"/>
      <c r="JK37" s="3827"/>
      <c r="JL37" s="3827"/>
      <c r="JM37" s="3827"/>
      <c r="JN37" s="3827"/>
      <c r="JO37" s="3827"/>
      <c r="JQ37" s="3825"/>
      <c r="JR37" s="3825"/>
      <c r="JZ37" s="3825"/>
      <c r="KA37" s="3577"/>
      <c r="KB37" s="3577"/>
      <c r="KC37" s="3577"/>
      <c r="KD37" s="3577"/>
      <c r="KE37" s="3577"/>
      <c r="KF37" s="3577"/>
      <c r="KG37" s="3577"/>
      <c r="KH37" s="3577"/>
      <c r="KI37" s="3577"/>
      <c r="KJ37" s="3577"/>
      <c r="KK37" s="3577"/>
      <c r="KL37" s="3577"/>
      <c r="KM37" s="3577"/>
      <c r="KN37" s="3577"/>
      <c r="KO37" s="3577"/>
      <c r="KP37" s="3577"/>
      <c r="KQ37" s="3825"/>
      <c r="KR37" s="3825"/>
    </row>
    <row r="38" spans="58:304">
      <c r="KA38" s="3577"/>
      <c r="KB38" s="3577"/>
      <c r="KC38" s="3577"/>
      <c r="KD38" s="3577"/>
      <c r="KE38" s="3577"/>
      <c r="KF38" s="3577"/>
      <c r="KG38" s="3577"/>
      <c r="KH38" s="3577"/>
      <c r="KI38" s="3577"/>
      <c r="KJ38" s="3577"/>
      <c r="KK38" s="3577"/>
      <c r="KL38" s="3577"/>
      <c r="KM38" s="3577"/>
      <c r="KN38" s="3577"/>
      <c r="KO38" s="3577"/>
      <c r="KP38" s="3577"/>
    </row>
    <row r="39" spans="58:304">
      <c r="KA39" s="3577"/>
      <c r="KB39" s="3577"/>
      <c r="KC39" s="3577"/>
      <c r="KD39" s="3577"/>
      <c r="KE39" s="3577"/>
      <c r="KF39" s="3577"/>
      <c r="KG39" s="3577"/>
      <c r="KH39" s="3577"/>
      <c r="KI39" s="3577"/>
      <c r="KJ39" s="3577"/>
      <c r="KK39" s="3577"/>
      <c r="KL39" s="3577"/>
      <c r="KM39" s="3577"/>
      <c r="KN39" s="3577"/>
      <c r="KO39" s="3577"/>
      <c r="KP39" s="3577"/>
    </row>
    <row r="40" spans="58:304">
      <c r="KA40" s="3577"/>
      <c r="KB40" s="3577"/>
      <c r="KC40" s="3577"/>
      <c r="KD40" s="3577"/>
      <c r="KE40" s="3577"/>
      <c r="KF40" s="3577"/>
      <c r="KG40" s="3577"/>
      <c r="KH40" s="3577"/>
      <c r="KI40" s="3577"/>
      <c r="KJ40" s="3577"/>
      <c r="KK40" s="3577"/>
      <c r="KL40" s="3577"/>
      <c r="KM40" s="3577"/>
      <c r="KN40" s="3577"/>
      <c r="KO40" s="3577"/>
      <c r="KP40" s="3577"/>
    </row>
    <row r="41" spans="58:304">
      <c r="KA41" s="3577"/>
      <c r="KB41" s="3577"/>
      <c r="KC41" s="3577"/>
      <c r="KD41" s="3577"/>
      <c r="KE41" s="3577"/>
      <c r="KF41" s="3577"/>
      <c r="KG41" s="3577"/>
      <c r="KH41" s="3577"/>
      <c r="KI41" s="3577"/>
      <c r="KJ41" s="3577"/>
      <c r="KK41" s="3577"/>
      <c r="KL41" s="3577"/>
      <c r="KM41" s="3577"/>
      <c r="KN41" s="3577"/>
      <c r="KO41" s="3577"/>
      <c r="KP41" s="3577"/>
    </row>
    <row r="42" spans="58:304">
      <c r="KA42" s="3577"/>
      <c r="KB42" s="3577"/>
      <c r="KC42" s="3577"/>
      <c r="KD42" s="3577"/>
      <c r="KE42" s="3577"/>
      <c r="KF42" s="3577"/>
      <c r="KG42" s="3577"/>
      <c r="KH42" s="3577"/>
      <c r="KI42" s="3577"/>
      <c r="KJ42" s="3577"/>
      <c r="KK42" s="3577"/>
      <c r="KL42" s="3577"/>
      <c r="KM42" s="3577"/>
      <c r="KN42" s="3577"/>
      <c r="KO42" s="3577"/>
      <c r="KP42" s="3577"/>
    </row>
    <row r="43" spans="58:304">
      <c r="KA43" s="3577"/>
      <c r="KB43" s="3577"/>
      <c r="KC43" s="3577"/>
      <c r="KD43" s="3577"/>
      <c r="KE43" s="3577"/>
      <c r="KF43" s="3577"/>
      <c r="KG43" s="3577"/>
      <c r="KH43" s="3577"/>
      <c r="KI43" s="3577"/>
      <c r="KJ43" s="3577"/>
      <c r="KK43" s="3577"/>
      <c r="KL43" s="3577"/>
      <c r="KM43" s="3577"/>
      <c r="KN43" s="3577"/>
      <c r="KO43" s="3577"/>
      <c r="KP43" s="3577"/>
    </row>
    <row r="44" spans="58:304">
      <c r="KA44" s="3577"/>
      <c r="KB44" s="3577"/>
      <c r="KC44" s="3577"/>
      <c r="KD44" s="3577"/>
      <c r="KE44" s="3577"/>
      <c r="KF44" s="3577"/>
      <c r="KG44" s="3577"/>
      <c r="KH44" s="3577"/>
      <c r="KI44" s="3577"/>
      <c r="KJ44" s="3577"/>
      <c r="KK44" s="3577"/>
      <c r="KL44" s="3577"/>
      <c r="KM44" s="3577"/>
      <c r="KN44" s="3577"/>
      <c r="KO44" s="3577"/>
      <c r="KP44" s="3577"/>
    </row>
    <row r="45" spans="58:304">
      <c r="KA45" s="3577"/>
      <c r="KB45" s="3577"/>
      <c r="KC45" s="3577"/>
      <c r="KD45" s="3577"/>
      <c r="KE45" s="3577"/>
      <c r="KF45" s="3577"/>
      <c r="KG45" s="3577"/>
      <c r="KH45" s="3577"/>
      <c r="KI45" s="3577"/>
      <c r="KJ45" s="3577"/>
      <c r="KK45" s="3577"/>
      <c r="KL45" s="3577"/>
      <c r="KM45" s="3577"/>
      <c r="KN45" s="3577"/>
      <c r="KO45" s="3577"/>
      <c r="KP45" s="3577"/>
    </row>
    <row r="46" spans="58:304">
      <c r="KA46" s="3577"/>
      <c r="KB46" s="3577"/>
      <c r="KC46" s="3577"/>
      <c r="KD46" s="3577"/>
      <c r="KE46" s="3577"/>
      <c r="KF46" s="3577"/>
      <c r="KG46" s="3577"/>
      <c r="KH46" s="3577"/>
      <c r="KI46" s="3577"/>
      <c r="KJ46" s="3577"/>
      <c r="KK46" s="3577"/>
      <c r="KL46" s="3577"/>
      <c r="KM46" s="3577"/>
      <c r="KN46" s="3577"/>
      <c r="KO46" s="3577"/>
      <c r="KP46" s="3577"/>
    </row>
    <row r="47" spans="58:304">
      <c r="KA47" s="3577"/>
      <c r="KB47" s="3577"/>
      <c r="KC47" s="3577"/>
      <c r="KD47" s="3577"/>
      <c r="KE47" s="3577"/>
      <c r="KF47" s="3577"/>
      <c r="KG47" s="3577"/>
      <c r="KH47" s="3577"/>
      <c r="KI47" s="3577"/>
      <c r="KJ47" s="3577"/>
      <c r="KK47" s="3577"/>
      <c r="KL47" s="3577"/>
      <c r="KM47" s="3577"/>
      <c r="KN47" s="3577"/>
      <c r="KO47" s="3577"/>
      <c r="KP47" s="3577"/>
    </row>
    <row r="48" spans="58:304">
      <c r="KA48" s="3577"/>
      <c r="KB48" s="3577"/>
      <c r="KC48" s="3577"/>
      <c r="KD48" s="3577"/>
      <c r="KE48" s="3577"/>
      <c r="KF48" s="3577"/>
      <c r="KG48" s="3577"/>
      <c r="KH48" s="3577"/>
      <c r="KI48" s="3577"/>
      <c r="KJ48" s="3577"/>
      <c r="KK48" s="3577"/>
      <c r="KL48" s="3577"/>
      <c r="KM48" s="3577"/>
      <c r="KN48" s="3577"/>
      <c r="KO48" s="3577"/>
      <c r="KP48" s="3577"/>
    </row>
    <row r="49" spans="287:302">
      <c r="KA49" s="3577"/>
      <c r="KB49" s="3577"/>
      <c r="KC49" s="3577"/>
      <c r="KD49" s="3577"/>
      <c r="KE49" s="3577"/>
      <c r="KF49" s="3577"/>
      <c r="KG49" s="3577"/>
      <c r="KH49" s="3577"/>
      <c r="KI49" s="3577"/>
      <c r="KJ49" s="3577"/>
      <c r="KK49" s="3577"/>
      <c r="KL49" s="3577"/>
      <c r="KM49" s="3577"/>
      <c r="KN49" s="3577"/>
      <c r="KO49" s="3577"/>
      <c r="KP49" s="3577"/>
    </row>
    <row r="50" spans="287:302">
      <c r="KA50" s="3577"/>
      <c r="KB50" s="3577"/>
      <c r="KC50" s="3577"/>
      <c r="KD50" s="3577"/>
      <c r="KE50" s="3577"/>
      <c r="KF50" s="3577"/>
      <c r="KG50" s="3577"/>
      <c r="KH50" s="3577"/>
      <c r="KI50" s="3577"/>
      <c r="KJ50" s="3577"/>
      <c r="KK50" s="3577"/>
      <c r="KL50" s="3577"/>
      <c r="KM50" s="3577"/>
      <c r="KN50" s="3577"/>
      <c r="KO50" s="3577"/>
      <c r="KP50" s="3577"/>
    </row>
    <row r="51" spans="287:302">
      <c r="KA51" s="3577"/>
      <c r="KB51" s="3577"/>
      <c r="KC51" s="3577"/>
      <c r="KD51" s="3577"/>
      <c r="KE51" s="3577"/>
      <c r="KF51" s="3577"/>
      <c r="KG51" s="3577"/>
      <c r="KH51" s="3577"/>
      <c r="KI51" s="3577"/>
      <c r="KJ51" s="3577"/>
      <c r="KK51" s="3577"/>
      <c r="KL51" s="3577"/>
      <c r="KM51" s="3577"/>
      <c r="KN51" s="3577"/>
      <c r="KO51" s="3577"/>
      <c r="KP51" s="3577"/>
    </row>
    <row r="52" spans="287:302">
      <c r="KA52" s="3577"/>
      <c r="KB52" s="3577"/>
      <c r="KC52" s="3577"/>
      <c r="KD52" s="3577"/>
      <c r="KE52" s="3577"/>
      <c r="KF52" s="3577"/>
      <c r="KG52" s="3577"/>
      <c r="KH52" s="3577"/>
      <c r="KI52" s="3577"/>
      <c r="KJ52" s="3577"/>
      <c r="KK52" s="3577"/>
      <c r="KL52" s="3577"/>
      <c r="KM52" s="3577"/>
      <c r="KN52" s="3577"/>
      <c r="KO52" s="3577"/>
      <c r="KP52" s="3577"/>
    </row>
    <row r="53" spans="287:302">
      <c r="KA53" s="3577"/>
      <c r="KB53" s="3577"/>
      <c r="KC53" s="3577"/>
      <c r="KD53" s="3577"/>
      <c r="KE53" s="3577"/>
      <c r="KF53" s="3577"/>
      <c r="KG53" s="3577"/>
      <c r="KH53" s="3577"/>
      <c r="KI53" s="3577"/>
      <c r="KJ53" s="3577"/>
      <c r="KK53" s="3577"/>
      <c r="KL53" s="3577"/>
      <c r="KM53" s="3577"/>
      <c r="KN53" s="3577"/>
      <c r="KO53" s="3577"/>
      <c r="KP53" s="3577"/>
    </row>
    <row r="54" spans="287:302">
      <c r="KA54" s="3577"/>
      <c r="KB54" s="3577"/>
      <c r="KC54" s="3577"/>
      <c r="KD54" s="3577"/>
      <c r="KE54" s="3577"/>
      <c r="KF54" s="3577"/>
      <c r="KG54" s="3577"/>
      <c r="KH54" s="3577"/>
      <c r="KI54" s="3577"/>
      <c r="KJ54" s="3577"/>
      <c r="KK54" s="3577"/>
      <c r="KL54" s="3577"/>
      <c r="KM54" s="3577"/>
      <c r="KN54" s="3577"/>
      <c r="KO54" s="3577"/>
      <c r="KP54" s="3577"/>
    </row>
    <row r="55" spans="287:302">
      <c r="KA55" s="3577"/>
      <c r="KB55" s="3577"/>
      <c r="KC55" s="3577"/>
      <c r="KD55" s="3577"/>
      <c r="KE55" s="3577"/>
      <c r="KF55" s="3577"/>
      <c r="KG55" s="3577"/>
      <c r="KH55" s="3577"/>
      <c r="KI55" s="3577"/>
      <c r="KJ55" s="3577"/>
      <c r="KK55" s="3577"/>
      <c r="KL55" s="3577"/>
      <c r="KM55" s="3577"/>
      <c r="KN55" s="3577"/>
      <c r="KO55" s="3577"/>
      <c r="KP55" s="3577"/>
    </row>
    <row r="56" spans="287:302">
      <c r="KA56" s="3577"/>
      <c r="KB56" s="3577"/>
      <c r="KC56" s="3577"/>
      <c r="KD56" s="3577"/>
      <c r="KE56" s="3577"/>
      <c r="KF56" s="3577"/>
      <c r="KG56" s="3577"/>
      <c r="KH56" s="3577"/>
      <c r="KI56" s="3577"/>
      <c r="KJ56" s="3577"/>
      <c r="KK56" s="3577"/>
      <c r="KL56" s="3577"/>
      <c r="KM56" s="3577"/>
      <c r="KN56" s="3577"/>
      <c r="KO56" s="3577"/>
      <c r="KP56" s="3577"/>
    </row>
    <row r="57" spans="287:302">
      <c r="KA57" s="3577"/>
      <c r="KB57" s="3577"/>
      <c r="KC57" s="3577"/>
      <c r="KD57" s="3577"/>
      <c r="KE57" s="3577"/>
      <c r="KF57" s="3577"/>
      <c r="KG57" s="3577"/>
      <c r="KH57" s="3577"/>
      <c r="KI57" s="3577"/>
      <c r="KJ57" s="3577"/>
      <c r="KK57" s="3577"/>
      <c r="KL57" s="3577"/>
      <c r="KM57" s="3577"/>
      <c r="KN57" s="3577"/>
      <c r="KO57" s="3577"/>
      <c r="KP57" s="3577"/>
    </row>
    <row r="58" spans="287:302">
      <c r="KA58" s="3577"/>
      <c r="KB58" s="3577"/>
      <c r="KC58" s="3577"/>
      <c r="KD58" s="3577"/>
      <c r="KE58" s="3577"/>
      <c r="KF58" s="3577"/>
      <c r="KG58" s="3577"/>
      <c r="KH58" s="3577"/>
      <c r="KI58" s="3577"/>
      <c r="KJ58" s="3577"/>
      <c r="KK58" s="3577"/>
      <c r="KL58" s="3577"/>
      <c r="KM58" s="3577"/>
      <c r="KN58" s="3577"/>
      <c r="KO58" s="3577"/>
      <c r="KP58" s="3577"/>
    </row>
    <row r="59" spans="287:302">
      <c r="KA59" s="3577"/>
      <c r="KB59" s="3577"/>
      <c r="KC59" s="3577"/>
      <c r="KD59" s="3577"/>
      <c r="KE59" s="3577"/>
      <c r="KF59" s="3577"/>
      <c r="KG59" s="3577"/>
      <c r="KH59" s="3577"/>
      <c r="KI59" s="3577"/>
      <c r="KJ59" s="3577"/>
      <c r="KK59" s="3577"/>
      <c r="KL59" s="3577"/>
      <c r="KM59" s="3577"/>
      <c r="KN59" s="3577"/>
      <c r="KO59" s="3577"/>
      <c r="KP59" s="3577"/>
    </row>
    <row r="60" spans="287:302">
      <c r="KA60" s="3577"/>
      <c r="KB60" s="3577"/>
      <c r="KC60" s="3577"/>
      <c r="KD60" s="3577"/>
      <c r="KE60" s="3577"/>
      <c r="KF60" s="3577"/>
      <c r="KG60" s="3577"/>
      <c r="KH60" s="3577"/>
      <c r="KI60" s="3577"/>
      <c r="KJ60" s="3577"/>
      <c r="KK60" s="3577"/>
      <c r="KL60" s="3577"/>
      <c r="KM60" s="3577"/>
      <c r="KN60" s="3577"/>
      <c r="KO60" s="3577"/>
      <c r="KP60" s="3577"/>
    </row>
    <row r="61" spans="287:302">
      <c r="KA61" s="3577"/>
      <c r="KB61" s="3577"/>
      <c r="KC61" s="3577"/>
      <c r="KD61" s="3577"/>
      <c r="KE61" s="3577"/>
      <c r="KF61" s="3577"/>
      <c r="KG61" s="3577"/>
      <c r="KH61" s="3577"/>
      <c r="KI61" s="3577"/>
      <c r="KJ61" s="3577"/>
      <c r="KK61" s="3577"/>
      <c r="KL61" s="3577"/>
      <c r="KM61" s="3577"/>
      <c r="KN61" s="3577"/>
      <c r="KO61" s="3577"/>
      <c r="KP61" s="3577"/>
    </row>
    <row r="62" spans="287:302">
      <c r="KA62" s="3577"/>
      <c r="KB62" s="3577"/>
      <c r="KC62" s="3577"/>
      <c r="KD62" s="3577"/>
      <c r="KE62" s="3577"/>
      <c r="KF62" s="3577"/>
      <c r="KG62" s="3577"/>
      <c r="KH62" s="3577"/>
      <c r="KI62" s="3577"/>
      <c r="KJ62" s="3577"/>
      <c r="KK62" s="3577"/>
      <c r="KL62" s="3577"/>
      <c r="KM62" s="3577"/>
      <c r="KN62" s="3577"/>
      <c r="KO62" s="3577"/>
      <c r="KP62" s="3577"/>
    </row>
    <row r="63" spans="287:302">
      <c r="KA63" s="3577"/>
      <c r="KB63" s="3577"/>
      <c r="KC63" s="3577"/>
      <c r="KD63" s="3577"/>
      <c r="KE63" s="3577"/>
      <c r="KF63" s="3577"/>
      <c r="KG63" s="3577"/>
      <c r="KH63" s="3577"/>
      <c r="KI63" s="3577"/>
      <c r="KJ63" s="3577"/>
      <c r="KK63" s="3577"/>
      <c r="KL63" s="3577"/>
      <c r="KM63" s="3577"/>
      <c r="KN63" s="3577"/>
      <c r="KO63" s="3577"/>
      <c r="KP63" s="3577"/>
    </row>
    <row r="64" spans="287:302">
      <c r="KA64" s="3577"/>
      <c r="KB64" s="3577"/>
      <c r="KC64" s="3577"/>
      <c r="KD64" s="3577"/>
      <c r="KE64" s="3577"/>
      <c r="KF64" s="3577"/>
      <c r="KG64" s="3577"/>
      <c r="KH64" s="3577"/>
      <c r="KI64" s="3577"/>
      <c r="KJ64" s="3577"/>
      <c r="KK64" s="3577"/>
      <c r="KL64" s="3577"/>
      <c r="KM64" s="3577"/>
      <c r="KN64" s="3577"/>
      <c r="KO64" s="3577"/>
      <c r="KP64" s="3577"/>
    </row>
    <row r="65" spans="287:302">
      <c r="KA65" s="3577"/>
      <c r="KB65" s="3577"/>
      <c r="KC65" s="3577"/>
      <c r="KD65" s="3577"/>
      <c r="KE65" s="3577"/>
      <c r="KF65" s="3577"/>
      <c r="KG65" s="3577"/>
      <c r="KH65" s="3577"/>
      <c r="KI65" s="3577"/>
      <c r="KJ65" s="3577"/>
      <c r="KK65" s="3577"/>
      <c r="KL65" s="3577"/>
      <c r="KM65" s="3577"/>
      <c r="KN65" s="3577"/>
      <c r="KO65" s="3577"/>
      <c r="KP65" s="3577"/>
    </row>
    <row r="66" spans="287:302">
      <c r="KA66" s="3577"/>
      <c r="KB66" s="3577"/>
      <c r="KC66" s="3577"/>
      <c r="KD66" s="3577"/>
      <c r="KE66" s="3577"/>
      <c r="KF66" s="3577"/>
      <c r="KG66" s="3577"/>
      <c r="KH66" s="3577"/>
      <c r="KI66" s="3577"/>
      <c r="KJ66" s="3577"/>
      <c r="KK66" s="3577"/>
      <c r="KL66" s="3577"/>
      <c r="KM66" s="3577"/>
      <c r="KN66" s="3577"/>
      <c r="KO66" s="3577"/>
      <c r="KP66" s="3577"/>
    </row>
    <row r="67" spans="287:302">
      <c r="KA67" s="3577"/>
      <c r="KB67" s="3577"/>
      <c r="KC67" s="3577"/>
      <c r="KD67" s="3577"/>
      <c r="KE67" s="3577"/>
      <c r="KF67" s="3577"/>
      <c r="KG67" s="3577"/>
      <c r="KH67" s="3577"/>
      <c r="KI67" s="3577"/>
      <c r="KJ67" s="3577"/>
      <c r="KK67" s="3577"/>
      <c r="KL67" s="3577"/>
      <c r="KM67" s="3577"/>
      <c r="KN67" s="3577"/>
      <c r="KO67" s="3577"/>
      <c r="KP67" s="3577"/>
    </row>
    <row r="68" spans="287:302">
      <c r="KA68" s="3577"/>
      <c r="KB68" s="3577"/>
      <c r="KC68" s="3577"/>
      <c r="KD68" s="3577"/>
      <c r="KE68" s="3577"/>
      <c r="KF68" s="3577"/>
      <c r="KG68" s="3577"/>
      <c r="KH68" s="3577"/>
      <c r="KI68" s="3577"/>
      <c r="KJ68" s="3577"/>
      <c r="KK68" s="3577"/>
      <c r="KL68" s="3577"/>
      <c r="KM68" s="3577"/>
      <c r="KN68" s="3577"/>
      <c r="KO68" s="3577"/>
      <c r="KP68" s="3577"/>
    </row>
    <row r="69" spans="287:302">
      <c r="KA69" s="3577"/>
      <c r="KB69" s="3577"/>
      <c r="KC69" s="3577"/>
      <c r="KD69" s="3577"/>
      <c r="KE69" s="3577"/>
      <c r="KF69" s="3577"/>
      <c r="KG69" s="3577"/>
      <c r="KH69" s="3577"/>
      <c r="KI69" s="3577"/>
      <c r="KJ69" s="3577"/>
      <c r="KK69" s="3577"/>
      <c r="KL69" s="3577"/>
      <c r="KM69" s="3577"/>
      <c r="KN69" s="3577"/>
      <c r="KO69" s="3577"/>
      <c r="KP69" s="3577"/>
    </row>
    <row r="70" spans="287:302">
      <c r="KA70" s="3577"/>
      <c r="KB70" s="3577"/>
      <c r="KC70" s="3577"/>
      <c r="KD70" s="3577"/>
      <c r="KE70" s="3577"/>
      <c r="KF70" s="3577"/>
      <c r="KG70" s="3577"/>
      <c r="KH70" s="3577"/>
      <c r="KI70" s="3577"/>
      <c r="KJ70" s="3577"/>
      <c r="KK70" s="3577"/>
      <c r="KL70" s="3577"/>
      <c r="KM70" s="3577"/>
      <c r="KN70" s="3577"/>
      <c r="KO70" s="3577"/>
      <c r="KP70" s="3577"/>
    </row>
    <row r="71" spans="287:302">
      <c r="KA71" s="3577"/>
      <c r="KB71" s="3577"/>
      <c r="KC71" s="3577"/>
      <c r="KD71" s="3577"/>
      <c r="KE71" s="3577"/>
      <c r="KF71" s="3577"/>
      <c r="KG71" s="3577"/>
      <c r="KH71" s="3577"/>
      <c r="KI71" s="3577"/>
      <c r="KJ71" s="3577"/>
      <c r="KK71" s="3577"/>
      <c r="KL71" s="3577"/>
      <c r="KM71" s="3577"/>
      <c r="KN71" s="3577"/>
      <c r="KO71" s="3577"/>
      <c r="KP71" s="3577"/>
    </row>
    <row r="72" spans="287:302">
      <c r="KA72" s="3577"/>
      <c r="KB72" s="3577"/>
      <c r="KC72" s="3577"/>
      <c r="KD72" s="3577"/>
      <c r="KE72" s="3577"/>
      <c r="KF72" s="3577"/>
      <c r="KG72" s="3577"/>
      <c r="KH72" s="3577"/>
      <c r="KI72" s="3577"/>
      <c r="KJ72" s="3577"/>
      <c r="KK72" s="3577"/>
      <c r="KL72" s="3577"/>
      <c r="KM72" s="3577"/>
      <c r="KN72" s="3577"/>
      <c r="KO72" s="3577"/>
      <c r="KP72" s="3577"/>
    </row>
    <row r="73" spans="287:302">
      <c r="KA73" s="3577"/>
      <c r="KB73" s="3577"/>
      <c r="KC73" s="3577"/>
      <c r="KD73" s="3577"/>
      <c r="KE73" s="3577"/>
      <c r="KF73" s="3577"/>
      <c r="KG73" s="3577"/>
      <c r="KH73" s="3577"/>
      <c r="KI73" s="3577"/>
      <c r="KJ73" s="3577"/>
      <c r="KK73" s="3577"/>
      <c r="KL73" s="3577"/>
      <c r="KM73" s="3577"/>
      <c r="KN73" s="3577"/>
      <c r="KO73" s="3577"/>
      <c r="KP73" s="3577"/>
    </row>
    <row r="74" spans="287:302">
      <c r="KA74" s="3577"/>
      <c r="KB74" s="3577"/>
      <c r="KC74" s="3577"/>
      <c r="KD74" s="3577"/>
      <c r="KE74" s="3577"/>
      <c r="KF74" s="3577"/>
      <c r="KG74" s="3577"/>
      <c r="KH74" s="3577"/>
      <c r="KI74" s="3577"/>
      <c r="KJ74" s="3577"/>
      <c r="KK74" s="3577"/>
      <c r="KL74" s="3577"/>
      <c r="KM74" s="3577"/>
      <c r="KN74" s="3577"/>
      <c r="KO74" s="3577"/>
      <c r="KP74" s="3577"/>
    </row>
    <row r="75" spans="287:302">
      <c r="KA75" s="3577"/>
      <c r="KB75" s="3577"/>
      <c r="KC75" s="3577"/>
      <c r="KD75" s="3577"/>
      <c r="KE75" s="3577"/>
      <c r="KF75" s="3577"/>
      <c r="KG75" s="3577"/>
      <c r="KH75" s="3577"/>
      <c r="KI75" s="3577"/>
      <c r="KJ75" s="3577"/>
      <c r="KK75" s="3577"/>
      <c r="KL75" s="3577"/>
      <c r="KM75" s="3577"/>
      <c r="KN75" s="3577"/>
      <c r="KO75" s="3577"/>
      <c r="KP75" s="3577"/>
    </row>
    <row r="76" spans="287:302">
      <c r="KA76" s="3577"/>
      <c r="KB76" s="3577"/>
      <c r="KC76" s="3577"/>
      <c r="KD76" s="3577"/>
      <c r="KE76" s="3577"/>
      <c r="KF76" s="3577"/>
      <c r="KG76" s="3577"/>
      <c r="KH76" s="3577"/>
      <c r="KI76" s="3577"/>
      <c r="KJ76" s="3577"/>
      <c r="KK76" s="3577"/>
      <c r="KL76" s="3577"/>
      <c r="KM76" s="3577"/>
      <c r="KN76" s="3577"/>
      <c r="KO76" s="3577"/>
      <c r="KP76" s="3577"/>
    </row>
    <row r="77" spans="287:302">
      <c r="KA77" s="3577"/>
      <c r="KB77" s="3577"/>
      <c r="KC77" s="3577"/>
      <c r="KD77" s="3577"/>
      <c r="KE77" s="3577"/>
      <c r="KF77" s="3577"/>
      <c r="KG77" s="3577"/>
      <c r="KH77" s="3577"/>
      <c r="KI77" s="3577"/>
      <c r="KJ77" s="3577"/>
      <c r="KK77" s="3577"/>
      <c r="KL77" s="3577"/>
      <c r="KM77" s="3577"/>
      <c r="KN77" s="3577"/>
      <c r="KO77" s="3577"/>
      <c r="KP77" s="3577"/>
    </row>
    <row r="78" spans="287:302">
      <c r="KA78" s="3577"/>
      <c r="KB78" s="3577"/>
      <c r="KC78" s="3577"/>
      <c r="KD78" s="3577"/>
      <c r="KE78" s="3577"/>
      <c r="KF78" s="3577"/>
      <c r="KG78" s="3577"/>
      <c r="KH78" s="3577"/>
      <c r="KI78" s="3577"/>
      <c r="KJ78" s="3577"/>
      <c r="KK78" s="3577"/>
      <c r="KL78" s="3577"/>
      <c r="KM78" s="3577"/>
      <c r="KN78" s="3577"/>
      <c r="KO78" s="3577"/>
      <c r="KP78" s="3577"/>
    </row>
    <row r="79" spans="287:302">
      <c r="KA79" s="3577"/>
      <c r="KB79" s="3577"/>
      <c r="KC79" s="3577"/>
      <c r="KD79" s="3577"/>
      <c r="KE79" s="3577"/>
      <c r="KF79" s="3577"/>
      <c r="KG79" s="3577"/>
      <c r="KH79" s="3577"/>
      <c r="KI79" s="3577"/>
      <c r="KJ79" s="3577"/>
      <c r="KK79" s="3577"/>
      <c r="KL79" s="3577"/>
      <c r="KM79" s="3577"/>
      <c r="KN79" s="3577"/>
      <c r="KO79" s="3577"/>
      <c r="KP79" s="3577"/>
    </row>
    <row r="80" spans="287:302">
      <c r="KA80" s="3577"/>
      <c r="KB80" s="3577"/>
      <c r="KC80" s="3577"/>
      <c r="KD80" s="3577"/>
      <c r="KE80" s="3577"/>
      <c r="KF80" s="3577"/>
      <c r="KG80" s="3577"/>
      <c r="KH80" s="3577"/>
      <c r="KI80" s="3577"/>
      <c r="KJ80" s="3577"/>
      <c r="KK80" s="3577"/>
      <c r="KL80" s="3577"/>
      <c r="KM80" s="3577"/>
      <c r="KN80" s="3577"/>
      <c r="KO80" s="3577"/>
      <c r="KP80" s="3577"/>
    </row>
    <row r="81" spans="287:302">
      <c r="KA81" s="3577"/>
      <c r="KB81" s="3577"/>
      <c r="KC81" s="3577"/>
      <c r="KD81" s="3577"/>
      <c r="KE81" s="3577"/>
      <c r="KF81" s="3577"/>
      <c r="KG81" s="3577"/>
      <c r="KH81" s="3577"/>
      <c r="KI81" s="3577"/>
      <c r="KJ81" s="3577"/>
      <c r="KK81" s="3577"/>
      <c r="KL81" s="3577"/>
      <c r="KM81" s="3577"/>
      <c r="KN81" s="3577"/>
      <c r="KO81" s="3577"/>
      <c r="KP81" s="3577"/>
    </row>
    <row r="82" spans="287:302">
      <c r="KA82" s="3577"/>
      <c r="KB82" s="3577"/>
      <c r="KC82" s="3577"/>
      <c r="KD82" s="3577"/>
      <c r="KE82" s="3577"/>
      <c r="KF82" s="3577"/>
      <c r="KG82" s="3577"/>
      <c r="KH82" s="3577"/>
      <c r="KI82" s="3577"/>
      <c r="KJ82" s="3577"/>
      <c r="KK82" s="3577"/>
      <c r="KL82" s="3577"/>
      <c r="KM82" s="3577"/>
      <c r="KN82" s="3577"/>
      <c r="KO82" s="3577"/>
      <c r="KP82" s="3577"/>
    </row>
    <row r="83" spans="287:302">
      <c r="KA83" s="3577"/>
      <c r="KB83" s="3577"/>
      <c r="KC83" s="3577"/>
      <c r="KD83" s="3577"/>
      <c r="KE83" s="3577"/>
      <c r="KF83" s="3577"/>
      <c r="KG83" s="3577"/>
      <c r="KH83" s="3577"/>
      <c r="KI83" s="3577"/>
      <c r="KJ83" s="3577"/>
      <c r="KK83" s="3577"/>
      <c r="KL83" s="3577"/>
      <c r="KM83" s="3577"/>
      <c r="KN83" s="3577"/>
      <c r="KO83" s="3577"/>
      <c r="KP83" s="3577"/>
    </row>
    <row r="84" spans="287:302">
      <c r="KA84" s="3577"/>
      <c r="KB84" s="3577"/>
      <c r="KC84" s="3577"/>
      <c r="KD84" s="3577"/>
      <c r="KE84" s="3577"/>
      <c r="KF84" s="3577"/>
      <c r="KG84" s="3577"/>
      <c r="KH84" s="3577"/>
      <c r="KI84" s="3577"/>
      <c r="KJ84" s="3577"/>
      <c r="KK84" s="3577"/>
      <c r="KL84" s="3577"/>
      <c r="KM84" s="3577"/>
      <c r="KN84" s="3577"/>
      <c r="KO84" s="3577"/>
      <c r="KP84" s="3577"/>
    </row>
    <row r="85" spans="287:302">
      <c r="KA85" s="3577"/>
      <c r="KB85" s="3577"/>
      <c r="KC85" s="3577"/>
      <c r="KD85" s="3577"/>
      <c r="KE85" s="3577"/>
      <c r="KF85" s="3577"/>
      <c r="KG85" s="3577"/>
      <c r="KH85" s="3577"/>
      <c r="KI85" s="3577"/>
      <c r="KJ85" s="3577"/>
      <c r="KK85" s="3577"/>
      <c r="KL85" s="3577"/>
      <c r="KM85" s="3577"/>
      <c r="KN85" s="3577"/>
      <c r="KO85" s="3577"/>
      <c r="KP85" s="3577"/>
    </row>
    <row r="86" spans="287:302">
      <c r="KA86" s="3577"/>
      <c r="KB86" s="3577"/>
      <c r="KC86" s="3577"/>
      <c r="KD86" s="3577"/>
      <c r="KE86" s="3577"/>
      <c r="KF86" s="3577"/>
      <c r="KG86" s="3577"/>
      <c r="KH86" s="3577"/>
      <c r="KI86" s="3577"/>
      <c r="KJ86" s="3577"/>
      <c r="KK86" s="3577"/>
      <c r="KL86" s="3577"/>
      <c r="KM86" s="3577"/>
      <c r="KN86" s="3577"/>
      <c r="KO86" s="3577"/>
      <c r="KP86" s="3577"/>
    </row>
    <row r="87" spans="287:302">
      <c r="KA87" s="3577"/>
      <c r="KB87" s="3577"/>
      <c r="KC87" s="3577"/>
      <c r="KD87" s="3577"/>
      <c r="KE87" s="3577"/>
      <c r="KF87" s="3577"/>
      <c r="KG87" s="3577"/>
      <c r="KH87" s="3577"/>
      <c r="KI87" s="3577"/>
      <c r="KJ87" s="3577"/>
      <c r="KK87" s="3577"/>
      <c r="KL87" s="3577"/>
      <c r="KM87" s="3577"/>
      <c r="KN87" s="3577"/>
      <c r="KO87" s="3577"/>
      <c r="KP87" s="3577"/>
    </row>
    <row r="88" spans="287:302">
      <c r="KA88" s="3577"/>
      <c r="KB88" s="3577"/>
      <c r="KC88" s="3577"/>
      <c r="KD88" s="3577"/>
      <c r="KE88" s="3577"/>
      <c r="KF88" s="3577"/>
      <c r="KG88" s="3577"/>
      <c r="KH88" s="3577"/>
      <c r="KI88" s="3577"/>
      <c r="KJ88" s="3577"/>
      <c r="KK88" s="3577"/>
      <c r="KL88" s="3577"/>
      <c r="KM88" s="3577"/>
      <c r="KN88" s="3577"/>
      <c r="KO88" s="3577"/>
      <c r="KP88" s="3577"/>
    </row>
    <row r="89" spans="287:302">
      <c r="KA89" s="3577"/>
      <c r="KB89" s="3577"/>
      <c r="KC89" s="3577"/>
      <c r="KD89" s="3577"/>
      <c r="KE89" s="3577"/>
      <c r="KF89" s="3577"/>
      <c r="KG89" s="3577"/>
      <c r="KH89" s="3577"/>
      <c r="KI89" s="3577"/>
      <c r="KJ89" s="3577"/>
      <c r="KK89" s="3577"/>
      <c r="KL89" s="3577"/>
      <c r="KM89" s="3577"/>
      <c r="KN89" s="3577"/>
      <c r="KO89" s="3577"/>
      <c r="KP89" s="3577"/>
    </row>
    <row r="90" spans="287:302">
      <c r="KA90" s="3577"/>
      <c r="KB90" s="3577"/>
      <c r="KC90" s="3577"/>
      <c r="KD90" s="3577"/>
      <c r="KE90" s="3577"/>
      <c r="KF90" s="3577"/>
      <c r="KG90" s="3577"/>
      <c r="KH90" s="3577"/>
      <c r="KI90" s="3577"/>
      <c r="KJ90" s="3577"/>
      <c r="KK90" s="3577"/>
      <c r="KL90" s="3577"/>
      <c r="KM90" s="3577"/>
      <c r="KN90" s="3577"/>
      <c r="KO90" s="3577"/>
      <c r="KP90" s="3577"/>
    </row>
    <row r="91" spans="287:302">
      <c r="KA91" s="3577"/>
      <c r="KB91" s="3577"/>
      <c r="KC91" s="3577"/>
      <c r="KD91" s="3577"/>
      <c r="KE91" s="3577"/>
      <c r="KF91" s="3577"/>
      <c r="KG91" s="3577"/>
      <c r="KH91" s="3577"/>
      <c r="KI91" s="3577"/>
      <c r="KJ91" s="3577"/>
      <c r="KK91" s="3577"/>
      <c r="KL91" s="3577"/>
      <c r="KM91" s="3577"/>
      <c r="KN91" s="3577"/>
      <c r="KO91" s="3577"/>
      <c r="KP91" s="3577"/>
    </row>
    <row r="92" spans="287:302">
      <c r="KA92" s="3577"/>
      <c r="KB92" s="3577"/>
      <c r="KC92" s="3577"/>
      <c r="KD92" s="3577"/>
      <c r="KE92" s="3577"/>
      <c r="KF92" s="3577"/>
      <c r="KG92" s="3577"/>
      <c r="KH92" s="3577"/>
      <c r="KI92" s="3577"/>
      <c r="KJ92" s="3577"/>
      <c r="KK92" s="3577"/>
      <c r="KL92" s="3577"/>
      <c r="KM92" s="3577"/>
      <c r="KN92" s="3577"/>
      <c r="KO92" s="3577"/>
      <c r="KP92" s="3577"/>
    </row>
    <row r="93" spans="287:302">
      <c r="KA93" s="3577"/>
      <c r="KB93" s="3577"/>
      <c r="KC93" s="3577"/>
      <c r="KD93" s="3577"/>
      <c r="KE93" s="3577"/>
      <c r="KF93" s="3577"/>
      <c r="KG93" s="3577"/>
      <c r="KH93" s="3577"/>
      <c r="KI93" s="3577"/>
      <c r="KJ93" s="3577"/>
      <c r="KK93" s="3577"/>
      <c r="KL93" s="3577"/>
      <c r="KM93" s="3577"/>
      <c r="KN93" s="3577"/>
      <c r="KO93" s="3577"/>
      <c r="KP93" s="3577"/>
    </row>
    <row r="94" spans="287:302">
      <c r="KA94" s="3543"/>
      <c r="KB94" s="3543"/>
      <c r="KC94" s="3543"/>
      <c r="KD94" s="3543"/>
      <c r="KE94" s="3543"/>
      <c r="KF94" s="3543"/>
      <c r="KG94" s="3543"/>
      <c r="KH94" s="3543"/>
      <c r="KI94" s="3543"/>
      <c r="KJ94" s="3543"/>
      <c r="KK94" s="3543"/>
      <c r="KL94" s="3543"/>
      <c r="KM94" s="3543"/>
      <c r="KN94" s="3543"/>
      <c r="KO94" s="3543"/>
      <c r="KP94" s="3543"/>
    </row>
    <row r="95" spans="287:302">
      <c r="KA95" s="3577"/>
      <c r="KB95" s="3577"/>
      <c r="KC95" s="3577"/>
      <c r="KD95" s="3577"/>
      <c r="KE95" s="3577"/>
      <c r="KF95" s="3577"/>
      <c r="KG95" s="3577"/>
      <c r="KH95" s="3577"/>
      <c r="KI95" s="3577"/>
      <c r="KJ95" s="3577"/>
      <c r="KK95" s="3577"/>
      <c r="KL95" s="3577"/>
      <c r="KM95" s="3577"/>
      <c r="KN95" s="3577"/>
      <c r="KO95" s="3577"/>
      <c r="KP95" s="3577"/>
    </row>
    <row r="96" spans="287:302">
      <c r="KA96" s="3577"/>
      <c r="KB96" s="3577"/>
      <c r="KC96" s="3577"/>
      <c r="KD96" s="3577"/>
      <c r="KE96" s="3577"/>
      <c r="KF96" s="3577"/>
      <c r="KG96" s="3577"/>
      <c r="KH96" s="3577"/>
      <c r="KI96" s="3577"/>
      <c r="KJ96" s="3577"/>
      <c r="KK96" s="3577"/>
      <c r="KL96" s="3577"/>
      <c r="KM96" s="3577"/>
      <c r="KN96" s="3577"/>
      <c r="KO96" s="3577"/>
      <c r="KP96" s="3577"/>
    </row>
    <row r="97" spans="287:302">
      <c r="KA97" s="3577"/>
      <c r="KB97" s="3577"/>
      <c r="KC97" s="3577"/>
      <c r="KD97" s="3577"/>
      <c r="KE97" s="3577"/>
      <c r="KF97" s="3577"/>
      <c r="KG97" s="3577"/>
      <c r="KH97" s="3577"/>
      <c r="KI97" s="3577"/>
      <c r="KJ97" s="3577"/>
      <c r="KK97" s="3577"/>
      <c r="KL97" s="3577"/>
      <c r="KM97" s="3577"/>
      <c r="KN97" s="3577"/>
      <c r="KO97" s="3577"/>
      <c r="KP97" s="3577"/>
    </row>
    <row r="98" spans="287:302">
      <c r="KA98" s="3577"/>
      <c r="KB98" s="3577"/>
      <c r="KC98" s="3577"/>
      <c r="KD98" s="3577"/>
      <c r="KE98" s="3577"/>
      <c r="KF98" s="3577"/>
      <c r="KG98" s="3577"/>
      <c r="KH98" s="3577"/>
      <c r="KI98" s="3577"/>
      <c r="KJ98" s="3577"/>
      <c r="KK98" s="3577"/>
      <c r="KL98" s="3577"/>
      <c r="KM98" s="3577"/>
      <c r="KN98" s="3577"/>
      <c r="KO98" s="3577"/>
      <c r="KP98" s="3577"/>
    </row>
    <row r="99" spans="287:302">
      <c r="KA99" s="3577"/>
      <c r="KB99" s="3577"/>
      <c r="KC99" s="3577"/>
      <c r="KD99" s="3577"/>
      <c r="KE99" s="3577"/>
      <c r="KF99" s="3577"/>
      <c r="KG99" s="3577"/>
      <c r="KH99" s="3577"/>
      <c r="KI99" s="3577"/>
      <c r="KJ99" s="3577"/>
      <c r="KK99" s="3577"/>
      <c r="KL99" s="3577"/>
      <c r="KM99" s="3577"/>
      <c r="KN99" s="3577"/>
      <c r="KO99" s="3577"/>
      <c r="KP99" s="3577"/>
    </row>
    <row r="100" spans="287:302">
      <c r="KA100" s="3577"/>
      <c r="KB100" s="3577"/>
      <c r="KC100" s="3577"/>
      <c r="KD100" s="3577"/>
      <c r="KE100" s="3577"/>
      <c r="KF100" s="3577"/>
      <c r="KG100" s="3577"/>
      <c r="KH100" s="3577"/>
      <c r="KI100" s="3577"/>
      <c r="KJ100" s="3577"/>
      <c r="KK100" s="3577"/>
      <c r="KL100" s="3577"/>
      <c r="KM100" s="3577"/>
      <c r="KN100" s="3577"/>
      <c r="KO100" s="3577"/>
      <c r="KP100" s="3577"/>
    </row>
    <row r="101" spans="287:302">
      <c r="KA101" s="3577"/>
      <c r="KB101" s="3577"/>
      <c r="KC101" s="3577"/>
      <c r="KD101" s="3577"/>
      <c r="KE101" s="3577"/>
      <c r="KF101" s="3577"/>
      <c r="KG101" s="3577"/>
      <c r="KH101" s="3577"/>
      <c r="KI101" s="3577"/>
      <c r="KJ101" s="3577"/>
      <c r="KK101" s="3577"/>
      <c r="KL101" s="3577"/>
      <c r="KM101" s="3577"/>
      <c r="KN101" s="3577"/>
      <c r="KO101" s="3577"/>
      <c r="KP101" s="3577"/>
    </row>
    <row r="102" spans="287:302">
      <c r="KA102" s="3577"/>
      <c r="KB102" s="3577"/>
      <c r="KC102" s="3577"/>
      <c r="KD102" s="3577"/>
      <c r="KE102" s="3577"/>
      <c r="KF102" s="3577"/>
      <c r="KG102" s="3577"/>
      <c r="KH102" s="3577"/>
      <c r="KI102" s="3577"/>
      <c r="KJ102" s="3577"/>
      <c r="KK102" s="3577"/>
      <c r="KL102" s="3577"/>
      <c r="KM102" s="3577"/>
      <c r="KN102" s="3577"/>
      <c r="KO102" s="3577"/>
      <c r="KP102" s="3577"/>
    </row>
    <row r="103" spans="287:302">
      <c r="KA103" s="3543"/>
      <c r="KB103" s="3543"/>
      <c r="KC103" s="3543"/>
      <c r="KD103" s="3543"/>
      <c r="KE103" s="3543"/>
      <c r="KF103" s="3543"/>
      <c r="KG103" s="3543"/>
      <c r="KH103" s="3543"/>
      <c r="KI103" s="3543"/>
      <c r="KJ103" s="3543"/>
      <c r="KK103" s="3543"/>
      <c r="KL103" s="3543"/>
      <c r="KM103" s="3543"/>
      <c r="KN103" s="3543"/>
      <c r="KO103" s="3543"/>
      <c r="KP103" s="3543"/>
    </row>
    <row r="104" spans="287:302">
      <c r="KA104" s="3543"/>
      <c r="KB104" s="3543"/>
      <c r="KC104" s="3543"/>
      <c r="KD104" s="3543"/>
      <c r="KE104" s="3543"/>
      <c r="KF104" s="3543"/>
      <c r="KG104" s="3543"/>
      <c r="KH104" s="3543"/>
      <c r="KI104" s="3543"/>
      <c r="KJ104" s="3543"/>
      <c r="KK104" s="3543"/>
      <c r="KL104" s="3543"/>
      <c r="KM104" s="3543"/>
      <c r="KN104" s="3543"/>
      <c r="KO104" s="3543"/>
      <c r="KP104" s="3543"/>
    </row>
  </sheetData>
  <autoFilter ref="A3:B29"/>
  <mergeCells count="57">
    <mergeCell ref="HV2:IC2"/>
    <mergeCell ref="ID2:IK2"/>
    <mergeCell ref="KA2:KE2"/>
    <mergeCell ref="KF2:KP2"/>
    <mergeCell ref="A18:B18"/>
    <mergeCell ref="FZ2:GG2"/>
    <mergeCell ref="GH2:GO2"/>
    <mergeCell ref="GP2:GW2"/>
    <mergeCell ref="GX2:HE2"/>
    <mergeCell ref="HF2:HM2"/>
    <mergeCell ref="HN2:HU2"/>
    <mergeCell ref="DW2:ED2"/>
    <mergeCell ref="EF2:ES2"/>
    <mergeCell ref="ET2:FA2"/>
    <mergeCell ref="FB2:FI2"/>
    <mergeCell ref="FJ2:FQ2"/>
    <mergeCell ref="FR2:FY2"/>
    <mergeCell ref="CA2:CH2"/>
    <mergeCell ref="CI2:CP2"/>
    <mergeCell ref="CQ2:CX2"/>
    <mergeCell ref="CY2:DF2"/>
    <mergeCell ref="DG2:DN2"/>
    <mergeCell ref="DO2:DV2"/>
    <mergeCell ref="BS2:BZ2"/>
    <mergeCell ref="V2:V3"/>
    <mergeCell ref="W2:W3"/>
    <mergeCell ref="X2:X3"/>
    <mergeCell ref="Y2:Y3"/>
    <mergeCell ref="Z2:Z3"/>
    <mergeCell ref="AA2:AA3"/>
    <mergeCell ref="AB2:AB3"/>
    <mergeCell ref="AM2:AT2"/>
    <mergeCell ref="AU2:BB2"/>
    <mergeCell ref="BC2:BJ2"/>
    <mergeCell ref="BK2:BR2"/>
    <mergeCell ref="U2:U3"/>
    <mergeCell ref="J2:J3"/>
    <mergeCell ref="K2:K3"/>
    <mergeCell ref="L2:L3"/>
    <mergeCell ref="M2:M3"/>
    <mergeCell ref="N2:N3"/>
    <mergeCell ref="O2:O3"/>
    <mergeCell ref="P2:P3"/>
    <mergeCell ref="Q2:Q3"/>
    <mergeCell ref="R2:R3"/>
    <mergeCell ref="S2:S3"/>
    <mergeCell ref="T2:T3"/>
    <mergeCell ref="A1:J1"/>
    <mergeCell ref="A2:A3"/>
    <mergeCell ref="B2:B3"/>
    <mergeCell ref="C2:C3"/>
    <mergeCell ref="D2:D3"/>
    <mergeCell ref="E2:E3"/>
    <mergeCell ref="F2:F3"/>
    <mergeCell ref="G2:G3"/>
    <mergeCell ref="H2:H3"/>
    <mergeCell ref="I2:I3"/>
  </mergeCells>
  <phoneticPr fontId="134" type="noConversion"/>
  <pageMargins left="0.75" right="0.75" top="1" bottom="1" header="0.5" footer="0.5"/>
  <pageSetup paperSize="9" scale="10" orientation="landscape"/>
  <legacy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F31" sqref="F31"/>
    </sheetView>
  </sheetViews>
  <sheetFormatPr defaultColWidth="9" defaultRowHeight="13.5"/>
  <cols>
    <col min="1" max="1" width="25" style="2511" customWidth="1"/>
    <col min="2" max="9" width="15.75" style="2511" customWidth="1"/>
    <col min="10" max="16384" width="9" style="2511"/>
  </cols>
  <sheetData>
    <row r="1" spans="1:11" ht="16.5">
      <c r="A1" s="2510" t="s">
        <v>663</v>
      </c>
      <c r="B1" s="2510">
        <f>SUM(B14:B23)</f>
        <v>34111.17</v>
      </c>
      <c r="C1" s="2684"/>
      <c r="D1" s="2684"/>
      <c r="E1" s="2684"/>
      <c r="F1" s="2684"/>
      <c r="G1" s="2685"/>
      <c r="H1" s="2686"/>
      <c r="I1" s="2686"/>
      <c r="J1" s="2686"/>
      <c r="K1" s="2686"/>
    </row>
    <row r="2" spans="1:11" ht="16.5">
      <c r="A2" s="2510" t="s">
        <v>651</v>
      </c>
      <c r="B2" s="2510">
        <f>SUM(C14:C23)</f>
        <v>3697.41</v>
      </c>
      <c r="C2" s="2684"/>
      <c r="D2" s="2684"/>
      <c r="E2" s="2684"/>
      <c r="F2" s="2684"/>
      <c r="G2" s="2685"/>
      <c r="H2" s="2686"/>
      <c r="I2" s="2686"/>
      <c r="J2" s="2686"/>
      <c r="K2" s="2686"/>
    </row>
    <row r="3" spans="1:11" ht="16.5">
      <c r="A3" s="2510" t="s">
        <v>660</v>
      </c>
      <c r="B3" s="2512">
        <f>项目基本情况!D3</f>
        <v>45575</v>
      </c>
      <c r="C3" s="2684"/>
      <c r="D3" s="2684"/>
      <c r="E3" s="2684"/>
      <c r="F3" s="2684"/>
      <c r="G3" s="2685"/>
      <c r="H3" s="2686"/>
      <c r="I3" s="2686"/>
      <c r="J3" s="2686"/>
      <c r="K3" s="2686"/>
    </row>
    <row r="4" spans="1:11" ht="33">
      <c r="A4" s="2510" t="s">
        <v>659</v>
      </c>
      <c r="B4" s="2510" t="s">
        <v>658</v>
      </c>
      <c r="C4" s="2510" t="s">
        <v>657</v>
      </c>
      <c r="D4" s="2510" t="s">
        <v>656</v>
      </c>
      <c r="E4" s="2684"/>
      <c r="F4" s="2685"/>
      <c r="G4" s="2685"/>
      <c r="H4" s="2686"/>
      <c r="I4" s="2686"/>
      <c r="J4" s="2686"/>
      <c r="K4" s="2686"/>
    </row>
    <row r="5" spans="1:11" ht="16.5">
      <c r="A5" s="2510" t="s">
        <v>655</v>
      </c>
      <c r="B5" s="2510">
        <f ca="1">SUM(D14:D23)</f>
        <v>115533</v>
      </c>
      <c r="C5" s="2510">
        <f ca="1">IF(B5=D14,结果表!H102,ROUND(B5*10000/$B$1,0))</f>
        <v>33870</v>
      </c>
      <c r="D5" s="2510">
        <f ca="1">ROUND(B5*10000/$B$2,0)</f>
        <v>312470</v>
      </c>
      <c r="E5" s="2684"/>
      <c r="F5" s="2685"/>
      <c r="G5" s="2685"/>
      <c r="H5" s="2686"/>
      <c r="I5" s="2686"/>
      <c r="J5" s="2686"/>
      <c r="K5" s="2686"/>
    </row>
    <row r="6" spans="1:11" ht="16.5">
      <c r="A6" s="2510" t="s">
        <v>654</v>
      </c>
      <c r="B6" s="2510">
        <f ca="1">SUM(G14:G23)</f>
        <v>115533</v>
      </c>
      <c r="C6" s="2510">
        <f ca="1">IF(B6=G14,结果表!H108,ROUND(B6*10000/$B$1,0))</f>
        <v>33870</v>
      </c>
      <c r="D6" s="2510">
        <f ca="1">ROUND(B6*10000/$B$2,0)</f>
        <v>312470</v>
      </c>
      <c r="E6" s="2684"/>
      <c r="F6" s="2685"/>
      <c r="G6" s="2685"/>
      <c r="H6" s="2686"/>
      <c r="I6" s="2686"/>
      <c r="J6" s="2686"/>
      <c r="K6" s="2686"/>
    </row>
    <row r="7" spans="1:11" ht="16.5">
      <c r="A7" s="2510" t="s">
        <v>662</v>
      </c>
      <c r="B7" s="2510">
        <f>SUM(H14:H23)</f>
        <v>0</v>
      </c>
      <c r="C7" s="2510" t="str">
        <f>IF(B7=H14,结果表!H110,ROUND(B7*10000/$B$1,0))</f>
        <v>——</v>
      </c>
      <c r="D7" s="2510">
        <f>ROUND(B7*10000/$B$2,0)</f>
        <v>0</v>
      </c>
      <c r="E7" s="2684"/>
      <c r="F7" s="2685"/>
      <c r="G7" s="2685"/>
      <c r="H7" s="2686"/>
      <c r="I7" s="2686"/>
      <c r="J7" s="2686"/>
      <c r="K7" s="2686"/>
    </row>
    <row r="8" spans="1:11" ht="16.5">
      <c r="A8" s="2510" t="s">
        <v>587</v>
      </c>
      <c r="B8" s="2510">
        <f>SUM(I14:I23)</f>
        <v>0</v>
      </c>
      <c r="C8" s="2510" t="str">
        <f>IF(B8=I14,结果表!H112,ROUND(B8*10000/$B$1,0))</f>
        <v>——</v>
      </c>
      <c r="D8" s="2510">
        <f>ROUND(B8*10000/$B$2,0)</f>
        <v>0</v>
      </c>
      <c r="E8" s="2684"/>
      <c r="F8" s="2685"/>
      <c r="G8" s="2685"/>
      <c r="H8" s="2686"/>
      <c r="I8" s="2686"/>
      <c r="J8" s="2686"/>
      <c r="K8" s="2686"/>
    </row>
    <row r="9" spans="1:11" ht="16.5">
      <c r="A9" s="2510" t="s">
        <v>653</v>
      </c>
      <c r="B9" s="2518"/>
      <c r="C9" s="2684"/>
      <c r="D9" s="2684"/>
      <c r="E9" s="2684"/>
      <c r="F9" s="2685"/>
      <c r="G9" s="2685"/>
      <c r="H9" s="2686"/>
      <c r="I9" s="2686"/>
      <c r="J9" s="2686"/>
      <c r="K9" s="2686"/>
    </row>
    <row r="10" spans="1:11" ht="16.5">
      <c r="A10" s="2510" t="s">
        <v>652</v>
      </c>
      <c r="B10" s="2510">
        <f>IF(E10="",0,ROUND(B1*(E10*365/G10)/10000,0))</f>
        <v>0</v>
      </c>
      <c r="C10" s="2510" t="s">
        <v>3355</v>
      </c>
      <c r="D10" s="2510" t="s">
        <v>3356</v>
      </c>
      <c r="E10" s="3439"/>
      <c r="F10" s="3443" t="s">
        <v>3357</v>
      </c>
      <c r="G10" s="3440"/>
      <c r="H10" s="2686"/>
      <c r="I10" s="2686"/>
      <c r="J10" s="2686"/>
      <c r="K10" s="2686"/>
    </row>
    <row r="11" spans="1:11" ht="16.5">
      <c r="A11" s="2510" t="s">
        <v>668</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667</v>
      </c>
      <c r="B13" s="2514" t="s">
        <v>664</v>
      </c>
      <c r="C13" s="2514" t="s">
        <v>666</v>
      </c>
      <c r="D13" s="2514" t="s">
        <v>665</v>
      </c>
      <c r="E13" s="2510" t="s">
        <v>657</v>
      </c>
      <c r="F13" s="2510" t="s">
        <v>656</v>
      </c>
      <c r="G13" s="2514" t="s">
        <v>650</v>
      </c>
      <c r="H13" s="2514" t="s">
        <v>661</v>
      </c>
      <c r="I13" s="2514" t="s">
        <v>649</v>
      </c>
      <c r="J13" s="2685"/>
      <c r="K13" s="2686"/>
    </row>
    <row r="14" spans="1:11" ht="16.5">
      <c r="A14" s="2515" t="s">
        <v>3522</v>
      </c>
      <c r="B14" s="2516">
        <f>典型户型修正!B22</f>
        <v>28350.240000000002</v>
      </c>
      <c r="C14" s="2516">
        <f>'数据-汇总表'!D3</f>
        <v>3697.41</v>
      </c>
      <c r="D14" s="2516">
        <f ca="1">典型户型修正!S22</f>
        <v>112672</v>
      </c>
      <c r="E14" s="2516">
        <f ca="1">ROUND(D14*10000/B14,0)</f>
        <v>39743</v>
      </c>
      <c r="F14" s="2516">
        <f ca="1">ROUND(D14*10000/C14,0)</f>
        <v>304732</v>
      </c>
      <c r="G14" s="2516">
        <f ca="1">D14</f>
        <v>112672</v>
      </c>
      <c r="H14" s="2516"/>
      <c r="I14" s="2516"/>
      <c r="J14" s="2685"/>
      <c r="K14" s="2686"/>
    </row>
    <row r="15" spans="1:11" ht="16.5">
      <c r="A15" s="2515" t="s">
        <v>3523</v>
      </c>
      <c r="B15" s="2517">
        <f>'数据-汇总表'!G20</f>
        <v>5760.93</v>
      </c>
      <c r="C15" s="2517"/>
      <c r="D15" s="2517">
        <f ca="1">'结果表-车位'!G19</f>
        <v>2861</v>
      </c>
      <c r="E15" s="2516">
        <f t="shared" ref="E15:E23" ca="1" si="0">ROUND(D15*10000/B15,0)</f>
        <v>4966</v>
      </c>
      <c r="F15" s="2516" t="e">
        <f t="shared" ref="F15:F23" ca="1" si="1">ROUND(D15*10000/C15,0)</f>
        <v>#DIV/0!</v>
      </c>
      <c r="G15" s="1330">
        <f ca="1">D15</f>
        <v>2861</v>
      </c>
      <c r="H15" s="1330"/>
      <c r="I15" s="2517"/>
      <c r="J15" s="2685"/>
      <c r="K15" s="2686"/>
    </row>
    <row r="16" spans="1:11" ht="16.5">
      <c r="A16" s="2515" t="s">
        <v>648</v>
      </c>
      <c r="B16" s="2517"/>
      <c r="C16" s="2517"/>
      <c r="D16" s="2517"/>
      <c r="E16" s="2516" t="e">
        <f t="shared" si="0"/>
        <v>#DIV/0!</v>
      </c>
      <c r="F16" s="2516" t="e">
        <f t="shared" si="1"/>
        <v>#DIV/0!</v>
      </c>
      <c r="G16" s="1330"/>
      <c r="H16" s="1330"/>
      <c r="I16" s="2517"/>
      <c r="J16" s="2686"/>
      <c r="K16" s="2686"/>
    </row>
    <row r="17" spans="1:11" ht="16.5">
      <c r="A17" s="2515" t="s">
        <v>647</v>
      </c>
      <c r="B17" s="2517"/>
      <c r="C17" s="2517"/>
      <c r="D17" s="2517"/>
      <c r="E17" s="2516" t="e">
        <f t="shared" si="0"/>
        <v>#DIV/0!</v>
      </c>
      <c r="F17" s="2516" t="e">
        <f t="shared" si="1"/>
        <v>#DIV/0!</v>
      </c>
      <c r="G17" s="1330"/>
      <c r="H17" s="1330"/>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H28" sqref="H28"/>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1260</v>
      </c>
      <c r="B1" s="1746"/>
      <c r="C1" s="1747" t="s">
        <v>3445</v>
      </c>
      <c r="D1" s="1746"/>
      <c r="E1" s="1746"/>
      <c r="F1" s="1748" t="s">
        <v>1261</v>
      </c>
      <c r="G1" s="1560"/>
      <c r="H1" s="1749" t="str">
        <f>IF(G1="现房","——","估价对象范围")</f>
        <v>估价对象范围</v>
      </c>
      <c r="I1" s="1750"/>
    </row>
    <row r="2" spans="1:12" ht="21.75" customHeight="1" thickBot="1">
      <c r="A2" s="4049" t="str">
        <f>项目基本情况!S2</f>
        <v>北京市海淀区中关村大街1号部分综合用房及全部车库用房房地产</v>
      </c>
      <c r="B2" s="4050"/>
      <c r="C2" s="4050"/>
      <c r="D2" s="4050"/>
      <c r="E2" s="4050"/>
      <c r="F2" s="4050"/>
      <c r="G2" s="4050"/>
      <c r="H2" s="4050"/>
      <c r="I2" s="4051"/>
    </row>
    <row r="3" spans="1:12" ht="12.75">
      <c r="A3" s="4053" t="s">
        <v>1262</v>
      </c>
      <c r="B3" s="4054"/>
      <c r="C3" s="4054"/>
      <c r="D3" s="4054"/>
      <c r="E3" s="4054"/>
      <c r="F3" s="4054"/>
      <c r="G3" s="4054"/>
      <c r="H3" s="4054"/>
      <c r="I3" s="4054"/>
    </row>
    <row r="4" spans="1:12" ht="14.25">
      <c r="A4" s="1753" t="s">
        <v>1263</v>
      </c>
      <c r="B4" s="1754" t="s">
        <v>1264</v>
      </c>
      <c r="C4" s="1755" t="s">
        <v>3494</v>
      </c>
      <c r="D4" s="1755" t="s">
        <v>3449</v>
      </c>
      <c r="E4" s="4058" t="s">
        <v>1265</v>
      </c>
      <c r="F4" s="4059"/>
      <c r="G4" s="4059"/>
      <c r="H4" s="4059"/>
      <c r="I4" s="4060"/>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997" t="s">
        <v>1266</v>
      </c>
      <c r="B5" s="4052">
        <v>25</v>
      </c>
      <c r="C5" s="4055"/>
      <c r="D5" s="4043"/>
      <c r="E5" s="131" t="s">
        <v>1267</v>
      </c>
      <c r="F5" s="1756"/>
      <c r="G5" s="1756"/>
      <c r="H5" s="1756"/>
      <c r="I5" s="1372"/>
    </row>
    <row r="6" spans="1:12" ht="12.75">
      <c r="A6" s="3997"/>
      <c r="B6" s="4052"/>
      <c r="C6" s="4057"/>
      <c r="D6" s="4043"/>
      <c r="E6" s="131" t="s">
        <v>1268</v>
      </c>
      <c r="F6" s="1756"/>
      <c r="G6" s="1756"/>
      <c r="H6" s="1756"/>
      <c r="I6" s="1372"/>
    </row>
    <row r="7" spans="1:12" ht="12.75">
      <c r="A7" s="3997"/>
      <c r="B7" s="4052"/>
      <c r="C7" s="4056"/>
      <c r="D7" s="4043"/>
      <c r="E7" s="131" t="s">
        <v>1269</v>
      </c>
      <c r="F7" s="1756"/>
      <c r="G7" s="1756"/>
      <c r="H7" s="1756"/>
      <c r="I7" s="1372"/>
    </row>
    <row r="8" spans="1:12" ht="12.75">
      <c r="A8" s="3997" t="s">
        <v>1270</v>
      </c>
      <c r="B8" s="4052">
        <v>15</v>
      </c>
      <c r="C8" s="4055"/>
      <c r="D8" s="4043"/>
      <c r="E8" s="131" t="s">
        <v>1271</v>
      </c>
      <c r="F8" s="1756"/>
      <c r="G8" s="1756"/>
      <c r="H8" s="1756"/>
      <c r="I8" s="1372"/>
    </row>
    <row r="9" spans="1:12" ht="12.75">
      <c r="A9" s="3997"/>
      <c r="B9" s="4052"/>
      <c r="C9" s="4056"/>
      <c r="D9" s="4043"/>
      <c r="E9" s="131" t="s">
        <v>1272</v>
      </c>
      <c r="F9" s="1756"/>
      <c r="G9" s="1756"/>
      <c r="H9" s="1756"/>
      <c r="I9" s="1372"/>
    </row>
    <row r="10" spans="1:12" ht="12.75">
      <c r="A10" s="3997" t="s">
        <v>1273</v>
      </c>
      <c r="B10" s="4052">
        <v>15</v>
      </c>
      <c r="C10" s="4055"/>
      <c r="D10" s="4043"/>
      <c r="E10" s="131" t="s">
        <v>1274</v>
      </c>
      <c r="F10" s="1756"/>
      <c r="G10" s="1756"/>
      <c r="H10" s="1756"/>
      <c r="I10" s="1372"/>
    </row>
    <row r="11" spans="1:12" ht="12.75">
      <c r="A11" s="3997"/>
      <c r="B11" s="4052"/>
      <c r="C11" s="4056"/>
      <c r="D11" s="4043"/>
      <c r="E11" s="131" t="s">
        <v>1275</v>
      </c>
      <c r="F11" s="1756"/>
      <c r="G11" s="1756"/>
      <c r="H11" s="1756"/>
      <c r="I11" s="1372"/>
    </row>
    <row r="12" spans="1:12" ht="12.75">
      <c r="A12" s="3997" t="s">
        <v>1276</v>
      </c>
      <c r="B12" s="4052">
        <v>15</v>
      </c>
      <c r="C12" s="4055"/>
      <c r="D12" s="4043"/>
      <c r="E12" s="131" t="s">
        <v>1277</v>
      </c>
      <c r="F12" s="1756"/>
      <c r="G12" s="1756"/>
      <c r="H12" s="1756"/>
      <c r="I12" s="1372"/>
    </row>
    <row r="13" spans="1:12" ht="12.75">
      <c r="A13" s="3997"/>
      <c r="B13" s="4052"/>
      <c r="C13" s="4056"/>
      <c r="D13" s="4043"/>
      <c r="E13" s="131" t="s">
        <v>1278</v>
      </c>
      <c r="F13" s="1756"/>
      <c r="G13" s="1756"/>
      <c r="H13" s="1756"/>
      <c r="I13" s="1372"/>
    </row>
    <row r="14" spans="1:12" ht="12.75">
      <c r="A14" s="3997" t="s">
        <v>1279</v>
      </c>
      <c r="B14" s="4052">
        <v>30</v>
      </c>
      <c r="C14" s="4055">
        <v>7</v>
      </c>
      <c r="D14" s="4043">
        <v>3</v>
      </c>
      <c r="E14" s="131" t="s">
        <v>1280</v>
      </c>
      <c r="F14" s="1756"/>
      <c r="G14" s="1756"/>
      <c r="H14" s="1756"/>
      <c r="I14" s="1372"/>
    </row>
    <row r="15" spans="1:12" ht="12.75">
      <c r="A15" s="3997"/>
      <c r="B15" s="4052"/>
      <c r="C15" s="4057"/>
      <c r="D15" s="4043"/>
      <c r="E15" s="131" t="s">
        <v>1281</v>
      </c>
      <c r="F15" s="1756"/>
      <c r="G15" s="1756"/>
      <c r="H15" s="1756"/>
      <c r="I15" s="1372"/>
    </row>
    <row r="16" spans="1:12" ht="12.75">
      <c r="A16" s="3997"/>
      <c r="B16" s="4052"/>
      <c r="C16" s="4056"/>
      <c r="D16" s="4043"/>
      <c r="E16" s="131" t="s">
        <v>1282</v>
      </c>
      <c r="F16" s="1756"/>
      <c r="G16" s="1756"/>
      <c r="H16" s="1756"/>
      <c r="I16" s="1372"/>
    </row>
    <row r="17" spans="1:36" ht="15">
      <c r="A17" s="1757" t="s">
        <v>1283</v>
      </c>
      <c r="B17" s="56"/>
      <c r="C17" s="132">
        <f>SUM(C5:C16)</f>
        <v>7</v>
      </c>
      <c r="D17" s="132">
        <f>SUM(D5:D16)</f>
        <v>3</v>
      </c>
      <c r="E17" s="129"/>
      <c r="F17" s="129"/>
      <c r="G17" s="129"/>
      <c r="H17" s="129"/>
      <c r="I17" s="129"/>
      <c r="K17" s="302"/>
      <c r="L17" s="302" t="s">
        <v>1284</v>
      </c>
      <c r="M17" s="302" t="s">
        <v>1285</v>
      </c>
    </row>
    <row r="18" spans="1:36" ht="31.9" customHeight="1" thickBot="1">
      <c r="A18" s="1758" t="s">
        <v>1286</v>
      </c>
      <c r="B18" s="1759"/>
      <c r="C18" s="133">
        <f>ROUND(C17/SUM(C17:D17),2)</f>
        <v>0.7</v>
      </c>
      <c r="D18" s="133">
        <f>1-C18</f>
        <v>0.30000000000000004</v>
      </c>
      <c r="E18" s="4074" t="s">
        <v>2128</v>
      </c>
      <c r="F18" s="4075"/>
      <c r="G18" s="4075"/>
      <c r="H18" s="4075"/>
      <c r="I18" s="4075"/>
      <c r="K18" s="302" t="s">
        <v>1287</v>
      </c>
      <c r="L18" s="302">
        <f>IF(C1="",'数据-汇总表'!E3,SUMIF(项目类型,C1,'数据-汇总表'!E17:E26)+SUMIF(项目类型,C1,'数据-汇总表'!I17:I26))</f>
        <v>3752.39</v>
      </c>
      <c r="M18" s="302">
        <f>IF(C1="",'数据-汇总表'!E3,SUMIF(项目类型,C1,'数据-汇总表'!E17:E26))</f>
        <v>3752.39</v>
      </c>
    </row>
    <row r="19" spans="1:36" ht="15">
      <c r="A19" s="1760" t="s">
        <v>1288</v>
      </c>
      <c r="B19" s="1761" t="s">
        <v>1289</v>
      </c>
      <c r="C19" s="134">
        <f ca="1">SUMIF(INDIRECT("'"&amp;C4&amp;"'"&amp;"!A:A"),结果表!B19,INDIRECT("'"&amp;C4&amp;"'"&amp;"!B:B"))</f>
        <v>17261</v>
      </c>
      <c r="D19" s="135">
        <f ca="1">SUMIF(INDIRECT("'"&amp;D4&amp;"'"&amp;"!A:A"),结果表!B19,INDIRECT("'"&amp;D4&amp;"'"&amp;"!B:B"))</f>
        <v>9435</v>
      </c>
      <c r="E19" s="1760" t="s">
        <v>1290</v>
      </c>
      <c r="F19" s="1761" t="s">
        <v>1289</v>
      </c>
      <c r="G19" s="136">
        <f ca="1">ROUND(C19*$C$18+D19*$D$18,0)</f>
        <v>14913</v>
      </c>
      <c r="H19" s="1762" t="s">
        <v>1291</v>
      </c>
      <c r="I19" s="129"/>
      <c r="K19" s="302" t="s">
        <v>1292</v>
      </c>
      <c r="L19" s="302">
        <f>IF(C1="",'数据-汇总表'!D3,SUMIF(项目类型,C1,'数据-汇总表'!D17:D26)+SUMIF(项目类型,C1,'数据-汇总表'!H17:H27))</f>
        <v>406.73</v>
      </c>
      <c r="M19" s="302">
        <f>IF(C1="",'数据-汇总表'!D3,SUMIF(项目类型,C1,'数据-汇总表'!D17:D26))</f>
        <v>406.73</v>
      </c>
    </row>
    <row r="20" spans="1:36" ht="15">
      <c r="A20" s="1763"/>
      <c r="B20" s="1025" t="s">
        <v>1293</v>
      </c>
      <c r="C20" s="137">
        <f ca="1">SUMIF(INDIRECT("'"&amp;C4&amp;"'"&amp;"!A:A"),结果表!B20,INDIRECT("'"&amp;C4&amp;"'"&amp;"!B:B"))</f>
        <v>46000</v>
      </c>
      <c r="D20" s="138">
        <f ca="1">SUMIF(INDIRECT("'"&amp;D4&amp;"'"&amp;"!A:A"),结果表!B20,INDIRECT("'"&amp;D4&amp;"'"&amp;"!B:B"))</f>
        <v>25144</v>
      </c>
      <c r="E20" s="1763"/>
      <c r="F20" s="1025" t="s">
        <v>1293</v>
      </c>
      <c r="G20" s="139">
        <f ca="1">ROUND(C20*$C$18+D20*$D$18,0)</f>
        <v>39743</v>
      </c>
      <c r="H20" s="807" t="s">
        <v>1294</v>
      </c>
      <c r="I20" s="129"/>
    </row>
    <row r="21" spans="1:36" ht="15" customHeight="1" thickBot="1">
      <c r="A21" s="827"/>
      <c r="B21" s="1764" t="s">
        <v>1295</v>
      </c>
      <c r="C21" s="718">
        <f ca="1">ROUND(C19*10000/L19,0)</f>
        <v>424385</v>
      </c>
      <c r="D21" s="719">
        <f ca="1">ROUND(D19*10000/L19,0)</f>
        <v>231972</v>
      </c>
      <c r="E21" s="827"/>
      <c r="F21" s="1764" t="s">
        <v>1295</v>
      </c>
      <c r="G21" s="140">
        <f ca="1">ROUND(G19*10000/L19,0)</f>
        <v>366656</v>
      </c>
      <c r="H21" s="1765" t="s">
        <v>1294</v>
      </c>
      <c r="I21" s="129"/>
    </row>
    <row r="22" spans="1:36" ht="15" thickBot="1">
      <c r="A22" s="1687" t="s">
        <v>1296</v>
      </c>
      <c r="B22" s="1766"/>
      <c r="C22" s="1767"/>
      <c r="D22" s="720">
        <f ca="1">IF(C19&lt;D19,D19/C19-1,C19/D19-1)</f>
        <v>0.8294647588765236</v>
      </c>
      <c r="E22" s="129"/>
      <c r="F22" s="129"/>
      <c r="G22" s="129"/>
      <c r="H22" s="129"/>
      <c r="I22" s="129"/>
    </row>
    <row r="23" spans="1:36" ht="13.5" thickBot="1">
      <c r="A23" s="1746"/>
      <c r="B23" s="1746"/>
      <c r="C23" s="1746"/>
      <c r="D23" s="1746"/>
      <c r="E23" s="129"/>
      <c r="F23" s="129"/>
      <c r="G23" s="129"/>
      <c r="H23" s="129"/>
      <c r="I23" s="129"/>
    </row>
    <row r="24" spans="1:36" ht="14.25">
      <c r="A24" s="4067" t="s">
        <v>1297</v>
      </c>
      <c r="B24" s="1761" t="s">
        <v>1289</v>
      </c>
      <c r="C24" s="136">
        <f>IF(B30=0,0,D30)</f>
        <v>0</v>
      </c>
      <c r="D24" s="1768"/>
      <c r="E24" s="129"/>
      <c r="F24" s="129"/>
      <c r="G24" s="129"/>
      <c r="H24" s="129"/>
      <c r="I24" s="129"/>
    </row>
    <row r="25" spans="1:36" ht="14.25">
      <c r="A25" s="4068"/>
      <c r="B25" s="1025" t="s">
        <v>1293</v>
      </c>
      <c r="C25" s="141">
        <f>IF(B30=0,0,C30)</f>
        <v>0</v>
      </c>
      <c r="D25" s="1769"/>
      <c r="E25" s="129"/>
      <c r="F25" s="129"/>
      <c r="G25" s="129"/>
      <c r="H25" s="129"/>
      <c r="I25" s="129"/>
    </row>
    <row r="26" spans="1:36" ht="13.5" customHeight="1">
      <c r="A26" s="1770" t="s">
        <v>1298</v>
      </c>
      <c r="B26" s="142" t="s">
        <v>1299</v>
      </c>
      <c r="C26" s="142" t="s">
        <v>1300</v>
      </c>
      <c r="D26" s="143" t="s">
        <v>1301</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1302</v>
      </c>
      <c r="B30" s="142"/>
      <c r="C30" s="142"/>
      <c r="D30" s="142"/>
      <c r="E30" s="2302" t="s">
        <v>2129</v>
      </c>
      <c r="F30" s="129"/>
      <c r="G30" s="129"/>
      <c r="H30" s="129"/>
      <c r="I30" s="129"/>
    </row>
    <row r="31" spans="1:36" s="2308" customFormat="1" ht="26.45" customHeight="1" thickTop="1" thickBot="1">
      <c r="A31" s="2303"/>
      <c r="B31" s="2304"/>
      <c r="C31" s="2304"/>
      <c r="D31" s="2304"/>
      <c r="E31" s="2304"/>
      <c r="F31" s="2304"/>
      <c r="G31" s="2304"/>
      <c r="H31" s="2304"/>
      <c r="I31" s="2305" t="s">
        <v>2130</v>
      </c>
      <c r="J31" s="2687"/>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39743</v>
      </c>
      <c r="D32" s="1774" t="s">
        <v>3508</v>
      </c>
      <c r="E32" s="129"/>
      <c r="F32" s="129"/>
      <c r="G32" s="129"/>
      <c r="H32" s="129"/>
      <c r="I32" s="129"/>
    </row>
    <row r="33" spans="1:15" ht="15">
      <c r="A33" s="785" t="s">
        <v>1304</v>
      </c>
      <c r="B33" s="1775"/>
      <c r="C33" s="1776" t="s">
        <v>3509</v>
      </c>
      <c r="D33" s="1777" t="s">
        <v>3449</v>
      </c>
      <c r="E33" s="1778" t="s">
        <v>1305</v>
      </c>
      <c r="F33" s="1779" t="str">
        <f>IF(D32="楼面单价","取值（单价）","取值（总价）")</f>
        <v>取值（单价）</v>
      </c>
      <c r="G33" s="129"/>
      <c r="H33" s="129"/>
      <c r="I33" s="129"/>
    </row>
    <row r="34" spans="1:15" ht="15">
      <c r="A34" s="1780"/>
      <c r="B34" s="1781" t="s">
        <v>1306</v>
      </c>
      <c r="C34" s="148">
        <f ca="1">IF(C33="自定义",F34,C32-C35)</f>
        <v>30880</v>
      </c>
      <c r="D34" s="860">
        <f ca="1">IF(C33="自定义",ROUND(C34/C32,3),IF(C33="收益比率",SUMIF(INDIRECT("'"&amp;D33&amp;"'"&amp;"!b:b"),"土地收益比率",INDIRECT("'"&amp;D33&amp;"'"&amp;"!c:c")),SUMIF(INDIRECT("'"&amp;D33&amp;"'"&amp;"!b:b"),"土地成本比率",INDIRECT("'"&amp;D33&amp;"'"&amp;"!c:c"))))</f>
        <v>0.77700000000000002</v>
      </c>
      <c r="E34" s="1782" t="s">
        <v>1307</v>
      </c>
      <c r="F34" s="1329"/>
      <c r="G34" s="129"/>
      <c r="H34" s="129"/>
      <c r="I34" s="129"/>
    </row>
    <row r="35" spans="1:15" ht="15.75" thickBot="1">
      <c r="A35" s="1783"/>
      <c r="B35" s="1784" t="s">
        <v>1308</v>
      </c>
      <c r="C35" s="1169">
        <f ca="1">IF(C33="自定义",F35,ROUND(C32*D35,0))</f>
        <v>8863</v>
      </c>
      <c r="D35" s="1170">
        <f ca="1">IF(C33="自定义",ROUND(C35/C32,3),IF(C33="收益比率",SUMIF(INDIRECT("'"&amp;D33&amp;"'"&amp;"!b:b"),"建筑物收益比率",INDIRECT("'"&amp;D33&amp;"'"&amp;"!c:c")),SUMIF(INDIRECT("'"&amp;D33&amp;"'"&amp;"!b:b"),"建筑物成本比率",INDIRECT("'"&amp;D33&amp;"'"&amp;"!c:c"))))</f>
        <v>0.223</v>
      </c>
      <c r="E35" s="1785" t="s">
        <v>1309</v>
      </c>
      <c r="F35" s="154"/>
      <c r="G35" s="129"/>
      <c r="H35" s="129"/>
      <c r="I35" s="129"/>
    </row>
    <row r="36" spans="1:15" ht="15.75" thickBot="1">
      <c r="A36" s="4044" t="s">
        <v>1310</v>
      </c>
      <c r="B36" s="1786" t="s">
        <v>1311</v>
      </c>
      <c r="C36" s="145"/>
      <c r="D36" s="1787"/>
      <c r="E36" s="1788"/>
      <c r="F36" s="1789"/>
      <c r="G36" s="129"/>
      <c r="H36" s="129"/>
      <c r="I36" s="129"/>
    </row>
    <row r="37" spans="1:15" ht="15.75" thickBot="1">
      <c r="A37" s="4045"/>
      <c r="B37" s="1673" t="s">
        <v>1312</v>
      </c>
      <c r="C37" s="147"/>
      <c r="D37" s="1138"/>
      <c r="E37" s="1138"/>
      <c r="F37" s="1789"/>
      <c r="G37" s="129"/>
      <c r="H37" s="129"/>
      <c r="I37" s="129"/>
    </row>
    <row r="38" spans="1:15" ht="15.75" thickBot="1">
      <c r="A38" s="4046"/>
      <c r="B38" s="1790" t="s">
        <v>1313</v>
      </c>
      <c r="C38" s="673"/>
      <c r="D38" s="1791" t="s">
        <v>1314</v>
      </c>
      <c r="E38" s="1138"/>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4064" t="s">
        <v>1324</v>
      </c>
      <c r="B45" s="4065"/>
      <c r="C45" s="4066"/>
      <c r="D45" s="155">
        <f ca="1">ROUND(H101*F45,0)</f>
        <v>14913</v>
      </c>
      <c r="E45" s="156" t="s">
        <v>1325</v>
      </c>
      <c r="F45" s="157">
        <v>1</v>
      </c>
      <c r="G45" s="158" t="s">
        <v>1326</v>
      </c>
      <c r="H45" s="129"/>
      <c r="I45" s="129"/>
      <c r="J45" s="3984" t="s">
        <v>1327</v>
      </c>
      <c r="K45" s="3984"/>
      <c r="L45" s="3984"/>
      <c r="M45" s="3984"/>
      <c r="N45" s="3984"/>
      <c r="O45" s="3984"/>
    </row>
    <row r="46" spans="1:15" ht="14.25" customHeight="1">
      <c r="A46" s="4061" t="s">
        <v>1328</v>
      </c>
      <c r="B46" s="4062"/>
      <c r="C46" s="4062"/>
      <c r="D46" s="4062"/>
      <c r="E46" s="4062"/>
      <c r="F46" s="4062"/>
      <c r="G46" s="4063"/>
      <c r="H46" s="1805"/>
      <c r="I46" s="159"/>
      <c r="J46" s="2521">
        <v>1</v>
      </c>
      <c r="K46" s="3985" t="s">
        <v>1329</v>
      </c>
      <c r="L46" s="3985"/>
      <c r="M46" s="3986"/>
      <c r="N46" s="3986"/>
      <c r="O46" s="3986"/>
    </row>
    <row r="47" spans="1:15" ht="12" customHeight="1">
      <c r="A47" s="160" t="s">
        <v>1330</v>
      </c>
      <c r="B47" s="161"/>
      <c r="C47" s="162"/>
      <c r="D47" s="1086" t="s">
        <v>1331</v>
      </c>
      <c r="E47" s="302" t="s">
        <v>1332</v>
      </c>
      <c r="F47" s="163" t="s">
        <v>1333</v>
      </c>
      <c r="G47" s="2544" t="s">
        <v>1334</v>
      </c>
      <c r="H47" s="2545"/>
      <c r="I47" s="159"/>
      <c r="J47" s="2521">
        <v>2</v>
      </c>
      <c r="K47" s="3985" t="s">
        <v>1335</v>
      </c>
      <c r="L47" s="3985"/>
      <c r="M47" s="3987">
        <f>'数据-取费表'!B2</f>
        <v>45575</v>
      </c>
      <c r="N47" s="3987"/>
      <c r="O47" s="3987"/>
    </row>
    <row r="48" spans="1:15" ht="25.5">
      <c r="A48" s="4047" t="s">
        <v>1336</v>
      </c>
      <c r="B48" s="4048"/>
      <c r="C48" s="4048"/>
      <c r="D48" s="2323" t="b">
        <f>IF(H48="情况1",0,IF(H48="情况2",D52,IF(H48="情况3",D53,IF(H48="情况4",D54))))</f>
        <v>0</v>
      </c>
      <c r="E48" s="2333" t="str">
        <f>IF(H48="情况4","(销售额-原购置价)×税（费）率","销售额×税（费）率")</f>
        <v>销售额×税（费）率</v>
      </c>
      <c r="F48" s="2546">
        <f>IF(H48="情况1","免征",'数据-取费表'!B41)</f>
        <v>5.6000000000000001E-2</v>
      </c>
      <c r="G48" s="2547" t="s">
        <v>1337</v>
      </c>
      <c r="H48" s="2548"/>
      <c r="I48" s="1805"/>
      <c r="J48" s="2521">
        <v>3</v>
      </c>
      <c r="K48" s="3985" t="s">
        <v>1338</v>
      </c>
      <c r="L48" s="3985"/>
      <c r="M48" s="3988">
        <f ca="1">H101</f>
        <v>14913</v>
      </c>
      <c r="N48" s="3988"/>
      <c r="O48" s="3988"/>
    </row>
    <row r="49" spans="1:35" ht="25.5" customHeight="1">
      <c r="A49" s="2332" t="s">
        <v>1339</v>
      </c>
      <c r="B49" s="4033" t="s">
        <v>1340</v>
      </c>
      <c r="C49" s="4033"/>
      <c r="D49" s="1589">
        <v>0</v>
      </c>
      <c r="E49" s="324" t="s">
        <v>1341</v>
      </c>
      <c r="F49" s="2422" t="s">
        <v>28</v>
      </c>
      <c r="G49" s="4016"/>
      <c r="H49" s="2309" t="s">
        <v>2131</v>
      </c>
      <c r="I49" s="2310"/>
      <c r="J49" s="2521">
        <v>4</v>
      </c>
      <c r="K49" s="3985" t="str">
        <f>IF(项目基本情况!E8="房地产抵押价值","房地产抵押价值","抵押担保权已注销时的房地产抵押价值")</f>
        <v>房地产抵押价值</v>
      </c>
      <c r="L49" s="3985"/>
      <c r="M49" s="3988">
        <f ca="1">IF(项目基本情况!E8="房地产抵押价值",H107,H109)</f>
        <v>14913</v>
      </c>
      <c r="N49" s="3988"/>
      <c r="O49" s="3988"/>
    </row>
    <row r="50" spans="1:35" ht="25.5" customHeight="1">
      <c r="A50" s="2549"/>
      <c r="B50" s="4033" t="s">
        <v>1342</v>
      </c>
      <c r="C50" s="4033"/>
      <c r="D50" s="2550"/>
      <c r="E50" s="332"/>
      <c r="F50" s="2422"/>
      <c r="G50" s="4017"/>
      <c r="H50" s="2311" t="s">
        <v>2132</v>
      </c>
      <c r="I50" s="2310"/>
      <c r="J50" s="3984" t="s">
        <v>1343</v>
      </c>
      <c r="K50" s="3984"/>
      <c r="L50" s="3984"/>
      <c r="M50" s="3984"/>
      <c r="N50" s="3984"/>
      <c r="O50" s="3984"/>
    </row>
    <row r="51" spans="1:35" ht="20.45" customHeight="1">
      <c r="A51" s="2551"/>
      <c r="B51" s="4033" t="s">
        <v>1344</v>
      </c>
      <c r="C51" s="4033"/>
      <c r="D51" s="1086"/>
      <c r="E51" s="327"/>
      <c r="F51" s="2422"/>
      <c r="G51" s="4018"/>
      <c r="H51" s="2311" t="s">
        <v>2133</v>
      </c>
      <c r="I51" s="2310"/>
      <c r="J51" s="2522" t="s">
        <v>1345</v>
      </c>
      <c r="K51" s="3985" t="s">
        <v>1346</v>
      </c>
      <c r="L51" s="3985"/>
      <c r="M51" s="2522" t="s">
        <v>1347</v>
      </c>
      <c r="N51" s="2522" t="s">
        <v>1348</v>
      </c>
      <c r="O51" s="2522" t="s">
        <v>1349</v>
      </c>
    </row>
    <row r="52" spans="1:35" ht="24" customHeight="1">
      <c r="A52" s="2334" t="s">
        <v>1350</v>
      </c>
      <c r="B52" s="4033" t="s">
        <v>1351</v>
      </c>
      <c r="C52" s="4033"/>
      <c r="D52" s="1086">
        <f ca="1">ROUND(D45*'数据-取费表'!B41/(1+'数据-取费表'!C42),0)</f>
        <v>795</v>
      </c>
      <c r="E52" s="2333" t="s">
        <v>1352</v>
      </c>
      <c r="F52" s="2552">
        <f>'数据-取费表'!B41</f>
        <v>5.6000000000000001E-2</v>
      </c>
      <c r="G52" s="2553"/>
      <c r="H52" s="2542"/>
      <c r="I52" s="1806"/>
      <c r="J52" s="2521">
        <v>1</v>
      </c>
      <c r="K52" s="4010" t="s">
        <v>1353</v>
      </c>
      <c r="L52" s="4010"/>
      <c r="M52" s="2523" t="b">
        <f>D48</f>
        <v>0</v>
      </c>
      <c r="N52" s="2521" t="str">
        <f>E48</f>
        <v>销售额×税（费）率</v>
      </c>
      <c r="O52" s="2524">
        <f>F48</f>
        <v>5.6000000000000001E-2</v>
      </c>
    </row>
    <row r="53" spans="1:35" ht="12" customHeight="1">
      <c r="A53" s="2334" t="s">
        <v>1354</v>
      </c>
      <c r="B53" s="4034" t="s">
        <v>2288</v>
      </c>
      <c r="C53" s="4035"/>
      <c r="D53" s="1086">
        <f ca="1">ROUND(D45*'数据-取费表'!B41/(1+'数据-取费表'!C42),0)</f>
        <v>795</v>
      </c>
      <c r="E53" s="2333" t="s">
        <v>1352</v>
      </c>
      <c r="F53" s="2552">
        <f>'数据-取费表'!B41</f>
        <v>5.6000000000000001E-2</v>
      </c>
      <c r="G53" s="2553"/>
      <c r="H53" s="2542"/>
      <c r="I53" s="1806"/>
      <c r="J53" s="2521">
        <v>2</v>
      </c>
      <c r="K53" s="4010" t="s">
        <v>1355</v>
      </c>
      <c r="L53" s="4010"/>
      <c r="M53" s="2523">
        <f t="shared" ref="M53:O54" ca="1" si="0">D55</f>
        <v>0</v>
      </c>
      <c r="N53" s="2521" t="str">
        <f t="shared" si="0"/>
        <v>销售额×税（费）率</v>
      </c>
      <c r="O53" s="2524" t="str">
        <f t="shared" si="0"/>
        <v>免征</v>
      </c>
    </row>
    <row r="54" spans="1:35" ht="12" customHeight="1">
      <c r="A54" s="2334" t="s">
        <v>1356</v>
      </c>
      <c r="B54" s="4034" t="s">
        <v>2289</v>
      </c>
      <c r="C54" s="4035"/>
      <c r="D54" s="1086">
        <f ca="1">C68</f>
        <v>795</v>
      </c>
      <c r="E54" s="327" t="s">
        <v>1357</v>
      </c>
      <c r="F54" s="2552">
        <f>'数据-取费表'!B41</f>
        <v>5.6000000000000001E-2</v>
      </c>
      <c r="G54" s="2553"/>
      <c r="H54" s="2554"/>
      <c r="I54" s="1806"/>
      <c r="J54" s="2521">
        <v>3</v>
      </c>
      <c r="K54" s="4010" t="s">
        <v>1358</v>
      </c>
      <c r="L54" s="4010"/>
      <c r="M54" s="2523">
        <f t="shared" ca="1" si="0"/>
        <v>8441</v>
      </c>
      <c r="N54" s="2521" t="str">
        <f t="shared" si="0"/>
        <v>增值额×税（费）率</v>
      </c>
      <c r="O54" s="2525" t="str">
        <f t="shared" si="0"/>
        <v>免征</v>
      </c>
    </row>
    <row r="55" spans="1:35" ht="24" customHeight="1">
      <c r="A55" s="4070" t="s">
        <v>1359</v>
      </c>
      <c r="B55" s="4048"/>
      <c r="C55" s="4048"/>
      <c r="D55" s="2323">
        <f ca="1">IF(H55="个人住宅",0,ROUND(D45*I55,0))</f>
        <v>0</v>
      </c>
      <c r="E55" s="2333" t="s">
        <v>1360</v>
      </c>
      <c r="F55" s="2552" t="str">
        <f>IF(H55="正常",I55,"免征")</f>
        <v>免征</v>
      </c>
      <c r="G55" s="2553"/>
      <c r="H55" s="2548"/>
      <c r="I55" s="165">
        <f>'数据-取费表'!B49</f>
        <v>0</v>
      </c>
      <c r="J55" s="2521">
        <f>IF(H59="非个人房产","",4)</f>
        <v>4</v>
      </c>
      <c r="K55" s="4010" t="str">
        <f>IF(H59="非个人房产","——","个人所得税")</f>
        <v>个人所得税</v>
      </c>
      <c r="L55" s="4010"/>
      <c r="M55" s="2526">
        <f ca="1">D59</f>
        <v>142</v>
      </c>
      <c r="N55" s="2039" t="str">
        <f>E59</f>
        <v>差额计税</v>
      </c>
      <c r="O55" s="2527">
        <f>F59</f>
        <v>0.01</v>
      </c>
    </row>
    <row r="56" spans="1:35" ht="24.75">
      <c r="A56" s="4070" t="s">
        <v>1361</v>
      </c>
      <c r="B56" s="4048"/>
      <c r="C56" s="4048"/>
      <c r="D56" s="2323">
        <f ca="1">IF(H56="个人住宅",D57,D58)</f>
        <v>8441</v>
      </c>
      <c r="E56" s="2333" t="s">
        <v>1362</v>
      </c>
      <c r="F56" s="2552" t="str">
        <f>IF(H56="正常",F58,"免征")</f>
        <v>免征</v>
      </c>
      <c r="G56" s="2555" t="s">
        <v>1363</v>
      </c>
      <c r="H56" s="2556"/>
      <c r="I56" s="1807"/>
      <c r="J56" s="2521" t="str">
        <f>IF(项目基本情况!K6="上海银行",IF(J55="",4,J55+1),"")</f>
        <v/>
      </c>
      <c r="K56" s="3991" t="str">
        <f>IF(项目基本情况!K6="上海银行","其他处置费用","")</f>
        <v/>
      </c>
      <c r="L56" s="3992"/>
      <c r="M56" s="2523" t="str">
        <f>IF(项目基本情况!K6="上海银行",M69,"")</f>
        <v/>
      </c>
      <c r="N56" s="3991" t="str">
        <f>IF(项目基本情况!K6="上海银行","包含处置中涉及的律师、诉讼、拍卖、评估等费用","")</f>
        <v/>
      </c>
      <c r="O56" s="3994"/>
    </row>
    <row r="57" spans="1:35" ht="12.75">
      <c r="A57" s="2334" t="s">
        <v>1339</v>
      </c>
      <c r="B57" s="4034" t="s">
        <v>1364</v>
      </c>
      <c r="C57" s="4035"/>
      <c r="D57" s="1589">
        <v>0</v>
      </c>
      <c r="E57" s="324" t="s">
        <v>1341</v>
      </c>
      <c r="F57" s="302"/>
      <c r="G57" s="2553"/>
      <c r="H57" s="2557"/>
      <c r="I57" s="1807"/>
      <c r="J57" s="4010">
        <f>IF(AND(J55="",J56=""),4,IF(项目基本情况!K6="上海银行",结果表!J56+1,结果表!J55+1))</f>
        <v>5</v>
      </c>
      <c r="K57" s="4010" t="s">
        <v>1365</v>
      </c>
      <c r="L57" s="2528" t="s">
        <v>1366</v>
      </c>
      <c r="M57" s="2529"/>
      <c r="N57" s="2530">
        <f ca="1">SUMIF(M52:M56,"&lt;9e307")</f>
        <v>8583</v>
      </c>
      <c r="O57" s="2531"/>
      <c r="P57" s="2688">
        <f ca="1">N57/M49</f>
        <v>0.57553812110239388</v>
      </c>
    </row>
    <row r="58" spans="1:35" ht="24.75">
      <c r="A58" s="2334" t="s">
        <v>1350</v>
      </c>
      <c r="B58" s="4034" t="s">
        <v>1367</v>
      </c>
      <c r="C58" s="4033"/>
      <c r="D58" s="2323">
        <f ca="1">IF(H58="转让取得",C81,C97)</f>
        <v>8441</v>
      </c>
      <c r="E58" s="2333" t="s">
        <v>1362</v>
      </c>
      <c r="F58" s="302" t="s">
        <v>28</v>
      </c>
      <c r="G58" s="2553"/>
      <c r="H58" s="2556"/>
      <c r="I58" s="1807"/>
      <c r="J58" s="4010"/>
      <c r="K58" s="4010"/>
      <c r="L58" s="2528" t="s">
        <v>1368</v>
      </c>
      <c r="M58" s="2532"/>
      <c r="N58" s="2533" t="str">
        <f ca="1">NUMBERSTRING(INT(N57*10000),2)&amp;"元整"</f>
        <v>捌仟伍佰捌拾叁万元整</v>
      </c>
      <c r="O58" s="2534"/>
    </row>
    <row r="59" spans="1:35" ht="24.75" thickBot="1">
      <c r="A59" s="4014" t="s">
        <v>1369</v>
      </c>
      <c r="B59" s="4015"/>
      <c r="C59" s="4015"/>
      <c r="D59" s="2558">
        <f ca="1">IF(H59="非个人房产","——",IF(H59="个人住宅（满五唯一有凭证）",0,IF(H59="个人其他（无凭证）",ROUND(D45*F59,0),ROUND(C67*F59,0))))</f>
        <v>142</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1363</v>
      </c>
      <c r="H59" s="2313"/>
      <c r="I59" s="2312" t="s">
        <v>2134</v>
      </c>
      <c r="J59" s="4012">
        <f>J57+1</f>
        <v>6</v>
      </c>
      <c r="K59" s="4010" t="s">
        <v>1370</v>
      </c>
      <c r="L59" s="2521" t="s">
        <v>1366</v>
      </c>
      <c r="M59" s="2535"/>
      <c r="N59" s="2536">
        <f ca="1">M49-N57</f>
        <v>6330</v>
      </c>
      <c r="O59" s="2537"/>
    </row>
    <row r="60" spans="1:35" ht="12" customHeight="1">
      <c r="A60" s="1808"/>
      <c r="B60" s="1746"/>
      <c r="C60" s="1746"/>
      <c r="D60" s="1746"/>
      <c r="E60" s="1577"/>
      <c r="F60" s="1807"/>
      <c r="G60" s="1807"/>
      <c r="H60" s="1809"/>
      <c r="I60" s="129"/>
      <c r="J60" s="4013"/>
      <c r="K60" s="4010"/>
      <c r="L60" s="2528" t="s">
        <v>1368</v>
      </c>
      <c r="M60" s="2532"/>
      <c r="N60" s="2533" t="str">
        <f ca="1">NUMBERSTRING(INT(N59*10000),2)&amp;"元整"</f>
        <v>陆仟叁佰叁拾万元整</v>
      </c>
      <c r="O60" s="2534"/>
    </row>
    <row r="61" spans="1:35" ht="13.5" thickBot="1">
      <c r="A61" s="4069" t="s">
        <v>1371</v>
      </c>
      <c r="B61" s="4069"/>
      <c r="C61" s="4069"/>
      <c r="D61" s="4069"/>
      <c r="E61" s="4069"/>
      <c r="F61" s="1807"/>
      <c r="G61" s="1807"/>
      <c r="H61" s="1809"/>
      <c r="I61" s="129"/>
      <c r="J61" s="2521">
        <f>J59+1</f>
        <v>7</v>
      </c>
      <c r="K61" s="4010" t="s">
        <v>1372</v>
      </c>
      <c r="L61" s="4010"/>
      <c r="M61" s="2538"/>
      <c r="N61" s="2539">
        <f ca="1">ROUND(N59*10000/'数据-汇总表'!E3,0)</f>
        <v>1856</v>
      </c>
      <c r="O61" s="2540"/>
    </row>
    <row r="62" spans="1:35" ht="12.75">
      <c r="A62" s="4029" t="s">
        <v>1373</v>
      </c>
      <c r="B62" s="4030"/>
      <c r="C62" s="2020"/>
      <c r="D62" s="2020" t="s">
        <v>1374</v>
      </c>
      <c r="E62" s="166" t="s">
        <v>1375</v>
      </c>
      <c r="F62" s="1807"/>
      <c r="G62" s="1807"/>
      <c r="H62" s="1809"/>
      <c r="I62" s="129"/>
    </row>
    <row r="63" spans="1:35" ht="12.75">
      <c r="A63" s="173" t="s">
        <v>330</v>
      </c>
      <c r="B63" s="167" t="s">
        <v>1376</v>
      </c>
      <c r="C63" s="2562">
        <f ca="1">ROUND((C64+C65)/(1+'数据-取费表'!C42),0)</f>
        <v>14203</v>
      </c>
      <c r="D63" s="167"/>
      <c r="E63" s="168"/>
      <c r="F63" s="1807"/>
      <c r="G63" s="1807"/>
      <c r="H63" s="1809"/>
      <c r="I63" s="129"/>
      <c r="J63" s="3993" t="s">
        <v>1377</v>
      </c>
      <c r="K63" s="1331" t="s">
        <v>1378</v>
      </c>
      <c r="L63" s="1331">
        <f ca="1">IF(M49&gt;10000,M49*0.5%,IF(AND(M49&gt;1000,M49&lt;=10000),M49*1%,IF(AND(M49&gt;100,M49&lt;=1000),M49*3%,IF(AND(M49&gt;10,M49&lt;=100),M49*5%,M49*8%))))</f>
        <v>74.564999999999998</v>
      </c>
      <c r="M63" s="302">
        <f ca="1">ROUND(L63,1)</f>
        <v>74.599999999999994</v>
      </c>
      <c r="N63" s="2541"/>
      <c r="Z63" s="1751"/>
      <c r="AI63" s="1752"/>
    </row>
    <row r="64" spans="1:35" ht="14.25" customHeight="1">
      <c r="A64" s="169" t="s">
        <v>325</v>
      </c>
      <c r="B64" s="170" t="s">
        <v>1379</v>
      </c>
      <c r="C64" s="2563">
        <f ca="1">D45</f>
        <v>14913</v>
      </c>
      <c r="D64" s="170" t="s">
        <v>26</v>
      </c>
      <c r="E64" s="172"/>
      <c r="F64" s="1807"/>
      <c r="G64" s="1807"/>
      <c r="H64" s="1809"/>
      <c r="I64" s="129"/>
      <c r="J64" s="3993"/>
      <c r="K64" s="1331" t="s">
        <v>1380</v>
      </c>
      <c r="L64" s="1331">
        <f ca="1">IF(M49&gt;2000,M49*0.5%,IF(AND(M49&gt;1000,M49&lt;=2000),M49*0.6%,IF(AND(M49&gt;500,M49&lt;=1000),M49*0.7%,IF(AND(M49&gt;200,M49&lt;=500),M49*0.8%,IF(AND(M49&gt;100,M49&lt;=200),M49*0.9%,IF(AND(M49&gt;50,M49&lt;=100),M49*1%,IF(AND(M49&gt;20,M49&lt;=50),M49*1.5%,IF(AND(M49&gt;10,M49&lt;=20),M49*2%,IF(AND(M49&gt;1,M49&lt;=10),M49*2.5%)))))))))</f>
        <v>74.564999999999998</v>
      </c>
      <c r="M64" s="302">
        <f t="shared" ref="M64:M65" ca="1" si="1">ROUND(L64,1)</f>
        <v>74.599999999999994</v>
      </c>
      <c r="N64" s="2542" t="s">
        <v>1381</v>
      </c>
      <c r="Z64" s="1751"/>
      <c r="AI64" s="1752"/>
    </row>
    <row r="65" spans="1:35" ht="14.25" customHeight="1">
      <c r="A65" s="169" t="s">
        <v>326</v>
      </c>
      <c r="B65" s="170" t="s">
        <v>1382</v>
      </c>
      <c r="C65" s="2564"/>
      <c r="D65" s="170"/>
      <c r="E65" s="172"/>
      <c r="F65" s="1807"/>
      <c r="G65" s="1807"/>
      <c r="H65" s="1809"/>
      <c r="I65" s="129"/>
      <c r="J65" s="3993"/>
      <c r="K65" s="1331" t="s">
        <v>1383</v>
      </c>
      <c r="L65" s="1331">
        <f ca="1">IF(M49&gt;1000,M49*0.1%,IF(AND(M49&gt;500,M49&lt;=1000),M49*0.5%,IF(AND(M49&gt;50,M49&lt;=500),M49*1%,IF(AND(M49&gt;1,M49&lt;=50),M49*1.5%))))</f>
        <v>14.913</v>
      </c>
      <c r="M65" s="302">
        <f t="shared" ca="1" si="1"/>
        <v>14.9</v>
      </c>
      <c r="N65" s="2542" t="s">
        <v>1381</v>
      </c>
      <c r="Z65" s="1751"/>
      <c r="AI65" s="1752"/>
    </row>
    <row r="66" spans="1:35" ht="14.25" customHeight="1">
      <c r="A66" s="173" t="s">
        <v>327</v>
      </c>
      <c r="B66" s="174" t="s">
        <v>1384</v>
      </c>
      <c r="C66" s="2565"/>
      <c r="D66" s="174" t="s">
        <v>26</v>
      </c>
      <c r="E66" s="1337" t="s">
        <v>669</v>
      </c>
      <c r="F66" s="1807"/>
      <c r="G66" s="1807"/>
      <c r="H66" s="1809"/>
      <c r="I66" s="129"/>
      <c r="J66" s="3993"/>
      <c r="K66" s="1331" t="s">
        <v>1385</v>
      </c>
      <c r="L66" s="1331">
        <f ca="1">M49*0.5%</f>
        <v>74.564999999999998</v>
      </c>
      <c r="M66" s="302">
        <f ca="1">IF(L66&gt;0.5,0.5,ROUND(L66,0))</f>
        <v>0.5</v>
      </c>
      <c r="N66" s="2542" t="s">
        <v>1386</v>
      </c>
      <c r="Z66" s="1751"/>
      <c r="AI66" s="1752"/>
    </row>
    <row r="67" spans="1:35" ht="14.25" customHeight="1">
      <c r="A67" s="173" t="s">
        <v>328</v>
      </c>
      <c r="B67" s="174" t="s">
        <v>1387</v>
      </c>
      <c r="C67" s="2566">
        <f ca="1">C63-C66</f>
        <v>14203</v>
      </c>
      <c r="D67" s="170" t="s">
        <v>26</v>
      </c>
      <c r="E67" s="172"/>
      <c r="F67" s="1807"/>
      <c r="G67" s="1807"/>
      <c r="H67" s="1809"/>
      <c r="I67" s="129"/>
      <c r="J67" s="3993"/>
      <c r="K67" s="1331" t="s">
        <v>1388</v>
      </c>
      <c r="L67" s="1331">
        <f ca="1">IF(M49&gt;=10000,(8.25+(M49-10000)*0.01%),IF(AND(M49&gt;=8000,M49&lt;10000),(7.85+(M49-8000)*0.02%),IF(AND(M49&gt;=5000,M49&lt;8000),(6.65+(M49-5000)*0.04%),IF(AND(M49&gt;=2000,M49&lt;5000),(4.25+(PM49-2000)*0.08%),IF(AND(M49&gt;=1000,M49&lt;2000),(2.75+(M49-1000)*0.15%),IF(AND(M49&gt;=100,M49&lt;1000),(0.5+(M49-100)*0.25%),IF(AND(M49&gt;0,M49&lt;100),M49*0.5%)))))))</f>
        <v>8.7413000000000007</v>
      </c>
      <c r="M67" s="302">
        <f ca="1">ROUND(L67*0.9,1)</f>
        <v>7.9</v>
      </c>
      <c r="N67" s="2541"/>
      <c r="Z67" s="1751"/>
      <c r="AI67" s="1752"/>
    </row>
    <row r="68" spans="1:35" ht="14.25" customHeight="1" thickBot="1">
      <c r="A68" s="176" t="s">
        <v>329</v>
      </c>
      <c r="B68" s="177" t="s">
        <v>1389</v>
      </c>
      <c r="C68" s="2567">
        <f ca="1">IF(C67&lt;=0,0,ROUND(C67*D68,0))</f>
        <v>795</v>
      </c>
      <c r="D68" s="2568">
        <f>'数据-取费表'!B41</f>
        <v>5.6000000000000001E-2</v>
      </c>
      <c r="E68" s="178"/>
      <c r="F68" s="1807"/>
      <c r="G68" s="1807"/>
      <c r="H68" s="1809"/>
      <c r="I68" s="129"/>
      <c r="J68" s="3993"/>
      <c r="K68" s="1331" t="s">
        <v>1390</v>
      </c>
      <c r="L68" s="1331">
        <f ca="1">IF(M49&gt;10000,M49*0.5%,IF(AND(M49&gt;5000,M49&lt;=10000),M49*1%,IF(AND(M49&gt;1000,M49&lt;=5000),M49*2%,IF(AND(M49&gt;200,M49&lt;=1000),M49*3%,M49*5%))))</f>
        <v>74.564999999999998</v>
      </c>
      <c r="M68" s="302">
        <f ca="1">ROUND(L68,1)</f>
        <v>74.599999999999994</v>
      </c>
      <c r="N68" s="2541"/>
      <c r="Z68" s="1751"/>
      <c r="AI68" s="1752"/>
    </row>
    <row r="69" spans="1:35" s="1771" customFormat="1" ht="16.5" customHeight="1">
      <c r="A69" s="1810"/>
      <c r="B69" s="1811"/>
      <c r="C69" s="1812"/>
      <c r="D69" s="1813"/>
      <c r="E69" s="1814"/>
      <c r="F69" s="1577"/>
      <c r="G69" s="1577"/>
      <c r="H69" s="1576"/>
      <c r="I69" s="1746"/>
      <c r="J69" s="3993"/>
      <c r="K69" s="1331" t="s">
        <v>1391</v>
      </c>
      <c r="L69" s="1331"/>
      <c r="M69" s="302">
        <f ca="1">ROUND(SUM(M63:M68),0)</f>
        <v>247</v>
      </c>
      <c r="N69" s="2543">
        <f ca="1">M69/M49</f>
        <v>1.6562730503587475E-2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4037" t="s">
        <v>1392</v>
      </c>
      <c r="B70" s="4038"/>
      <c r="C70" s="4038"/>
      <c r="D70" s="4038"/>
      <c r="E70" s="4038"/>
      <c r="F70" s="4038"/>
      <c r="G70" s="4038"/>
      <c r="H70" s="4038"/>
      <c r="I70" s="1815"/>
      <c r="J70" s="2689"/>
      <c r="K70" s="2689"/>
      <c r="L70" s="2689"/>
      <c r="M70" s="2689"/>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4029" t="s">
        <v>1373</v>
      </c>
      <c r="B71" s="4030"/>
      <c r="C71" s="2020"/>
      <c r="D71" s="2020" t="s">
        <v>1374</v>
      </c>
      <c r="E71" s="179" t="s">
        <v>1375</v>
      </c>
      <c r="F71" s="180"/>
      <c r="G71" s="180"/>
      <c r="H71" s="181"/>
      <c r="I71" s="1819"/>
      <c r="J71" s="2689"/>
      <c r="K71" s="2689"/>
      <c r="L71" s="2689"/>
      <c r="M71" s="2689"/>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1393</v>
      </c>
      <c r="C72" s="2566">
        <f ca="1">ROUND(D45/(1+'数据-取费表'!C42),0)</f>
        <v>14203</v>
      </c>
      <c r="D72" s="170" t="s">
        <v>26</v>
      </c>
      <c r="E72" s="2330"/>
      <c r="F72" s="2329"/>
      <c r="G72" s="2329"/>
      <c r="H72" s="182"/>
      <c r="I72" s="1819"/>
      <c r="J72" s="2689"/>
      <c r="K72" s="2689"/>
      <c r="L72" s="2689"/>
      <c r="M72" s="2689"/>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1394</v>
      </c>
      <c r="C73" s="2566">
        <f ca="1">C74+C78</f>
        <v>85</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1395</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1396</v>
      </c>
      <c r="C75" s="2569"/>
      <c r="D75" s="170" t="s">
        <v>26</v>
      </c>
      <c r="E75" s="184" t="s">
        <v>1397</v>
      </c>
      <c r="F75" s="2570"/>
      <c r="G75" s="184" t="s">
        <v>1398</v>
      </c>
      <c r="H75" s="2571"/>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1399</v>
      </c>
      <c r="C76" s="170">
        <f>IF(F75="购房发票",ROUND(C75*H75*D76,0),0)</f>
        <v>0</v>
      </c>
      <c r="D76" s="2572">
        <v>0.05</v>
      </c>
      <c r="E76" s="4034" t="s">
        <v>1400</v>
      </c>
      <c r="F76" s="4033"/>
      <c r="G76" s="4033"/>
      <c r="H76" s="4036"/>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1401</v>
      </c>
      <c r="C77" s="170">
        <f>ROUND(IF(G77="个人住宅",0,IF(G77="2016年5月1日前购买",C75*D77,C75*D77/(1+'数据-取费表'!C42))),0)</f>
        <v>0</v>
      </c>
      <c r="D77" s="2573">
        <f>'数据-取费表'!B48+'数据-取费表'!B49</f>
        <v>0.03</v>
      </c>
      <c r="E77" s="2323" t="s">
        <v>1402</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1403</v>
      </c>
      <c r="C78" s="2574">
        <f ca="1">ROUND(D45*D78/(1+'数据-取费表'!C42),0)</f>
        <v>85</v>
      </c>
      <c r="D78" s="2575">
        <f>'数据-取费表'!B43</f>
        <v>6.000000000000001E-3</v>
      </c>
      <c r="E78" s="4026" t="s">
        <v>1404</v>
      </c>
      <c r="F78" s="4027"/>
      <c r="G78" s="4027"/>
      <c r="H78" s="4028"/>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1405</v>
      </c>
      <c r="C79" s="2566">
        <f ca="1">C72-C73</f>
        <v>14118</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1406</v>
      </c>
      <c r="C80" s="2576">
        <f ca="1">IF(C79&lt;=0,0,C79/C73)</f>
        <v>166.09411764705882</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1407</v>
      </c>
      <c r="C81" s="2577">
        <f ca="1">ROUND(IF(C79&lt;=0,0,IF(C80&gt;=200%,C79*60%-C73*35%,IF(C80&gt;=100%,C79*50%-C73*15%,IF(C80&gt;=50%,C79*40%-C73*5%,IF(C80&lt;50%,C79*30%,0))))),0)</f>
        <v>8441</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4037" t="s">
        <v>1408</v>
      </c>
      <c r="B83" s="4038"/>
      <c r="C83" s="4038"/>
      <c r="D83" s="4038"/>
      <c r="E83" s="4038"/>
      <c r="F83" s="4038"/>
      <c r="G83" s="4038"/>
      <c r="H83" s="4038"/>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4029" t="s">
        <v>1373</v>
      </c>
      <c r="B84" s="4030"/>
      <c r="C84" s="2020"/>
      <c r="D84" s="2020" t="s">
        <v>1374</v>
      </c>
      <c r="E84" s="179" t="s">
        <v>1375</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1393</v>
      </c>
      <c r="C85" s="2566">
        <f ca="1">ROUND(D45/(1+'数据-取费表'!C42),0)</f>
        <v>14203</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1394</v>
      </c>
      <c r="C86" s="2566">
        <f ca="1">IF(H88="仅含出让金",C87+C90+C91+C92+C93+C94,C87+C91+C92+C93+C94)</f>
        <v>85</v>
      </c>
      <c r="D86" s="2579"/>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1409</v>
      </c>
      <c r="C87" s="2574">
        <f>C88+C89</f>
        <v>0</v>
      </c>
      <c r="D87" s="2575"/>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1410</v>
      </c>
      <c r="C88" s="2580"/>
      <c r="D88" s="2575"/>
      <c r="E88" s="193" t="s">
        <v>1411</v>
      </c>
      <c r="F88" s="2326"/>
      <c r="G88" s="194" t="s">
        <v>1412</v>
      </c>
      <c r="H88" s="1823"/>
      <c r="I88" s="1820"/>
      <c r="J88" s="2519" t="s">
        <v>2285</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1401</v>
      </c>
      <c r="C89" s="2574">
        <f>ROUND(C88*D89,0)</f>
        <v>0</v>
      </c>
      <c r="D89" s="2575">
        <f>'数据-取费表'!B48+'数据-取费表'!B49</f>
        <v>0.03</v>
      </c>
      <c r="E89" s="193" t="s">
        <v>1413</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1414</v>
      </c>
      <c r="C90" s="2580"/>
      <c r="D90" s="2575"/>
      <c r="E90" s="193" t="str">
        <f>IF(H88="-","土地取得成本中已包含该笔费用"," ")</f>
        <v xml:space="preserve"> </v>
      </c>
      <c r="F90" s="2326"/>
      <c r="G90" s="3995" t="s">
        <v>2126</v>
      </c>
      <c r="H90" s="3996"/>
      <c r="I90" s="1820"/>
      <c r="J90" s="2519" t="s">
        <v>2286</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1415</v>
      </c>
      <c r="B91" s="170" t="s">
        <v>1416</v>
      </c>
      <c r="C91" s="2574">
        <f>IF(H91="——",成本法!C33,I91)</f>
        <v>0</v>
      </c>
      <c r="D91" s="2575"/>
      <c r="E91" s="4026" t="s">
        <v>1417</v>
      </c>
      <c r="F91" s="4027"/>
      <c r="G91" s="4027"/>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1418</v>
      </c>
      <c r="B92" s="170" t="s">
        <v>1419</v>
      </c>
      <c r="C92" s="2574">
        <f>ROUND((C87+C90+C91)*D92,0)</f>
        <v>0</v>
      </c>
      <c r="D92" s="2581"/>
      <c r="E92" s="4026" t="s">
        <v>1420</v>
      </c>
      <c r="F92" s="4027"/>
      <c r="G92" s="4027"/>
      <c r="H92" s="4028"/>
      <c r="I92" s="1820"/>
      <c r="J92" s="2520" t="s">
        <v>2287</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1421</v>
      </c>
      <c r="B93" s="170" t="s">
        <v>1403</v>
      </c>
      <c r="C93" s="2574">
        <f ca="1">ROUND(D45*D93/(1+'数据-取费表'!C42),0)</f>
        <v>85</v>
      </c>
      <c r="D93" s="2575">
        <f>'数据-取费表'!B43</f>
        <v>6.000000000000001E-3</v>
      </c>
      <c r="E93" s="4026" t="s">
        <v>1404</v>
      </c>
      <c r="F93" s="4027"/>
      <c r="G93" s="4027"/>
      <c r="H93" s="4028"/>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1422</v>
      </c>
      <c r="B94" s="170" t="s">
        <v>1423</v>
      </c>
      <c r="C94" s="2580">
        <f>ROUND((C87+C90+C91)*D94,0)</f>
        <v>0</v>
      </c>
      <c r="D94" s="2575">
        <v>0.2</v>
      </c>
      <c r="E94" s="4071" t="s">
        <v>1424</v>
      </c>
      <c r="F94" s="4072"/>
      <c r="G94" s="4072"/>
      <c r="H94" s="4073"/>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1405</v>
      </c>
      <c r="C95" s="2566">
        <f ca="1">ROUND(C85-C86,0)</f>
        <v>14118</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1406</v>
      </c>
      <c r="C96" s="2576">
        <f ca="1">IF(C95&lt;=0,0,C95/C86)</f>
        <v>166.09411764705882</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1407</v>
      </c>
      <c r="C97" s="2577">
        <f ca="1">ROUND(IF(C95&lt;=0,0,IF(C96&gt;=200%,C95*60%-C86*35%,IF(C96&gt;=100%,C95*50%-C86*15%,IF(C96&gt;=50%,C95*40%-C86*5%,IF(C96&lt;50%,C95*30%,0))))),0)</f>
        <v>8441</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1425</v>
      </c>
      <c r="B99" s="1746"/>
      <c r="C99" s="1746"/>
      <c r="D99" s="1746"/>
      <c r="E99" s="1577"/>
      <c r="F99" s="1577"/>
      <c r="G99" s="1577"/>
      <c r="H99" s="1576"/>
      <c r="I99" s="129"/>
    </row>
    <row r="100" spans="1:35" ht="18.75" customHeight="1">
      <c r="A100" s="3934" t="s">
        <v>1426</v>
      </c>
      <c r="B100" s="3935"/>
      <c r="C100" s="3935"/>
      <c r="D100" s="4011"/>
      <c r="E100" s="3935" t="s">
        <v>1427</v>
      </c>
      <c r="F100" s="3935"/>
      <c r="G100" s="3935"/>
      <c r="H100" s="4011"/>
      <c r="I100" s="129"/>
    </row>
    <row r="101" spans="1:35" ht="18.75" customHeight="1">
      <c r="A101" s="4019" t="s">
        <v>1428</v>
      </c>
      <c r="B101" s="4020"/>
      <c r="C101" s="2583" t="str">
        <f>C4</f>
        <v>比较法-办公</v>
      </c>
      <c r="D101" s="2584" t="str">
        <f>D4</f>
        <v>收益法</v>
      </c>
      <c r="E101" s="3989" t="s">
        <v>1429</v>
      </c>
      <c r="F101" s="3990"/>
      <c r="G101" s="1826" t="s">
        <v>1430</v>
      </c>
      <c r="H101" s="2593">
        <f ca="1">H118</f>
        <v>14913</v>
      </c>
      <c r="I101" s="129"/>
    </row>
    <row r="102" spans="1:35" ht="18.75" customHeight="1">
      <c r="A102" s="4021" t="s">
        <v>1431</v>
      </c>
      <c r="B102" s="2582" t="s">
        <v>1430</v>
      </c>
      <c r="C102" s="2583">
        <f ca="1">IF(D32="楼面单价",ROUND(C19,0),C19)</f>
        <v>17261</v>
      </c>
      <c r="D102" s="2584">
        <f ca="1">IF(D32="楼面单价",ROUND(D19,0),D19)</f>
        <v>9435</v>
      </c>
      <c r="E102" s="3989"/>
      <c r="F102" s="3990"/>
      <c r="G102" s="1826" t="s">
        <v>1432</v>
      </c>
      <c r="H102" s="2553">
        <f ca="1">I118</f>
        <v>39743</v>
      </c>
      <c r="I102" s="129"/>
    </row>
    <row r="103" spans="1:35" ht="42.75" customHeight="1">
      <c r="A103" s="4021"/>
      <c r="B103" s="2582" t="s">
        <v>1432</v>
      </c>
      <c r="C103" s="2585">
        <f ca="1">C20</f>
        <v>46000</v>
      </c>
      <c r="D103" s="2586">
        <f ca="1">D20</f>
        <v>25144</v>
      </c>
      <c r="E103" s="3982" t="s">
        <v>1433</v>
      </c>
      <c r="F103" s="3983"/>
      <c r="G103" s="1827" t="s">
        <v>1434</v>
      </c>
      <c r="H103" s="2593">
        <f>IF(D36="正常操作",H104+H105+H106,H105+H106)</f>
        <v>0</v>
      </c>
      <c r="I103" s="129"/>
    </row>
    <row r="104" spans="1:35" ht="18.75" customHeight="1">
      <c r="A104" s="4021" t="s">
        <v>1435</v>
      </c>
      <c r="B104" s="2587" t="s">
        <v>1430</v>
      </c>
      <c r="C104" s="2588">
        <f ca="1">H118</f>
        <v>14913</v>
      </c>
      <c r="D104" s="2589"/>
      <c r="E104" s="1673" t="s">
        <v>1436</v>
      </c>
      <c r="F104" s="1665"/>
      <c r="G104" s="1827" t="s">
        <v>1434</v>
      </c>
      <c r="H104" s="2594">
        <f>IF(D36="同一抵押权人同一抵押物续贷",C36&amp;"（续贷，未扣减，详见特别提示）",C36)</f>
        <v>0</v>
      </c>
      <c r="I104" s="129"/>
    </row>
    <row r="105" spans="1:35" ht="18.75" customHeight="1" thickBot="1">
      <c r="A105" s="4031"/>
      <c r="B105" s="2590" t="s">
        <v>1432</v>
      </c>
      <c r="C105" s="2591">
        <f ca="1">I118</f>
        <v>39743</v>
      </c>
      <c r="D105" s="2592"/>
      <c r="E105" s="1673" t="s">
        <v>1437</v>
      </c>
      <c r="F105" s="1665"/>
      <c r="G105" s="1827" t="s">
        <v>1434</v>
      </c>
      <c r="H105" s="2595">
        <f>C37</f>
        <v>0</v>
      </c>
      <c r="I105" s="129"/>
    </row>
    <row r="106" spans="1:35" ht="18.75" customHeight="1">
      <c r="A106" s="1746" t="s">
        <v>1438</v>
      </c>
      <c r="B106" s="1746"/>
      <c r="C106" s="1746"/>
      <c r="D106" s="1746"/>
      <c r="E106" s="1828" t="s">
        <v>1439</v>
      </c>
      <c r="F106" s="1665"/>
      <c r="G106" s="1827" t="s">
        <v>1434</v>
      </c>
      <c r="H106" s="2595">
        <f>C38</f>
        <v>0</v>
      </c>
      <c r="I106" s="129"/>
    </row>
    <row r="107" spans="1:35" ht="18.75" customHeight="1">
      <c r="A107" s="129"/>
      <c r="B107" s="129"/>
      <c r="C107" s="129"/>
      <c r="D107" s="129"/>
      <c r="E107" s="4022" t="str">
        <f>IF(项目基本情况!E8="已注销","——","3.房地产抵押价值")</f>
        <v>3.房地产抵押价值</v>
      </c>
      <c r="F107" s="3990"/>
      <c r="G107" s="1826" t="s">
        <v>1430</v>
      </c>
      <c r="H107" s="2593">
        <f ca="1">IF(E107="——","——",H101-H103)</f>
        <v>14913</v>
      </c>
      <c r="I107" s="129"/>
    </row>
    <row r="108" spans="1:35" ht="18.75" customHeight="1">
      <c r="A108" s="129"/>
      <c r="B108" s="129"/>
      <c r="C108" s="129"/>
      <c r="D108" s="129"/>
      <c r="E108" s="4022"/>
      <c r="F108" s="3990"/>
      <c r="G108" s="1826" t="s">
        <v>1432</v>
      </c>
      <c r="H108" s="2553">
        <f ca="1">IF(H107=H101,H102,ROUND(H107*10000/'数据-汇总表'!E3,0))</f>
        <v>39743</v>
      </c>
      <c r="I108" s="129"/>
    </row>
    <row r="109" spans="1:35" ht="18.75" customHeight="1">
      <c r="A109" s="129"/>
      <c r="B109" s="129"/>
      <c r="C109" s="129"/>
      <c r="D109" s="129"/>
      <c r="E109" s="4022" t="str">
        <f>IF(项目基本情况!E8="已注销及未注销","4.抵押担保权已注销时的房地产抵押价值",IF(项目基本情况!E8="已注销","3.抵押担保权已注销时的房地产抵押价值","——"))</f>
        <v>——</v>
      </c>
      <c r="F109" s="3990"/>
      <c r="G109" s="1826" t="s">
        <v>1430</v>
      </c>
      <c r="H109" s="2596" t="str">
        <f>IF(E109="——","——",H101-H105-H106)</f>
        <v>——</v>
      </c>
      <c r="I109" s="129"/>
    </row>
    <row r="110" spans="1:35" ht="18.75" customHeight="1">
      <c r="A110" s="129"/>
      <c r="B110" s="129"/>
      <c r="C110" s="129"/>
      <c r="D110" s="129"/>
      <c r="E110" s="4022"/>
      <c r="F110" s="3990"/>
      <c r="G110" s="1826" t="s">
        <v>1432</v>
      </c>
      <c r="H110" s="2553" t="str">
        <f>IF(H109="——","——",ROUND(H109*10000/'数据-汇总表'!E3,0))</f>
        <v>——</v>
      </c>
      <c r="I110" s="129"/>
    </row>
    <row r="111" spans="1:35" ht="18.75" customHeight="1">
      <c r="A111" s="129"/>
      <c r="B111" s="129"/>
      <c r="C111" s="129"/>
      <c r="D111" s="129"/>
      <c r="E111" s="4023" t="str">
        <f>IF(项目基本情况!E9="抵押净值",IF(OR(项目基本情况!E8="已注销",项目基本情况!E8="房地产抵押价值"),"4.抵押净值","5.抵押净值"),"——")</f>
        <v>——</v>
      </c>
      <c r="F111" s="4009"/>
      <c r="G111" s="1826" t="s">
        <v>1430</v>
      </c>
      <c r="H111" s="2593" t="str">
        <f>IF(E111="——","——",N59)</f>
        <v>——</v>
      </c>
      <c r="I111" s="129"/>
    </row>
    <row r="112" spans="1:35" ht="18.75" customHeight="1" thickBot="1">
      <c r="A112" s="129"/>
      <c r="B112" s="129"/>
      <c r="C112" s="129"/>
      <c r="D112" s="129"/>
      <c r="E112" s="4024"/>
      <c r="F112" s="4025"/>
      <c r="G112" s="1829" t="s">
        <v>1432</v>
      </c>
      <c r="H112" s="2597" t="str">
        <f>IF(E111="——","——",N61)</f>
        <v>——</v>
      </c>
      <c r="I112" s="129"/>
    </row>
    <row r="113" spans="1:27" ht="18.75" customHeight="1">
      <c r="A113" s="129"/>
      <c r="B113" s="129"/>
      <c r="C113" s="129"/>
      <c r="D113" s="129"/>
      <c r="E113" s="4032" t="s">
        <v>1438</v>
      </c>
      <c r="F113" s="4032"/>
      <c r="G113" s="4032"/>
      <c r="H113" s="4032"/>
      <c r="I113" s="129"/>
    </row>
    <row r="114" spans="1:27" ht="3.75" customHeight="1">
      <c r="A114" s="1746"/>
      <c r="B114" s="1746"/>
      <c r="C114" s="1746"/>
      <c r="D114" s="1746"/>
      <c r="E114" s="1808"/>
      <c r="F114" s="1808"/>
      <c r="G114" s="1808"/>
      <c r="H114" s="1808"/>
      <c r="I114" s="1746"/>
    </row>
    <row r="115" spans="1:27" ht="18.75" customHeight="1">
      <c r="A115" s="4040" t="s">
        <v>1440</v>
      </c>
      <c r="B115" s="4041"/>
      <c r="C115" s="4041"/>
      <c r="D115" s="4041"/>
      <c r="E115" s="4041"/>
      <c r="F115" s="4041"/>
      <c r="G115" s="4041"/>
      <c r="H115" s="4041"/>
      <c r="I115" s="4042"/>
    </row>
    <row r="116" spans="1:27" ht="27" customHeight="1">
      <c r="A116" s="3997" t="s">
        <v>1441</v>
      </c>
      <c r="B116" s="4001" t="s">
        <v>1442</v>
      </c>
      <c r="C116" s="4001" t="s">
        <v>1443</v>
      </c>
      <c r="D116" s="4007" t="s">
        <v>1444</v>
      </c>
      <c r="E116" s="4008"/>
      <c r="F116" s="4039" t="s">
        <v>1445</v>
      </c>
      <c r="G116" s="4039"/>
      <c r="H116" s="3997" t="s">
        <v>1446</v>
      </c>
      <c r="I116" s="3997"/>
    </row>
    <row r="117" spans="1:27" ht="18.75" customHeight="1">
      <c r="A117" s="3997"/>
      <c r="B117" s="4002"/>
      <c r="C117" s="4002"/>
      <c r="D117" s="2328" t="s">
        <v>1447</v>
      </c>
      <c r="E117" s="2328" t="s">
        <v>1448</v>
      </c>
      <c r="F117" s="2328" t="s">
        <v>1447</v>
      </c>
      <c r="G117" s="2328" t="s">
        <v>1449</v>
      </c>
      <c r="H117" s="2328" t="s">
        <v>1447</v>
      </c>
      <c r="I117" s="2328" t="s">
        <v>1449</v>
      </c>
    </row>
    <row r="118" spans="1:27" ht="24.75" customHeight="1">
      <c r="A118" s="2598" t="str">
        <f>项目基本情况!S2</f>
        <v>北京市海淀区中关村大街1号部分综合用房及全部车库用房房地产</v>
      </c>
      <c r="B118" s="2328">
        <f>M18</f>
        <v>3752.39</v>
      </c>
      <c r="C118" s="2328">
        <f>M19</f>
        <v>406.73</v>
      </c>
      <c r="D118" s="2328">
        <f ca="1">ROUND(IF(D32="总价",C34,E118*B118/10000),0)</f>
        <v>11587</v>
      </c>
      <c r="E118" s="2328">
        <f ca="1">ROUND(IF(C33="自定义",IF(D32="楼面单价",C34,D118*10000/B118),I118-G118),0)</f>
        <v>30880</v>
      </c>
      <c r="F118" s="2328">
        <f ca="1">ROUND(IF(D32="总价",C35,G118*B118/10000),0)</f>
        <v>3326</v>
      </c>
      <c r="G118" s="2328">
        <f ca="1">ROUND(IF(D32="楼面单价",C35,F118*10000/B118),0)</f>
        <v>8863</v>
      </c>
      <c r="H118" s="2328">
        <f ca="1">ROUND(IF(D32="总价",C32,I118*B118/10000),0)</f>
        <v>14913</v>
      </c>
      <c r="I118" s="2328">
        <f ca="1">ROUND(IF(D32="楼面单价",C32,H118*10000/B118),0)</f>
        <v>39743</v>
      </c>
    </row>
    <row r="119" spans="1:27" ht="18.75" customHeight="1">
      <c r="A119" s="3997" t="s">
        <v>1450</v>
      </c>
      <c r="B119" s="3997"/>
      <c r="C119" s="3997"/>
      <c r="D119" s="4003" t="str">
        <f ca="1">NUMBERSTRING(INT(D118*10000),2)&amp;"元整"</f>
        <v>壹亿壹仟伍佰捌拾柒万元整</v>
      </c>
      <c r="E119" s="4004"/>
      <c r="F119" s="4003" t="str">
        <f ca="1">NUMBERSTRING(INT(F118*10000),2)&amp;"元整"</f>
        <v>叁仟叁佰贰拾陆万元整</v>
      </c>
      <c r="G119" s="4004"/>
      <c r="H119" s="4003" t="str">
        <f ca="1">NUMBERSTRING(INT(H118*10000),2)&amp;"元整"</f>
        <v>壹亿肆仟玖佰壹拾叁万元整</v>
      </c>
      <c r="I119" s="4004"/>
    </row>
    <row r="120" spans="1:27" ht="18.75" customHeight="1">
      <c r="A120" s="3998" t="str">
        <f>IF(项目基本情况!B9="房地产市场价值","",MID(E103,3,LEN(E103)-2))</f>
        <v>估价师知悉的法定优先受偿款</v>
      </c>
      <c r="B120" s="3999"/>
      <c r="C120" s="4000"/>
      <c r="D120" s="3998">
        <f>H103</f>
        <v>0</v>
      </c>
      <c r="E120" s="3999"/>
      <c r="F120" s="3999"/>
      <c r="G120" s="3999"/>
      <c r="H120" s="3999"/>
      <c r="I120" s="4000"/>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4003" t="s">
        <v>1450</v>
      </c>
      <c r="B121" s="4005"/>
      <c r="C121" s="4004"/>
      <c r="D121" s="4003" t="str">
        <f>IF(D120=0,"零元整",NUMBERSTRING(INT(D120*10000),2)&amp;"元整")</f>
        <v>零元整</v>
      </c>
      <c r="E121" s="4005"/>
      <c r="F121" s="4005"/>
      <c r="G121" s="4005"/>
      <c r="H121" s="4005"/>
      <c r="I121" s="4004"/>
      <c r="AA121" s="724"/>
    </row>
    <row r="122" spans="1:27" ht="18.75" customHeight="1">
      <c r="A122" s="4009" t="str">
        <f>IF(项目基本情况!B9="房地产市场价值","",MID(E107,3,LEN(E107)-2))</f>
        <v>房地产抵押价值</v>
      </c>
      <c r="B122" s="4009"/>
      <c r="C122" s="4009"/>
      <c r="D122" s="3998">
        <f ca="1">H107</f>
        <v>14913</v>
      </c>
      <c r="E122" s="3999"/>
      <c r="F122" s="3999"/>
      <c r="G122" s="3999"/>
      <c r="H122" s="3999"/>
      <c r="I122" s="4000"/>
      <c r="AA122" s="724"/>
    </row>
    <row r="123" spans="1:27" ht="18.75" customHeight="1">
      <c r="A123" s="3997" t="s">
        <v>1450</v>
      </c>
      <c r="B123" s="3997"/>
      <c r="C123" s="3997"/>
      <c r="D123" s="4003" t="str">
        <f ca="1">NUMBERSTRING(INT(D122*10000),2)&amp;"元整"</f>
        <v>壹亿肆仟玖佰壹拾叁万元整</v>
      </c>
      <c r="E123" s="4005"/>
      <c r="F123" s="4005"/>
      <c r="G123" s="4005"/>
      <c r="H123" s="4005"/>
      <c r="I123" s="4004"/>
      <c r="AA123" s="724"/>
    </row>
    <row r="124" spans="1:27" ht="18.75" customHeight="1">
      <c r="A124" s="4009" t="str">
        <f>IF(项目基本情况!B9="房地产市场价值","",MID(E109,3,LEN(E109)-2))</f>
        <v/>
      </c>
      <c r="B124" s="4009"/>
      <c r="C124" s="4009"/>
      <c r="D124" s="3998" t="str">
        <f>H109</f>
        <v>——</v>
      </c>
      <c r="E124" s="3999"/>
      <c r="F124" s="3999"/>
      <c r="G124" s="3999"/>
      <c r="H124" s="3999"/>
      <c r="I124" s="4000"/>
      <c r="AA124" s="724"/>
    </row>
    <row r="125" spans="1:27" ht="18.75" customHeight="1">
      <c r="A125" s="3997" t="s">
        <v>1450</v>
      </c>
      <c r="B125" s="3997"/>
      <c r="C125" s="3997"/>
      <c r="D125" s="4003" t="e">
        <f>NUMBERSTRING(INT(D124*10000),2)&amp;"元整"</f>
        <v>#VALUE!</v>
      </c>
      <c r="E125" s="4005"/>
      <c r="F125" s="4005"/>
      <c r="G125" s="4005"/>
      <c r="H125" s="4005"/>
      <c r="I125" s="4004"/>
      <c r="AA125" s="724"/>
    </row>
    <row r="126" spans="1:27" ht="18.75" customHeight="1">
      <c r="A126" s="4009" t="str">
        <f>IF(项目基本情况!B9="房地产市场价值","",MID(E111,3,LEN(E111)-2))</f>
        <v/>
      </c>
      <c r="B126" s="4009"/>
      <c r="C126" s="4009"/>
      <c r="D126" s="3998" t="str">
        <f>H111</f>
        <v>——</v>
      </c>
      <c r="E126" s="3999"/>
      <c r="F126" s="3999"/>
      <c r="G126" s="3999"/>
      <c r="H126" s="3999"/>
      <c r="I126" s="4000"/>
      <c r="AA126" s="724"/>
    </row>
    <row r="127" spans="1:27" ht="18.75" customHeight="1">
      <c r="A127" s="3997" t="s">
        <v>1450</v>
      </c>
      <c r="B127" s="3997"/>
      <c r="C127" s="3997"/>
      <c r="D127" s="4003" t="e">
        <f>NUMBERSTRING(INT(D126*10000),2)&amp;"元整"</f>
        <v>#VALUE!</v>
      </c>
      <c r="E127" s="4005"/>
      <c r="F127" s="4005"/>
      <c r="G127" s="4005"/>
      <c r="H127" s="4005"/>
      <c r="I127" s="4004"/>
      <c r="AA127" s="724"/>
    </row>
    <row r="128" spans="1:27" ht="21.75" customHeight="1">
      <c r="A128" s="4006" t="s">
        <v>1451</v>
      </c>
      <c r="B128" s="4006"/>
      <c r="C128" s="4006"/>
      <c r="D128" s="4006"/>
      <c r="E128" s="4006"/>
      <c r="F128" s="4006"/>
      <c r="G128" s="4006"/>
      <c r="H128" s="4006"/>
      <c r="I128" s="4006"/>
      <c r="AA128" s="724"/>
    </row>
    <row r="129" spans="1:35" ht="21.75" customHeight="1">
      <c r="A129" s="1830" t="s">
        <v>1452</v>
      </c>
      <c r="B129" s="1831"/>
      <c r="C129" s="1832" t="s">
        <v>1453</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1454</v>
      </c>
      <c r="G135" s="1847"/>
      <c r="H135" s="1847"/>
      <c r="I135" s="1848" t="s">
        <v>1455</v>
      </c>
    </row>
    <row r="136" spans="1:35" ht="21.75" customHeight="1">
      <c r="A136" s="724"/>
      <c r="B136" s="1849" t="s">
        <v>1456</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1457</v>
      </c>
    </row>
    <row r="139" spans="1:35" ht="21.75" customHeight="1">
      <c r="A139" s="724"/>
      <c r="B139" s="1849" t="s">
        <v>1458</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1457</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11" priority="21" stopIfTrue="1" operator="equal">
      <formula>25</formula>
    </cfRule>
  </conditionalFormatting>
  <conditionalFormatting sqref="C8:C9">
    <cfRule type="cellIs" dxfId="210" priority="19" stopIfTrue="1" operator="equal">
      <formula>15</formula>
    </cfRule>
  </conditionalFormatting>
  <conditionalFormatting sqref="C14:C16">
    <cfRule type="cellIs" dxfId="209" priority="13" stopIfTrue="1" operator="equal">
      <formula>30</formula>
    </cfRule>
  </conditionalFormatting>
  <conditionalFormatting sqref="D5:D7">
    <cfRule type="cellIs" dxfId="208" priority="10" stopIfTrue="1" operator="equal">
      <formula>25</formula>
    </cfRule>
  </conditionalFormatting>
  <conditionalFormatting sqref="D8:D9">
    <cfRule type="cellIs" dxfId="207" priority="9" stopIfTrue="1" operator="equal">
      <formula>15</formula>
    </cfRule>
  </conditionalFormatting>
  <conditionalFormatting sqref="C10:D13">
    <cfRule type="cellIs" dxfId="206" priority="8" stopIfTrue="1" operator="equal">
      <formula>15</formula>
    </cfRule>
  </conditionalFormatting>
  <conditionalFormatting sqref="D14:D16">
    <cfRule type="cellIs" dxfId="205" priority="6" stopIfTrue="1" operator="equal">
      <formula>30</formula>
    </cfRule>
  </conditionalFormatting>
  <conditionalFormatting sqref="C90">
    <cfRule type="expression" dxfId="204" priority="3" stopIfTrue="1">
      <formula>$H$88&lt;&gt;"仅含出让金"</formula>
    </cfRule>
  </conditionalFormatting>
  <conditionalFormatting sqref="C91">
    <cfRule type="expression" dxfId="203" priority="2" stopIfTrue="1">
      <formula>$H$91="由企业提供"</formula>
    </cfRule>
  </conditionalFormatting>
  <conditionalFormatting sqref="E36">
    <cfRule type="expression" dxfId="20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1459</v>
      </c>
      <c r="B1" s="1469"/>
      <c r="C1" s="1858" t="s">
        <v>1561</v>
      </c>
      <c r="D1" s="198"/>
      <c r="E1" s="198"/>
      <c r="F1" s="198"/>
      <c r="G1" s="1125">
        <f>MATCH(B1,'数据-取费表'!A6:A16,0)+5</f>
        <v>9</v>
      </c>
      <c r="H1" s="1060" t="str">
        <f>IF(ISERROR(FIND("住宅",B1)),"非住宅","住宅")</f>
        <v>非住宅</v>
      </c>
    </row>
    <row r="2" spans="1:8" s="200" customFormat="1" ht="18" customHeight="1">
      <c r="A2" s="201" t="s">
        <v>1460</v>
      </c>
      <c r="B2" s="3422">
        <f ca="1">ROUND(IF(D2="——",C52/10000,C52/10000-E2),4)</f>
        <v>6513.3055999999997</v>
      </c>
      <c r="C2" s="199" t="s">
        <v>1461</v>
      </c>
      <c r="D2" s="1852" t="s">
        <v>43</v>
      </c>
      <c r="E2" s="1168" t="e">
        <f ca="1">SUMIF(INDIRECT("'"&amp;G2&amp;"'"&amp;"!A:A"),"承租人权益价值",INDIRECT("'"&amp;G2&amp;"'"&amp;"!c:c"))</f>
        <v>#REF!</v>
      </c>
      <c r="F2" s="1853" t="s">
        <v>1461</v>
      </c>
      <c r="G2" s="1854"/>
    </row>
    <row r="3" spans="1:8" s="200" customFormat="1" ht="18" customHeight="1" thickBot="1">
      <c r="A3" s="203" t="s">
        <v>1462</v>
      </c>
      <c r="B3" s="204">
        <f ca="1">ROUND(B2*10000/(IF(B1="",'数据-汇总表'!E3,INDIRECT("'数据-取费表'!k"&amp;$G$1))),0)</f>
        <v>1909</v>
      </c>
      <c r="C3" s="199" t="s">
        <v>1463</v>
      </c>
      <c r="D3" s="199"/>
      <c r="E3" s="199"/>
      <c r="F3" s="199"/>
      <c r="G3" s="199"/>
    </row>
    <row r="4" spans="1:8" s="208" customFormat="1" ht="15.75">
      <c r="A4" s="205" t="s">
        <v>1464</v>
      </c>
      <c r="B4" s="206"/>
      <c r="C4" s="206"/>
      <c r="D4" s="206"/>
      <c r="E4" s="206"/>
      <c r="F4" s="206"/>
      <c r="G4" s="207"/>
    </row>
    <row r="5" spans="1:8" s="214" customFormat="1" ht="13.5" customHeight="1">
      <c r="A5" s="255" t="s">
        <v>1465</v>
      </c>
      <c r="B5" s="210" t="s">
        <v>1466</v>
      </c>
      <c r="C5" s="211">
        <f ca="1">C6+C7+C8</f>
        <v>6822234</v>
      </c>
      <c r="D5" s="211" t="s">
        <v>1467</v>
      </c>
      <c r="E5" s="212" t="s">
        <v>1468</v>
      </c>
      <c r="F5" s="212" t="s">
        <v>1469</v>
      </c>
      <c r="G5" s="213"/>
    </row>
    <row r="6" spans="1:8" s="214" customFormat="1" ht="13.5" customHeight="1">
      <c r="A6" s="777" t="s">
        <v>1470</v>
      </c>
      <c r="B6" s="215" t="s">
        <v>1471</v>
      </c>
      <c r="C6" s="216"/>
      <c r="D6" s="217"/>
      <c r="E6" s="218"/>
      <c r="F6" s="218"/>
      <c r="G6" s="219"/>
    </row>
    <row r="7" spans="1:8" s="214" customFormat="1" ht="13.5" customHeight="1">
      <c r="A7" s="777" t="s">
        <v>1472</v>
      </c>
      <c r="B7" s="215" t="s">
        <v>1473</v>
      </c>
      <c r="C7" s="220">
        <f>ROUND(C6*F7,0)</f>
        <v>0</v>
      </c>
      <c r="D7" s="220"/>
      <c r="E7" s="218"/>
      <c r="F7" s="221">
        <f>IF(项目基本情况!B8="出让",0,'数据-取费表'!B48+'数据-取费表'!B49)</f>
        <v>0.03</v>
      </c>
      <c r="G7" s="219"/>
    </row>
    <row r="8" spans="1:8" s="223" customFormat="1">
      <c r="A8" s="777" t="s">
        <v>1474</v>
      </c>
      <c r="B8" s="215" t="s">
        <v>1475</v>
      </c>
      <c r="C8" s="220">
        <f ca="1">IF(G8="已包含在土地购买价格中",0,C9+C10)</f>
        <v>6822234</v>
      </c>
      <c r="D8" s="222"/>
      <c r="E8" s="220"/>
      <c r="F8" s="221"/>
      <c r="G8" s="1855"/>
    </row>
    <row r="9" spans="1:8" s="214" customFormat="1" ht="13.5" customHeight="1">
      <c r="A9" s="778" t="s">
        <v>355</v>
      </c>
      <c r="B9" s="224" t="s">
        <v>1476</v>
      </c>
      <c r="C9" s="225">
        <f ca="1">ROUND(D9*E9,0)</f>
        <v>0</v>
      </c>
      <c r="D9" s="844">
        <f ca="1">IF(B1="",'数据-汇总表'!E5,IF(INDIRECT("'数据-取费表'!c"&amp;$G$1)="住宅",INDIRECT("'数据-取费表'!k"&amp;$G$1),0))</f>
        <v>0</v>
      </c>
      <c r="E9" s="225">
        <f>'数据-取费表'!B27</f>
        <v>160</v>
      </c>
      <c r="F9" s="221"/>
      <c r="G9" s="226"/>
    </row>
    <row r="10" spans="1:8" s="214" customFormat="1" ht="13.5" customHeight="1">
      <c r="A10" s="778" t="s">
        <v>356</v>
      </c>
      <c r="B10" s="224" t="s">
        <v>1478</v>
      </c>
      <c r="C10" s="225">
        <f ca="1">ROUND(D10*E10,0)</f>
        <v>6822234</v>
      </c>
      <c r="D10" s="844">
        <f ca="1">IF(B1="",'数据-汇总表'!E6,IF(INDIRECT("'数据-取费表'!c"&amp;$G$1)="住宅",INDIRECT("'数据-取费表'!s"&amp;$G$1),INDIRECT("'数据-取费表'!k"&amp;$G$1)+INDIRECT("'数据-取费表'!s"&amp;$G$1)))</f>
        <v>34111.17</v>
      </c>
      <c r="E10" s="225">
        <f>'数据-取费表'!B28</f>
        <v>200</v>
      </c>
      <c r="F10" s="221"/>
      <c r="G10" s="226"/>
    </row>
    <row r="11" spans="1:8" s="214" customFormat="1" ht="13.5" hidden="1" customHeight="1">
      <c r="A11" s="227" t="s">
        <v>4</v>
      </c>
      <c r="B11" s="215" t="s">
        <v>1479</v>
      </c>
      <c r="C11" s="211"/>
      <c r="D11" s="846"/>
      <c r="E11" s="218"/>
      <c r="F11" s="218"/>
      <c r="G11" s="219"/>
    </row>
    <row r="12" spans="1:8" s="214" customFormat="1" ht="13.5" hidden="1" customHeight="1">
      <c r="A12" s="227" t="s">
        <v>5</v>
      </c>
      <c r="B12" s="215" t="s">
        <v>1562</v>
      </c>
      <c r="C12" s="211">
        <v>0</v>
      </c>
      <c r="D12" s="846"/>
      <c r="E12" s="228"/>
      <c r="F12" s="221">
        <v>3.0499999999999999E-2</v>
      </c>
      <c r="G12" s="219"/>
    </row>
    <row r="13" spans="1:8" s="214" customFormat="1" ht="13.5" hidden="1" customHeight="1">
      <c r="A13" s="227" t="s">
        <v>6</v>
      </c>
      <c r="B13" s="215" t="s">
        <v>1563</v>
      </c>
      <c r="C13" s="211"/>
      <c r="D13" s="846"/>
      <c r="E13" s="218"/>
      <c r="F13" s="218"/>
      <c r="G13" s="219"/>
    </row>
    <row r="14" spans="1:8" s="214" customFormat="1" ht="13.5" hidden="1" customHeight="1">
      <c r="A14" s="227" t="s">
        <v>7</v>
      </c>
      <c r="B14" s="215" t="s">
        <v>1475</v>
      </c>
      <c r="C14" s="211"/>
      <c r="D14" s="846"/>
      <c r="E14" s="218"/>
      <c r="F14" s="218"/>
      <c r="G14" s="219" t="s">
        <v>1564</v>
      </c>
    </row>
    <row r="15" spans="1:8" s="214" customFormat="1" ht="13.5" hidden="1" customHeight="1">
      <c r="A15" s="227" t="s">
        <v>8</v>
      </c>
      <c r="B15" s="215" t="s">
        <v>1565</v>
      </c>
      <c r="C15" s="220"/>
      <c r="D15" s="846"/>
      <c r="E15" s="218"/>
      <c r="F15" s="218"/>
      <c r="G15" s="219" t="s">
        <v>1566</v>
      </c>
    </row>
    <row r="16" spans="1:8" s="214" customFormat="1" ht="13.5" hidden="1" customHeight="1">
      <c r="A16" s="227" t="s">
        <v>9</v>
      </c>
      <c r="B16" s="215" t="s">
        <v>1475</v>
      </c>
      <c r="C16" s="220"/>
      <c r="D16" s="846"/>
      <c r="E16" s="218"/>
      <c r="F16" s="218"/>
      <c r="G16" s="219"/>
    </row>
    <row r="17" spans="1:7" s="214" customFormat="1" ht="13.5" hidden="1" customHeight="1">
      <c r="A17" s="227" t="s">
        <v>10</v>
      </c>
      <c r="B17" s="215" t="s">
        <v>1567</v>
      </c>
      <c r="C17" s="229"/>
      <c r="D17" s="847"/>
      <c r="E17" s="229"/>
      <c r="F17" s="229"/>
      <c r="G17" s="219" t="s">
        <v>1566</v>
      </c>
    </row>
    <row r="18" spans="1:7" s="214" customFormat="1" ht="13.5" hidden="1" customHeight="1">
      <c r="A18" s="227" t="s">
        <v>11</v>
      </c>
      <c r="B18" s="215" t="s">
        <v>1568</v>
      </c>
      <c r="C18" s="220">
        <v>0</v>
      </c>
      <c r="D18" s="846"/>
      <c r="E18" s="218"/>
      <c r="F18" s="221">
        <v>3.0499999999999999E-2</v>
      </c>
      <c r="G18" s="219" t="s">
        <v>1569</v>
      </c>
    </row>
    <row r="19" spans="1:7" s="223" customFormat="1" ht="13.5" customHeight="1">
      <c r="A19" s="255" t="s">
        <v>1570</v>
      </c>
      <c r="B19" s="210" t="s">
        <v>1571</v>
      </c>
      <c r="C19" s="211">
        <f ca="1">IF(G19="已包含在土地取得成本中","0",ROUND(D19*E19,0))</f>
        <v>6822234</v>
      </c>
      <c r="D19" s="848">
        <f ca="1">D9+D10</f>
        <v>34111.17</v>
      </c>
      <c r="E19" s="211">
        <f>'数据-取费表'!B31</f>
        <v>200</v>
      </c>
      <c r="F19" s="231"/>
      <c r="G19" s="1855"/>
    </row>
    <row r="20" spans="1:7" s="214" customFormat="1" ht="13.5" customHeight="1">
      <c r="A20" s="255" t="s">
        <v>1572</v>
      </c>
      <c r="B20" s="210" t="s">
        <v>1573</v>
      </c>
      <c r="C20" s="232">
        <f ca="1">ROUND((C5+C19)*F20,0)</f>
        <v>272889</v>
      </c>
      <c r="D20" s="232"/>
      <c r="E20" s="232"/>
      <c r="F20" s="233">
        <f>'数据-取费表'!B37</f>
        <v>0.02</v>
      </c>
      <c r="G20" s="234" t="s">
        <v>1574</v>
      </c>
    </row>
    <row r="21" spans="1:7" s="214" customFormat="1" ht="13.5" customHeight="1">
      <c r="A21" s="255" t="s">
        <v>1575</v>
      </c>
      <c r="B21" s="210" t="s">
        <v>1576</v>
      </c>
      <c r="C21" s="235">
        <f>F21</f>
        <v>0.02</v>
      </c>
      <c r="D21" s="236" t="s">
        <v>1577</v>
      </c>
      <c r="E21" s="232"/>
      <c r="F21" s="233">
        <f>'数据-取费表'!B38</f>
        <v>0.02</v>
      </c>
      <c r="G21" s="234" t="s">
        <v>1578</v>
      </c>
    </row>
    <row r="22" spans="1:7" s="214" customFormat="1" ht="13.5" customHeight="1">
      <c r="A22" s="255" t="s">
        <v>1579</v>
      </c>
      <c r="B22" s="210" t="s">
        <v>1580</v>
      </c>
      <c r="C22" s="1126">
        <f ca="1">ROUND(SUM(C23:C25),0)</f>
        <v>938634</v>
      </c>
      <c r="D22" s="235">
        <f ca="1">C26</f>
        <v>6.9999999999999999E-4</v>
      </c>
      <c r="E22" s="236" t="s">
        <v>1577</v>
      </c>
      <c r="F22" s="237">
        <f ca="1">'数据-取费表'!B40</f>
        <v>3.3500000000000002E-2</v>
      </c>
      <c r="G22" s="234" t="str">
        <f>IF('数据-取费表'!B22&lt;=1,"单利计息","复利计息")</f>
        <v>复利计息</v>
      </c>
    </row>
    <row r="23" spans="1:7" s="214" customFormat="1" ht="13.5" customHeight="1">
      <c r="A23" s="779" t="s">
        <v>1470</v>
      </c>
      <c r="B23" s="215" t="s">
        <v>1581</v>
      </c>
      <c r="C23" s="1127">
        <f ca="1">ROUND(IF('数据-取费表'!B22&lt;=1,C5*F22*'数据-取费表'!B22,C5*(POWER((1+F22),'数据-取费表'!B22)-1)),0)</f>
        <v>464746</v>
      </c>
      <c r="D23" s="238"/>
      <c r="E23" s="238"/>
      <c r="F23" s="239"/>
      <c r="G23" s="240" t="s">
        <v>1582</v>
      </c>
    </row>
    <row r="24" spans="1:7" s="214" customFormat="1" ht="13.5" customHeight="1">
      <c r="A24" s="779" t="s">
        <v>1472</v>
      </c>
      <c r="B24" s="215" t="s">
        <v>1583</v>
      </c>
      <c r="C24" s="1127">
        <f ca="1">ROUND(IF('数据-取费表'!B22&lt;=1,C19*F22*('数据-取费表'!B19/2+'数据-取费表'!B20),C19*(POWER((1+F22),('数据-取费表'!B19/2+'数据-取费表'!B20))-1)),0)</f>
        <v>464746</v>
      </c>
      <c r="D24" s="238"/>
      <c r="E24" s="238"/>
      <c r="F24" s="239"/>
      <c r="G24" s="240" t="s">
        <v>1584</v>
      </c>
    </row>
    <row r="25" spans="1:7" s="214" customFormat="1" ht="24">
      <c r="A25" s="779" t="s">
        <v>1474</v>
      </c>
      <c r="B25" s="215" t="s">
        <v>1585</v>
      </c>
      <c r="C25" s="1127">
        <f ca="1">ROUND(IF('数据-取费表'!B22&lt;=1,C20*F22*'数据-取费表'!B22/2,C20*(POWER((1+F22),'数据-取费表'!B22/2)-1)),0)</f>
        <v>9142</v>
      </c>
      <c r="D25" s="238"/>
      <c r="E25" s="241"/>
      <c r="F25" s="239"/>
      <c r="G25" s="242" t="s">
        <v>1586</v>
      </c>
    </row>
    <row r="26" spans="1:7" s="214" customFormat="1">
      <c r="A26" s="779" t="s">
        <v>350</v>
      </c>
      <c r="B26" s="215" t="s">
        <v>1509</v>
      </c>
      <c r="C26" s="238">
        <f ca="1">ROUND(IF('数据-取费表'!B22&lt;=1,F21*F22*'数据-取费表'!B22/2,F21*(POWER((1+F22),'数据-取费表'!B22/2)-1)),4)</f>
        <v>6.9999999999999999E-4</v>
      </c>
      <c r="D26" s="238"/>
      <c r="E26" s="241"/>
      <c r="F26" s="239"/>
      <c r="G26" s="243"/>
    </row>
    <row r="27" spans="1:7" s="214" customFormat="1" ht="24.75">
      <c r="A27" s="255" t="s">
        <v>1510</v>
      </c>
      <c r="B27" s="244" t="s">
        <v>1511</v>
      </c>
      <c r="C27" s="245">
        <f ca="1">C28</f>
        <v>1252562</v>
      </c>
      <c r="D27" s="235">
        <f ca="1">C29</f>
        <v>1.8E-3</v>
      </c>
      <c r="E27" s="236" t="s">
        <v>1512</v>
      </c>
      <c r="F27" s="246">
        <f ca="1">IF(B1="",'数据-取费表'!Q16,INDIRECT("'数据-取费表'!q"&amp;$G$1))</f>
        <v>0.09</v>
      </c>
      <c r="G27" s="247" t="s">
        <v>1513</v>
      </c>
    </row>
    <row r="28" spans="1:7" s="214" customFormat="1" ht="13.5" customHeight="1">
      <c r="A28" s="779" t="s">
        <v>346</v>
      </c>
      <c r="B28" s="248" t="s">
        <v>1514</v>
      </c>
      <c r="C28" s="249">
        <f ca="1">ROUND((C5+C19+C20)*F27,0)</f>
        <v>1252562</v>
      </c>
      <c r="D28" s="235"/>
      <c r="E28" s="236"/>
      <c r="F28" s="246"/>
      <c r="G28" s="247"/>
    </row>
    <row r="29" spans="1:7" s="214" customFormat="1" ht="13.5" customHeight="1">
      <c r="A29" s="779" t="s">
        <v>347</v>
      </c>
      <c r="B29" s="248" t="s">
        <v>1515</v>
      </c>
      <c r="C29" s="238">
        <f ca="1">ROUND(C21*F27,4)</f>
        <v>1.8E-3</v>
      </c>
      <c r="D29" s="235"/>
      <c r="E29" s="236"/>
      <c r="F29" s="246"/>
      <c r="G29" s="247"/>
    </row>
    <row r="30" spans="1:7" s="214" customFormat="1" ht="13.5" customHeight="1">
      <c r="A30" s="255" t="s">
        <v>1516</v>
      </c>
      <c r="B30" s="210" t="s">
        <v>1517</v>
      </c>
      <c r="C30" s="235">
        <f>ROUND(F30/(1+'数据-取费表'!C42),4)</f>
        <v>5.33E-2</v>
      </c>
      <c r="D30" s="236" t="s">
        <v>1512</v>
      </c>
      <c r="E30" s="241"/>
      <c r="F30" s="237">
        <f>'数据-取费表'!B41</f>
        <v>5.6000000000000001E-2</v>
      </c>
      <c r="G30" s="234" t="s">
        <v>1518</v>
      </c>
    </row>
    <row r="31" spans="1:7" ht="16.5" customHeight="1">
      <c r="A31" s="209">
        <v>1</v>
      </c>
      <c r="B31" s="210" t="s">
        <v>1519</v>
      </c>
      <c r="C31" s="211">
        <f ca="1">ROUND((C5+C19+C20+C22+C27)/(1-C21-D22-D27-C30),0)</f>
        <v>17429726</v>
      </c>
      <c r="D31" s="230"/>
      <c r="E31" s="211"/>
      <c r="F31" s="250"/>
      <c r="G31" s="234" t="s">
        <v>1520</v>
      </c>
    </row>
    <row r="32" spans="1:7" s="208" customFormat="1" ht="15.75">
      <c r="A32" s="252" t="s">
        <v>1587</v>
      </c>
      <c r="B32" s="253"/>
      <c r="C32" s="253"/>
      <c r="D32" s="253"/>
      <c r="E32" s="253"/>
      <c r="F32" s="253"/>
      <c r="G32" s="254"/>
    </row>
    <row r="33" spans="1:7" s="214" customFormat="1" ht="13.5" customHeight="1">
      <c r="A33" s="255" t="s">
        <v>337</v>
      </c>
      <c r="B33" s="210" t="s">
        <v>1588</v>
      </c>
      <c r="C33" s="256">
        <f ca="1">SUM(C34:C38)</f>
        <v>52628870</v>
      </c>
      <c r="D33" s="232"/>
      <c r="E33" s="212"/>
      <c r="F33" s="241"/>
      <c r="G33" s="234"/>
    </row>
    <row r="34" spans="1:7" s="258" customFormat="1" ht="13.5" customHeight="1">
      <c r="A34" s="779" t="s">
        <v>346</v>
      </c>
      <c r="B34" s="215" t="s">
        <v>1523</v>
      </c>
      <c r="C34" s="220">
        <f ca="1">ROUND(IF(B1="",SUMPRODUCT('数据-取费表'!K6:K14,'数据-取费表'!L6:L14),INDIRECT("'数据-取费表'!l"&amp;$G$1)*INDIRECT("'数据-取费表'!k"&amp;$G$1)+'数据-取费表'!L14*INDIRECT("'数据-取费表'!S"&amp;$G$1)),0)</f>
        <v>42809940</v>
      </c>
      <c r="D34" s="217"/>
      <c r="E34" s="220"/>
      <c r="F34" s="257"/>
      <c r="G34" s="219"/>
    </row>
    <row r="35" spans="1:7" ht="13.5" customHeight="1">
      <c r="A35" s="779" t="s">
        <v>351</v>
      </c>
      <c r="B35" s="215" t="s">
        <v>1525</v>
      </c>
      <c r="C35" s="220">
        <f ca="1">ROUND(C34*F35,0)</f>
        <v>2140497</v>
      </c>
      <c r="D35" s="220"/>
      <c r="E35" s="220"/>
      <c r="F35" s="259">
        <f>'数据-取费表'!B33</f>
        <v>0.05</v>
      </c>
      <c r="G35" s="219" t="s">
        <v>1526</v>
      </c>
    </row>
    <row r="36" spans="1:7" ht="24">
      <c r="A36" s="779" t="s">
        <v>352</v>
      </c>
      <c r="B36" s="215" t="s">
        <v>1527</v>
      </c>
      <c r="C36" s="220">
        <f ca="1">ROUND(IF(B1="",SUM('数据-取费表'!AP6:AP13)*F36,IF(INDIRECT("'数据-取费表'!c"&amp;$G$1)="住宅",INDIRECT("'数据-取费表'!k"&amp;$G$1)*INDIRECT("'数据-取费表'!l"&amp;$G$1)*F36,0)),0)</f>
        <v>0</v>
      </c>
      <c r="D36" s="220"/>
      <c r="E36" s="220"/>
      <c r="F36" s="259">
        <f>'数据-取费表'!B34</f>
        <v>0</v>
      </c>
      <c r="G36" s="260" t="s">
        <v>1528</v>
      </c>
    </row>
    <row r="37" spans="1:7" s="258" customFormat="1" ht="13.5" customHeight="1">
      <c r="A37" s="779" t="s">
        <v>353</v>
      </c>
      <c r="B37" s="215" t="s">
        <v>1529</v>
      </c>
      <c r="C37" s="249">
        <f ca="1">ROUND(E37*D37,0)</f>
        <v>6822234</v>
      </c>
      <c r="D37" s="217">
        <f ca="1">D19</f>
        <v>34111.17</v>
      </c>
      <c r="E37" s="249">
        <f>'数据-取费表'!B35</f>
        <v>200</v>
      </c>
      <c r="F37" s="259"/>
      <c r="G37" s="261"/>
    </row>
    <row r="38" spans="1:7" ht="13.5" customHeight="1">
      <c r="A38" s="779" t="s">
        <v>354</v>
      </c>
      <c r="B38" s="215" t="s">
        <v>1531</v>
      </c>
      <c r="C38" s="220">
        <f ca="1">ROUND(C34*F38,0)</f>
        <v>856199</v>
      </c>
      <c r="D38" s="220"/>
      <c r="E38" s="220"/>
      <c r="F38" s="259">
        <f>'数据-取费表'!B36</f>
        <v>0.02</v>
      </c>
      <c r="G38" s="219" t="s">
        <v>1526</v>
      </c>
    </row>
    <row r="39" spans="1:7" s="214" customFormat="1" ht="13.5" customHeight="1">
      <c r="A39" s="255" t="s">
        <v>1532</v>
      </c>
      <c r="B39" s="210" t="s">
        <v>1533</v>
      </c>
      <c r="C39" s="232">
        <f ca="1">ROUND(C33*F20,0)</f>
        <v>1052577</v>
      </c>
      <c r="D39" s="232"/>
      <c r="E39" s="232"/>
      <c r="F39" s="233">
        <f>F20</f>
        <v>0.02</v>
      </c>
      <c r="G39" s="234" t="s">
        <v>1534</v>
      </c>
    </row>
    <row r="40" spans="1:7" s="214" customFormat="1" ht="13.5" customHeight="1">
      <c r="A40" s="255" t="s">
        <v>1535</v>
      </c>
      <c r="B40" s="210" t="s">
        <v>1536</v>
      </c>
      <c r="C40" s="1326">
        <f>F21</f>
        <v>0.02</v>
      </c>
      <c r="D40" s="236" t="s">
        <v>1537</v>
      </c>
      <c r="E40" s="232"/>
      <c r="F40" s="233">
        <f>F21</f>
        <v>0.02</v>
      </c>
      <c r="G40" s="234" t="s">
        <v>1538</v>
      </c>
    </row>
    <row r="41" spans="1:7" s="214" customFormat="1" ht="13.5" customHeight="1">
      <c r="A41" s="255" t="s">
        <v>1539</v>
      </c>
      <c r="B41" s="210" t="s">
        <v>1540</v>
      </c>
      <c r="C41" s="232">
        <f ca="1">ROUND(SUM(C42:C43),0)</f>
        <v>1798328</v>
      </c>
      <c r="D41" s="235">
        <f ca="1">C44</f>
        <v>6.9999999999999999E-4</v>
      </c>
      <c r="E41" s="236" t="s">
        <v>1537</v>
      </c>
      <c r="F41" s="237">
        <f ca="1">F22</f>
        <v>3.3500000000000002E-2</v>
      </c>
      <c r="G41" s="234" t="str">
        <f>IF('数据-取费表'!B22&lt;=1,"单利计息","复利计息")</f>
        <v>复利计息</v>
      </c>
    </row>
    <row r="42" spans="1:7" ht="13.5" customHeight="1">
      <c r="A42" s="779" t="s">
        <v>346</v>
      </c>
      <c r="B42" s="215" t="s">
        <v>1541</v>
      </c>
      <c r="C42" s="238">
        <f ca="1">ROUND(IF('数据-取费表'!B22&lt;=1,C33*F22*'数据-取费表'!B20/2,C33*(POWER((1+F22),'数据-取费表'!B20/2)-1)),0)</f>
        <v>1763067</v>
      </c>
      <c r="D42" s="238"/>
      <c r="E42" s="238"/>
      <c r="F42" s="239"/>
      <c r="G42" s="4076" t="s">
        <v>1589</v>
      </c>
    </row>
    <row r="43" spans="1:7" ht="13.5" customHeight="1">
      <c r="A43" s="779" t="s">
        <v>347</v>
      </c>
      <c r="B43" s="215" t="s">
        <v>1543</v>
      </c>
      <c r="C43" s="238">
        <f ca="1">ROUND(IF('数据-取费表'!B22&lt;=1,C39*F22*'数据-取费表'!B20/2,C39*(POWER((1+F22),'数据-取费表'!B20/2)-1)),0)</f>
        <v>35261</v>
      </c>
      <c r="D43" s="238"/>
      <c r="E43" s="238"/>
      <c r="F43" s="239"/>
      <c r="G43" s="4077"/>
    </row>
    <row r="44" spans="1:7" ht="13.5" customHeight="1">
      <c r="A44" s="779" t="s">
        <v>348</v>
      </c>
      <c r="B44" s="215" t="s">
        <v>1544</v>
      </c>
      <c r="C44" s="238">
        <f ca="1">ROUND(IF('数据-取费表'!B22&lt;=1,C40*F22*'数据-取费表'!B20/2,C40*(POWER((1+F22),'数据-取费表'!B20/2)-1)),4)</f>
        <v>6.9999999999999999E-4</v>
      </c>
      <c r="D44" s="238"/>
      <c r="E44" s="238"/>
      <c r="F44" s="239"/>
      <c r="G44" s="4078"/>
    </row>
    <row r="45" spans="1:7" s="214" customFormat="1" ht="13.5" customHeight="1">
      <c r="A45" s="255" t="s">
        <v>1545</v>
      </c>
      <c r="B45" s="244" t="s">
        <v>1511</v>
      </c>
      <c r="C45" s="245">
        <f ca="1">C46</f>
        <v>4831330</v>
      </c>
      <c r="D45" s="235">
        <f ca="1">C47</f>
        <v>1.8E-3</v>
      </c>
      <c r="E45" s="236" t="s">
        <v>1537</v>
      </c>
      <c r="F45" s="246">
        <f ca="1">F27</f>
        <v>0.09</v>
      </c>
      <c r="G45" s="247" t="s">
        <v>1546</v>
      </c>
    </row>
    <row r="46" spans="1:7" s="214" customFormat="1" ht="13.5" customHeight="1">
      <c r="A46" s="779" t="s">
        <v>346</v>
      </c>
      <c r="B46" s="248" t="s">
        <v>1547</v>
      </c>
      <c r="C46" s="249">
        <f ca="1">ROUND((C33+C39)*F27,0)</f>
        <v>4831330</v>
      </c>
      <c r="D46" s="263"/>
      <c r="E46" s="236"/>
      <c r="F46" s="246"/>
      <c r="G46" s="247"/>
    </row>
    <row r="47" spans="1:7" s="214" customFormat="1" ht="13.5" customHeight="1">
      <c r="A47" s="779" t="s">
        <v>347</v>
      </c>
      <c r="B47" s="248" t="s">
        <v>1548</v>
      </c>
      <c r="C47" s="238">
        <f ca="1">ROUND(C40*F27,4)</f>
        <v>1.8E-3</v>
      </c>
      <c r="D47" s="263"/>
      <c r="E47" s="236"/>
      <c r="F47" s="246"/>
      <c r="G47" s="247"/>
    </row>
    <row r="48" spans="1:7" s="214" customFormat="1" ht="13.5" customHeight="1">
      <c r="A48" s="255" t="s">
        <v>1510</v>
      </c>
      <c r="B48" s="210" t="s">
        <v>1549</v>
      </c>
      <c r="C48" s="262">
        <f>ROUND(F30/(1+'数据-取费表'!C42),4)</f>
        <v>5.33E-2</v>
      </c>
      <c r="D48" s="236" t="s">
        <v>1537</v>
      </c>
      <c r="E48" s="232"/>
      <c r="F48" s="237">
        <f>F30</f>
        <v>5.6000000000000001E-2</v>
      </c>
      <c r="G48" s="234" t="s">
        <v>1550</v>
      </c>
    </row>
    <row r="49" spans="1:7" ht="16.5" customHeight="1">
      <c r="A49" s="255" t="s">
        <v>1516</v>
      </c>
      <c r="B49" s="210" t="s">
        <v>1590</v>
      </c>
      <c r="C49" s="232">
        <f ca="1">ROUND((C33+C39+C41+C45)/(1-C40-D41-D45-C48),0)</f>
        <v>65257634</v>
      </c>
      <c r="D49" s="232"/>
      <c r="E49" s="232"/>
      <c r="F49" s="264"/>
      <c r="G49" s="234" t="s">
        <v>1552</v>
      </c>
    </row>
    <row r="50" spans="1:7" s="258" customFormat="1">
      <c r="A50" s="255" t="s">
        <v>1553</v>
      </c>
      <c r="B50" s="210" t="s">
        <v>1554</v>
      </c>
      <c r="C50" s="232"/>
      <c r="D50" s="232"/>
      <c r="E50" s="232"/>
      <c r="F50" s="264">
        <f>IF('数据-取费表'!B24=0,'数据-取费表'!N16,1)</f>
        <v>0.73099999999999998</v>
      </c>
      <c r="G50" s="247"/>
    </row>
    <row r="51" spans="1:7" ht="16.5" customHeight="1">
      <c r="A51" s="255" t="s">
        <v>1556</v>
      </c>
      <c r="B51" s="210" t="s">
        <v>1591</v>
      </c>
      <c r="C51" s="232">
        <f ca="1">ROUND(C49*F50,0)</f>
        <v>47703330</v>
      </c>
      <c r="D51" s="232"/>
      <c r="E51" s="232"/>
      <c r="F51" s="264"/>
      <c r="G51" s="234" t="s">
        <v>1558</v>
      </c>
    </row>
    <row r="52" spans="1:7" s="208" customFormat="1" ht="16.5" thickBot="1">
      <c r="A52" s="265" t="s">
        <v>1559</v>
      </c>
      <c r="B52" s="266"/>
      <c r="C52" s="267">
        <f ca="1">C31+C51</f>
        <v>65133056</v>
      </c>
      <c r="D52" s="266"/>
      <c r="E52" s="266"/>
      <c r="F52" s="266"/>
      <c r="G52" s="268"/>
    </row>
    <row r="55" spans="1:7" ht="15">
      <c r="B55" s="270" t="s">
        <v>1560</v>
      </c>
      <c r="C55" s="271"/>
    </row>
    <row r="56" spans="1:7">
      <c r="B56" s="273" t="s">
        <v>800</v>
      </c>
      <c r="C56" s="275">
        <f ca="1">1-C57</f>
        <v>0.26800000000000002</v>
      </c>
    </row>
    <row r="57" spans="1:7">
      <c r="B57" s="273" t="s">
        <v>801</v>
      </c>
      <c r="C57" s="274">
        <f ca="1">ROUND(C51/C52,3)</f>
        <v>0.73199999999999998</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6" t="s">
        <v>1592</v>
      </c>
      <c r="B1" s="1190"/>
      <c r="C1" s="1191"/>
      <c r="D1" s="1189"/>
      <c r="E1" s="2804"/>
      <c r="F1" s="2804"/>
      <c r="G1" s="2669"/>
      <c r="H1" s="2804"/>
      <c r="I1" s="2804"/>
      <c r="J1" s="2804"/>
      <c r="K1" s="2805">
        <f>MATCH(C1,'数据-取费表'!A6:A16,0)+5</f>
        <v>9</v>
      </c>
    </row>
    <row r="2" spans="1:33" ht="18" customHeight="1">
      <c r="A2" s="201" t="s">
        <v>1460</v>
      </c>
      <c r="B2" s="204">
        <f ca="1">C32</f>
        <v>-612</v>
      </c>
      <c r="C2" s="276" t="s">
        <v>1593</v>
      </c>
      <c r="D2" s="276"/>
      <c r="E2" s="2804"/>
      <c r="F2" s="2804"/>
      <c r="G2" s="2804"/>
      <c r="H2" s="2804"/>
      <c r="I2" s="2804"/>
      <c r="J2" s="2804"/>
      <c r="K2" s="2804"/>
    </row>
    <row r="3" spans="1:33" ht="18" customHeight="1" thickBot="1">
      <c r="A3" s="203" t="s">
        <v>1462</v>
      </c>
      <c r="B3" s="204">
        <f ca="1">ROUND(B2*10000/IF(C1="",'数据-汇总表'!E3,INDIRECT("'数据-取费表'!K"&amp;$K$1)),0)</f>
        <v>-179</v>
      </c>
      <c r="C3" s="276" t="s">
        <v>1594</v>
      </c>
      <c r="D3" s="276"/>
      <c r="E3" s="2804"/>
      <c r="F3" s="2804"/>
      <c r="G3" s="2804"/>
      <c r="H3" s="2804"/>
      <c r="I3" s="2804"/>
      <c r="J3" s="2804"/>
      <c r="K3" s="2804"/>
    </row>
    <row r="4" spans="1:33" s="784" customFormat="1" ht="16.5" customHeight="1">
      <c r="A4" s="781" t="s">
        <v>1595</v>
      </c>
      <c r="B4" s="782"/>
      <c r="C4" s="823">
        <f>SUM(C8:K8)</f>
        <v>0</v>
      </c>
      <c r="D4" s="782"/>
      <c r="E4" s="782"/>
      <c r="F4" s="782"/>
      <c r="G4" s="782"/>
      <c r="H4" s="782"/>
      <c r="I4" s="782"/>
      <c r="J4" s="782"/>
      <c r="K4" s="783"/>
    </row>
    <row r="5" spans="1:33" s="788" customFormat="1" ht="15">
      <c r="A5" s="785" t="s">
        <v>1596</v>
      </c>
      <c r="B5" s="786" t="s">
        <v>1597</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1" t="s">
        <v>1598</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1599</v>
      </c>
      <c r="B7" s="131" t="s">
        <v>1600</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1601</v>
      </c>
      <c r="B8" s="164" t="s">
        <v>1602</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1603</v>
      </c>
      <c r="B9" s="782"/>
      <c r="C9" s="782"/>
      <c r="D9" s="782"/>
      <c r="E9" s="782"/>
      <c r="F9" s="782"/>
      <c r="G9" s="782"/>
      <c r="H9" s="782"/>
      <c r="I9" s="782"/>
      <c r="J9" s="782"/>
      <c r="K9" s="783"/>
    </row>
    <row r="10" spans="1:33" s="798" customFormat="1" ht="13.5" customHeight="1">
      <c r="A10" s="785" t="s">
        <v>1604</v>
      </c>
      <c r="B10" s="5" t="s">
        <v>1605</v>
      </c>
      <c r="C10" s="794" t="s">
        <v>1606</v>
      </c>
      <c r="D10" s="795" t="s">
        <v>1607</v>
      </c>
      <c r="E10" s="795" t="s">
        <v>1608</v>
      </c>
      <c r="F10" s="795" t="s">
        <v>1609</v>
      </c>
      <c r="G10" s="5"/>
      <c r="H10" s="796"/>
      <c r="I10" s="796"/>
      <c r="J10" s="796"/>
      <c r="K10" s="797"/>
    </row>
    <row r="11" spans="1:33" s="802" customFormat="1" ht="13.5" customHeight="1">
      <c r="A11" s="799" t="s">
        <v>635</v>
      </c>
      <c r="B11" s="800" t="s">
        <v>1610</v>
      </c>
      <c r="C11" s="279">
        <f ca="1">IF(C1="",'数据-取费表'!P16,INDIRECT("'数据-取费表'!p"&amp;$K$1)+INDIRECT("'数据-取费表'!ar"&amp;$K$1))</f>
        <v>0</v>
      </c>
      <c r="D11" s="801"/>
      <c r="E11" s="329"/>
      <c r="F11" s="811">
        <f ca="1">1-IF('数据-取费表'!B24=0,1,IF(C1="",'数据-取费表'!N16,INDIRECT("'数据-取费表'!n"&amp;$K$1)))</f>
        <v>0</v>
      </c>
      <c r="G11" s="5"/>
      <c r="H11" s="796"/>
      <c r="I11" s="796"/>
      <c r="J11" s="796"/>
      <c r="K11" s="797"/>
    </row>
    <row r="12" spans="1:33" s="802" customFormat="1" ht="13.5" customHeight="1">
      <c r="A12" s="799" t="s">
        <v>636</v>
      </c>
      <c r="B12" s="800" t="s">
        <v>1611</v>
      </c>
      <c r="C12" s="21">
        <f ca="1">ROUND(C11*F12,0)</f>
        <v>0</v>
      </c>
      <c r="D12" s="801"/>
      <c r="E12" s="329"/>
      <c r="F12" s="811">
        <f>'数据-取费表'!B33</f>
        <v>0.05</v>
      </c>
      <c r="G12" s="5" t="s">
        <v>1612</v>
      </c>
      <c r="H12" s="796"/>
      <c r="I12" s="796"/>
      <c r="J12" s="796"/>
      <c r="K12" s="797"/>
    </row>
    <row r="13" spans="1:33" s="802" customFormat="1" ht="13.5" customHeight="1">
      <c r="A13" s="799" t="s">
        <v>637</v>
      </c>
      <c r="B13" s="800" t="s">
        <v>1613</v>
      </c>
      <c r="C13" s="21">
        <f ca="1">ROUND(IF(C1="",SUMIF('数据-取费表'!C:C,"住宅",'数据-取费表'!P:P)*F13,IF(INDIRECT("'数据-取费表'!c"&amp;$K$1)="住宅",INDIRECT("'数据-取费表'!P"&amp;$K$1)*F13,0)),0)</f>
        <v>0</v>
      </c>
      <c r="D13" s="845"/>
      <c r="E13" s="329"/>
      <c r="F13" s="811">
        <f>'数据-取费表'!B34</f>
        <v>0</v>
      </c>
      <c r="G13" s="5" t="s">
        <v>1614</v>
      </c>
      <c r="H13" s="796"/>
      <c r="I13" s="796"/>
      <c r="J13" s="796"/>
      <c r="K13" s="797"/>
    </row>
    <row r="14" spans="1:33" s="804" customFormat="1" ht="13.5" customHeight="1">
      <c r="A14" s="799" t="s">
        <v>638</v>
      </c>
      <c r="B14" s="800" t="s">
        <v>1615</v>
      </c>
      <c r="C14" s="21">
        <f ca="1">ROUND(D14*E14*F11/10000,0)</f>
        <v>0</v>
      </c>
      <c r="D14" s="845">
        <f ca="1">IF(C1="",'数据-汇总表'!E3,INDIRECT("'数据-取费表'!K"&amp;$K$1)+INDIRECT("'数据-取费表'!S"&amp;$K$1))</f>
        <v>34111.17</v>
      </c>
      <c r="E14" s="21">
        <f>'数据-取费表'!B35</f>
        <v>200</v>
      </c>
      <c r="F14" s="803"/>
      <c r="G14" s="5" t="s">
        <v>1616</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1617</v>
      </c>
      <c r="C15" s="810">
        <f ca="1">ROUND(C11*F15,0)</f>
        <v>0</v>
      </c>
      <c r="D15" s="805"/>
      <c r="E15" s="810"/>
      <c r="F15" s="811">
        <f>'数据-取费表'!B36</f>
        <v>0.02</v>
      </c>
      <c r="G15" s="131" t="s">
        <v>1618</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1619</v>
      </c>
      <c r="C16" s="810">
        <f ca="1">SUM(C11:C15)</f>
        <v>0</v>
      </c>
      <c r="D16" s="805"/>
      <c r="E16" s="810"/>
      <c r="F16" s="811"/>
      <c r="G16" s="131"/>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1620</v>
      </c>
      <c r="C17" s="21">
        <f ca="1">ROUND(D17*E17/10000,0)</f>
        <v>0</v>
      </c>
      <c r="D17" s="845">
        <f ca="1">D14</f>
        <v>34111.17</v>
      </c>
      <c r="E17" s="21">
        <f>'数据-取费表'!B32</f>
        <v>0</v>
      </c>
      <c r="F17" s="805"/>
      <c r="G17" s="131" t="s">
        <v>1621</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1622</v>
      </c>
      <c r="C18" s="21">
        <f ca="1">C19+C20-IF(C1="",'数据-取费表'!B29,IF(G18="已全部缴纳",C19+C20,H18))</f>
        <v>567</v>
      </c>
      <c r="D18" s="845"/>
      <c r="E18" s="21"/>
      <c r="F18" s="803"/>
      <c r="G18" s="1861"/>
      <c r="H18" s="1186"/>
      <c r="I18" s="1862" t="s">
        <v>1623</v>
      </c>
      <c r="J18" s="806"/>
      <c r="K18" s="807"/>
    </row>
    <row r="19" spans="1:33" s="802" customFormat="1" ht="13.5" customHeight="1">
      <c r="A19" s="799" t="s">
        <v>360</v>
      </c>
      <c r="B19" s="800" t="s">
        <v>1624</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1625</v>
      </c>
      <c r="C20" s="21">
        <f ca="1">ROUND(D20*E20/10000,0)</f>
        <v>682</v>
      </c>
      <c r="D20" s="845">
        <f ca="1">IF(C1="",'数据-汇总表'!E6,IF(INDIRECT("'数据-取费表'!c"&amp;$K$1)="住宅",INDIRECT("'数据-取费表'!s"&amp;$K$1),INDIRECT("'数据-取费表'!k"&amp;$K$1)+INDIRECT("'数据-取费表'!s"&amp;$K$1)))</f>
        <v>34111.17</v>
      </c>
      <c r="E20" s="21">
        <f>'数据-取费表'!B28</f>
        <v>200</v>
      </c>
      <c r="F20" s="803"/>
      <c r="G20" s="12"/>
      <c r="H20" s="808"/>
      <c r="I20" s="808"/>
      <c r="J20" s="808"/>
      <c r="K20" s="809"/>
    </row>
    <row r="21" spans="1:33" s="802" customFormat="1" ht="13.5" customHeight="1">
      <c r="A21" s="789" t="s">
        <v>357</v>
      </c>
      <c r="B21" s="812" t="s">
        <v>1626</v>
      </c>
      <c r="C21" s="813">
        <f ca="1">C16+C17+C18</f>
        <v>567</v>
      </c>
      <c r="D21" s="814"/>
      <c r="E21" s="281"/>
      <c r="F21" s="281"/>
      <c r="G21" s="131" t="s">
        <v>1627</v>
      </c>
      <c r="H21" s="806"/>
      <c r="I21" s="806"/>
      <c r="J21" s="806"/>
      <c r="K21" s="807"/>
    </row>
    <row r="22" spans="1:33" s="802" customFormat="1" ht="13.5" customHeight="1">
      <c r="A22" s="789" t="s">
        <v>1599</v>
      </c>
      <c r="B22" s="812" t="s">
        <v>1628</v>
      </c>
      <c r="C22" s="813">
        <f ca="1">ROUND(C21*F22,0)</f>
        <v>11</v>
      </c>
      <c r="D22" s="281"/>
      <c r="E22" s="281"/>
      <c r="F22" s="815">
        <f>'数据-取费表'!B37</f>
        <v>0.02</v>
      </c>
      <c r="G22" s="5" t="s">
        <v>1629</v>
      </c>
      <c r="H22" s="796"/>
      <c r="I22" s="796"/>
      <c r="J22" s="796"/>
      <c r="K22" s="797"/>
    </row>
    <row r="23" spans="1:33" s="802" customFormat="1" ht="13.5" customHeight="1">
      <c r="A23" s="789" t="s">
        <v>1601</v>
      </c>
      <c r="B23" s="812" t="s">
        <v>1630</v>
      </c>
      <c r="C23" s="813">
        <f ca="1">ROUND(C4*F23*F11,0)</f>
        <v>0</v>
      </c>
      <c r="D23" s="281"/>
      <c r="E23" s="281"/>
      <c r="F23" s="815">
        <f>'数据-取费表'!B38</f>
        <v>0.02</v>
      </c>
      <c r="G23" s="5" t="s">
        <v>1631</v>
      </c>
      <c r="H23" s="796"/>
      <c r="I23" s="796"/>
      <c r="J23" s="796"/>
      <c r="K23" s="797"/>
    </row>
    <row r="24" spans="1:33" s="802" customFormat="1" ht="13.5" customHeight="1">
      <c r="A24" s="789" t="s">
        <v>1632</v>
      </c>
      <c r="B24" s="812" t="s">
        <v>1633</v>
      </c>
      <c r="C24" s="280">
        <f>ROUND(F24/(1+'数据-取费表'!C42),4)</f>
        <v>2.86E-2</v>
      </c>
      <c r="D24" s="281" t="s">
        <v>12</v>
      </c>
      <c r="E24" s="281"/>
      <c r="F24" s="815">
        <f>IF(项目基本情况!B8="出让",0,'数据-取费表'!B48+'数据-取费表'!B49)</f>
        <v>0.03</v>
      </c>
      <c r="G24" s="5" t="s">
        <v>1634</v>
      </c>
      <c r="H24" s="817"/>
      <c r="I24" s="817"/>
      <c r="J24" s="817"/>
      <c r="K24" s="818"/>
    </row>
    <row r="25" spans="1:33" s="802" customFormat="1" ht="13.5" customHeight="1">
      <c r="A25" s="789" t="s">
        <v>1635</v>
      </c>
      <c r="B25" s="814" t="s">
        <v>1636</v>
      </c>
      <c r="C25" s="1105">
        <f ca="1">C27</f>
        <v>0</v>
      </c>
      <c r="D25" s="280">
        <f ca="1">C26</f>
        <v>0</v>
      </c>
      <c r="E25" s="282" t="s">
        <v>12</v>
      </c>
      <c r="F25" s="283">
        <f ca="1">'数据-取费表'!B40</f>
        <v>3.3500000000000002E-2</v>
      </c>
      <c r="G25" s="131"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1637</v>
      </c>
      <c r="C26" s="1106">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1638</v>
      </c>
      <c r="C27" s="1107">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6"/>
      <c r="I27" s="806"/>
      <c r="J27" s="806"/>
      <c r="K27" s="807"/>
    </row>
    <row r="28" spans="1:33" s="289" customFormat="1" ht="13.5" customHeight="1">
      <c r="A28" s="789" t="s">
        <v>1639</v>
      </c>
      <c r="B28" s="1864" t="s">
        <v>1640</v>
      </c>
      <c r="C28" s="287">
        <f ca="1">C30</f>
        <v>52</v>
      </c>
      <c r="D28" s="280">
        <f ca="1">C29</f>
        <v>0</v>
      </c>
      <c r="E28" s="282" t="s">
        <v>12</v>
      </c>
      <c r="F28" s="288">
        <f ca="1">IF(C1="",'数据-取费表'!Q16,INDIRECT("'数据-取费表'!q"&amp;$K$1))</f>
        <v>0.09</v>
      </c>
      <c r="G28" s="816"/>
      <c r="H28" s="817"/>
      <c r="I28" s="817"/>
      <c r="J28" s="817"/>
      <c r="K28" s="818"/>
    </row>
    <row r="29" spans="1:33" s="291" customFormat="1" ht="13.5" customHeight="1">
      <c r="A29" s="799" t="s">
        <v>358</v>
      </c>
      <c r="B29" s="821" t="s">
        <v>1641</v>
      </c>
      <c r="C29" s="284">
        <f ca="1">ROUND((1+C24)*F28*'数据-取费表'!B24/'数据-取费表'!B20,4)</f>
        <v>0</v>
      </c>
      <c r="D29" s="284"/>
      <c r="E29" s="285"/>
      <c r="F29" s="290"/>
      <c r="G29" s="131" t="s">
        <v>1642</v>
      </c>
      <c r="H29" s="806"/>
      <c r="I29" s="806"/>
      <c r="J29" s="806"/>
      <c r="K29" s="807"/>
    </row>
    <row r="30" spans="1:33" s="291" customFormat="1" ht="13.5" customHeight="1">
      <c r="A30" s="799" t="s">
        <v>359</v>
      </c>
      <c r="B30" s="821" t="s">
        <v>1643</v>
      </c>
      <c r="C30" s="292">
        <f ca="1">ROUND((C21+C22+C23)*F28,0)</f>
        <v>52</v>
      </c>
      <c r="D30" s="284"/>
      <c r="E30" s="285"/>
      <c r="F30" s="290"/>
      <c r="G30" s="131"/>
      <c r="H30" s="806"/>
      <c r="I30" s="806"/>
      <c r="J30" s="806"/>
      <c r="K30" s="807"/>
    </row>
    <row r="31" spans="1:33" s="802" customFormat="1" ht="13.5" customHeight="1" thickBot="1">
      <c r="A31" s="1865" t="s">
        <v>1644</v>
      </c>
      <c r="B31" s="832" t="s">
        <v>1645</v>
      </c>
      <c r="C31" s="833">
        <f>ROUND(C4*F31/(1+'数据-取费表'!C42),0)</f>
        <v>0</v>
      </c>
      <c r="D31" s="834"/>
      <c r="E31" s="835"/>
      <c r="F31" s="836">
        <f>'数据-取费表'!B41</f>
        <v>5.6000000000000001E-2</v>
      </c>
      <c r="G31" s="837" t="s">
        <v>1646</v>
      </c>
      <c r="H31" s="838"/>
      <c r="I31" s="838"/>
      <c r="J31" s="838"/>
      <c r="K31" s="839"/>
    </row>
    <row r="32" spans="1:33" s="798" customFormat="1" ht="13.5" customHeight="1" thickBot="1">
      <c r="A32" s="827" t="s">
        <v>1647</v>
      </c>
      <c r="B32" s="828"/>
      <c r="C32" s="829">
        <f ca="1">ROUND((C4-C21-C22-C23-C25-C28-C31)/(1+C24+D25+D28),0)</f>
        <v>-612</v>
      </c>
      <c r="D32" s="828"/>
      <c r="E32" s="828"/>
      <c r="F32" s="828"/>
      <c r="G32" s="830" t="s">
        <v>1648</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875</v>
      </c>
      <c r="B1" s="712"/>
      <c r="C1" s="1378"/>
      <c r="D1" s="1361" t="s">
        <v>43</v>
      </c>
      <c r="E1" s="1362" t="s">
        <v>676</v>
      </c>
      <c r="F1" s="1061">
        <f ca="1">J53</f>
        <v>0</v>
      </c>
      <c r="G1" s="1377">
        <f>MATCH(C1,'数据-取费表'!A6:A16,0)+5</f>
        <v>9</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876</v>
      </c>
      <c r="B2" s="3423" t="e">
        <f ca="1">ROUND(D2/10000,4)</f>
        <v>#DIV/0!</v>
      </c>
      <c r="C2" s="1386" t="s">
        <v>877</v>
      </c>
      <c r="D2" s="1470" t="e">
        <f ca="1">C40+J29+L46</f>
        <v>#DIV/0!</v>
      </c>
      <c r="E2" s="1387" t="s">
        <v>878</v>
      </c>
      <c r="F2" s="1388"/>
      <c r="G2" s="2704"/>
      <c r="H2" s="2693"/>
      <c r="I2" s="2693"/>
      <c r="J2" s="2693"/>
      <c r="K2" s="2694"/>
      <c r="L2" s="2693"/>
      <c r="M2" s="2693"/>
    </row>
    <row r="3" spans="1:37" ht="18" customHeight="1" thickBot="1">
      <c r="A3" s="1389" t="s">
        <v>879</v>
      </c>
      <c r="B3" s="1390">
        <f ca="1">IF(ISERROR(D2/F43),0,ROUND(D2/F43,0))</f>
        <v>0</v>
      </c>
      <c r="C3" s="1386" t="s">
        <v>880</v>
      </c>
      <c r="D3" s="1386"/>
      <c r="E3" s="1387"/>
      <c r="F3" s="1388"/>
      <c r="G3" s="2704"/>
      <c r="H3" s="682" t="s">
        <v>874</v>
      </c>
      <c r="I3" s="1381"/>
      <c r="J3" s="1381"/>
      <c r="K3" s="1382"/>
      <c r="L3" s="1381"/>
      <c r="M3" s="1381"/>
    </row>
    <row r="4" spans="1:37" ht="18" customHeight="1">
      <c r="A4" s="295" t="s">
        <v>881</v>
      </c>
      <c r="B4" s="296" t="s">
        <v>882</v>
      </c>
      <c r="C4" s="296" t="s">
        <v>883</v>
      </c>
      <c r="D4" s="296" t="s">
        <v>884</v>
      </c>
      <c r="E4" s="297" t="s">
        <v>885</v>
      </c>
      <c r="F4" s="298"/>
      <c r="G4" s="1383"/>
      <c r="H4" s="295" t="s">
        <v>881</v>
      </c>
      <c r="I4" s="296" t="s">
        <v>882</v>
      </c>
      <c r="J4" s="296" t="s">
        <v>883</v>
      </c>
      <c r="K4" s="296" t="s">
        <v>884</v>
      </c>
      <c r="L4" s="297" t="s">
        <v>885</v>
      </c>
      <c r="M4" s="298"/>
    </row>
    <row r="5" spans="1:37" ht="18" customHeight="1">
      <c r="A5" s="299">
        <v>1</v>
      </c>
      <c r="B5" s="300" t="s">
        <v>886</v>
      </c>
      <c r="C5" s="1069">
        <f ca="1">C6+C10+C12</f>
        <v>0</v>
      </c>
      <c r="D5" s="1363" t="s">
        <v>887</v>
      </c>
      <c r="E5" s="1070"/>
      <c r="F5" s="1071"/>
      <c r="G5" s="1383"/>
      <c r="H5" s="299">
        <v>1</v>
      </c>
      <c r="I5" s="300" t="s">
        <v>886</v>
      </c>
      <c r="J5" s="1069">
        <f ca="1">J6+J10+J12</f>
        <v>0</v>
      </c>
      <c r="K5" s="1363" t="s">
        <v>887</v>
      </c>
      <c r="L5" s="1070"/>
      <c r="M5" s="1071"/>
    </row>
    <row r="6" spans="1:37" ht="18" customHeight="1">
      <c r="A6" s="1068" t="s">
        <v>398</v>
      </c>
      <c r="B6" s="4079" t="s">
        <v>692</v>
      </c>
      <c r="C6" s="1073">
        <f ca="1">ROUND(F6*F8*F7*(1-F9),0)</f>
        <v>0</v>
      </c>
      <c r="D6" s="155" t="s">
        <v>2103</v>
      </c>
      <c r="E6" s="302" t="s">
        <v>694</v>
      </c>
      <c r="F6" s="303">
        <f ca="1">INDIRECT("'数据-取费表'!u"&amp;$G$1)</f>
        <v>0</v>
      </c>
      <c r="G6" s="1383"/>
      <c r="H6" s="1068" t="s">
        <v>398</v>
      </c>
      <c r="I6" s="4079" t="s">
        <v>692</v>
      </c>
      <c r="J6" s="301">
        <f ca="1">ROUND(M6*M8*M7*(1-M9),0)</f>
        <v>0</v>
      </c>
      <c r="K6" s="1375" t="s">
        <v>2104</v>
      </c>
      <c r="L6" s="302" t="s">
        <v>694</v>
      </c>
      <c r="M6" s="303">
        <f ca="1">INDIRECT("'数据-取费表'!z"&amp;$G$1)</f>
        <v>0</v>
      </c>
    </row>
    <row r="7" spans="1:37" ht="18" customHeight="1">
      <c r="A7" s="1072"/>
      <c r="B7" s="4080"/>
      <c r="C7" s="1074"/>
      <c r="D7" s="307"/>
      <c r="E7" s="1075" t="s">
        <v>695</v>
      </c>
      <c r="F7" s="303">
        <f ca="1">IF(INDIRECT("'数据-取费表'!ah"&amp;$G$1)="",INDIRECT("'数据-取费表'!k"&amp;$G$1),INDIRECT("'数据-取费表'!ah"&amp;$G$1))</f>
        <v>0</v>
      </c>
      <c r="G7" s="1383"/>
      <c r="H7" s="304"/>
      <c r="I7" s="4080"/>
      <c r="J7" s="306"/>
      <c r="K7" s="307"/>
      <c r="L7" s="302" t="s">
        <v>695</v>
      </c>
      <c r="M7" s="303">
        <f ca="1">F7</f>
        <v>0</v>
      </c>
    </row>
    <row r="8" spans="1:37" ht="18" customHeight="1">
      <c r="A8" s="304"/>
      <c r="B8" s="4080"/>
      <c r="C8" s="306"/>
      <c r="D8" s="307"/>
      <c r="E8" s="302" t="s">
        <v>696</v>
      </c>
      <c r="F8" s="303">
        <f ca="1">INDIRECT("'数据-取费表'!ai"&amp;$G$1)</f>
        <v>0</v>
      </c>
      <c r="G8" s="1383"/>
      <c r="H8" s="304"/>
      <c r="I8" s="4080"/>
      <c r="J8" s="306"/>
      <c r="K8" s="307"/>
      <c r="L8" s="302" t="s">
        <v>696</v>
      </c>
      <c r="M8" s="303">
        <f ca="1">INDIRECT("'数据-取费表'!ai"&amp;$G$1)</f>
        <v>0</v>
      </c>
    </row>
    <row r="9" spans="1:37" ht="18" customHeight="1">
      <c r="A9" s="304"/>
      <c r="B9" s="4081"/>
      <c r="C9" s="306"/>
      <c r="D9" s="307"/>
      <c r="E9" s="302" t="s">
        <v>697</v>
      </c>
      <c r="F9" s="312">
        <f ca="1">INDIRECT("'数据-取费表'!w"&amp;$G$1)</f>
        <v>0</v>
      </c>
      <c r="G9" s="1383"/>
      <c r="H9" s="304"/>
      <c r="I9" s="4081"/>
      <c r="J9" s="306"/>
      <c r="K9" s="307"/>
      <c r="L9" s="313" t="s">
        <v>697</v>
      </c>
      <c r="M9" s="314">
        <f ca="1">INDIRECT("'数据-取费表'!ab"&amp;$G$1)</f>
        <v>0</v>
      </c>
    </row>
    <row r="10" spans="1:37" ht="18" customHeight="1">
      <c r="A10" s="1068" t="s">
        <v>402</v>
      </c>
      <c r="B10" s="1364" t="s">
        <v>698</v>
      </c>
      <c r="C10" s="316">
        <f ca="1">ROUND(IF(F10="押一",C6/12*F11,IF(F10="押二",C6/12*2*F11,IF(F10="押三",C6/12*3*F11,C11*F11))),0)</f>
        <v>0</v>
      </c>
      <c r="D10" s="1365" t="s">
        <v>2113</v>
      </c>
      <c r="E10" s="313" t="s">
        <v>699</v>
      </c>
      <c r="F10" s="1115"/>
      <c r="G10" s="1383"/>
      <c r="H10" s="1068" t="s">
        <v>402</v>
      </c>
      <c r="I10" s="1364" t="s">
        <v>698</v>
      </c>
      <c r="J10" s="301">
        <f ca="1">ROUND(IF(M10="押一",J6/12*M11,IF(M10="押二",J6/12*2*M11,IF(M10="押三",J6/12*3*M11,J11*M11))),0)</f>
        <v>0</v>
      </c>
      <c r="K10" s="1376" t="s">
        <v>2115</v>
      </c>
      <c r="L10" s="313" t="s">
        <v>699</v>
      </c>
      <c r="M10" s="1115"/>
    </row>
    <row r="11" spans="1:37" ht="18" customHeight="1">
      <c r="A11" s="308"/>
      <c r="B11" s="1366" t="s">
        <v>888</v>
      </c>
      <c r="C11" s="958"/>
      <c r="D11" s="307"/>
      <c r="E11" s="313" t="s">
        <v>700</v>
      </c>
      <c r="F11" s="314">
        <f ca="1">'数据-取费表'!B39</f>
        <v>1.4999999999999999E-2</v>
      </c>
      <c r="G11" s="1383"/>
      <c r="H11" s="1076"/>
      <c r="I11" s="1366" t="s">
        <v>889</v>
      </c>
      <c r="J11" s="958"/>
      <c r="K11" s="683"/>
      <c r="L11" s="313" t="s">
        <v>700</v>
      </c>
      <c r="M11" s="861">
        <f ca="1">'数据-取费表'!B39</f>
        <v>1.4999999999999999E-2</v>
      </c>
    </row>
    <row r="12" spans="1:37" ht="18" customHeight="1" thickBot="1">
      <c r="A12" s="1082" t="s">
        <v>437</v>
      </c>
      <c r="B12" s="1368" t="s">
        <v>701</v>
      </c>
      <c r="C12" s="1083"/>
      <c r="D12" s="1084"/>
      <c r="E12" s="1089"/>
      <c r="F12" s="1085"/>
      <c r="G12" s="1383"/>
      <c r="H12" s="1082" t="s">
        <v>437</v>
      </c>
      <c r="I12" s="1368" t="s">
        <v>701</v>
      </c>
      <c r="J12" s="1083"/>
      <c r="K12" s="1097"/>
      <c r="L12" s="1089"/>
      <c r="M12" s="1098"/>
    </row>
    <row r="13" spans="1:37" ht="18" customHeight="1" thickTop="1">
      <c r="A13" s="1078">
        <v>2</v>
      </c>
      <c r="B13" s="1079" t="s">
        <v>702</v>
      </c>
      <c r="C13" s="310">
        <f ca="1">ROUND(C29*F13,0)</f>
        <v>0</v>
      </c>
      <c r="D13" s="1080" t="s">
        <v>703</v>
      </c>
      <c r="E13" s="1080" t="s">
        <v>704</v>
      </c>
      <c r="F13" s="1081">
        <f ca="1">INDIRECT("'数据-取费表'!y"&amp;$G$1)</f>
        <v>0</v>
      </c>
      <c r="G13" s="1383"/>
      <c r="H13" s="1078">
        <v>2</v>
      </c>
      <c r="I13" s="1079" t="s">
        <v>702</v>
      </c>
      <c r="J13" s="1067">
        <f ca="1">ROUND(J14*J15,0)</f>
        <v>0</v>
      </c>
      <c r="K13" s="1086" t="s">
        <v>703</v>
      </c>
      <c r="L13" s="1391"/>
      <c r="M13" s="1392"/>
    </row>
    <row r="14" spans="1:37" ht="18" customHeight="1">
      <c r="A14" s="981" t="s">
        <v>397</v>
      </c>
      <c r="B14" s="302" t="s">
        <v>705</v>
      </c>
      <c r="C14" s="318">
        <f ca="1">ROUND(INDIRECT("'数据-取费表'!l"&amp;$G$1)*F43+'数据-取费表'!L14*INDIRECT("'数据-取费表'!S"&amp;$G$1),0)</f>
        <v>0</v>
      </c>
      <c r="D14" s="1344" t="s">
        <v>706</v>
      </c>
      <c r="E14" s="1341"/>
      <c r="F14" s="319"/>
      <c r="G14" s="1383"/>
      <c r="H14" s="981" t="s">
        <v>398</v>
      </c>
      <c r="I14" s="302" t="s">
        <v>707</v>
      </c>
      <c r="J14" s="21">
        <f ca="1">C29</f>
        <v>0</v>
      </c>
      <c r="K14" s="12"/>
      <c r="L14" s="806"/>
      <c r="M14" s="807"/>
    </row>
    <row r="15" spans="1:37" s="1396" customFormat="1" ht="18" customHeight="1" thickBot="1">
      <c r="A15" s="981" t="s">
        <v>399</v>
      </c>
      <c r="B15" s="302" t="s">
        <v>708</v>
      </c>
      <c r="C15" s="21">
        <f ca="1">ROUND(C14*F15,0)</f>
        <v>0</v>
      </c>
      <c r="D15" s="320" t="s">
        <v>709</v>
      </c>
      <c r="E15" s="320" t="s">
        <v>710</v>
      </c>
      <c r="F15" s="321">
        <f>'数据-取费表'!B33</f>
        <v>0.05</v>
      </c>
      <c r="G15" s="1395"/>
      <c r="H15" s="1088" t="s">
        <v>402</v>
      </c>
      <c r="I15" s="1089" t="s">
        <v>704</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678</v>
      </c>
      <c r="B16" s="302" t="s">
        <v>711</v>
      </c>
      <c r="C16" s="21">
        <f ca="1">ROUND(INDIRECT("'数据-取费表'!l"&amp;$G$1)*F43*F16,0)</f>
        <v>0</v>
      </c>
      <c r="D16" s="302" t="s">
        <v>709</v>
      </c>
      <c r="E16" s="302" t="s">
        <v>710</v>
      </c>
      <c r="F16" s="322">
        <f ca="1">IF(INDIRECT("'数据-取费表'!c"&amp;$G$1)="住宅",'数据-取费表'!B34,0)</f>
        <v>0</v>
      </c>
      <c r="G16" s="1383"/>
      <c r="H16" s="1078" t="s">
        <v>393</v>
      </c>
      <c r="I16" s="1079" t="s">
        <v>712</v>
      </c>
      <c r="J16" s="310">
        <f ca="1">ROUND(J17+J22+J23+J24,0)</f>
        <v>0</v>
      </c>
      <c r="K16" s="1086" t="s">
        <v>713</v>
      </c>
      <c r="L16" s="1087"/>
      <c r="M16" s="1071"/>
    </row>
    <row r="17" spans="1:37" s="1396" customFormat="1" ht="18" customHeight="1">
      <c r="A17" s="981" t="s">
        <v>679</v>
      </c>
      <c r="B17" s="302" t="s">
        <v>714</v>
      </c>
      <c r="C17" s="21">
        <f ca="1">ROUND(F17*(F43+INDIRECT("'数据-取费表'!S"&amp;$G$1)),0)</f>
        <v>0</v>
      </c>
      <c r="D17" s="302" t="s">
        <v>715</v>
      </c>
      <c r="E17" s="302" t="s">
        <v>716</v>
      </c>
      <c r="F17" s="23">
        <f>'数据-取费表'!B35</f>
        <v>200</v>
      </c>
      <c r="G17" s="1395"/>
      <c r="H17" s="981" t="s">
        <v>398</v>
      </c>
      <c r="I17" s="302" t="s">
        <v>717</v>
      </c>
      <c r="J17" s="2315">
        <f ca="1">ROUND(IF(AND(项目基本情况!B11="自然人",项目基本情况!B10="北京市"),J6*M17/(1+'数据-取费表'!C42),J18+J19+J20),0)</f>
        <v>0</v>
      </c>
      <c r="K17" s="1344" t="s">
        <v>718</v>
      </c>
      <c r="L17" s="1343" t="s">
        <v>719</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680</v>
      </c>
      <c r="B18" s="302" t="s">
        <v>720</v>
      </c>
      <c r="C18" s="21">
        <f ca="1">ROUND(C14*F18,0)</f>
        <v>0</v>
      </c>
      <c r="D18" s="302" t="s">
        <v>709</v>
      </c>
      <c r="E18" s="302" t="s">
        <v>710</v>
      </c>
      <c r="F18" s="322">
        <f>'数据-取费表'!B36</f>
        <v>0.02</v>
      </c>
      <c r="G18" s="1395"/>
      <c r="H18" s="981" t="s">
        <v>397</v>
      </c>
      <c r="I18" s="302" t="s">
        <v>721</v>
      </c>
      <c r="J18" s="21">
        <f ca="1">ROUND(J6*M18/(1+'数据-取费表'!C42),0)</f>
        <v>0</v>
      </c>
      <c r="K18" s="1343" t="s">
        <v>722</v>
      </c>
      <c r="L18" s="302" t="s">
        <v>710</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723</v>
      </c>
      <c r="C19" s="21">
        <f ca="1">SUM(C14:C18)</f>
        <v>0</v>
      </c>
      <c r="D19" s="131" t="s">
        <v>724</v>
      </c>
      <c r="E19" s="1359"/>
      <c r="F19" s="23"/>
      <c r="G19" s="1383"/>
      <c r="H19" s="981" t="s">
        <v>399</v>
      </c>
      <c r="I19" s="302" t="s">
        <v>725</v>
      </c>
      <c r="J19" s="21">
        <f ca="1">IF(K19="按租金收入计税",ROUND(J6*M19/(1+'数据-取费表'!C42),0),ROUND(C29*M19*0.7,0))</f>
        <v>0</v>
      </c>
      <c r="K19" s="1369" t="s">
        <v>3335</v>
      </c>
      <c r="L19" s="302" t="s">
        <v>710</v>
      </c>
      <c r="M19" s="322">
        <f>IF(K19="按租金收入计税",'数据-取费表'!B51,'数据-取费表'!B50)</f>
        <v>0.12</v>
      </c>
    </row>
    <row r="20" spans="1:37" s="1396" customFormat="1" ht="18" customHeight="1">
      <c r="A20" s="981" t="s">
        <v>402</v>
      </c>
      <c r="B20" s="302" t="s">
        <v>726</v>
      </c>
      <c r="C20" s="21">
        <f ca="1">ROUND(C19*F20,0)</f>
        <v>0</v>
      </c>
      <c r="D20" s="323" t="s">
        <v>727</v>
      </c>
      <c r="E20" s="302" t="s">
        <v>710</v>
      </c>
      <c r="F20" s="322">
        <f>'数据-取费表'!B37</f>
        <v>0.02</v>
      </c>
      <c r="G20" s="1395"/>
      <c r="H20" s="981" t="s">
        <v>678</v>
      </c>
      <c r="I20" s="155" t="s">
        <v>728</v>
      </c>
      <c r="J20" s="22">
        <f ca="1">ROUND(M20*M21,0)</f>
        <v>0</v>
      </c>
      <c r="K20" s="324" t="s">
        <v>729</v>
      </c>
      <c r="L20" s="302" t="s">
        <v>730</v>
      </c>
      <c r="M20" s="325">
        <f>'数据-取费表'!B52</f>
        <v>24</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731</v>
      </c>
      <c r="C21" s="21" t="s">
        <v>0</v>
      </c>
      <c r="D21" s="323" t="s">
        <v>732</v>
      </c>
      <c r="E21" s="302" t="s">
        <v>733</v>
      </c>
      <c r="F21" s="322">
        <f>'数据-取费表'!B38</f>
        <v>0.02</v>
      </c>
      <c r="G21" s="1395"/>
      <c r="H21" s="326"/>
      <c r="I21" s="311"/>
      <c r="J21" s="26"/>
      <c r="K21" s="327"/>
      <c r="L21" s="302" t="s">
        <v>734</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681</v>
      </c>
      <c r="B22" s="302" t="s">
        <v>735</v>
      </c>
      <c r="C22" s="21"/>
      <c r="D22" s="131" t="str">
        <f>IF(F23&lt;=1,"单利计息。","复利计息。")&amp;"建造成本、管理费用、销售费用产生的利息。"</f>
        <v>复利计息。建造成本、管理费用、销售费用产生的利息。</v>
      </c>
      <c r="E22" s="1359"/>
      <c r="F22" s="23"/>
      <c r="G22" s="1383"/>
      <c r="H22" s="981" t="s">
        <v>402</v>
      </c>
      <c r="I22" s="302" t="s">
        <v>736</v>
      </c>
      <c r="J22" s="21">
        <f ca="1">ROUND(J14*M22,0)</f>
        <v>0</v>
      </c>
      <c r="K22" s="1343" t="s">
        <v>737</v>
      </c>
      <c r="L22" s="302" t="s">
        <v>710</v>
      </c>
      <c r="M22" s="328">
        <f ca="1">INDIRECT("'数据-取费表'!Ak"&amp;$G$1)</f>
        <v>0</v>
      </c>
    </row>
    <row r="23" spans="1:37" s="1396" customFormat="1" ht="18" customHeight="1">
      <c r="A23" s="981" t="s">
        <v>397</v>
      </c>
      <c r="B23" s="302" t="s">
        <v>738</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739</v>
      </c>
      <c r="F23" s="325">
        <f>'数据-取费表'!B20</f>
        <v>2</v>
      </c>
      <c r="G23" s="1395"/>
      <c r="H23" s="981" t="s">
        <v>437</v>
      </c>
      <c r="I23" s="302" t="s">
        <v>740</v>
      </c>
      <c r="J23" s="21">
        <f ca="1">ROUND(J13*M23,0)</f>
        <v>0</v>
      </c>
      <c r="K23" s="1343" t="s">
        <v>741</v>
      </c>
      <c r="L23" s="302" t="s">
        <v>742</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743</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3.3500000000000002E-2</v>
      </c>
      <c r="G24" s="1395"/>
      <c r="H24" s="1088" t="s">
        <v>682</v>
      </c>
      <c r="I24" s="1089" t="s">
        <v>726</v>
      </c>
      <c r="J24" s="1090">
        <f ca="1">ROUND(J5*M24,0)</f>
        <v>0</v>
      </c>
      <c r="K24" s="1091" t="s">
        <v>746</v>
      </c>
      <c r="L24" s="1089" t="s">
        <v>742</v>
      </c>
      <c r="M24" s="1085">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747</v>
      </c>
      <c r="B25" s="302" t="s">
        <v>748</v>
      </c>
      <c r="C25" s="21"/>
      <c r="D25" s="131" t="s">
        <v>749</v>
      </c>
      <c r="E25" s="1359"/>
      <c r="F25" s="23"/>
      <c r="G25" s="1383"/>
      <c r="H25" s="1078" t="s">
        <v>394</v>
      </c>
      <c r="I25" s="1093" t="s">
        <v>750</v>
      </c>
      <c r="J25" s="310">
        <f ca="1">J5-J16</f>
        <v>0</v>
      </c>
      <c r="K25" s="1094" t="s">
        <v>751</v>
      </c>
      <c r="L25" s="1095"/>
      <c r="M25" s="1096"/>
    </row>
    <row r="26" spans="1:37" ht="18" customHeight="1">
      <c r="A26" s="981" t="s">
        <v>397</v>
      </c>
      <c r="B26" s="302" t="s">
        <v>752</v>
      </c>
      <c r="C26" s="21">
        <f ca="1">ROUND((C19+C20)*F26,0)</f>
        <v>0</v>
      </c>
      <c r="D26" s="323" t="s">
        <v>753</v>
      </c>
      <c r="E26" s="313" t="s">
        <v>754</v>
      </c>
      <c r="F26" s="312">
        <f ca="1">INDIRECT("'数据-取费表'!q"&amp;$G$1)</f>
        <v>0</v>
      </c>
      <c r="G26" s="1383"/>
      <c r="H26" s="299" t="s">
        <v>395</v>
      </c>
      <c r="I26" s="300" t="s">
        <v>755</v>
      </c>
      <c r="J26" s="301">
        <f ca="1">IF(J5&lt;&gt;0,ROUND(J25*(1-((1+M28)/(1+M26))^M27)/(M26-M28),0),0)</f>
        <v>0</v>
      </c>
      <c r="K26" s="324" t="s">
        <v>756</v>
      </c>
      <c r="L26" s="302" t="s">
        <v>757</v>
      </c>
      <c r="M26" s="312">
        <f ca="1">INDIRECT("'数据-取费表'!I"&amp;$G$1)</f>
        <v>0</v>
      </c>
    </row>
    <row r="27" spans="1:37" ht="18" customHeight="1">
      <c r="A27" s="981" t="s">
        <v>399</v>
      </c>
      <c r="B27" s="302" t="s">
        <v>758</v>
      </c>
      <c r="C27" s="21">
        <f ca="1">ROUND(F21*F26,4)</f>
        <v>0</v>
      </c>
      <c r="D27" s="323" t="s">
        <v>759</v>
      </c>
      <c r="E27" s="320"/>
      <c r="F27" s="321"/>
      <c r="G27" s="1383"/>
      <c r="H27" s="304"/>
      <c r="I27" s="305"/>
      <c r="J27" s="306"/>
      <c r="K27" s="332" t="s">
        <v>760</v>
      </c>
      <c r="L27" s="302" t="s">
        <v>761</v>
      </c>
      <c r="M27" s="333">
        <f ca="1">INDIRECT("'数据-取费表'!ag"&amp;$G$1)</f>
        <v>0</v>
      </c>
    </row>
    <row r="28" spans="1:37" s="1396" customFormat="1" ht="18" customHeight="1">
      <c r="A28" s="981" t="s">
        <v>400</v>
      </c>
      <c r="B28" s="302" t="s">
        <v>762</v>
      </c>
      <c r="C28" s="21">
        <f>ROUND(F28/(1+'数据-取费表'!C42),4)</f>
        <v>5.33E-2</v>
      </c>
      <c r="D28" s="323" t="s">
        <v>763</v>
      </c>
      <c r="E28" s="302" t="s">
        <v>710</v>
      </c>
      <c r="F28" s="322">
        <f>'数据-取费表'!B41</f>
        <v>5.6000000000000001E-2</v>
      </c>
      <c r="G28" s="1395"/>
      <c r="H28" s="308"/>
      <c r="I28" s="309"/>
      <c r="J28" s="310"/>
      <c r="K28" s="327"/>
      <c r="L28" s="302" t="s">
        <v>764</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765</v>
      </c>
      <c r="C29" s="1090">
        <f ca="1">ROUND((C19+C20+C23+C26)/(1-F21-C24-C27-C28),0)</f>
        <v>0</v>
      </c>
      <c r="D29" s="1091"/>
      <c r="E29" s="1089"/>
      <c r="F29" s="1092"/>
      <c r="G29" s="1395"/>
      <c r="H29" s="334" t="s">
        <v>396</v>
      </c>
      <c r="I29" s="335" t="s">
        <v>766</v>
      </c>
      <c r="J29" s="336">
        <f ca="1">ROUND(J26/(1+F40)^F41,0)</f>
        <v>0</v>
      </c>
      <c r="K29" s="337" t="s">
        <v>767</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712</v>
      </c>
      <c r="C30" s="310">
        <f ca="1">ROUND(C31+C36+C37+C38,0)</f>
        <v>0</v>
      </c>
      <c r="D30" s="1086" t="s">
        <v>713</v>
      </c>
      <c r="E30" s="1087"/>
      <c r="F30" s="1071"/>
      <c r="G30" s="1383"/>
      <c r="H30" s="2695"/>
      <c r="I30" s="1397"/>
      <c r="J30" s="1398"/>
      <c r="K30" s="2473"/>
      <c r="L30" s="2696"/>
      <c r="M30" s="2697"/>
    </row>
    <row r="31" spans="1:37" ht="18" customHeight="1">
      <c r="A31" s="981" t="s">
        <v>398</v>
      </c>
      <c r="B31" s="302" t="s">
        <v>717</v>
      </c>
      <c r="C31" s="2315">
        <f ca="1">ROUND(IF(AND(项目基本情况!B11="自然人",项目基本情况!B10="北京市"),C6*F31/(1+'数据-取费表'!C42),C32+C33+C34),0)</f>
        <v>0</v>
      </c>
      <c r="D31" s="1344" t="s">
        <v>718</v>
      </c>
      <c r="E31" s="1343" t="s">
        <v>768</v>
      </c>
      <c r="F31" s="2314" t="str">
        <f>IF(项目基本情况!B11="企业","——",IF(M47="住宅",IF(F6*F7*F8/12/(1+'数据-取费表'!F30)&gt;100000,4%,2.5%),IF(F6*F7*F8/12/(1+'数据-取费表'!F30)&gt;100000,12%,7%)))</f>
        <v>——</v>
      </c>
      <c r="G31" s="1383"/>
      <c r="H31" s="2806" t="s">
        <v>2305</v>
      </c>
      <c r="I31" s="1397"/>
      <c r="J31" s="1398"/>
      <c r="K31" s="2473"/>
      <c r="L31" s="2696"/>
      <c r="M31" s="2697"/>
    </row>
    <row r="32" spans="1:37" ht="18" customHeight="1">
      <c r="A32" s="981" t="s">
        <v>397</v>
      </c>
      <c r="B32" s="302" t="s">
        <v>721</v>
      </c>
      <c r="C32" s="21">
        <f ca="1">IF(项目基本情况!B11="自然人","——",ROUND(C6*F32/(1+'数据-取费表'!C42),0))</f>
        <v>0</v>
      </c>
      <c r="D32" s="1343" t="s">
        <v>722</v>
      </c>
      <c r="E32" s="302" t="s">
        <v>710</v>
      </c>
      <c r="F32" s="331">
        <f>'数据-取费表'!B41</f>
        <v>5.6000000000000001E-2</v>
      </c>
      <c r="G32" s="1383"/>
      <c r="H32" s="2695"/>
      <c r="I32" s="1397"/>
      <c r="J32" s="1398"/>
      <c r="K32" s="2473"/>
      <c r="L32" s="2696"/>
      <c r="M32" s="2697"/>
    </row>
    <row r="33" spans="1:18" ht="18" customHeight="1">
      <c r="A33" s="981" t="s">
        <v>399</v>
      </c>
      <c r="B33" s="302" t="s">
        <v>725</v>
      </c>
      <c r="C33" s="21">
        <f ca="1">IF(项目基本情况!B11="自然人","——",IF(D33="按租金收入计税",ROUND(C6*F33/(1+'数据-取费表'!C42),0),IF(D33="按房产原值计税",ROUND(C29*F33*0.7,0),INDIRECT("'数据-取费表'!Aj"&amp;$G$1))))</f>
        <v>0</v>
      </c>
      <c r="D33" s="1369" t="s">
        <v>3335</v>
      </c>
      <c r="E33" s="302" t="s">
        <v>710</v>
      </c>
      <c r="F33" s="322">
        <f>IF(D33="按票据","——",IF(D33="按租金收入计税",'数据-取费表'!B51,'数据-取费表'!B50))</f>
        <v>0.12</v>
      </c>
      <c r="G33" s="1383"/>
      <c r="H33" s="2698"/>
      <c r="I33" s="1397"/>
      <c r="J33" s="1398"/>
      <c r="K33" s="2699"/>
      <c r="L33" s="2698"/>
      <c r="M33" s="2698"/>
    </row>
    <row r="34" spans="1:18" ht="18" customHeight="1">
      <c r="A34" s="1068" t="s">
        <v>678</v>
      </c>
      <c r="B34" s="155" t="s">
        <v>728</v>
      </c>
      <c r="C34" s="22">
        <f ca="1">IF(项目基本情况!B11="自然人","——",ROUND(F34*F35,0))</f>
        <v>0</v>
      </c>
      <c r="D34" s="324" t="s">
        <v>729</v>
      </c>
      <c r="E34" s="302" t="s">
        <v>730</v>
      </c>
      <c r="F34" s="325">
        <f>'数据-取费表'!B52</f>
        <v>24</v>
      </c>
      <c r="G34" s="1383"/>
      <c r="H34" s="2695"/>
      <c r="I34" s="1397"/>
      <c r="J34" s="1398"/>
      <c r="K34" s="2700"/>
      <c r="L34" s="2701"/>
      <c r="M34" s="2701"/>
    </row>
    <row r="35" spans="1:18" ht="18" customHeight="1">
      <c r="A35" s="1102"/>
      <c r="B35" s="1100"/>
      <c r="C35" s="26"/>
      <c r="D35" s="327"/>
      <c r="E35" s="302" t="s">
        <v>734</v>
      </c>
      <c r="F35" s="303">
        <f ca="1">INDIRECT("'数据-取费表'!r"&amp;$G$1)</f>
        <v>0</v>
      </c>
      <c r="G35" s="1383"/>
      <c r="H35" s="2695"/>
      <c r="I35" s="1397"/>
      <c r="J35" s="1398"/>
      <c r="K35" s="2699"/>
      <c r="L35" s="2698"/>
      <c r="M35" s="2698"/>
    </row>
    <row r="36" spans="1:18" ht="18" customHeight="1">
      <c r="A36" s="1101" t="s">
        <v>402</v>
      </c>
      <c r="B36" s="302" t="s">
        <v>736</v>
      </c>
      <c r="C36" s="21">
        <f ca="1">ROUND(C29*F36,0)</f>
        <v>0</v>
      </c>
      <c r="D36" s="1343" t="s">
        <v>769</v>
      </c>
      <c r="E36" s="302" t="s">
        <v>710</v>
      </c>
      <c r="F36" s="328">
        <f ca="1">INDIRECT("'数据-取费表'!Ak"&amp;$G$1)</f>
        <v>0</v>
      </c>
      <c r="G36" s="1383"/>
      <c r="H36" s="2698"/>
      <c r="I36" s="1397"/>
      <c r="J36" s="1398"/>
      <c r="K36" s="2542"/>
      <c r="L36" s="2698"/>
      <c r="M36" s="2698"/>
    </row>
    <row r="37" spans="1:18" ht="18" customHeight="1">
      <c r="A37" s="981" t="s">
        <v>437</v>
      </c>
      <c r="B37" s="302" t="s">
        <v>740</v>
      </c>
      <c r="C37" s="21">
        <f ca="1">ROUND(C13*F37,0)</f>
        <v>0</v>
      </c>
      <c r="D37" s="1343" t="s">
        <v>741</v>
      </c>
      <c r="E37" s="302" t="s">
        <v>742</v>
      </c>
      <c r="F37" s="330">
        <f ca="1">INDIRECT("'数据-取费表'!Al"&amp;$G$1)</f>
        <v>0</v>
      </c>
      <c r="G37" s="1383"/>
      <c r="H37" s="2698"/>
      <c r="I37" s="1397"/>
      <c r="J37" s="1398"/>
      <c r="K37" s="2542"/>
      <c r="L37" s="2698"/>
      <c r="M37" s="2698"/>
    </row>
    <row r="38" spans="1:18" ht="18" customHeight="1" thickBot="1">
      <c r="A38" s="1088" t="s">
        <v>682</v>
      </c>
      <c r="B38" s="1089" t="s">
        <v>726</v>
      </c>
      <c r="C38" s="1090">
        <f ca="1">ROUND(C5*F38,0)</f>
        <v>0</v>
      </c>
      <c r="D38" s="1091" t="s">
        <v>746</v>
      </c>
      <c r="E38" s="1089" t="s">
        <v>742</v>
      </c>
      <c r="F38" s="1085">
        <f ca="1">INDIRECT("'数据-取费表'!Am"&amp;$G$1)</f>
        <v>0</v>
      </c>
      <c r="G38" s="1383"/>
      <c r="H38" s="2698"/>
      <c r="I38" s="1397"/>
      <c r="J38" s="1398"/>
      <c r="K38" s="2702"/>
      <c r="L38" s="2698"/>
      <c r="M38" s="2698"/>
    </row>
    <row r="39" spans="1:18" ht="24.6" customHeight="1" thickTop="1">
      <c r="A39" s="1078" t="s">
        <v>394</v>
      </c>
      <c r="B39" s="1093" t="s">
        <v>770</v>
      </c>
      <c r="C39" s="310">
        <f ca="1">C5-C30</f>
        <v>0</v>
      </c>
      <c r="D39" s="1094" t="s">
        <v>771</v>
      </c>
      <c r="E39" s="1095"/>
      <c r="F39" s="1096"/>
      <c r="G39" s="1383"/>
      <c r="H39" s="2698"/>
      <c r="I39" s="1397"/>
      <c r="J39" s="1398"/>
      <c r="K39" s="2702"/>
      <c r="L39" s="2698"/>
      <c r="M39" s="2698"/>
    </row>
    <row r="40" spans="1:18" ht="18" customHeight="1">
      <c r="A40" s="299" t="s">
        <v>395</v>
      </c>
      <c r="B40" s="300" t="s">
        <v>772</v>
      </c>
      <c r="C40" s="301" t="e">
        <f ca="1">ROUND(C39*(1-((1+F42)/(1+F40))^F41)/(F40-F42),0)</f>
        <v>#DIV/0!</v>
      </c>
      <c r="D40" s="324" t="s">
        <v>756</v>
      </c>
      <c r="E40" s="302" t="s">
        <v>757</v>
      </c>
      <c r="F40" s="312">
        <f ca="1">INDIRECT("'数据-取费表'!I"&amp;$G$1)</f>
        <v>0</v>
      </c>
      <c r="G40" s="1383"/>
      <c r="H40" s="1460"/>
      <c r="I40" s="1397"/>
      <c r="J40" s="1398"/>
      <c r="K40" s="2702"/>
      <c r="L40" s="1460"/>
      <c r="M40" s="1460"/>
    </row>
    <row r="41" spans="1:18" ht="18" customHeight="1">
      <c r="A41" s="304"/>
      <c r="B41" s="305"/>
      <c r="C41" s="306"/>
      <c r="D41" s="332" t="s">
        <v>773</v>
      </c>
      <c r="E41" s="302" t="s">
        <v>761</v>
      </c>
      <c r="F41" s="333">
        <f ca="1">IF(INDIRECT("'数据-取费表'!af"&amp;$G$1)=0,INDIRECT("'数据-取费表'!ae"&amp;$G$1),INDIRECT("'数据-取费表'!af"&amp;$G$1))</f>
        <v>0</v>
      </c>
      <c r="G41" s="1383"/>
      <c r="H41" s="1190"/>
      <c r="I41" s="1397"/>
      <c r="J41" s="1398"/>
      <c r="K41" s="2542"/>
      <c r="L41" s="1190"/>
      <c r="M41" s="1190"/>
    </row>
    <row r="42" spans="1:18" ht="18" customHeight="1">
      <c r="A42" s="308"/>
      <c r="B42" s="309"/>
      <c r="C42" s="310"/>
      <c r="D42" s="327"/>
      <c r="E42" s="302" t="s">
        <v>764</v>
      </c>
      <c r="F42" s="312">
        <f ca="1">INDIRECT("'数据-取费表'!v"&amp;$G$1)</f>
        <v>0</v>
      </c>
      <c r="G42" s="1383"/>
      <c r="H42" s="1190"/>
      <c r="I42" s="1397"/>
      <c r="J42" s="1398"/>
      <c r="K42" s="2542"/>
      <c r="L42" s="1190"/>
      <c r="M42" s="1190"/>
    </row>
    <row r="43" spans="1:18" ht="18" customHeight="1" thickBot="1">
      <c r="A43" s="334" t="s">
        <v>396</v>
      </c>
      <c r="B43" s="335" t="s">
        <v>774</v>
      </c>
      <c r="C43" s="336" t="e">
        <f ca="1">ROUND(C40/F43,0)</f>
        <v>#DIV/0!</v>
      </c>
      <c r="D43" s="337" t="s">
        <v>775</v>
      </c>
      <c r="E43" s="338" t="s">
        <v>776</v>
      </c>
      <c r="F43" s="339">
        <f ca="1">INDIRECT("'数据-取费表'!k"&amp;$G$1)</f>
        <v>0</v>
      </c>
      <c r="G43" s="1383"/>
      <c r="H43" s="1190"/>
      <c r="I43" s="1190"/>
      <c r="J43" s="1190"/>
      <c r="K43" s="2542"/>
      <c r="L43" s="1190"/>
      <c r="M43" s="1190"/>
    </row>
    <row r="44" spans="1:18" s="1383" customFormat="1" ht="18" customHeight="1">
      <c r="A44" s="1399"/>
      <c r="B44" s="1399"/>
      <c r="C44" s="1400"/>
      <c r="D44" s="1399"/>
      <c r="E44" s="1399"/>
      <c r="F44" s="1399"/>
      <c r="K44" s="1401"/>
    </row>
    <row r="45" spans="1:18" s="1383" customFormat="1" ht="18" customHeight="1" thickBot="1">
      <c r="A45" s="3429" t="s">
        <v>3351</v>
      </c>
      <c r="B45" s="1399"/>
      <c r="C45" s="1471" t="e">
        <f ca="1">ROUND((C68-C40)/10000,4)</f>
        <v>#DIV/0!</v>
      </c>
      <c r="D45" s="3430" t="s">
        <v>3352</v>
      </c>
      <c r="E45" s="1399"/>
      <c r="F45" s="1399"/>
      <c r="O45" s="1402" t="s">
        <v>806</v>
      </c>
      <c r="P45" s="1460"/>
      <c r="Q45" s="1460"/>
      <c r="R45" s="1460"/>
    </row>
    <row r="46" spans="1:18" s="1383" customFormat="1" ht="13.5" thickBot="1">
      <c r="A46" s="1403" t="s">
        <v>807</v>
      </c>
      <c r="C46" s="1404" t="e">
        <f ca="1">ROUND(C45,0)</f>
        <v>#DIV/0!</v>
      </c>
      <c r="D46" s="1405" t="str">
        <f>C2</f>
        <v>万元</v>
      </c>
      <c r="I46" s="1406" t="s">
        <v>808</v>
      </c>
      <c r="J46" s="1407"/>
      <c r="K46" s="1408"/>
      <c r="L46" s="1409" t="e">
        <f ca="1">IF(M47="住宅",0,IF(L48&gt;J51,L60,J60))</f>
        <v>#DIV/0!</v>
      </c>
      <c r="O46" s="1410" t="s">
        <v>809</v>
      </c>
      <c r="P46" s="1411" t="s">
        <v>810</v>
      </c>
      <c r="Q46" s="1412" t="s">
        <v>811</v>
      </c>
      <c r="R46" s="1412" t="s">
        <v>812</v>
      </c>
    </row>
    <row r="47" spans="1:18" s="1383" customFormat="1" ht="13.5" thickBot="1">
      <c r="A47" s="945" t="s">
        <v>685</v>
      </c>
      <c r="B47" s="977" t="s">
        <v>686</v>
      </c>
      <c r="C47" s="977" t="s">
        <v>687</v>
      </c>
      <c r="D47" s="977" t="s">
        <v>688</v>
      </c>
      <c r="E47" s="1057" t="s">
        <v>689</v>
      </c>
      <c r="F47" s="1058"/>
      <c r="G47" s="721"/>
      <c r="I47" s="1413" t="s">
        <v>813</v>
      </c>
      <c r="J47" s="1414"/>
      <c r="K47" s="1415" t="s">
        <v>814</v>
      </c>
      <c r="L47" s="1416">
        <f ca="1">INDIRECT("'数据-取费表'!d"&amp;$G$1)</f>
        <v>0</v>
      </c>
      <c r="M47" s="1379" t="str">
        <f>IF(ISNUMBER(FIND("住宅",C1)),"住宅","非住宅")</f>
        <v>非住宅</v>
      </c>
      <c r="O47" s="1417" t="s">
        <v>403</v>
      </c>
      <c r="P47" s="1418" t="s">
        <v>815</v>
      </c>
      <c r="Q47" s="1419" t="e">
        <f ca="1">C40+J29</f>
        <v>#DIV/0!</v>
      </c>
      <c r="R47" s="1419" t="s">
        <v>816</v>
      </c>
    </row>
    <row r="48" spans="1:18" s="1383" customFormat="1" ht="28.5" thickBot="1">
      <c r="A48" s="1109" t="s">
        <v>438</v>
      </c>
      <c r="B48" s="300" t="s">
        <v>690</v>
      </c>
      <c r="C48" s="1358">
        <f ca="1">C49+C53+C55</f>
        <v>0</v>
      </c>
      <c r="D48" s="1111"/>
      <c r="E48" s="1112"/>
      <c r="F48" s="961"/>
      <c r="G48" s="721"/>
      <c r="H48" s="722"/>
      <c r="I48" s="1420" t="s">
        <v>817</v>
      </c>
      <c r="J48" s="1421"/>
      <c r="K48" s="1422" t="s">
        <v>818</v>
      </c>
      <c r="L48" s="1423">
        <f ca="1">INDIRECT("'数据-取费表'!f"&amp;$G$1)</f>
        <v>0</v>
      </c>
      <c r="O48" s="1417" t="s">
        <v>404</v>
      </c>
      <c r="P48" s="1418" t="s">
        <v>819</v>
      </c>
      <c r="Q48" s="1419" t="e">
        <f ca="1">J60</f>
        <v>#DIV/0!</v>
      </c>
      <c r="R48" s="1419" t="s">
        <v>820</v>
      </c>
    </row>
    <row r="49" spans="1:18" s="1383" customFormat="1" ht="13.5" thickBot="1">
      <c r="A49" s="974" t="s">
        <v>439</v>
      </c>
      <c r="B49" s="1370" t="s">
        <v>777</v>
      </c>
      <c r="C49" s="1113">
        <f ca="1">ROUND(F49*F51*F50*(1-F52),0)</f>
        <v>0</v>
      </c>
      <c r="D49" s="1054" t="s">
        <v>693</v>
      </c>
      <c r="E49" s="1371" t="s">
        <v>778</v>
      </c>
      <c r="F49" s="1059"/>
      <c r="G49" s="1424"/>
      <c r="H49" s="722"/>
      <c r="I49" s="1420" t="s">
        <v>821</v>
      </c>
      <c r="J49" s="1425"/>
      <c r="K49" s="1422" t="s">
        <v>822</v>
      </c>
      <c r="L49" s="1426"/>
      <c r="O49" s="1427" t="s">
        <v>405</v>
      </c>
      <c r="P49" s="1418" t="s">
        <v>823</v>
      </c>
      <c r="Q49" s="1419">
        <f ca="1">C29</f>
        <v>0</v>
      </c>
      <c r="R49" s="1419" t="s">
        <v>816</v>
      </c>
    </row>
    <row r="50" spans="1:18" s="1383" customFormat="1" ht="13.5" thickBot="1">
      <c r="A50" s="975"/>
      <c r="B50" s="978"/>
      <c r="C50" s="979"/>
      <c r="D50" s="952"/>
      <c r="E50" s="1055" t="s">
        <v>695</v>
      </c>
      <c r="F50" s="1056">
        <f ca="1">F7</f>
        <v>0</v>
      </c>
      <c r="H50" s="722"/>
      <c r="I50" s="1420" t="s">
        <v>824</v>
      </c>
      <c r="J50" s="1428">
        <f>SUMPRODUCT((I63:I65=J47)*(J62:L62=J48)*(J63:L65))</f>
        <v>0</v>
      </c>
      <c r="K50" s="1422" t="s">
        <v>825</v>
      </c>
      <c r="L50" s="1426"/>
      <c r="M50" s="1429"/>
      <c r="O50" s="1427" t="s">
        <v>406</v>
      </c>
      <c r="P50" s="1418" t="s">
        <v>826</v>
      </c>
      <c r="Q50" s="1430" t="e">
        <f ca="1">J58</f>
        <v>#DIV/0!</v>
      </c>
      <c r="R50" s="1419"/>
    </row>
    <row r="51" spans="1:18" s="1383" customFormat="1" ht="13.5" thickBot="1">
      <c r="A51" s="976"/>
      <c r="B51" s="978"/>
      <c r="C51" s="979"/>
      <c r="D51" s="952"/>
      <c r="E51" s="980" t="s">
        <v>696</v>
      </c>
      <c r="F51" s="303">
        <f ca="1">F8</f>
        <v>0</v>
      </c>
      <c r="I51" s="1431" t="s">
        <v>827</v>
      </c>
      <c r="J51" s="1432">
        <f>IF(J49="",J50,J49+J50-YEAR('数据-取费表'!B2))</f>
        <v>0</v>
      </c>
      <c r="K51" s="1433" t="s">
        <v>828</v>
      </c>
      <c r="L51" s="1434">
        <f ca="1">ROUND(-PV(INDIRECT("'数据-取费表'!h"&amp;$G$1),J51,(C39-C13*C76),0),0)</f>
        <v>0</v>
      </c>
      <c r="M51" s="1435"/>
      <c r="O51" s="1427" t="s">
        <v>407</v>
      </c>
      <c r="P51" s="1418" t="s">
        <v>829</v>
      </c>
      <c r="Q51" s="1430">
        <f>J52</f>
        <v>0</v>
      </c>
      <c r="R51" s="1419"/>
    </row>
    <row r="52" spans="1:18" s="1383" customFormat="1" ht="13.5" thickBot="1">
      <c r="A52" s="976"/>
      <c r="B52" s="978"/>
      <c r="C52" s="979"/>
      <c r="D52" s="952"/>
      <c r="E52" s="980" t="s">
        <v>697</v>
      </c>
      <c r="F52" s="1053"/>
      <c r="I52" s="1436" t="s">
        <v>830</v>
      </c>
      <c r="J52" s="1437"/>
      <c r="K52" s="1436" t="s">
        <v>831</v>
      </c>
      <c r="L52" s="1437"/>
      <c r="O52" s="1427" t="s">
        <v>408</v>
      </c>
      <c r="P52" s="1418" t="s">
        <v>832</v>
      </c>
      <c r="Q52" s="1419">
        <f ca="1">J53</f>
        <v>0</v>
      </c>
      <c r="R52" s="1419" t="s">
        <v>833</v>
      </c>
    </row>
    <row r="53" spans="1:18" s="1383" customFormat="1" ht="30.75" customHeight="1" thickBot="1">
      <c r="A53" s="1110" t="s">
        <v>440</v>
      </c>
      <c r="B53" s="323" t="s">
        <v>698</v>
      </c>
      <c r="C53" s="316">
        <f ca="1">ROUND(IF(F53="押一",C49/12*F11,IF(F53="押二",C49/12*2*F11,IF(F53="押三",C49/12*3*F11,C54*F11))),0)</f>
        <v>0</v>
      </c>
      <c r="D53" s="1365" t="s">
        <v>2116</v>
      </c>
      <c r="E53" s="313" t="s">
        <v>699</v>
      </c>
      <c r="F53" s="1115"/>
      <c r="I53" s="1438" t="s">
        <v>834</v>
      </c>
      <c r="J53" s="2167">
        <f ca="1">IF(M47="住宅",IF(D1="——",MAX(J51,L48),MAX(J51,L48-'数据-取费表'!B24)),IF(D1="——",MIN(J51,L48),MIN(J51,L48-'数据-取费表'!B24)))</f>
        <v>0</v>
      </c>
      <c r="K53" s="4082" t="s">
        <v>835</v>
      </c>
      <c r="L53" s="4083"/>
      <c r="O53" s="1417" t="s">
        <v>409</v>
      </c>
      <c r="P53" s="1418" t="s">
        <v>836</v>
      </c>
      <c r="Q53" s="1419" t="e">
        <f ca="1">Q47+Q48</f>
        <v>#DIV/0!</v>
      </c>
      <c r="R53" s="1419" t="s">
        <v>410</v>
      </c>
    </row>
    <row r="54" spans="1:18" s="1383" customFormat="1" ht="13.5" thickBot="1">
      <c r="A54" s="974"/>
      <c r="B54" s="1472" t="s">
        <v>889</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837</v>
      </c>
      <c r="P54" s="1380"/>
      <c r="Q54" s="1380"/>
      <c r="R54" s="1380"/>
    </row>
    <row r="55" spans="1:18" s="1383" customFormat="1" ht="13.5" thickBot="1">
      <c r="A55" s="1082" t="s">
        <v>437</v>
      </c>
      <c r="B55" s="1368" t="s">
        <v>701</v>
      </c>
      <c r="C55" s="1083"/>
      <c r="D55" s="1365"/>
      <c r="E55" s="1373"/>
      <c r="F55" s="1439"/>
      <c r="I55" s="1442" t="s">
        <v>838</v>
      </c>
      <c r="J55" s="1443" t="e">
        <f ca="1">ROUND(IF(J47="钢混",J57/J50,1-(1-2%)*(J50-J57)/J50),3)</f>
        <v>#DIV/0!</v>
      </c>
      <c r="K55" s="1444" t="s">
        <v>839</v>
      </c>
      <c r="L55" s="1445"/>
      <c r="O55" s="1410" t="s">
        <v>809</v>
      </c>
      <c r="P55" s="1411" t="s">
        <v>810</v>
      </c>
      <c r="Q55" s="1412" t="s">
        <v>811</v>
      </c>
      <c r="R55" s="1412" t="s">
        <v>812</v>
      </c>
    </row>
    <row r="56" spans="1:18" s="1383" customFormat="1" ht="36" customHeight="1" thickTop="1" thickBot="1">
      <c r="A56" s="956">
        <v>2</v>
      </c>
      <c r="B56" s="957" t="s">
        <v>702</v>
      </c>
      <c r="C56" s="232">
        <f ca="1">C13</f>
        <v>0</v>
      </c>
      <c r="D56" s="1446"/>
      <c r="E56" s="1447"/>
      <c r="F56" s="1439"/>
      <c r="I56" s="1448" t="s">
        <v>840</v>
      </c>
      <c r="J56" s="1449"/>
      <c r="K56" s="1420" t="s">
        <v>841</v>
      </c>
      <c r="L56" s="1423">
        <f ca="1">IF(L48&lt;J51,"——",L48-J51)</f>
        <v>0</v>
      </c>
      <c r="O56" s="1417" t="s">
        <v>403</v>
      </c>
      <c r="P56" s="1418" t="s">
        <v>815</v>
      </c>
      <c r="Q56" s="1419" t="e">
        <f ca="1">C40+J29</f>
        <v>#DIV/0!</v>
      </c>
      <c r="R56" s="1419" t="s">
        <v>816</v>
      </c>
    </row>
    <row r="57" spans="1:18" s="1383" customFormat="1" ht="24.75" thickBot="1">
      <c r="A57" s="1450"/>
      <c r="B57" s="949" t="s">
        <v>765</v>
      </c>
      <c r="C57" s="238">
        <f ca="1">C29</f>
        <v>0</v>
      </c>
      <c r="D57" s="1451"/>
      <c r="E57" s="1452"/>
      <c r="F57" s="1453"/>
      <c r="I57" s="1454" t="s">
        <v>842</v>
      </c>
      <c r="J57" s="1455">
        <f ca="1">IF(OR(M47="住宅",J51&lt;L48,J56="是"),"——",J51-L48)</f>
        <v>0</v>
      </c>
      <c r="K57" s="1420" t="s">
        <v>890</v>
      </c>
      <c r="L57" s="1423">
        <f ca="1">IF(L48&lt;J51,"——",IF(L55="比较法",L49,IF(L55="基准地价",L50,L51)))</f>
        <v>0</v>
      </c>
      <c r="O57" s="1417" t="s">
        <v>404</v>
      </c>
      <c r="P57" s="1418" t="s">
        <v>891</v>
      </c>
      <c r="Q57" s="1419" t="e">
        <f ca="1">L60</f>
        <v>#DIV/0!</v>
      </c>
      <c r="R57" s="1419" t="s">
        <v>892</v>
      </c>
    </row>
    <row r="58" spans="1:18" s="1383" customFormat="1" ht="24.75" thickBot="1">
      <c r="A58" s="315" t="s">
        <v>393</v>
      </c>
      <c r="B58" s="957" t="s">
        <v>712</v>
      </c>
      <c r="C58" s="316">
        <f ca="1">ROUND(C59+C64+C65+C66,0)</f>
        <v>0</v>
      </c>
      <c r="D58" s="959" t="s">
        <v>713</v>
      </c>
      <c r="E58" s="960"/>
      <c r="F58" s="961"/>
      <c r="I58" s="1454" t="s">
        <v>846</v>
      </c>
      <c r="J58" s="1456" t="e">
        <f ca="1">IF(J55&lt;0.4,0.4,J55)</f>
        <v>#DIV/0!</v>
      </c>
      <c r="K58" s="1433" t="s">
        <v>893</v>
      </c>
      <c r="L58" s="1423" t="e">
        <f ca="1">ROUND(POWER(1+L52,L47-L48)*(POWER(1+L52,L48)-1)/(POWER(1+L52,L47)-1),4)</f>
        <v>#DIV/0!</v>
      </c>
      <c r="O58" s="1427" t="s">
        <v>405</v>
      </c>
      <c r="P58" s="1418" t="s">
        <v>848</v>
      </c>
      <c r="Q58" s="1419">
        <f>IF(L55="比较法",L49,IF(L55="基准地价",L50,0))</f>
        <v>0</v>
      </c>
      <c r="R58" s="1419" t="s">
        <v>816</v>
      </c>
    </row>
    <row r="59" spans="1:18" s="1383" customFormat="1" ht="24.75" thickBot="1">
      <c r="A59" s="981" t="s">
        <v>398</v>
      </c>
      <c r="B59" s="949" t="s">
        <v>717</v>
      </c>
      <c r="C59" s="2315">
        <f ca="1">ROUND(IF(AND(项目基本情况!B11="自然人",项目基本情况!B10="北京市"),C49*F59/(1+'数据-取费表'!C42),C60+C61+C62),0)</f>
        <v>0</v>
      </c>
      <c r="D59" s="962" t="s">
        <v>718</v>
      </c>
      <c r="E59" s="963" t="s">
        <v>719</v>
      </c>
      <c r="F59" s="2314" t="str">
        <f>IF(项目基本情况!B11="企业","——",IF('数据-取费表'!B10="住宅",IF(F49*F50*F51/12/(1+'数据-取费表'!F30)&gt;100000,4%,2.5%),IF(F49*F50*F51/12/(1+'数据-取费表'!F30)&gt;100000,12%,7%)))</f>
        <v>——</v>
      </c>
      <c r="I59" s="1454" t="s">
        <v>849</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850</v>
      </c>
      <c r="Q59" s="1430">
        <f>L52</f>
        <v>0</v>
      </c>
      <c r="R59" s="1419"/>
    </row>
    <row r="60" spans="1:18" s="1383" customFormat="1" ht="16.5" thickBot="1">
      <c r="A60" s="981" t="s">
        <v>397</v>
      </c>
      <c r="B60" s="949" t="s">
        <v>721</v>
      </c>
      <c r="C60" s="21">
        <f ca="1">IF(项目基本情况!B11="自然人","——",ROUND(C48*F60/(1+'数据-取费表'!C42),0))</f>
        <v>0</v>
      </c>
      <c r="D60" s="963" t="s">
        <v>722</v>
      </c>
      <c r="E60" s="949" t="s">
        <v>710</v>
      </c>
      <c r="F60" s="331">
        <f t="shared" ref="F60:F66" si="0">F32</f>
        <v>5.6000000000000001E-2</v>
      </c>
      <c r="I60" s="1457" t="s">
        <v>851</v>
      </c>
      <c r="J60" s="1458" t="e">
        <f ca="1">IF(OR(M47="住宅",J51&lt;L48,J56="是"),"0",ROUND(J59/(1+J52)^J53,0))</f>
        <v>#DIV/0!</v>
      </c>
      <c r="K60" s="1459" t="s">
        <v>852</v>
      </c>
      <c r="L60" s="1458" t="e">
        <f ca="1">IF(OR(M47="住宅",L48&lt;J51),0,ROUND(L57*(L58/L59-1),0))</f>
        <v>#DIV/0!</v>
      </c>
      <c r="O60" s="1427" t="s">
        <v>407</v>
      </c>
      <c r="P60" s="1418" t="s">
        <v>853</v>
      </c>
      <c r="Q60" s="1419" t="e">
        <f ca="1">L58</f>
        <v>#DIV/0!</v>
      </c>
      <c r="R60" s="1419" t="s">
        <v>854</v>
      </c>
    </row>
    <row r="61" spans="1:18" s="1383" customFormat="1" ht="13.5" thickBot="1">
      <c r="A61" s="981" t="s">
        <v>779</v>
      </c>
      <c r="B61" s="949" t="s">
        <v>780</v>
      </c>
      <c r="C61" s="21">
        <f ca="1">IF(项目基本情况!B11="自然人","——",IF(D61="按租金收入计税",ROUND(C49*F61/(1+'数据-取费表'!C42),0),IF(D61="按房产原值计税",ROUND(C57*F61*0.7,0),INDIRECT("'数据-取费表'!Aj"&amp;$G$1))))</f>
        <v>0</v>
      </c>
      <c r="D61" s="1369" t="s">
        <v>3335</v>
      </c>
      <c r="E61" s="949" t="s">
        <v>781</v>
      </c>
      <c r="F61" s="322">
        <f t="shared" si="0"/>
        <v>0.12</v>
      </c>
      <c r="I61" s="1460"/>
      <c r="J61" s="1460"/>
      <c r="K61" s="1460"/>
      <c r="L61" s="1460"/>
      <c r="O61" s="1427" t="s">
        <v>408</v>
      </c>
      <c r="P61" s="1418" t="str">
        <f>K59</f>
        <v>建筑物剩余耐用年限下的土地年期修正系数Kn</v>
      </c>
      <c r="Q61" s="1419" t="e">
        <f ca="1">L59</f>
        <v>#DIV/0!</v>
      </c>
      <c r="R61" s="1419" t="s">
        <v>855</v>
      </c>
    </row>
    <row r="62" spans="1:18" s="1383" customFormat="1" ht="13.5" thickBot="1">
      <c r="A62" s="981" t="s">
        <v>782</v>
      </c>
      <c r="B62" s="948" t="s">
        <v>783</v>
      </c>
      <c r="C62" s="22">
        <f ca="1">IF(项目基本情况!B11="自然人","——",ROUND(F62*F63,0))</f>
        <v>0</v>
      </c>
      <c r="D62" s="964" t="s">
        <v>784</v>
      </c>
      <c r="E62" s="949" t="s">
        <v>785</v>
      </c>
      <c r="F62" s="325">
        <f t="shared" si="0"/>
        <v>24</v>
      </c>
      <c r="I62" s="1461" t="s">
        <v>856</v>
      </c>
      <c r="J62" s="1462" t="s">
        <v>857</v>
      </c>
      <c r="K62" s="1462" t="s">
        <v>858</v>
      </c>
      <c r="L62" s="1462" t="s">
        <v>859</v>
      </c>
      <c r="M62" s="1463" t="s">
        <v>860</v>
      </c>
      <c r="O62" s="1417" t="s">
        <v>409</v>
      </c>
      <c r="P62" s="1418" t="s">
        <v>861</v>
      </c>
      <c r="Q62" s="1419" t="e">
        <f ca="1">Q56+Q57</f>
        <v>#DIV/0!</v>
      </c>
      <c r="R62" s="1419" t="s">
        <v>410</v>
      </c>
    </row>
    <row r="63" spans="1:18" s="1383" customFormat="1" ht="13.5" thickBot="1">
      <c r="A63" s="326"/>
      <c r="B63" s="955"/>
      <c r="C63" s="26"/>
      <c r="D63" s="965"/>
      <c r="E63" s="949" t="s">
        <v>786</v>
      </c>
      <c r="F63" s="303">
        <f t="shared" ca="1" si="0"/>
        <v>0</v>
      </c>
      <c r="I63" s="1461" t="s">
        <v>862</v>
      </c>
      <c r="J63" s="1462">
        <v>70</v>
      </c>
      <c r="K63" s="1462">
        <v>50</v>
      </c>
      <c r="L63" s="1462">
        <v>80</v>
      </c>
      <c r="M63" s="1464">
        <v>0.02</v>
      </c>
      <c r="O63" s="1402" t="s">
        <v>863</v>
      </c>
      <c r="P63" s="1380"/>
      <c r="Q63" s="1380"/>
      <c r="R63" s="1380"/>
    </row>
    <row r="64" spans="1:18" s="1383" customFormat="1" ht="13.5" thickBot="1">
      <c r="A64" s="981" t="s">
        <v>787</v>
      </c>
      <c r="B64" s="949" t="s">
        <v>788</v>
      </c>
      <c r="C64" s="21">
        <f ca="1">ROUND(C57*F64,0)</f>
        <v>0</v>
      </c>
      <c r="D64" s="963" t="s">
        <v>789</v>
      </c>
      <c r="E64" s="949" t="s">
        <v>781</v>
      </c>
      <c r="F64" s="328">
        <f t="shared" ca="1" si="0"/>
        <v>0</v>
      </c>
      <c r="I64" s="1461" t="s">
        <v>864</v>
      </c>
      <c r="J64" s="1462">
        <v>50</v>
      </c>
      <c r="K64" s="1462">
        <v>35</v>
      </c>
      <c r="L64" s="1462">
        <v>60</v>
      </c>
      <c r="M64" s="1463">
        <v>0</v>
      </c>
      <c r="O64" s="1410" t="s">
        <v>809</v>
      </c>
      <c r="P64" s="1411" t="s">
        <v>810</v>
      </c>
      <c r="Q64" s="1412" t="s">
        <v>811</v>
      </c>
      <c r="R64" s="1412" t="s">
        <v>812</v>
      </c>
    </row>
    <row r="65" spans="1:18" s="1383" customFormat="1" ht="13.5" thickBot="1">
      <c r="A65" s="981" t="s">
        <v>790</v>
      </c>
      <c r="B65" s="949" t="s">
        <v>740</v>
      </c>
      <c r="C65" s="21">
        <f ca="1">ROUND(C56*F65,0)</f>
        <v>0</v>
      </c>
      <c r="D65" s="963" t="s">
        <v>741</v>
      </c>
      <c r="E65" s="949" t="s">
        <v>742</v>
      </c>
      <c r="F65" s="330">
        <f t="shared" ca="1" si="0"/>
        <v>0</v>
      </c>
      <c r="I65" s="1461" t="s">
        <v>865</v>
      </c>
      <c r="J65" s="1462">
        <v>40</v>
      </c>
      <c r="K65" s="1462">
        <v>30</v>
      </c>
      <c r="L65" s="1462">
        <v>50</v>
      </c>
      <c r="M65" s="1464">
        <v>0.02</v>
      </c>
      <c r="O65" s="1417" t="s">
        <v>403</v>
      </c>
      <c r="P65" s="1418" t="s">
        <v>866</v>
      </c>
      <c r="Q65" s="1419" t="e">
        <f ca="1">C40+J29</f>
        <v>#DIV/0!</v>
      </c>
      <c r="R65" s="1419" t="s">
        <v>816</v>
      </c>
    </row>
    <row r="66" spans="1:18" s="1383" customFormat="1" ht="16.5" thickBot="1">
      <c r="A66" s="981" t="s">
        <v>791</v>
      </c>
      <c r="B66" s="949" t="s">
        <v>726</v>
      </c>
      <c r="C66" s="21">
        <f ca="1">ROUND(C48*F66,0)</f>
        <v>0</v>
      </c>
      <c r="D66" s="963" t="s">
        <v>792</v>
      </c>
      <c r="E66" s="949" t="s">
        <v>710</v>
      </c>
      <c r="F66" s="312">
        <f t="shared" ca="1" si="0"/>
        <v>0</v>
      </c>
      <c r="O66" s="1417" t="s">
        <v>404</v>
      </c>
      <c r="P66" s="1418" t="s">
        <v>844</v>
      </c>
      <c r="Q66" s="1419" t="e">
        <f ca="1">L60</f>
        <v>#DIV/0!</v>
      </c>
      <c r="R66" s="1419" t="s">
        <v>867</v>
      </c>
    </row>
    <row r="67" spans="1:18" s="1383" customFormat="1" ht="16.5" thickBot="1">
      <c r="A67" s="956" t="s">
        <v>394</v>
      </c>
      <c r="B67" s="966" t="s">
        <v>750</v>
      </c>
      <c r="C67" s="316">
        <f ca="1">C48-C58</f>
        <v>0</v>
      </c>
      <c r="D67" s="962" t="s">
        <v>751</v>
      </c>
      <c r="E67" s="967"/>
      <c r="F67" s="968"/>
      <c r="O67" s="1427" t="s">
        <v>405</v>
      </c>
      <c r="P67" s="1418" t="s">
        <v>848</v>
      </c>
      <c r="Q67" s="1465">
        <f ca="1">L51</f>
        <v>0</v>
      </c>
      <c r="R67" s="1419" t="s">
        <v>868</v>
      </c>
    </row>
    <row r="68" spans="1:18" s="1383" customFormat="1" ht="16.5" thickBot="1">
      <c r="A68" s="946" t="s">
        <v>395</v>
      </c>
      <c r="B68" s="947" t="s">
        <v>772</v>
      </c>
      <c r="C68" s="301" t="e">
        <f ca="1">ROUND(C67*(1-((1+F70)/(1+F68))^F69)/(F68-F70),0)</f>
        <v>#DIV/0!</v>
      </c>
      <c r="D68" s="964" t="s">
        <v>756</v>
      </c>
      <c r="E68" s="949" t="s">
        <v>757</v>
      </c>
      <c r="F68" s="312">
        <f ca="1">F40</f>
        <v>0</v>
      </c>
      <c r="O68" s="1427" t="s">
        <v>406</v>
      </c>
      <c r="P68" s="1466" t="s">
        <v>869</v>
      </c>
      <c r="Q68" s="1419">
        <f ca="1">ROUND(Q69-Q70*Q71,0)</f>
        <v>0</v>
      </c>
      <c r="R68" s="1419" t="s">
        <v>414</v>
      </c>
    </row>
    <row r="69" spans="1:18" s="1383" customFormat="1" ht="13.5" thickBot="1">
      <c r="A69" s="950"/>
      <c r="B69" s="951"/>
      <c r="C69" s="306"/>
      <c r="D69" s="969" t="s">
        <v>760</v>
      </c>
      <c r="E69" s="949" t="s">
        <v>761</v>
      </c>
      <c r="F69" s="333">
        <f ca="1">F41</f>
        <v>0</v>
      </c>
      <c r="O69" s="1427" t="s">
        <v>411</v>
      </c>
      <c r="P69" s="1466" t="s">
        <v>870</v>
      </c>
      <c r="Q69" s="1419">
        <f ca="1">C39</f>
        <v>0</v>
      </c>
      <c r="R69" s="1419" t="s">
        <v>816</v>
      </c>
    </row>
    <row r="70" spans="1:18" s="1383" customFormat="1" ht="13.5" thickBot="1">
      <c r="A70" s="953"/>
      <c r="B70" s="954"/>
      <c r="C70" s="310"/>
      <c r="D70" s="965"/>
      <c r="E70" s="949" t="s">
        <v>764</v>
      </c>
      <c r="F70" s="1053"/>
      <c r="O70" s="1427" t="s">
        <v>412</v>
      </c>
      <c r="P70" s="1466" t="s">
        <v>871</v>
      </c>
      <c r="Q70" s="1419">
        <f ca="1">C13</f>
        <v>0</v>
      </c>
      <c r="R70" s="1419" t="s">
        <v>816</v>
      </c>
    </row>
    <row r="71" spans="1:18" s="1383" customFormat="1" ht="13.5" thickBot="1">
      <c r="A71" s="970" t="s">
        <v>396</v>
      </c>
      <c r="B71" s="971" t="s">
        <v>774</v>
      </c>
      <c r="C71" s="336" t="e">
        <f ca="1">ROUND(C68/F71,0)</f>
        <v>#DIV/0!</v>
      </c>
      <c r="D71" s="972" t="s">
        <v>775</v>
      </c>
      <c r="E71" s="973" t="s">
        <v>776</v>
      </c>
      <c r="F71" s="339">
        <f ca="1">F43</f>
        <v>0</v>
      </c>
      <c r="O71" s="1427" t="s">
        <v>413</v>
      </c>
      <c r="P71" s="1466" t="s">
        <v>872</v>
      </c>
      <c r="Q71" s="1430">
        <f ca="1">C76</f>
        <v>0</v>
      </c>
      <c r="R71" s="1419"/>
    </row>
    <row r="72" spans="1:18" s="1383" customFormat="1" ht="13.5" thickBot="1">
      <c r="B72" s="725"/>
      <c r="C72" s="725"/>
      <c r="O72" s="1427" t="s">
        <v>407</v>
      </c>
      <c r="P72" s="1418" t="s">
        <v>850</v>
      </c>
      <c r="Q72" s="1430">
        <f>L52</f>
        <v>0</v>
      </c>
      <c r="R72" s="1419"/>
    </row>
    <row r="73" spans="1:18" ht="16.5" thickBot="1">
      <c r="A73" s="1383"/>
      <c r="B73" s="725"/>
      <c r="C73" s="725"/>
      <c r="D73" s="1383"/>
      <c r="E73" s="1383"/>
      <c r="F73" s="1383"/>
      <c r="O73" s="1427" t="s">
        <v>408</v>
      </c>
      <c r="P73" s="1418" t="s">
        <v>853</v>
      </c>
      <c r="Q73" s="1419" t="e">
        <f ca="1">L58</f>
        <v>#DIV/0!</v>
      </c>
      <c r="R73" s="1419" t="s">
        <v>854</v>
      </c>
    </row>
    <row r="74" spans="1:18" ht="13.5" thickBot="1">
      <c r="A74" s="1383"/>
      <c r="B74" s="273" t="s">
        <v>873</v>
      </c>
      <c r="C74" s="1468"/>
      <c r="D74" s="1383"/>
      <c r="E74" s="1383"/>
      <c r="F74" s="1383"/>
      <c r="O74" s="1427" t="s">
        <v>415</v>
      </c>
      <c r="P74" s="1418" t="str">
        <f>K59</f>
        <v>建筑物剩余耐用年限下的土地年期修正系数Kn</v>
      </c>
      <c r="Q74" s="1419" t="e">
        <f ca="1">L59</f>
        <v>#DIV/0!</v>
      </c>
      <c r="R74" s="1419" t="s">
        <v>855</v>
      </c>
    </row>
    <row r="75" spans="1:18" ht="13.5" thickBot="1">
      <c r="A75" s="1383"/>
      <c r="B75" s="340" t="s">
        <v>793</v>
      </c>
      <c r="C75" s="341">
        <f ca="1">ROUND(C13*C76,0)</f>
        <v>0</v>
      </c>
      <c r="D75" s="1383"/>
      <c r="E75" s="1383"/>
      <c r="F75" s="1383"/>
      <c r="K75" s="1401"/>
      <c r="L75" s="1383"/>
      <c r="O75" s="1417" t="s">
        <v>409</v>
      </c>
      <c r="P75" s="1418" t="s">
        <v>836</v>
      </c>
      <c r="Q75" s="1419" t="e">
        <f ca="1">Q65+Q66</f>
        <v>#DIV/0!</v>
      </c>
      <c r="R75" s="1419" t="s">
        <v>410</v>
      </c>
    </row>
    <row r="76" spans="1:18">
      <c r="B76" s="342" t="s">
        <v>794</v>
      </c>
      <c r="C76" s="343">
        <f ca="1">INDIRECT("'数据-取费表'!j"&amp;$G$1)</f>
        <v>0</v>
      </c>
      <c r="I76" s="1383"/>
      <c r="J76" s="1383"/>
      <c r="K76" s="1401"/>
      <c r="L76" s="1383"/>
    </row>
    <row r="77" spans="1:18">
      <c r="B77" s="344" t="s">
        <v>795</v>
      </c>
      <c r="C77" s="345"/>
      <c r="I77" s="1383"/>
      <c r="J77" s="1383"/>
      <c r="K77" s="1401"/>
      <c r="L77" s="1383"/>
    </row>
    <row r="78" spans="1:18">
      <c r="B78" s="270" t="s">
        <v>796</v>
      </c>
      <c r="C78" s="346"/>
    </row>
    <row r="79" spans="1:18">
      <c r="B79" s="340" t="s">
        <v>797</v>
      </c>
      <c r="C79" s="274" t="e">
        <f ca="1">1-C80</f>
        <v>#DIV/0!</v>
      </c>
    </row>
    <row r="80" spans="1:18">
      <c r="B80" s="340" t="s">
        <v>798</v>
      </c>
      <c r="C80" s="274" t="e">
        <f ca="1">ROUND(C75/C39,3)</f>
        <v>#DIV/0!</v>
      </c>
    </row>
    <row r="81" spans="2:3">
      <c r="B81" s="270" t="s">
        <v>799</v>
      </c>
      <c r="C81" s="238"/>
    </row>
    <row r="82" spans="2:3">
      <c r="B82" s="273" t="s">
        <v>800</v>
      </c>
      <c r="C82" s="275" t="e">
        <f ca="1">1-C83</f>
        <v>#DIV/0!</v>
      </c>
    </row>
    <row r="83" spans="2:3">
      <c r="B83" s="273" t="s">
        <v>801</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201" priority="4">
      <formula>$L$48&gt;$J$51</formula>
    </cfRule>
  </conditionalFormatting>
  <conditionalFormatting sqref="I55 I60">
    <cfRule type="expression" dxfId="200" priority="5">
      <formula>$J$51&gt;$L$48</formula>
    </cfRule>
  </conditionalFormatting>
  <conditionalFormatting sqref="C11">
    <cfRule type="expression" dxfId="199" priority="3">
      <formula>$F$10="自定义"</formula>
    </cfRule>
  </conditionalFormatting>
  <conditionalFormatting sqref="J11">
    <cfRule type="expression" dxfId="198" priority="2">
      <formula>$M$10="自定义"</formula>
    </cfRule>
  </conditionalFormatting>
  <conditionalFormatting sqref="C54">
    <cfRule type="expression" dxfId="19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2434</v>
      </c>
      <c r="B1" s="2830"/>
      <c r="C1" s="2842"/>
      <c r="D1" s="2842"/>
      <c r="E1" s="2831"/>
      <c r="F1" s="2832"/>
      <c r="G1" s="2833"/>
      <c r="J1" s="2836" t="s">
        <v>2313</v>
      </c>
      <c r="K1" s="2837"/>
      <c r="L1" s="2837"/>
      <c r="M1" s="2837"/>
      <c r="N1" s="2837"/>
      <c r="O1" s="2837"/>
      <c r="P1" s="2837"/>
      <c r="Q1" s="2837"/>
      <c r="R1" s="2838"/>
      <c r="S1" s="2839"/>
      <c r="T1" s="2839"/>
      <c r="U1" s="2839"/>
    </row>
    <row r="2" spans="1:22" s="2851" customFormat="1" ht="13.15" customHeight="1">
      <c r="A2" s="1384" t="s">
        <v>2314</v>
      </c>
      <c r="B2" s="2841" t="e">
        <f>IF(D2="——",C40,C40+E2)</f>
        <v>#DIV/0!</v>
      </c>
      <c r="C2" s="2842" t="s">
        <v>2315</v>
      </c>
      <c r="D2" s="3441" t="s">
        <v>3358</v>
      </c>
      <c r="E2" s="3442"/>
      <c r="F2" s="2844"/>
      <c r="G2" s="2845"/>
      <c r="H2" s="2846"/>
      <c r="I2" s="2847"/>
      <c r="J2" s="4084" t="s">
        <v>2316</v>
      </c>
      <c r="K2" s="4085"/>
      <c r="L2" s="2848" t="s">
        <v>2317</v>
      </c>
      <c r="M2" s="2848" t="s">
        <v>2318</v>
      </c>
      <c r="N2" s="2848" t="s">
        <v>2319</v>
      </c>
      <c r="O2" s="2848" t="s">
        <v>2320</v>
      </c>
      <c r="P2" s="2848" t="s">
        <v>2321</v>
      </c>
      <c r="Q2" s="2849" t="s">
        <v>2322</v>
      </c>
      <c r="R2" s="2850" t="s">
        <v>2323</v>
      </c>
      <c r="S2" s="2839"/>
      <c r="T2" s="2839"/>
      <c r="U2" s="2839"/>
      <c r="V2" s="2847"/>
    </row>
    <row r="3" spans="1:22" s="2851" customFormat="1" ht="13.15" customHeight="1">
      <c r="A3" s="2852" t="s">
        <v>2324</v>
      </c>
      <c r="B3" s="2853" t="e">
        <f>ROUND(B2*10000/B4,0)</f>
        <v>#DIV/0!</v>
      </c>
      <c r="C3" s="2842" t="s">
        <v>2325</v>
      </c>
      <c r="D3" s="2842"/>
      <c r="E3" s="2843"/>
      <c r="F3" s="2844"/>
      <c r="G3" s="2845"/>
      <c r="H3" s="2846"/>
      <c r="I3" s="2847"/>
      <c r="J3" s="4086" t="s">
        <v>2326</v>
      </c>
      <c r="K3" s="4087"/>
      <c r="L3" s="2854"/>
      <c r="M3" s="2854"/>
      <c r="N3" s="2854"/>
      <c r="O3" s="2854"/>
      <c r="P3" s="2854"/>
      <c r="Q3" s="2855"/>
      <c r="R3" s="2856">
        <f>SUM(L3:Q3)</f>
        <v>0</v>
      </c>
      <c r="S3" s="2839"/>
      <c r="T3" s="2839"/>
      <c r="U3" s="2839"/>
      <c r="V3" s="2847"/>
    </row>
    <row r="4" spans="1:22" s="2851" customFormat="1" ht="13.15" customHeight="1">
      <c r="A4" s="2857" t="s">
        <v>2327</v>
      </c>
      <c r="B4" s="2858"/>
      <c r="C4" s="2842"/>
      <c r="D4" s="2842"/>
      <c r="E4" s="2843"/>
      <c r="F4" s="2844"/>
      <c r="G4" s="2845"/>
      <c r="H4" s="2846"/>
      <c r="I4" s="2847"/>
      <c r="J4" s="4086" t="s">
        <v>2328</v>
      </c>
      <c r="K4" s="4087"/>
      <c r="L4" s="2859"/>
      <c r="M4" s="2859"/>
      <c r="N4" s="2859"/>
      <c r="O4" s="2859"/>
      <c r="P4" s="2859"/>
      <c r="Q4" s="2860"/>
      <c r="R4" s="2861">
        <f>SUM(L4:Q4)</f>
        <v>0</v>
      </c>
      <c r="S4" s="2839"/>
      <c r="T4" s="2839"/>
      <c r="U4" s="2839"/>
      <c r="V4" s="2847"/>
    </row>
    <row r="5" spans="1:22" s="2851" customFormat="1" ht="13.15" customHeight="1" thickBot="1">
      <c r="A5" s="2862" t="s">
        <v>2329</v>
      </c>
      <c r="B5" s="2863"/>
      <c r="C5" s="2842"/>
      <c r="D5" s="2864"/>
      <c r="E5" s="2844"/>
      <c r="F5" s="2844"/>
      <c r="G5" s="2845"/>
      <c r="H5" s="2846"/>
      <c r="I5" s="2847"/>
      <c r="J5" s="2865" t="s">
        <v>2330</v>
      </c>
      <c r="K5" s="2866"/>
      <c r="L5" s="2866"/>
      <c r="M5" s="2867"/>
      <c r="N5" s="2867"/>
      <c r="O5" s="2867"/>
      <c r="P5" s="2867"/>
      <c r="Q5" s="2867"/>
      <c r="R5" s="2850">
        <f>SUM(R14,R19,R24,R25,R27,R28)</f>
        <v>0</v>
      </c>
      <c r="S5" s="2839"/>
      <c r="T5" s="2839" t="s">
        <v>2331</v>
      </c>
      <c r="U5" s="2839" t="e">
        <f>ROUND(R5*10000/365/R3,1)</f>
        <v>#DIV/0!</v>
      </c>
      <c r="V5" s="2847"/>
    </row>
    <row r="6" spans="1:22" s="2851" customFormat="1" ht="13.15" customHeight="1" thickBot="1">
      <c r="A6" s="4088" t="s">
        <v>2332</v>
      </c>
      <c r="B6" s="4089"/>
      <c r="C6" s="4090"/>
      <c r="D6" s="2868"/>
      <c r="E6" s="2869"/>
      <c r="F6" s="2870"/>
      <c r="G6" s="2871"/>
      <c r="H6" s="2846"/>
      <c r="I6" s="2847"/>
      <c r="J6" s="4091">
        <v>1</v>
      </c>
      <c r="K6" s="4092" t="s">
        <v>2333</v>
      </c>
      <c r="L6" s="2872" t="s">
        <v>2334</v>
      </c>
      <c r="M6" s="2873" t="s">
        <v>2335</v>
      </c>
      <c r="N6" s="2873" t="s">
        <v>2336</v>
      </c>
      <c r="O6" s="2873" t="s">
        <v>2337</v>
      </c>
      <c r="P6" s="2873" t="s">
        <v>2338</v>
      </c>
      <c r="Q6" s="2873" t="s">
        <v>2339</v>
      </c>
      <c r="R6" s="2856" t="s">
        <v>2340</v>
      </c>
      <c r="S6" s="2839"/>
      <c r="T6" s="2839" t="s">
        <v>2341</v>
      </c>
      <c r="U6" s="2839"/>
      <c r="V6" s="2847"/>
    </row>
    <row r="7" spans="1:22" s="2851" customFormat="1" ht="13.15" customHeight="1">
      <c r="A7" s="2874" t="s">
        <v>2342</v>
      </c>
      <c r="B7" s="2875"/>
      <c r="C7" s="2876"/>
      <c r="D7" s="2877">
        <f>SUM(D9,D10,D11,D17,0)</f>
        <v>0</v>
      </c>
      <c r="E7" s="2878" t="e">
        <f>E9+E10+E11+E17</f>
        <v>#DIV/0!</v>
      </c>
      <c r="F7" s="2879"/>
      <c r="G7" s="2880"/>
      <c r="H7" s="2846"/>
      <c r="I7" s="2847"/>
      <c r="J7" s="4091"/>
      <c r="K7" s="4093"/>
      <c r="L7" s="2881" t="s">
        <v>2343</v>
      </c>
      <c r="M7" s="2882"/>
      <c r="N7" s="2858"/>
      <c r="O7" s="2883"/>
      <c r="P7" s="2883"/>
      <c r="Q7" s="2884">
        <v>365</v>
      </c>
      <c r="R7" s="2885">
        <f>ROUND(M7*N7*O7*P7*Q7/10000,0)</f>
        <v>0</v>
      </c>
      <c r="S7" s="2839"/>
      <c r="T7" s="2839" t="s">
        <v>2344</v>
      </c>
      <c r="U7" s="2839"/>
      <c r="V7" s="2847"/>
    </row>
    <row r="8" spans="1:22" s="2851" customFormat="1" ht="13.15" customHeight="1">
      <c r="A8" s="2886" t="s">
        <v>2345</v>
      </c>
      <c r="B8" s="4095" t="s">
        <v>2346</v>
      </c>
      <c r="C8" s="4096"/>
      <c r="D8" s="2887" t="s">
        <v>2347</v>
      </c>
      <c r="E8" s="2888" t="s">
        <v>2348</v>
      </c>
      <c r="F8" s="2889" t="s">
        <v>2349</v>
      </c>
      <c r="G8" s="2890"/>
      <c r="H8" s="2846"/>
      <c r="I8" s="2847"/>
      <c r="J8" s="4091"/>
      <c r="K8" s="4093"/>
      <c r="L8" s="2881" t="s">
        <v>2350</v>
      </c>
      <c r="M8" s="2882"/>
      <c r="N8" s="2858"/>
      <c r="O8" s="2883"/>
      <c r="P8" s="2883"/>
      <c r="Q8" s="2884">
        <v>365</v>
      </c>
      <c r="R8" s="2885">
        <f t="shared" ref="R8:R13" si="0">ROUND(M8*N8*O8*P8*Q8/10000,0)</f>
        <v>0</v>
      </c>
      <c r="S8" s="2839"/>
      <c r="T8" s="2839" t="s">
        <v>2351</v>
      </c>
      <c r="U8" s="2839"/>
      <c r="V8" s="2847"/>
    </row>
    <row r="9" spans="1:22" s="2851" customFormat="1" ht="13.15" customHeight="1">
      <c r="A9" s="2886">
        <v>1</v>
      </c>
      <c r="B9" s="4095" t="s">
        <v>2352</v>
      </c>
      <c r="C9" s="4096"/>
      <c r="D9" s="2887">
        <f>ROUND(D6*E9,0)</f>
        <v>0</v>
      </c>
      <c r="E9" s="2891"/>
      <c r="F9" s="2892" t="s">
        <v>2353</v>
      </c>
      <c r="G9" s="2871"/>
      <c r="H9" s="2846"/>
      <c r="I9" s="2847"/>
      <c r="J9" s="4091"/>
      <c r="K9" s="4093"/>
      <c r="L9" s="2881" t="s">
        <v>2354</v>
      </c>
      <c r="M9" s="2882"/>
      <c r="N9" s="2858"/>
      <c r="O9" s="2883"/>
      <c r="P9" s="2883"/>
      <c r="Q9" s="2884">
        <v>365</v>
      </c>
      <c r="R9" s="2885">
        <f t="shared" si="0"/>
        <v>0</v>
      </c>
      <c r="S9" s="2839"/>
      <c r="T9" s="2839"/>
      <c r="U9" s="2839"/>
      <c r="V9" s="2847"/>
    </row>
    <row r="10" spans="1:22" s="2851" customFormat="1" ht="13.15" customHeight="1">
      <c r="A10" s="2886">
        <v>2</v>
      </c>
      <c r="B10" s="4095" t="s">
        <v>2355</v>
      </c>
      <c r="C10" s="4096"/>
      <c r="D10" s="2887">
        <f>ROUND(D6*E10,0)</f>
        <v>0</v>
      </c>
      <c r="E10" s="2891"/>
      <c r="F10" s="2892" t="s">
        <v>2356</v>
      </c>
      <c r="G10" s="2871"/>
      <c r="H10" s="2846"/>
      <c r="I10" s="2847"/>
      <c r="J10" s="4091"/>
      <c r="K10" s="4093"/>
      <c r="L10" s="2881" t="s">
        <v>2357</v>
      </c>
      <c r="M10" s="2882"/>
      <c r="N10" s="2858"/>
      <c r="O10" s="2883"/>
      <c r="P10" s="2883"/>
      <c r="Q10" s="2884">
        <v>365</v>
      </c>
      <c r="R10" s="2885">
        <f t="shared" si="0"/>
        <v>0</v>
      </c>
      <c r="S10" s="2839"/>
      <c r="T10" s="2839"/>
      <c r="U10" s="2839"/>
      <c r="V10" s="2847"/>
    </row>
    <row r="11" spans="1:22" s="2851" customFormat="1" ht="13.15" customHeight="1">
      <c r="A11" s="2886">
        <v>3</v>
      </c>
      <c r="B11" s="4095" t="s">
        <v>2358</v>
      </c>
      <c r="C11" s="4096"/>
      <c r="D11" s="2887">
        <f>D12+D14+D15+D16</f>
        <v>0</v>
      </c>
      <c r="E11" s="2893" t="e">
        <f>D11/D6</f>
        <v>#DIV/0!</v>
      </c>
      <c r="F11" s="2889"/>
      <c r="G11" s="2890"/>
      <c r="H11" s="2846"/>
      <c r="I11" s="2847"/>
      <c r="J11" s="4091"/>
      <c r="K11" s="4093"/>
      <c r="L11" s="2881" t="s">
        <v>2359</v>
      </c>
      <c r="M11" s="2882"/>
      <c r="N11" s="2858"/>
      <c r="O11" s="2883"/>
      <c r="P11" s="2883"/>
      <c r="Q11" s="2884">
        <v>365</v>
      </c>
      <c r="R11" s="2885">
        <f t="shared" si="0"/>
        <v>0</v>
      </c>
      <c r="S11" s="2839"/>
      <c r="T11" s="2839"/>
      <c r="U11" s="2839"/>
      <c r="V11" s="2847"/>
    </row>
    <row r="12" spans="1:22" s="2851" customFormat="1" ht="13.15" customHeight="1">
      <c r="A12" s="2894" t="s">
        <v>2360</v>
      </c>
      <c r="B12" s="4097" t="s">
        <v>2361</v>
      </c>
      <c r="C12" s="4098"/>
      <c r="D12" s="2895">
        <f>ROUND(D13*1.2%*(1-30%),0)</f>
        <v>0</v>
      </c>
      <c r="E12" s="2896">
        <v>1.2E-2</v>
      </c>
      <c r="F12" s="2889" t="s">
        <v>2362</v>
      </c>
      <c r="G12" s="2890"/>
      <c r="H12" s="2846"/>
      <c r="I12" s="2847"/>
      <c r="J12" s="4091"/>
      <c r="K12" s="4093"/>
      <c r="L12" s="2881" t="s">
        <v>2363</v>
      </c>
      <c r="M12" s="2882"/>
      <c r="N12" s="2858"/>
      <c r="O12" s="2883"/>
      <c r="P12" s="2883"/>
      <c r="Q12" s="2884">
        <v>365</v>
      </c>
      <c r="R12" s="2885">
        <f t="shared" si="0"/>
        <v>0</v>
      </c>
      <c r="S12" s="2839"/>
      <c r="T12" s="2839"/>
      <c r="U12" s="2839"/>
      <c r="V12" s="2847"/>
    </row>
    <row r="13" spans="1:22" s="2851" customFormat="1" ht="13.15" customHeight="1">
      <c r="A13" s="2894"/>
      <c r="B13" s="2897"/>
      <c r="C13" s="2898" t="s">
        <v>2364</v>
      </c>
      <c r="D13" s="2899"/>
      <c r="E13" s="2900"/>
      <c r="F13" s="2889"/>
      <c r="G13" s="2890"/>
      <c r="H13" s="2846"/>
      <c r="I13" s="2847"/>
      <c r="J13" s="4091"/>
      <c r="K13" s="4093"/>
      <c r="L13" s="2881" t="s">
        <v>2365</v>
      </c>
      <c r="M13" s="2882"/>
      <c r="N13" s="2858"/>
      <c r="O13" s="2883"/>
      <c r="P13" s="2883"/>
      <c r="Q13" s="2884">
        <v>365</v>
      </c>
      <c r="R13" s="2885">
        <f t="shared" si="0"/>
        <v>0</v>
      </c>
      <c r="S13" s="2839"/>
      <c r="T13" s="2839"/>
      <c r="U13" s="2839"/>
      <c r="V13" s="2847"/>
    </row>
    <row r="14" spans="1:22" s="2851" customFormat="1" ht="13.15" customHeight="1">
      <c r="A14" s="2894" t="s">
        <v>2366</v>
      </c>
      <c r="B14" s="4097" t="s">
        <v>2367</v>
      </c>
      <c r="C14" s="4098"/>
      <c r="D14" s="2895">
        <f>ROUND(E14*B5/10000,0)</f>
        <v>0</v>
      </c>
      <c r="E14" s="2884"/>
      <c r="F14" s="2889" t="s">
        <v>2368</v>
      </c>
      <c r="G14" s="2890"/>
      <c r="H14" s="2846"/>
      <c r="I14" s="2847"/>
      <c r="J14" s="4091"/>
      <c r="K14" s="4094"/>
      <c r="L14" s="2901" t="s">
        <v>2369</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2370</v>
      </c>
      <c r="B15" s="4097" t="s">
        <v>2371</v>
      </c>
      <c r="C15" s="4098"/>
      <c r="D15" s="2895">
        <f>ROUND(D6*E15,0)</f>
        <v>0</v>
      </c>
      <c r="E15" s="2896">
        <v>5.5E-2</v>
      </c>
      <c r="F15" s="2889" t="s">
        <v>2372</v>
      </c>
      <c r="G15" s="2871"/>
      <c r="H15" s="2846"/>
      <c r="I15" s="2847"/>
      <c r="J15" s="4091">
        <v>2</v>
      </c>
      <c r="K15" s="4092" t="s">
        <v>2373</v>
      </c>
      <c r="L15" s="2881" t="s">
        <v>2374</v>
      </c>
      <c r="M15" s="2882" t="s">
        <v>2375</v>
      </c>
      <c r="N15" s="2882" t="s">
        <v>2376</v>
      </c>
      <c r="O15" s="2883" t="s">
        <v>2377</v>
      </c>
      <c r="P15" s="2883" t="s">
        <v>2339</v>
      </c>
      <c r="Q15" s="2858" t="s">
        <v>2378</v>
      </c>
      <c r="R15" s="2905" t="s">
        <v>2340</v>
      </c>
      <c r="S15" s="2839"/>
      <c r="T15" s="2839"/>
      <c r="U15" s="2839"/>
      <c r="V15" s="2847"/>
    </row>
    <row r="16" spans="1:22" s="2851" customFormat="1" ht="13.15" customHeight="1">
      <c r="A16" s="2894" t="s">
        <v>2379</v>
      </c>
      <c r="B16" s="4097" t="s">
        <v>2380</v>
      </c>
      <c r="C16" s="4098"/>
      <c r="D16" s="2906">
        <f>D6*E16</f>
        <v>0</v>
      </c>
      <c r="E16" s="2907"/>
      <c r="F16" s="2892" t="s">
        <v>2381</v>
      </c>
      <c r="G16" s="2871"/>
      <c r="H16" s="2846"/>
      <c r="I16" s="2847"/>
      <c r="J16" s="4091"/>
      <c r="K16" s="4093"/>
      <c r="L16" s="2881" t="s">
        <v>2382</v>
      </c>
      <c r="M16" s="2882"/>
      <c r="N16" s="2882"/>
      <c r="O16" s="2883"/>
      <c r="P16" s="2884">
        <v>365</v>
      </c>
      <c r="Q16" s="2858"/>
      <c r="R16" s="2905">
        <f>ROUND(M16*N16*O16*P16/10000,0)</f>
        <v>0</v>
      </c>
      <c r="S16" s="2839"/>
      <c r="T16" s="2839"/>
      <c r="U16" s="2839"/>
      <c r="V16" s="2847"/>
    </row>
    <row r="17" spans="1:22" s="2851" customFormat="1" ht="13.15" customHeight="1" thickBot="1">
      <c r="A17" s="2908">
        <v>4</v>
      </c>
      <c r="B17" s="4099" t="s">
        <v>2383</v>
      </c>
      <c r="C17" s="4100"/>
      <c r="D17" s="2909">
        <f>ROUND(D6*E17,0)</f>
        <v>0</v>
      </c>
      <c r="E17" s="2910"/>
      <c r="F17" s="2911" t="s">
        <v>2384</v>
      </c>
      <c r="G17" s="2871"/>
      <c r="H17" s="2846"/>
      <c r="I17" s="2847"/>
      <c r="J17" s="4091"/>
      <c r="K17" s="4093"/>
      <c r="L17" s="2881" t="s">
        <v>2385</v>
      </c>
      <c r="M17" s="2882"/>
      <c r="N17" s="2882"/>
      <c r="O17" s="2883"/>
      <c r="P17" s="2884">
        <v>365</v>
      </c>
      <c r="Q17" s="2858"/>
      <c r="R17" s="2905">
        <f>ROUND(M17*N17*O17*P17/10000,0)</f>
        <v>0</v>
      </c>
      <c r="S17" s="2839"/>
      <c r="T17" s="2839"/>
      <c r="U17" s="2839"/>
      <c r="V17" s="2847"/>
    </row>
    <row r="18" spans="1:22" s="2851" customFormat="1" ht="13.15" customHeight="1" thickBot="1">
      <c r="A18" s="2874" t="s">
        <v>2386</v>
      </c>
      <c r="B18" s="2875"/>
      <c r="C18" s="2875"/>
      <c r="D18" s="2912">
        <f>ROUND(D6*E18,0)</f>
        <v>0</v>
      </c>
      <c r="E18" s="2913"/>
      <c r="F18" s="2914" t="s">
        <v>2387</v>
      </c>
      <c r="G18" s="2871"/>
      <c r="H18" s="2846"/>
      <c r="I18" s="2847"/>
      <c r="J18" s="4091"/>
      <c r="K18" s="4093"/>
      <c r="L18" s="2881" t="s">
        <v>2388</v>
      </c>
      <c r="M18" s="2882"/>
      <c r="N18" s="2882"/>
      <c r="O18" s="2883"/>
      <c r="P18" s="2884">
        <v>365</v>
      </c>
      <c r="Q18" s="2858"/>
      <c r="R18" s="2905">
        <f>ROUND(M18*N18*O18*P18/10000,0)</f>
        <v>0</v>
      </c>
      <c r="S18" s="2839"/>
      <c r="T18" s="2839"/>
      <c r="U18" s="2839"/>
      <c r="V18" s="2847"/>
    </row>
    <row r="19" spans="1:22" s="2851" customFormat="1" ht="13.15" customHeight="1" thickBot="1">
      <c r="A19" s="2915" t="s">
        <v>2389</v>
      </c>
      <c r="B19" s="2869"/>
      <c r="C19" s="2869"/>
      <c r="D19" s="2869"/>
      <c r="E19" s="2869"/>
      <c r="F19" s="2870"/>
      <c r="G19" s="2890"/>
      <c r="H19" s="2846"/>
      <c r="I19" s="2847"/>
      <c r="J19" s="4091"/>
      <c r="K19" s="4094"/>
      <c r="L19" s="2901" t="s">
        <v>2369</v>
      </c>
      <c r="M19" s="2902"/>
      <c r="N19" s="2902">
        <f>SUM(N16:N18)</f>
        <v>0</v>
      </c>
      <c r="O19" s="2903"/>
      <c r="P19" s="2916" t="s">
        <v>2433</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4091">
        <v>3</v>
      </c>
      <c r="K20" s="4092" t="s">
        <v>2390</v>
      </c>
      <c r="L20" s="2881" t="s">
        <v>2391</v>
      </c>
      <c r="M20" s="2882" t="s">
        <v>2392</v>
      </c>
      <c r="N20" s="2919" t="s">
        <v>2393</v>
      </c>
      <c r="O20" s="2883" t="s">
        <v>2394</v>
      </c>
      <c r="P20" s="2884" t="s">
        <v>2395</v>
      </c>
      <c r="Q20" s="2858" t="s">
        <v>2396</v>
      </c>
      <c r="R20" s="2905" t="s">
        <v>2397</v>
      </c>
      <c r="S20" s="2920"/>
      <c r="T20" s="2920"/>
      <c r="U20" s="2920"/>
      <c r="V20" s="2847"/>
    </row>
    <row r="21" spans="1:22" s="2851" customFormat="1" ht="13.15" customHeight="1">
      <c r="A21" s="2874"/>
      <c r="B21" s="2875"/>
      <c r="C21" s="2921" t="s">
        <v>2398</v>
      </c>
      <c r="D21" s="2922" t="s">
        <v>2399</v>
      </c>
      <c r="E21" s="2923" t="s">
        <v>2400</v>
      </c>
      <c r="F21" s="2918"/>
      <c r="G21" s="2890"/>
      <c r="H21" s="2846"/>
      <c r="I21" s="2847"/>
      <c r="J21" s="4091"/>
      <c r="K21" s="4093"/>
      <c r="L21" s="2881" t="s">
        <v>2401</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2402</v>
      </c>
      <c r="D22" s="2926" t="s">
        <v>2403</v>
      </c>
      <c r="E22" s="2927" t="s">
        <v>2404</v>
      </c>
      <c r="F22" s="2918"/>
      <c r="G22" s="2928"/>
      <c r="H22" s="2846"/>
      <c r="I22" s="2847"/>
      <c r="J22" s="4091"/>
      <c r="K22" s="4093"/>
      <c r="L22" s="2881" t="s">
        <v>2405</v>
      </c>
      <c r="M22" s="2882"/>
      <c r="N22" s="2882"/>
      <c r="O22" s="2883"/>
      <c r="P22" s="2884">
        <v>365</v>
      </c>
      <c r="Q22" s="2858"/>
      <c r="R22" s="2924">
        <f>ROUND(M22*N22*O22*P22/10000,0)</f>
        <v>0</v>
      </c>
      <c r="S22" s="2920"/>
      <c r="T22" s="2920"/>
      <c r="U22" s="2920"/>
      <c r="V22" s="2847"/>
    </row>
    <row r="23" spans="1:22" s="2851" customFormat="1" ht="13.15" customHeight="1">
      <c r="A23" s="2929">
        <v>1</v>
      </c>
      <c r="B23" s="2930" t="s">
        <v>2406</v>
      </c>
      <c r="C23" s="2931">
        <f>D6</f>
        <v>0</v>
      </c>
      <c r="D23" s="2932">
        <f>C23*(1+D24)</f>
        <v>0</v>
      </c>
      <c r="E23" s="2933">
        <f>D23*(1+E24)</f>
        <v>0</v>
      </c>
      <c r="F23" s="2934"/>
      <c r="G23" s="2935"/>
      <c r="H23" s="2846"/>
      <c r="I23" s="2847"/>
      <c r="J23" s="4091"/>
      <c r="K23" s="4093"/>
      <c r="L23" s="2881" t="s">
        <v>2407</v>
      </c>
      <c r="M23" s="2882"/>
      <c r="N23" s="2882"/>
      <c r="O23" s="2883"/>
      <c r="P23" s="2884">
        <v>365</v>
      </c>
      <c r="Q23" s="2858"/>
      <c r="R23" s="2924">
        <f>ROUND(M23*N23*O23*P23/10000,0)</f>
        <v>0</v>
      </c>
      <c r="S23" s="2839"/>
      <c r="T23" s="2839"/>
      <c r="U23" s="2839"/>
      <c r="V23" s="2847"/>
    </row>
    <row r="24" spans="1:22" s="2851" customFormat="1" ht="13.15" customHeight="1">
      <c r="A24" s="2936"/>
      <c r="B24" s="2937" t="s">
        <v>2408</v>
      </c>
      <c r="C24" s="2938"/>
      <c r="D24" s="2939"/>
      <c r="E24" s="2940"/>
      <c r="F24" s="2941"/>
      <c r="G24" s="2935"/>
      <c r="H24" s="2846"/>
      <c r="I24" s="2847"/>
      <c r="J24" s="4091"/>
      <c r="K24" s="4094"/>
      <c r="L24" s="2901" t="s">
        <v>2369</v>
      </c>
      <c r="M24" s="2902">
        <f>SUM(M21:M23)</f>
        <v>0</v>
      </c>
      <c r="N24" s="2902"/>
      <c r="O24" s="2903"/>
      <c r="P24" s="2916" t="s">
        <v>2433</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2409</v>
      </c>
      <c r="L25" s="2944"/>
      <c r="M25" s="2944"/>
      <c r="N25" s="2944"/>
      <c r="O25" s="2944"/>
      <c r="P25" s="2945"/>
      <c r="Q25" s="2946">
        <v>0</v>
      </c>
      <c r="R25" s="2917">
        <f>ROUND(R14*Q25,0)</f>
        <v>0</v>
      </c>
      <c r="S25" s="2839"/>
      <c r="T25" s="2839"/>
      <c r="U25" s="2839"/>
      <c r="V25" s="2947"/>
    </row>
    <row r="26" spans="1:22" s="2948" customFormat="1" ht="13.15" customHeight="1">
      <c r="A26" s="2929">
        <v>2</v>
      </c>
      <c r="B26" s="2930" t="s">
        <v>2410</v>
      </c>
      <c r="C26" s="2931">
        <f>D7</f>
        <v>0</v>
      </c>
      <c r="D26" s="2932">
        <f>D23*D27</f>
        <v>0</v>
      </c>
      <c r="E26" s="2933">
        <f>E23*E27</f>
        <v>0</v>
      </c>
      <c r="F26" s="2934"/>
      <c r="G26" s="2935"/>
      <c r="H26" s="2846"/>
      <c r="I26" s="2847"/>
      <c r="J26" s="4101">
        <v>5</v>
      </c>
      <c r="K26" s="2949" t="s">
        <v>2411</v>
      </c>
      <c r="L26" s="2950"/>
      <c r="M26" s="2951"/>
      <c r="N26" s="2952" t="s">
        <v>2412</v>
      </c>
      <c r="O26" s="2952" t="s">
        <v>2413</v>
      </c>
      <c r="P26" s="2953" t="s">
        <v>2414</v>
      </c>
      <c r="Q26" s="2953" t="s">
        <v>2415</v>
      </c>
      <c r="R26" s="2856" t="s">
        <v>2340</v>
      </c>
      <c r="S26" s="2954"/>
      <c r="T26" s="2954"/>
      <c r="U26" s="2954"/>
      <c r="V26" s="2947"/>
    </row>
    <row r="27" spans="1:22" s="2851" customFormat="1" ht="13.15" customHeight="1">
      <c r="A27" s="2936"/>
      <c r="B27" s="2937" t="s">
        <v>2416</v>
      </c>
      <c r="C27" s="2955" t="e">
        <f>E7</f>
        <v>#DIV/0!</v>
      </c>
      <c r="D27" s="2939"/>
      <c r="E27" s="2940"/>
      <c r="F27" s="2941"/>
      <c r="G27" s="2935"/>
      <c r="H27" s="2956"/>
      <c r="I27" s="2947"/>
      <c r="J27" s="4102"/>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2417</v>
      </c>
      <c r="F28" s="2941"/>
      <c r="G28" s="2928"/>
      <c r="H28" s="2956"/>
      <c r="I28" s="2947"/>
      <c r="J28" s="2962">
        <v>6</v>
      </c>
      <c r="K28" s="2963" t="s">
        <v>2418</v>
      </c>
      <c r="L28" s="2964" t="s">
        <v>2419</v>
      </c>
      <c r="M28" s="2965"/>
      <c r="N28" s="2964" t="s">
        <v>2420</v>
      </c>
      <c r="O28" s="2966"/>
      <c r="P28" s="2964" t="s">
        <v>2421</v>
      </c>
      <c r="Q28" s="2967">
        <v>1.4999999999999999E-2</v>
      </c>
      <c r="R28" s="2968"/>
      <c r="S28" s="2920"/>
      <c r="T28" s="2920"/>
      <c r="U28" s="2920"/>
      <c r="V28" s="2947"/>
    </row>
    <row r="29" spans="1:22" s="2948" customFormat="1" ht="13.15" customHeight="1">
      <c r="A29" s="2929">
        <v>3</v>
      </c>
      <c r="B29" s="2930" t="s">
        <v>2422</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2416</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2423</v>
      </c>
      <c r="K31" s="2837"/>
      <c r="L31" s="2837"/>
      <c r="M31" s="2837"/>
      <c r="N31" s="2837"/>
      <c r="O31" s="2837"/>
      <c r="P31" s="2837"/>
      <c r="Q31" s="2837"/>
      <c r="R31" s="2838"/>
      <c r="S31" s="2920"/>
      <c r="T31" s="2839"/>
      <c r="U31" s="2839"/>
      <c r="V31" s="2947"/>
    </row>
    <row r="32" spans="1:22" s="2948" customFormat="1" ht="13.15" customHeight="1">
      <c r="A32" s="2929">
        <v>4</v>
      </c>
      <c r="B32" s="2930" t="s">
        <v>2424</v>
      </c>
      <c r="C32" s="2931">
        <f>C23-C26-C29</f>
        <v>0</v>
      </c>
      <c r="D32" s="2932">
        <f>D23-D26-D29</f>
        <v>0</v>
      </c>
      <c r="E32" s="2933">
        <f>E23-E26-E29</f>
        <v>0</v>
      </c>
      <c r="F32" s="2934"/>
      <c r="G32" s="2928"/>
      <c r="H32" s="2846"/>
      <c r="I32" s="2847"/>
      <c r="J32" s="4084" t="s">
        <v>2316</v>
      </c>
      <c r="K32" s="4085"/>
      <c r="L32" s="2848" t="s">
        <v>2317</v>
      </c>
      <c r="M32" s="2848" t="s">
        <v>2318</v>
      </c>
      <c r="N32" s="2848" t="s">
        <v>2319</v>
      </c>
      <c r="O32" s="2848" t="s">
        <v>2320</v>
      </c>
      <c r="P32" s="2848" t="s">
        <v>2321</v>
      </c>
      <c r="Q32" s="2849" t="s">
        <v>2322</v>
      </c>
      <c r="R32" s="2971" t="s">
        <v>2323</v>
      </c>
      <c r="S32" s="2920"/>
      <c r="T32" s="2839"/>
      <c r="U32" s="2839"/>
      <c r="V32" s="2947"/>
    </row>
    <row r="33" spans="1:23" s="2851" customFormat="1" ht="13.15" customHeight="1">
      <c r="A33" s="2929"/>
      <c r="B33" s="2930"/>
      <c r="C33" s="2931"/>
      <c r="D33" s="2972"/>
      <c r="E33" s="2973"/>
      <c r="F33" s="2934"/>
      <c r="G33" s="2928"/>
      <c r="H33" s="2956"/>
      <c r="I33" s="2947"/>
      <c r="J33" s="4086" t="s">
        <v>2326</v>
      </c>
      <c r="K33" s="4087"/>
      <c r="L33" s="2854"/>
      <c r="M33" s="2854"/>
      <c r="N33" s="2854"/>
      <c r="O33" s="2854"/>
      <c r="P33" s="2854"/>
      <c r="Q33" s="2855"/>
      <c r="R33" s="2974">
        <f>SUM(L33:Q33)</f>
        <v>0</v>
      </c>
      <c r="S33" s="2920"/>
      <c r="T33" s="2839"/>
      <c r="U33" s="2839"/>
      <c r="V33" s="2847"/>
    </row>
    <row r="34" spans="1:23" s="2851" customFormat="1" ht="13.15" customHeight="1">
      <c r="A34" s="2929">
        <v>5</v>
      </c>
      <c r="B34" s="2930" t="s">
        <v>2425</v>
      </c>
      <c r="C34" s="2975"/>
      <c r="D34" s="2976"/>
      <c r="E34" s="2977"/>
      <c r="F34" s="2934"/>
      <c r="G34" s="2928"/>
      <c r="H34" s="2956"/>
      <c r="I34" s="2947"/>
      <c r="J34" s="4086" t="s">
        <v>2328</v>
      </c>
      <c r="K34" s="4087"/>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2426</v>
      </c>
      <c r="C35" s="2979"/>
      <c r="D35" s="2980"/>
      <c r="E35" s="2981"/>
      <c r="F35" s="2934"/>
      <c r="G35" s="2982"/>
      <c r="H35" s="2846"/>
      <c r="I35" s="2947"/>
      <c r="J35" s="2865" t="s">
        <v>2330</v>
      </c>
      <c r="K35" s="2866"/>
      <c r="L35" s="2866"/>
      <c r="M35" s="2867"/>
      <c r="N35" s="2867"/>
      <c r="O35" s="2867"/>
      <c r="P35" s="2867"/>
      <c r="Q35" s="2867"/>
      <c r="R35" s="2983">
        <f>R40+R41+R43</f>
        <v>0</v>
      </c>
      <c r="S35" s="2920"/>
      <c r="T35" s="2839" t="s">
        <v>2331</v>
      </c>
      <c r="U35" s="2839"/>
      <c r="V35" s="2847"/>
    </row>
    <row r="36" spans="1:23" s="2851" customFormat="1" ht="13.15" customHeight="1" thickBot="1">
      <c r="A36" s="2929">
        <v>7</v>
      </c>
      <c r="B36" s="2984" t="s">
        <v>2427</v>
      </c>
      <c r="C36" s="2985"/>
      <c r="D36" s="2986"/>
      <c r="E36" s="2987"/>
      <c r="F36" s="2988">
        <f>C36+D36+E36</f>
        <v>0</v>
      </c>
      <c r="G36" s="2928"/>
      <c r="H36" s="2846"/>
      <c r="I36" s="2847"/>
      <c r="J36" s="4091">
        <v>1</v>
      </c>
      <c r="K36" s="4092" t="s">
        <v>2428</v>
      </c>
      <c r="L36" s="2872"/>
      <c r="M36" s="2873"/>
      <c r="N36" s="2873"/>
      <c r="O36" s="2873"/>
      <c r="P36" s="2873"/>
      <c r="Q36" s="2873"/>
      <c r="R36" s="2856" t="s">
        <v>2340</v>
      </c>
      <c r="S36" s="2920"/>
      <c r="T36" s="2839" t="s">
        <v>2341</v>
      </c>
      <c r="U36" s="2839"/>
      <c r="V36" s="2847"/>
    </row>
    <row r="37" spans="1:23" s="2851" customFormat="1" ht="13.15" customHeight="1">
      <c r="A37" s="2929"/>
      <c r="B37" s="2930"/>
      <c r="C37" s="2930"/>
      <c r="D37" s="2930"/>
      <c r="E37" s="2930"/>
      <c r="F37" s="2934"/>
      <c r="G37" s="2928"/>
      <c r="H37" s="2846"/>
      <c r="I37" s="2847"/>
      <c r="J37" s="4091"/>
      <c r="K37" s="4093"/>
      <c r="L37" s="2881"/>
      <c r="M37" s="2882"/>
      <c r="N37" s="2858"/>
      <c r="O37" s="2883"/>
      <c r="P37" s="2883"/>
      <c r="Q37" s="2884"/>
      <c r="R37" s="2885"/>
      <c r="S37" s="2920"/>
      <c r="T37" s="2839" t="s">
        <v>2344</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4091"/>
      <c r="K38" s="4093"/>
      <c r="L38" s="2881"/>
      <c r="M38" s="2882"/>
      <c r="N38" s="2858"/>
      <c r="O38" s="2883"/>
      <c r="P38" s="2883"/>
      <c r="Q38" s="2884"/>
      <c r="R38" s="2885"/>
      <c r="S38" s="2920"/>
      <c r="T38" s="2839" t="s">
        <v>2351</v>
      </c>
      <c r="U38" s="2839"/>
      <c r="V38" s="2847"/>
    </row>
    <row r="39" spans="1:23" s="2851" customFormat="1" ht="13.15" customHeight="1">
      <c r="A39" s="2929">
        <v>9</v>
      </c>
      <c r="B39" s="2930" t="s">
        <v>2429</v>
      </c>
      <c r="C39" s="2895" t="e">
        <f>C38</f>
        <v>#DIV/0!</v>
      </c>
      <c r="D39" s="2930">
        <f>D38/(1+D34)^C36</f>
        <v>0</v>
      </c>
      <c r="E39" s="2930">
        <f>E38/(1+E34)^(C36+D36)</f>
        <v>0</v>
      </c>
      <c r="F39" s="2934"/>
      <c r="G39" s="2989"/>
      <c r="H39" s="2846"/>
      <c r="I39" s="2847"/>
      <c r="J39" s="4091"/>
      <c r="K39" s="4093"/>
      <c r="L39" s="2881"/>
      <c r="M39" s="2882"/>
      <c r="N39" s="2858"/>
      <c r="O39" s="2883"/>
      <c r="P39" s="2883"/>
      <c r="Q39" s="2884"/>
      <c r="R39" s="2885"/>
      <c r="S39" s="2920"/>
      <c r="T39" s="2839"/>
      <c r="U39" s="2839"/>
      <c r="V39" s="2847"/>
    </row>
    <row r="40" spans="1:23" s="2851" customFormat="1" ht="13.15" customHeight="1">
      <c r="A40" s="2990">
        <v>10</v>
      </c>
      <c r="B40" s="2930" t="s">
        <v>2430</v>
      </c>
      <c r="C40" s="2991" t="e">
        <f>C39+D39+E39</f>
        <v>#DIV/0!</v>
      </c>
      <c r="D40" s="2992"/>
      <c r="E40" s="2992"/>
      <c r="F40" s="2993"/>
      <c r="G40" s="2928"/>
      <c r="H40" s="2846"/>
      <c r="I40" s="2847"/>
      <c r="J40" s="4091"/>
      <c r="K40" s="4094"/>
      <c r="L40" s="2901" t="s">
        <v>2369</v>
      </c>
      <c r="M40" s="2902"/>
      <c r="N40" s="2902"/>
      <c r="O40" s="2903"/>
      <c r="P40" s="2903"/>
      <c r="Q40" s="2904"/>
      <c r="R40" s="2850">
        <f>SUM(R37:R39)</f>
        <v>0</v>
      </c>
      <c r="S40" s="2920"/>
      <c r="T40" s="2839"/>
      <c r="U40" s="2839"/>
      <c r="V40" s="2847"/>
    </row>
    <row r="41" spans="1:23" s="2851" customFormat="1" ht="13.15" customHeight="1" thickBot="1">
      <c r="A41" s="2994">
        <v>11</v>
      </c>
      <c r="B41" s="2995" t="s">
        <v>2431</v>
      </c>
      <c r="C41" s="2995" t="e">
        <f>ROUND(C40*10000/B4,0)</f>
        <v>#DIV/0!</v>
      </c>
      <c r="D41" s="2996"/>
      <c r="E41" s="2996"/>
      <c r="F41" s="2997"/>
      <c r="G41" s="2998"/>
      <c r="H41" s="2846"/>
      <c r="I41" s="2847"/>
      <c r="J41" s="2942">
        <v>2</v>
      </c>
      <c r="K41" s="2943" t="s">
        <v>2409</v>
      </c>
      <c r="L41" s="2944"/>
      <c r="M41" s="2944"/>
      <c r="N41" s="2944"/>
      <c r="O41" s="2944"/>
      <c r="P41" s="2945"/>
      <c r="Q41" s="2946"/>
      <c r="R41" s="2917">
        <f>ROUND(R40*Q41,0)</f>
        <v>0</v>
      </c>
      <c r="S41" s="2920"/>
      <c r="T41" s="2839"/>
      <c r="U41" s="2954"/>
      <c r="V41" s="2847"/>
    </row>
    <row r="42" spans="1:23" s="2851" customFormat="1" ht="13.15" customHeight="1">
      <c r="G42" s="2998"/>
      <c r="H42" s="2846"/>
      <c r="I42" s="2847"/>
      <c r="J42" s="4101">
        <v>3</v>
      </c>
      <c r="K42" s="2949" t="s">
        <v>2411</v>
      </c>
      <c r="L42" s="2950"/>
      <c r="M42" s="2951"/>
      <c r="N42" s="2952" t="s">
        <v>2412</v>
      </c>
      <c r="O42" s="2952" t="s">
        <v>2413</v>
      </c>
      <c r="P42" s="2953" t="s">
        <v>2414</v>
      </c>
      <c r="Q42" s="2953" t="s">
        <v>2415</v>
      </c>
      <c r="R42" s="2856" t="s">
        <v>2340</v>
      </c>
      <c r="S42" s="2954"/>
      <c r="T42" s="2954"/>
      <c r="U42" s="2839"/>
      <c r="V42" s="2847"/>
    </row>
    <row r="43" spans="1:23" ht="13.15" customHeight="1">
      <c r="A43" s="2851"/>
      <c r="B43" s="2851"/>
      <c r="C43" s="2851"/>
      <c r="D43" s="2851"/>
      <c r="E43" s="2851"/>
      <c r="F43" s="2851"/>
      <c r="I43" s="2834"/>
      <c r="J43" s="4102"/>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2418</v>
      </c>
      <c r="L44" s="3002" t="s">
        <v>2419</v>
      </c>
      <c r="M44" s="2965"/>
      <c r="N44" s="3002" t="s">
        <v>2420</v>
      </c>
      <c r="O44" s="2965"/>
      <c r="P44" s="3002" t="s">
        <v>2421</v>
      </c>
      <c r="Q44" s="2967">
        <v>1.4999999999999999E-2</v>
      </c>
      <c r="R44" s="296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1656</v>
      </c>
      <c r="B1" s="1867"/>
      <c r="C1" s="1867"/>
      <c r="D1" s="1867"/>
      <c r="E1" s="1868"/>
      <c r="F1" s="2705"/>
      <c r="G1" s="1488"/>
      <c r="H1" s="1488"/>
      <c r="I1" s="1488"/>
      <c r="J1" s="1488"/>
      <c r="K1" s="1488"/>
      <c r="L1" s="1488"/>
      <c r="M1" s="1488"/>
      <c r="N1" s="1488"/>
      <c r="O1" s="1488"/>
      <c r="P1" s="1488"/>
      <c r="Q1" s="1488"/>
      <c r="R1" s="1488"/>
      <c r="S1" s="1488"/>
    </row>
    <row r="2" spans="1:22" ht="15.75">
      <c r="A2" s="1869" t="s">
        <v>1460</v>
      </c>
      <c r="B2" s="1870">
        <f ca="1">SUMIF(B6:B13,"&lt;&gt;#ref!",B6:B13)</f>
        <v>10377</v>
      </c>
      <c r="C2" s="1871" t="s">
        <v>1649</v>
      </c>
      <c r="D2" s="1872" t="s">
        <v>1650</v>
      </c>
      <c r="E2" s="2605">
        <f>SUM(E6:E13)</f>
        <v>9513.32</v>
      </c>
      <c r="F2" s="2705"/>
      <c r="G2" s="1488"/>
      <c r="H2" s="1488"/>
      <c r="I2" s="1488"/>
      <c r="J2" s="1488"/>
      <c r="K2" s="1488"/>
      <c r="L2" s="1488"/>
      <c r="M2" s="1488"/>
      <c r="N2" s="1488"/>
      <c r="O2" s="1488"/>
      <c r="P2" s="1488"/>
      <c r="Q2" s="1488"/>
      <c r="R2" s="1488"/>
      <c r="S2" s="1488"/>
    </row>
    <row r="3" spans="1:22" ht="15.75">
      <c r="A3" s="1869" t="s">
        <v>684</v>
      </c>
      <c r="B3" s="2599">
        <f ca="1">ROUND(B2*10000/E2,0)</f>
        <v>10908</v>
      </c>
      <c r="C3" s="1871" t="s">
        <v>1657</v>
      </c>
      <c r="D3" s="2707"/>
      <c r="E3" s="2709"/>
      <c r="F3" s="2705"/>
      <c r="G3" s="1488"/>
      <c r="H3" s="1488"/>
      <c r="I3" s="1488"/>
      <c r="J3" s="1488"/>
      <c r="K3" s="1488"/>
      <c r="L3" s="1488"/>
      <c r="M3" s="1488"/>
      <c r="N3" s="1488"/>
      <c r="O3" s="1488"/>
      <c r="P3" s="1488"/>
      <c r="Q3" s="1488"/>
      <c r="R3" s="1488"/>
      <c r="S3" s="1488"/>
    </row>
    <row r="4" spans="1:22" ht="15.75">
      <c r="A4" s="2710"/>
      <c r="B4" s="2707"/>
      <c r="C4" s="2707"/>
      <c r="D4" s="2707"/>
      <c r="E4" s="2709"/>
      <c r="F4" s="2705"/>
      <c r="G4" s="1488"/>
      <c r="H4" s="1488"/>
      <c r="I4" s="1488"/>
      <c r="J4" s="1488"/>
      <c r="K4" s="1488"/>
      <c r="L4" s="1488"/>
      <c r="M4" s="1488"/>
      <c r="N4" s="1488"/>
      <c r="O4" s="1488"/>
      <c r="P4" s="1488"/>
      <c r="Q4" s="1488"/>
      <c r="R4" s="1488"/>
      <c r="S4" s="1488"/>
    </row>
    <row r="5" spans="1:22" ht="15">
      <c r="A5" s="2601" t="s">
        <v>1651</v>
      </c>
      <c r="B5" s="4103" t="s">
        <v>1652</v>
      </c>
      <c r="C5" s="4104"/>
      <c r="D5" s="2706"/>
      <c r="E5" s="1873" t="s">
        <v>1653</v>
      </c>
      <c r="F5" s="1874" t="s">
        <v>1654</v>
      </c>
      <c r="G5" s="1488"/>
      <c r="H5" s="1488"/>
      <c r="I5" s="1488"/>
      <c r="J5" s="1488"/>
      <c r="K5" s="1488"/>
      <c r="L5" s="1488"/>
      <c r="M5" s="1488"/>
      <c r="N5" s="1488"/>
      <c r="O5" s="1488"/>
      <c r="P5" s="1488"/>
      <c r="Q5" s="1488"/>
      <c r="R5" s="1488"/>
      <c r="S5" s="1488"/>
    </row>
    <row r="6" spans="1:22">
      <c r="A6" s="2602" t="str">
        <f>'数据-取费表'!AN6</f>
        <v>收益法</v>
      </c>
      <c r="B6" s="2600">
        <f ca="1">IF(F6="是",'数据-取费表'!AO6,0)</f>
        <v>9435</v>
      </c>
      <c r="C6" s="1871" t="s">
        <v>1649</v>
      </c>
      <c r="D6" s="2707"/>
      <c r="E6" s="2604">
        <f>IF(OR(A6=0,F6="否"),0,'数据-取费表'!K6+'数据-取费表'!S6)</f>
        <v>3752.39</v>
      </c>
      <c r="F6" s="1875" t="s">
        <v>1655</v>
      </c>
      <c r="G6" s="1488"/>
      <c r="H6" s="1488"/>
      <c r="I6" s="1488"/>
      <c r="J6" s="1488"/>
      <c r="K6" s="1488"/>
      <c r="L6" s="1488"/>
      <c r="M6" s="1488"/>
      <c r="N6" s="1488"/>
      <c r="O6" s="1488"/>
      <c r="P6" s="1488"/>
      <c r="Q6" s="1488"/>
      <c r="R6" s="1488"/>
      <c r="S6" s="1488"/>
    </row>
    <row r="7" spans="1:22">
      <c r="A7" s="2602" t="str">
        <f>'数据-取费表'!AN7</f>
        <v>收益法-地下</v>
      </c>
      <c r="B7" s="2600">
        <f ca="1">IF(F7="是",'数据-取费表'!AO7,0)</f>
        <v>942</v>
      </c>
      <c r="C7" s="1871" t="s">
        <v>1649</v>
      </c>
      <c r="D7" s="2707"/>
      <c r="E7" s="2604">
        <f>IF(OR(A7=0,F7="否"),0,'数据-取费表'!K7+'数据-取费表'!S7)</f>
        <v>5760.93</v>
      </c>
      <c r="F7" s="1875" t="s">
        <v>1655</v>
      </c>
      <c r="G7" s="1488"/>
      <c r="H7" s="1488"/>
      <c r="I7" s="1488"/>
      <c r="J7" s="1488"/>
      <c r="K7" s="1488"/>
      <c r="L7" s="1488"/>
      <c r="M7" s="1488"/>
      <c r="N7" s="1488"/>
      <c r="O7" s="1488"/>
      <c r="P7" s="1488"/>
      <c r="Q7" s="1488"/>
      <c r="R7" s="1488"/>
      <c r="S7" s="1488"/>
    </row>
    <row r="8" spans="1:22">
      <c r="A8" s="2602">
        <f>'数据-取费表'!AN8</f>
        <v>0</v>
      </c>
      <c r="B8" s="2600" t="e">
        <f ca="1">IF(F8="是",'数据-取费表'!AO8,0)</f>
        <v>#REF!</v>
      </c>
      <c r="C8" s="1871" t="s">
        <v>1649</v>
      </c>
      <c r="D8" s="2707"/>
      <c r="E8" s="2604">
        <f>IF(OR(A8=0,F8="否"),0,'数据-取费表'!K8+'数据-取费表'!S8)</f>
        <v>0</v>
      </c>
      <c r="F8" s="1875" t="s">
        <v>1655</v>
      </c>
      <c r="G8" s="1488"/>
      <c r="H8" s="1488"/>
      <c r="I8" s="1488"/>
      <c r="J8" s="1488"/>
      <c r="K8" s="1488"/>
      <c r="L8" s="1488"/>
      <c r="M8" s="1488"/>
      <c r="N8" s="1488"/>
      <c r="O8" s="1488"/>
      <c r="P8" s="1488"/>
      <c r="Q8" s="1488"/>
      <c r="R8" s="1488"/>
      <c r="S8" s="1488"/>
    </row>
    <row r="9" spans="1:22">
      <c r="A9" s="2602">
        <f>'数据-取费表'!AN9</f>
        <v>0</v>
      </c>
      <c r="B9" s="2600" t="e">
        <f ca="1">IF(F9="是",'数据-取费表'!AO9,0)</f>
        <v>#REF!</v>
      </c>
      <c r="C9" s="1871" t="s">
        <v>1649</v>
      </c>
      <c r="D9" s="2707"/>
      <c r="E9" s="2604">
        <f>IF(OR(A9=0,F9="否"),0,'数据-取费表'!K9+'数据-取费表'!S9)</f>
        <v>0</v>
      </c>
      <c r="F9" s="1875" t="s">
        <v>1655</v>
      </c>
      <c r="G9" s="1488"/>
      <c r="H9" s="1488"/>
      <c r="I9" s="1488"/>
      <c r="J9" s="1488"/>
      <c r="K9" s="1488"/>
      <c r="L9" s="1488"/>
      <c r="M9" s="1488"/>
      <c r="N9" s="1488"/>
      <c r="O9" s="1488"/>
      <c r="P9" s="1488"/>
      <c r="Q9" s="1488"/>
      <c r="R9" s="1488"/>
      <c r="S9" s="1488"/>
    </row>
    <row r="10" spans="1:22">
      <c r="A10" s="2602">
        <f>'数据-取费表'!AN10</f>
        <v>0</v>
      </c>
      <c r="B10" s="2600" t="e">
        <f ca="1">IF(F10="是",'数据-取费表'!AO10,0)</f>
        <v>#REF!</v>
      </c>
      <c r="C10" s="1871" t="s">
        <v>1649</v>
      </c>
      <c r="D10" s="2707"/>
      <c r="E10" s="2604">
        <f>IF(OR(A10=0,F10="否"),0,'数据-取费表'!K10+'数据-取费表'!S10)</f>
        <v>0</v>
      </c>
      <c r="F10" s="1875" t="s">
        <v>1655</v>
      </c>
      <c r="G10" s="1488"/>
      <c r="H10" s="1488"/>
      <c r="I10" s="1488"/>
      <c r="J10" s="1488"/>
      <c r="K10" s="1488"/>
      <c r="L10" s="1488"/>
      <c r="M10" s="1488"/>
      <c r="N10" s="1488"/>
      <c r="O10" s="1488"/>
      <c r="P10" s="1488"/>
      <c r="Q10" s="1488"/>
      <c r="R10" s="1488"/>
      <c r="S10" s="1488"/>
    </row>
    <row r="11" spans="1:22">
      <c r="A11" s="2602">
        <f>'数据-取费表'!AN11</f>
        <v>0</v>
      </c>
      <c r="B11" s="2600" t="e">
        <f ca="1">IF(F11="是",'数据-取费表'!AO11,0)</f>
        <v>#REF!</v>
      </c>
      <c r="C11" s="1871" t="s">
        <v>1649</v>
      </c>
      <c r="D11" s="2707"/>
      <c r="E11" s="2604">
        <f>IF(OR(A11=0,F11="否"),0,'数据-取费表'!K11+'数据-取费表'!S11)</f>
        <v>0</v>
      </c>
      <c r="F11" s="1875" t="s">
        <v>1655</v>
      </c>
      <c r="G11" s="1488"/>
      <c r="H11" s="1488"/>
      <c r="I11" s="1488"/>
      <c r="J11" s="1488"/>
      <c r="K11" s="1488"/>
      <c r="L11" s="1488"/>
      <c r="M11" s="1488"/>
      <c r="N11" s="1488"/>
      <c r="O11" s="1488"/>
      <c r="P11" s="1488"/>
      <c r="Q11" s="1488"/>
      <c r="R11" s="1488"/>
      <c r="S11" s="1488"/>
    </row>
    <row r="12" spans="1:22">
      <c r="A12" s="2602">
        <f>'数据-取费表'!AN12</f>
        <v>0</v>
      </c>
      <c r="B12" s="2600" t="e">
        <f ca="1">IF(F12="是",'数据-取费表'!AO12,0)</f>
        <v>#REF!</v>
      </c>
      <c r="C12" s="1871" t="s">
        <v>1649</v>
      </c>
      <c r="D12" s="2707"/>
      <c r="E12" s="2604">
        <f>IF(OR(A12=0,F12="否"),0,'数据-取费表'!K12+'数据-取费表'!S12)</f>
        <v>0</v>
      </c>
      <c r="F12" s="1875" t="s">
        <v>1655</v>
      </c>
      <c r="G12" s="1488"/>
      <c r="H12" s="1488"/>
      <c r="I12" s="1488"/>
      <c r="J12" s="1488"/>
      <c r="K12" s="1488"/>
      <c r="L12" s="1488"/>
      <c r="M12" s="1488"/>
      <c r="N12" s="1488"/>
      <c r="O12" s="1488"/>
      <c r="P12" s="1488"/>
      <c r="Q12" s="1488"/>
      <c r="R12" s="1488"/>
      <c r="S12" s="1488"/>
    </row>
    <row r="13" spans="1:22" ht="15" thickBot="1">
      <c r="A13" s="2603">
        <f>'数据-取费表'!AN13</f>
        <v>0</v>
      </c>
      <c r="B13" s="2600" t="e">
        <f ca="1">IF(F13="是",'数据-取费表'!AO13,0)</f>
        <v>#REF!</v>
      </c>
      <c r="C13" s="1876" t="s">
        <v>1649</v>
      </c>
      <c r="D13" s="2708"/>
      <c r="E13" s="2604">
        <f>IF(OR(A13=0,F13="否"),0,'数据-取费表'!K13+'数据-取费表'!S13)</f>
        <v>0</v>
      </c>
      <c r="F13" s="1875" t="s">
        <v>1655</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1658</v>
      </c>
      <c r="B1" s="1877" t="s">
        <v>1659</v>
      </c>
      <c r="C1" s="1237" t="s">
        <v>1660</v>
      </c>
      <c r="D1" s="1224"/>
      <c r="E1" s="3424"/>
      <c r="F1" s="1878"/>
      <c r="G1" s="1234" t="s">
        <v>1661</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683</v>
      </c>
      <c r="B2" s="3425"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1662</v>
      </c>
      <c r="F2" s="1882"/>
      <c r="G2" s="906"/>
      <c r="H2" s="906"/>
      <c r="I2" s="906"/>
      <c r="J2" s="906"/>
      <c r="K2" s="1883"/>
      <c r="L2" s="2711"/>
      <c r="M2" s="2712"/>
      <c r="N2" s="2712"/>
      <c r="O2" s="2712"/>
      <c r="P2" s="1884"/>
      <c r="Q2" s="1885"/>
      <c r="R2" s="1885"/>
      <c r="S2" s="1885"/>
      <c r="T2" s="1885"/>
      <c r="U2" s="1885"/>
      <c r="V2" s="1885"/>
      <c r="W2" s="1885"/>
      <c r="X2" s="1885"/>
      <c r="Y2" s="1885"/>
      <c r="Z2" s="1885"/>
      <c r="AA2" s="1885"/>
      <c r="AB2" s="1885"/>
      <c r="AC2" s="1886"/>
    </row>
    <row r="3" spans="1:29" s="347" customFormat="1" ht="28.5" customHeight="1" thickBot="1">
      <c r="A3" s="203" t="s">
        <v>684</v>
      </c>
      <c r="B3" s="353">
        <f>IF(C2="——",C49,ROUND(B2*10000/D3,0))</f>
        <v>0</v>
      </c>
      <c r="C3" s="354" t="s">
        <v>1663</v>
      </c>
      <c r="D3" s="353">
        <f>IF(D1="",'数据-汇总表'!E3,SUMIF('数据-汇总表'!$C19:$C33,D1,'数据-汇总表'!$E19:$E33))</f>
        <v>34111.17</v>
      </c>
      <c r="E3" s="906"/>
      <c r="F3" s="1887"/>
      <c r="G3" s="906"/>
      <c r="H3" s="906"/>
      <c r="I3" s="906"/>
      <c r="J3" s="906"/>
      <c r="K3" s="1883"/>
      <c r="L3" s="2711"/>
      <c r="M3" s="2712"/>
      <c r="N3" s="2712"/>
      <c r="O3" s="2712"/>
      <c r="P3" s="1884"/>
      <c r="Q3" s="1885"/>
      <c r="R3" s="1885"/>
      <c r="S3" s="1885"/>
      <c r="T3" s="1885"/>
      <c r="U3" s="1885"/>
      <c r="V3" s="1885"/>
      <c r="W3" s="1885"/>
      <c r="X3" s="1885"/>
      <c r="Y3" s="1885"/>
      <c r="Z3" s="1885"/>
      <c r="AA3" s="1885"/>
      <c r="AB3" s="1885"/>
      <c r="AC3" s="1060"/>
    </row>
    <row r="4" spans="1:29" ht="15">
      <c r="A4" s="355" t="s">
        <v>1664</v>
      </c>
      <c r="B4" s="356"/>
      <c r="C4" s="4123" t="s">
        <v>1665</v>
      </c>
      <c r="D4" s="4124"/>
      <c r="E4" s="4125" t="s">
        <v>1666</v>
      </c>
      <c r="F4" s="4126"/>
      <c r="G4" s="4123" t="s">
        <v>1667</v>
      </c>
      <c r="H4" s="4124"/>
      <c r="I4" s="4123" t="s">
        <v>1668</v>
      </c>
      <c r="J4" s="4124"/>
      <c r="K4" s="1888" t="s">
        <v>1669</v>
      </c>
      <c r="L4" s="2713"/>
      <c r="M4" s="2714"/>
      <c r="N4" s="2714"/>
      <c r="O4" s="2714"/>
      <c r="P4" s="4127" t="s">
        <v>1670</v>
      </c>
      <c r="Q4" s="4128"/>
      <c r="R4" s="4110" t="s">
        <v>1666</v>
      </c>
      <c r="S4" s="4111"/>
      <c r="T4" s="4110" t="s">
        <v>1667</v>
      </c>
      <c r="U4" s="4111"/>
      <c r="V4" s="4135" t="s">
        <v>1668</v>
      </c>
      <c r="W4" s="4135"/>
      <c r="X4" s="1354"/>
      <c r="Y4" s="4110" t="s">
        <v>1670</v>
      </c>
      <c r="Z4" s="4111"/>
      <c r="AA4" s="4105" t="s">
        <v>1666</v>
      </c>
      <c r="AB4" s="4105" t="s">
        <v>1667</v>
      </c>
      <c r="AC4" s="4105" t="s">
        <v>1668</v>
      </c>
    </row>
    <row r="5" spans="1:29" ht="15">
      <c r="A5" s="358"/>
      <c r="B5" s="359"/>
      <c r="C5" s="4116" t="s">
        <v>1671</v>
      </c>
      <c r="D5" s="4117"/>
      <c r="E5" s="4114" t="s">
        <v>1672</v>
      </c>
      <c r="F5" s="4115"/>
      <c r="G5" s="4116" t="s">
        <v>1673</v>
      </c>
      <c r="H5" s="4117"/>
      <c r="I5" s="4116" t="s">
        <v>1674</v>
      </c>
      <c r="J5" s="4117"/>
      <c r="K5" s="1889"/>
      <c r="L5" s="2713"/>
      <c r="M5" s="2714"/>
      <c r="N5" s="2714"/>
      <c r="O5" s="2714"/>
      <c r="P5" s="4129"/>
      <c r="Q5" s="4130"/>
      <c r="R5" s="4112"/>
      <c r="S5" s="4113"/>
      <c r="T5" s="4112"/>
      <c r="U5" s="4113"/>
      <c r="V5" s="4135"/>
      <c r="W5" s="4135"/>
      <c r="X5" s="1354"/>
      <c r="Y5" s="4112"/>
      <c r="Z5" s="4113"/>
      <c r="AA5" s="4106"/>
      <c r="AB5" s="4106"/>
      <c r="AC5" s="4106"/>
    </row>
    <row r="6" spans="1:29" ht="15.75" thickBot="1">
      <c r="A6" s="360"/>
      <c r="B6" s="361"/>
      <c r="C6" s="4118" t="s">
        <v>1675</v>
      </c>
      <c r="D6" s="4119"/>
      <c r="E6" s="4120" t="s">
        <v>1675</v>
      </c>
      <c r="F6" s="4121"/>
      <c r="G6" s="4118" t="s">
        <v>1675</v>
      </c>
      <c r="H6" s="4119"/>
      <c r="I6" s="4118" t="s">
        <v>1675</v>
      </c>
      <c r="J6" s="4119"/>
      <c r="K6" s="1889" t="s">
        <v>1676</v>
      </c>
      <c r="L6" s="2713"/>
      <c r="M6" s="2714"/>
      <c r="N6" s="2714"/>
      <c r="O6" s="2714"/>
      <c r="P6" s="4131"/>
      <c r="Q6" s="4132"/>
      <c r="R6" s="4112"/>
      <c r="S6" s="4113"/>
      <c r="T6" s="4133"/>
      <c r="U6" s="4134"/>
      <c r="V6" s="4135"/>
      <c r="W6" s="4135"/>
      <c r="X6" s="1354"/>
      <c r="Y6" s="4133"/>
      <c r="Z6" s="4134"/>
      <c r="AA6" s="4107"/>
      <c r="AB6" s="4107"/>
      <c r="AC6" s="4107"/>
    </row>
    <row r="7" spans="1:29" s="108" customFormat="1" ht="15.75" thickBot="1">
      <c r="A7" s="362" t="s">
        <v>1677</v>
      </c>
      <c r="B7" s="363"/>
      <c r="C7" s="364">
        <f>'数据-取费表'!B2</f>
        <v>45575</v>
      </c>
      <c r="D7" s="365">
        <v>100</v>
      </c>
      <c r="E7" s="366"/>
      <c r="F7" s="367">
        <f>SUMIF(58:58,YEAR(E7)&amp;"-"&amp;MONTH(E7),59:59)</f>
        <v>0</v>
      </c>
      <c r="G7" s="366"/>
      <c r="H7" s="365">
        <f>SUMIF(58:58,YEAR(G7)&amp;"-"&amp;MONTH(G7),59:59)</f>
        <v>0</v>
      </c>
      <c r="I7" s="366"/>
      <c r="J7" s="365">
        <f>SUMIF(58:58,YEAR(I7)&amp;"-"&amp;MONTH(I7),59:59)</f>
        <v>0</v>
      </c>
      <c r="K7" s="1890"/>
      <c r="L7" s="2715"/>
      <c r="M7" s="2716"/>
      <c r="N7" s="2716"/>
      <c r="O7" s="2716"/>
      <c r="P7" s="4108" t="s">
        <v>1678</v>
      </c>
      <c r="Q7" s="4136"/>
      <c r="R7" s="700" t="s">
        <v>20</v>
      </c>
      <c r="S7" s="701">
        <f t="shared" ref="S7:S15" si="0">F7</f>
        <v>0</v>
      </c>
      <c r="T7" s="700" t="s">
        <v>20</v>
      </c>
      <c r="U7" s="701">
        <f t="shared" ref="U7:U15" si="1">H7</f>
        <v>0</v>
      </c>
      <c r="V7" s="700" t="s">
        <v>20</v>
      </c>
      <c r="W7" s="701">
        <f t="shared" ref="W7:W15" si="2">J7</f>
        <v>0</v>
      </c>
      <c r="X7" s="702"/>
      <c r="Y7" s="4108" t="s">
        <v>1678</v>
      </c>
      <c r="Z7" s="4109"/>
      <c r="AA7" s="703" t="e">
        <f>D7/F7</f>
        <v>#DIV/0!</v>
      </c>
      <c r="AB7" s="703" t="e">
        <f>D7/H7</f>
        <v>#DIV/0!</v>
      </c>
      <c r="AC7" s="703" t="e">
        <f>D7/J7</f>
        <v>#DIV/0!</v>
      </c>
    </row>
    <row r="8" spans="1:29" s="108" customFormat="1" ht="15.75" thickBot="1">
      <c r="A8" s="362" t="s">
        <v>1679</v>
      </c>
      <c r="B8" s="363"/>
      <c r="C8" s="368"/>
      <c r="D8" s="365">
        <v>100</v>
      </c>
      <c r="E8" s="1891"/>
      <c r="F8" s="367">
        <f>SUMIF(61:61,E8,62:62)-SUMIF(61:61,C8,62:62)+100</f>
        <v>100</v>
      </c>
      <c r="G8" s="368"/>
      <c r="H8" s="365">
        <f>SUMIF(61:61,G8,62:62)-SUMIF(61:61,C8,62:62)+100</f>
        <v>100</v>
      </c>
      <c r="I8" s="1891"/>
      <c r="J8" s="365">
        <f>SUMIF(61:61,I8,62:62)-SUMIF(61:61,C8,62:62)+100</f>
        <v>100</v>
      </c>
      <c r="K8" s="1890"/>
      <c r="L8" s="2715"/>
      <c r="M8" s="2716"/>
      <c r="N8" s="2716"/>
      <c r="O8" s="2716"/>
      <c r="P8" s="4108" t="s">
        <v>1681</v>
      </c>
      <c r="Q8" s="4109"/>
      <c r="R8" s="700" t="s">
        <v>20</v>
      </c>
      <c r="S8" s="701">
        <f t="shared" si="0"/>
        <v>100</v>
      </c>
      <c r="T8" s="700" t="s">
        <v>20</v>
      </c>
      <c r="U8" s="701">
        <f t="shared" si="1"/>
        <v>100</v>
      </c>
      <c r="V8" s="700" t="s">
        <v>20</v>
      </c>
      <c r="W8" s="701">
        <f t="shared" si="2"/>
        <v>100</v>
      </c>
      <c r="X8" s="702"/>
      <c r="Y8" s="4108" t="s">
        <v>1681</v>
      </c>
      <c r="Z8" s="4109"/>
      <c r="AA8" s="703">
        <f t="shared" ref="AA8:AA19" si="3">D8/F8</f>
        <v>1</v>
      </c>
      <c r="AB8" s="703">
        <f t="shared" ref="AB8:AB19" si="4">D8/H8</f>
        <v>1</v>
      </c>
      <c r="AC8" s="703">
        <f t="shared" ref="AC8:AC19" si="5">D8/J8</f>
        <v>1</v>
      </c>
    </row>
    <row r="9" spans="1:29" s="108" customFormat="1">
      <c r="A9" s="369" t="s">
        <v>1682</v>
      </c>
      <c r="B9" s="63" t="s">
        <v>1683</v>
      </c>
      <c r="C9" s="370"/>
      <c r="D9" s="126">
        <v>100</v>
      </c>
      <c r="E9" s="371"/>
      <c r="F9" s="372">
        <f>SUMIF(63:63,E9,64:64)-SUMIF(63:63,C9,64:64)+100</f>
        <v>100</v>
      </c>
      <c r="G9" s="373"/>
      <c r="H9" s="126">
        <f>SUMIF(63:63,G9,64:64)-SUMIF(63:63,C9,64:64)+100</f>
        <v>100</v>
      </c>
      <c r="I9" s="373"/>
      <c r="J9" s="126">
        <f>SUMIF(63:63,I9,64:64)-SUMIF(63:63,C9,64:64)+100</f>
        <v>100</v>
      </c>
      <c r="K9" s="1890"/>
      <c r="L9" s="2715"/>
      <c r="M9" s="2716"/>
      <c r="N9" s="2716"/>
      <c r="O9" s="2716"/>
      <c r="P9" s="4122" t="s">
        <v>1684</v>
      </c>
      <c r="Q9" s="1342" t="str">
        <f t="shared" ref="Q9:Q15" si="6">B9</f>
        <v>用途</v>
      </c>
      <c r="R9" s="700" t="s">
        <v>14</v>
      </c>
      <c r="S9" s="701">
        <f t="shared" si="0"/>
        <v>100</v>
      </c>
      <c r="T9" s="700" t="s">
        <v>14</v>
      </c>
      <c r="U9" s="701">
        <f t="shared" si="1"/>
        <v>100</v>
      </c>
      <c r="V9" s="700" t="s">
        <v>14</v>
      </c>
      <c r="W9" s="701">
        <f t="shared" si="2"/>
        <v>100</v>
      </c>
      <c r="X9" s="702"/>
      <c r="Y9" s="4052" t="s">
        <v>1685</v>
      </c>
      <c r="Z9" s="52" t="str">
        <f t="shared" ref="Z9:Z15" si="7">Q9</f>
        <v>用途</v>
      </c>
      <c r="AA9" s="703">
        <f t="shared" si="3"/>
        <v>1</v>
      </c>
      <c r="AB9" s="703">
        <f t="shared" si="4"/>
        <v>1</v>
      </c>
      <c r="AC9" s="703">
        <f t="shared" si="5"/>
        <v>1</v>
      </c>
    </row>
    <row r="10" spans="1:29" s="378" customFormat="1" ht="27">
      <c r="A10" s="374"/>
      <c r="B10" s="375" t="s">
        <v>1686</v>
      </c>
      <c r="C10" s="3432"/>
      <c r="D10" s="127">
        <v>100</v>
      </c>
      <c r="E10" s="3433"/>
      <c r="F10" s="376">
        <f>SUMIF(65:65,E10,66:66)-SUMIF(65:65,C10,66:66)+100</f>
        <v>100</v>
      </c>
      <c r="G10" s="3432"/>
      <c r="H10" s="127">
        <f>SUMIF(65:65,G10,66:66)-SUMIF(65:65,C10,66:66)+100</f>
        <v>100</v>
      </c>
      <c r="I10" s="3432"/>
      <c r="J10" s="127">
        <f>SUMIF(65:65,I10,66:66)-SUMIF(65:65,C10,66:66)+100</f>
        <v>100</v>
      </c>
      <c r="K10" s="1890"/>
      <c r="L10" s="2717"/>
      <c r="M10" s="2718"/>
      <c r="N10" s="2718"/>
      <c r="O10" s="2718"/>
      <c r="P10" s="4122"/>
      <c r="Q10" s="1342" t="str">
        <f t="shared" si="6"/>
        <v>土地使用年限（年）</v>
      </c>
      <c r="R10" s="700" t="s">
        <v>14</v>
      </c>
      <c r="S10" s="701">
        <f t="shared" si="0"/>
        <v>100</v>
      </c>
      <c r="T10" s="700" t="s">
        <v>14</v>
      </c>
      <c r="U10" s="701">
        <f t="shared" si="1"/>
        <v>100</v>
      </c>
      <c r="V10" s="700" t="s">
        <v>14</v>
      </c>
      <c r="W10" s="701">
        <f t="shared" si="2"/>
        <v>100</v>
      </c>
      <c r="X10" s="702"/>
      <c r="Y10" s="4052"/>
      <c r="Z10" s="52" t="str">
        <f t="shared" si="7"/>
        <v>土地使用年限（年）</v>
      </c>
      <c r="AA10" s="703">
        <f t="shared" si="3"/>
        <v>1</v>
      </c>
      <c r="AB10" s="703">
        <f t="shared" si="4"/>
        <v>1</v>
      </c>
      <c r="AC10" s="703">
        <f t="shared" si="5"/>
        <v>1</v>
      </c>
    </row>
    <row r="11" spans="1:29" ht="15">
      <c r="A11" s="379"/>
      <c r="B11" s="375" t="s">
        <v>1687</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4122"/>
      <c r="Q11" s="1342" t="str">
        <f t="shared" si="6"/>
        <v>容积率</v>
      </c>
      <c r="R11" s="700" t="s">
        <v>18</v>
      </c>
      <c r="S11" s="701" t="e">
        <f t="shared" si="0"/>
        <v>#N/A</v>
      </c>
      <c r="T11" s="700" t="s">
        <v>18</v>
      </c>
      <c r="U11" s="701" t="e">
        <f t="shared" si="1"/>
        <v>#N/A</v>
      </c>
      <c r="V11" s="700" t="s">
        <v>18</v>
      </c>
      <c r="W11" s="701" t="e">
        <f t="shared" si="2"/>
        <v>#N/A</v>
      </c>
      <c r="X11" s="702"/>
      <c r="Y11" s="4052"/>
      <c r="Z11" s="52" t="str">
        <f t="shared" si="7"/>
        <v>容积率</v>
      </c>
      <c r="AA11" s="703" t="e">
        <f t="shared" si="3"/>
        <v>#N/A</v>
      </c>
      <c r="AB11" s="703" t="e">
        <f t="shared" si="4"/>
        <v>#N/A</v>
      </c>
      <c r="AC11" s="703"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715"/>
      <c r="M12" s="2716"/>
      <c r="N12" s="2716"/>
      <c r="O12" s="2716"/>
      <c r="P12" s="4122"/>
      <c r="Q12" s="1342">
        <f t="shared" si="6"/>
        <v>111</v>
      </c>
      <c r="R12" s="700" t="s">
        <v>18</v>
      </c>
      <c r="S12" s="701">
        <f t="shared" si="0"/>
        <v>100</v>
      </c>
      <c r="T12" s="700" t="s">
        <v>18</v>
      </c>
      <c r="U12" s="701">
        <f t="shared" si="1"/>
        <v>100</v>
      </c>
      <c r="V12" s="700" t="s">
        <v>18</v>
      </c>
      <c r="W12" s="701">
        <f t="shared" si="2"/>
        <v>100</v>
      </c>
      <c r="X12" s="702"/>
      <c r="Y12" s="4052"/>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720"/>
      <c r="M13" s="2714"/>
      <c r="N13" s="2714"/>
      <c r="O13" s="2714"/>
      <c r="P13" s="4122"/>
      <c r="Q13" s="1342">
        <f t="shared" si="6"/>
        <v>111</v>
      </c>
      <c r="R13" s="700" t="s">
        <v>18</v>
      </c>
      <c r="S13" s="701">
        <f t="shared" si="0"/>
        <v>100</v>
      </c>
      <c r="T13" s="700" t="s">
        <v>18</v>
      </c>
      <c r="U13" s="701">
        <f t="shared" si="1"/>
        <v>100</v>
      </c>
      <c r="V13" s="700" t="s">
        <v>18</v>
      </c>
      <c r="W13" s="701">
        <f t="shared" si="2"/>
        <v>100</v>
      </c>
      <c r="X13" s="702"/>
      <c r="Y13" s="4052"/>
      <c r="Z13" s="52">
        <f t="shared" si="7"/>
        <v>111</v>
      </c>
      <c r="AA13" s="703">
        <f t="shared" si="3"/>
        <v>1</v>
      </c>
      <c r="AB13" s="703">
        <f t="shared" si="4"/>
        <v>1</v>
      </c>
      <c r="AC13" s="703">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720"/>
      <c r="M14" s="2714"/>
      <c r="N14" s="2714"/>
      <c r="O14" s="2714"/>
      <c r="P14" s="4122"/>
      <c r="Q14" s="1342">
        <f t="shared" si="6"/>
        <v>111</v>
      </c>
      <c r="R14" s="700" t="s">
        <v>18</v>
      </c>
      <c r="S14" s="701">
        <f t="shared" si="0"/>
        <v>100</v>
      </c>
      <c r="T14" s="700" t="s">
        <v>18</v>
      </c>
      <c r="U14" s="701">
        <f t="shared" si="1"/>
        <v>100</v>
      </c>
      <c r="V14" s="700" t="s">
        <v>18</v>
      </c>
      <c r="W14" s="701">
        <f t="shared" si="2"/>
        <v>100</v>
      </c>
      <c r="X14" s="702"/>
      <c r="Y14" s="4052"/>
      <c r="Z14" s="52">
        <f t="shared" si="7"/>
        <v>111</v>
      </c>
      <c r="AA14" s="703">
        <f t="shared" si="3"/>
        <v>1</v>
      </c>
      <c r="AB14" s="703">
        <f t="shared" si="4"/>
        <v>1</v>
      </c>
      <c r="AC14" s="703">
        <f t="shared" si="5"/>
        <v>1</v>
      </c>
    </row>
    <row r="15" spans="1:29" ht="85.5">
      <c r="A15" s="391" t="s">
        <v>1688</v>
      </c>
      <c r="B15" s="61" t="s">
        <v>1255</v>
      </c>
      <c r="C15" s="1895"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4149" t="s">
        <v>1689</v>
      </c>
      <c r="Q15" s="1351" t="str">
        <f t="shared" si="6"/>
        <v>居住社区成熟度</v>
      </c>
      <c r="R15" s="704" t="s">
        <v>18</v>
      </c>
      <c r="S15" s="705">
        <f t="shared" si="0"/>
        <v>100</v>
      </c>
      <c r="T15" s="704" t="s">
        <v>18</v>
      </c>
      <c r="U15" s="705">
        <f t="shared" si="1"/>
        <v>100</v>
      </c>
      <c r="V15" s="704" t="s">
        <v>18</v>
      </c>
      <c r="W15" s="705">
        <f t="shared" si="2"/>
        <v>100</v>
      </c>
      <c r="X15" s="1354"/>
      <c r="Y15" s="4142" t="s">
        <v>1689</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720"/>
      <c r="M16" s="2714"/>
      <c r="N16" s="2714"/>
      <c r="O16" s="2714"/>
      <c r="P16" s="4150"/>
      <c r="Q16" s="1351"/>
      <c r="R16" s="704"/>
      <c r="S16" s="705"/>
      <c r="T16" s="704"/>
      <c r="U16" s="705"/>
      <c r="V16" s="704"/>
      <c r="W16" s="705"/>
      <c r="X16" s="1354"/>
      <c r="Y16" s="4143"/>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4150"/>
      <c r="Q17" s="1351" t="str">
        <f>B17</f>
        <v>交通便捷度</v>
      </c>
      <c r="R17" s="704" t="s">
        <v>18</v>
      </c>
      <c r="S17" s="705">
        <f>F17</f>
        <v>100</v>
      </c>
      <c r="T17" s="704" t="s">
        <v>18</v>
      </c>
      <c r="U17" s="705">
        <f>H17</f>
        <v>100</v>
      </c>
      <c r="V17" s="704" t="s">
        <v>18</v>
      </c>
      <c r="W17" s="705">
        <f>J17</f>
        <v>100</v>
      </c>
      <c r="X17" s="1354"/>
      <c r="Y17" s="4143"/>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720"/>
      <c r="M18" s="2714"/>
      <c r="N18" s="2714"/>
      <c r="O18" s="2714"/>
      <c r="P18" s="4150"/>
      <c r="Q18" s="1351"/>
      <c r="R18" s="704"/>
      <c r="S18" s="705"/>
      <c r="T18" s="704"/>
      <c r="U18" s="705"/>
      <c r="V18" s="704"/>
      <c r="W18" s="705"/>
      <c r="X18" s="1354"/>
      <c r="Y18" s="4143"/>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4150"/>
      <c r="Q19" s="1351" t="str">
        <f>B19</f>
        <v>公共配套设施</v>
      </c>
      <c r="R19" s="704" t="s">
        <v>18</v>
      </c>
      <c r="S19" s="705">
        <f>F19</f>
        <v>100</v>
      </c>
      <c r="T19" s="704" t="s">
        <v>18</v>
      </c>
      <c r="U19" s="705">
        <f>H19</f>
        <v>100</v>
      </c>
      <c r="V19" s="704" t="s">
        <v>18</v>
      </c>
      <c r="W19" s="705">
        <f>J19</f>
        <v>100</v>
      </c>
      <c r="X19" s="1354"/>
      <c r="Y19" s="4143"/>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720"/>
      <c r="M20" s="2714"/>
      <c r="N20" s="2714"/>
      <c r="O20" s="2714"/>
      <c r="P20" s="4150"/>
      <c r="Q20" s="1351"/>
      <c r="R20" s="704"/>
      <c r="S20" s="705"/>
      <c r="T20" s="704"/>
      <c r="U20" s="705"/>
      <c r="V20" s="704"/>
      <c r="W20" s="705"/>
      <c r="X20" s="1354"/>
      <c r="Y20" s="4143"/>
      <c r="Z20" s="1355"/>
      <c r="AA20" s="1352">
        <v>1</v>
      </c>
      <c r="AB20" s="1352">
        <v>1</v>
      </c>
      <c r="AC20" s="1352">
        <v>1</v>
      </c>
    </row>
    <row r="21" spans="1:29" ht="28.5">
      <c r="A21" s="379"/>
      <c r="B21" s="1130"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4150"/>
      <c r="Q21" s="1351" t="str">
        <f>B21</f>
        <v>基础设施水平</v>
      </c>
      <c r="R21" s="704" t="s">
        <v>14</v>
      </c>
      <c r="S21" s="705">
        <f>F21</f>
        <v>100</v>
      </c>
      <c r="T21" s="704" t="s">
        <v>14</v>
      </c>
      <c r="U21" s="705">
        <f>H21</f>
        <v>100</v>
      </c>
      <c r="V21" s="704" t="s">
        <v>14</v>
      </c>
      <c r="W21" s="705">
        <f>J21</f>
        <v>100</v>
      </c>
      <c r="X21" s="1354"/>
      <c r="Y21" s="4143"/>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399"/>
      <c r="G22" s="1903"/>
      <c r="H22" s="399"/>
      <c r="I22" s="398"/>
      <c r="J22" s="399"/>
      <c r="K22" s="1904"/>
      <c r="L22" s="2720"/>
      <c r="M22" s="2714"/>
      <c r="N22" s="2714"/>
      <c r="O22" s="2714"/>
      <c r="P22" s="4150"/>
      <c r="Q22" s="1351"/>
      <c r="R22" s="704"/>
      <c r="S22" s="705"/>
      <c r="T22" s="704"/>
      <c r="U22" s="705"/>
      <c r="V22" s="704"/>
      <c r="W22" s="705"/>
      <c r="X22" s="1354"/>
      <c r="Y22" s="4143"/>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4150"/>
      <c r="Q23" s="1351" t="str">
        <f>B23</f>
        <v>自然及人文环境</v>
      </c>
      <c r="R23" s="704" t="s">
        <v>18</v>
      </c>
      <c r="S23" s="705">
        <f>F23</f>
        <v>100</v>
      </c>
      <c r="T23" s="704" t="s">
        <v>18</v>
      </c>
      <c r="U23" s="705">
        <f>H23</f>
        <v>100</v>
      </c>
      <c r="V23" s="704" t="s">
        <v>18</v>
      </c>
      <c r="W23" s="705">
        <f>J23</f>
        <v>100</v>
      </c>
      <c r="X23" s="1354"/>
      <c r="Y23" s="4143"/>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720"/>
      <c r="M24" s="2714"/>
      <c r="N24" s="2714"/>
      <c r="O24" s="2714"/>
      <c r="P24" s="4150"/>
      <c r="Q24" s="1351"/>
      <c r="R24" s="704"/>
      <c r="S24" s="705"/>
      <c r="T24" s="704"/>
      <c r="U24" s="705"/>
      <c r="V24" s="704"/>
      <c r="W24" s="705"/>
      <c r="X24" s="1354"/>
      <c r="Y24" s="4143"/>
      <c r="Z24" s="1355"/>
      <c r="AA24" s="1352">
        <v>1</v>
      </c>
      <c r="AB24" s="1352">
        <v>1</v>
      </c>
      <c r="AC24" s="1352">
        <v>1</v>
      </c>
    </row>
    <row r="25" spans="1:29" ht="15">
      <c r="A25" s="379"/>
      <c r="B25" s="375" t="s">
        <v>1690</v>
      </c>
      <c r="C25" s="411"/>
      <c r="D25" s="386">
        <v>100</v>
      </c>
      <c r="E25" s="1905"/>
      <c r="F25" s="386">
        <f>SUMIF(86:86,E25,87:87)-SUMIF(86:86,C25,87:87)+100</f>
        <v>100</v>
      </c>
      <c r="G25" s="1906"/>
      <c r="H25" s="386">
        <f>SUMIF(86:86,G25,87:87)-SUMIF(86:86,C25,87:87)+100</f>
        <v>100</v>
      </c>
      <c r="I25" s="1906"/>
      <c r="J25" s="386">
        <f>SUMIF(86:86,I25,87:87)-SUMIF(86:86,C25,87:87)+100</f>
        <v>100</v>
      </c>
      <c r="K25" s="377"/>
      <c r="L25" s="2720"/>
      <c r="M25" s="2714"/>
      <c r="N25" s="2714"/>
      <c r="O25" s="2714"/>
      <c r="P25" s="4150"/>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4143"/>
      <c r="Z25" s="1355" t="str">
        <f>Q25</f>
        <v>楼层-1</v>
      </c>
      <c r="AA25" s="1352">
        <f t="shared" ref="AA25:AA46" si="15">D25/F25</f>
        <v>1</v>
      </c>
      <c r="AB25" s="1352">
        <f t="shared" ref="AB25:AB46" si="16">D25/H25</f>
        <v>1</v>
      </c>
      <c r="AC25" s="1352">
        <f t="shared" ref="AC25:AC46" si="17">D25/J25</f>
        <v>1</v>
      </c>
    </row>
    <row r="26" spans="1:29" ht="15">
      <c r="A26" s="379"/>
      <c r="B26" s="375" t="s">
        <v>1691</v>
      </c>
      <c r="C26" s="411"/>
      <c r="D26" s="386">
        <v>100</v>
      </c>
      <c r="E26" s="1905"/>
      <c r="F26" s="386">
        <f>SUMIF(88:88,E26,89:89)-SUMIF(88:88,C26,89:89)+100</f>
        <v>100</v>
      </c>
      <c r="G26" s="1906"/>
      <c r="H26" s="386">
        <f>SUMIF(88:88,G26,89:89)-SUMIF(88:88,C26,89:89)+100</f>
        <v>100</v>
      </c>
      <c r="I26" s="1906"/>
      <c r="J26" s="386">
        <f>SUMIF(88:88,I26,89:89)-SUMIF(88:88,C26,89:89)+100</f>
        <v>100</v>
      </c>
      <c r="K26" s="377"/>
      <c r="L26" s="2720"/>
      <c r="M26" s="2714"/>
      <c r="N26" s="2714"/>
      <c r="O26" s="2714"/>
      <c r="P26" s="4150"/>
      <c r="Q26" s="1351" t="str">
        <f t="shared" si="11"/>
        <v>朝向</v>
      </c>
      <c r="R26" s="704" t="s">
        <v>18</v>
      </c>
      <c r="S26" s="705">
        <f t="shared" si="12"/>
        <v>100</v>
      </c>
      <c r="T26" s="704" t="s">
        <v>18</v>
      </c>
      <c r="U26" s="705">
        <f t="shared" si="13"/>
        <v>100</v>
      </c>
      <c r="V26" s="704" t="s">
        <v>18</v>
      </c>
      <c r="W26" s="705">
        <f t="shared" si="14"/>
        <v>100</v>
      </c>
      <c r="X26" s="1354"/>
      <c r="Y26" s="4143"/>
      <c r="Z26" s="1355" t="str">
        <f>Q26</f>
        <v>朝向</v>
      </c>
      <c r="AA26" s="1352">
        <f t="shared" si="15"/>
        <v>1</v>
      </c>
      <c r="AB26" s="1352">
        <f t="shared" si="16"/>
        <v>1</v>
      </c>
      <c r="AC26" s="1352">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3"/>
      <c r="L27" s="2715"/>
      <c r="M27" s="2716"/>
      <c r="N27" s="2716"/>
      <c r="O27" s="2716"/>
      <c r="P27" s="4150"/>
      <c r="Q27" s="1342">
        <f t="shared" si="11"/>
        <v>111</v>
      </c>
      <c r="R27" s="700" t="s">
        <v>18</v>
      </c>
      <c r="S27" s="701">
        <f t="shared" si="12"/>
        <v>100</v>
      </c>
      <c r="T27" s="700" t="s">
        <v>18</v>
      </c>
      <c r="U27" s="701">
        <f t="shared" si="13"/>
        <v>100</v>
      </c>
      <c r="V27" s="700" t="s">
        <v>18</v>
      </c>
      <c r="W27" s="701">
        <f t="shared" si="14"/>
        <v>100</v>
      </c>
      <c r="X27" s="702"/>
      <c r="Y27" s="4143"/>
      <c r="Z27" s="52">
        <f>Q27</f>
        <v>111</v>
      </c>
      <c r="AA27" s="1352">
        <f t="shared" si="15"/>
        <v>1</v>
      </c>
      <c r="AB27" s="1352">
        <f t="shared" si="16"/>
        <v>1</v>
      </c>
      <c r="AC27" s="1352">
        <f t="shared" si="17"/>
        <v>1</v>
      </c>
    </row>
    <row r="28" spans="1:29" ht="15">
      <c r="A28" s="379"/>
      <c r="B28" s="1132">
        <v>111</v>
      </c>
      <c r="C28" s="385"/>
      <c r="D28" s="386">
        <v>100</v>
      </c>
      <c r="E28" s="385"/>
      <c r="F28" s="386">
        <f>SUMIF(92:92,E28,93:93)-SUMIF(92:92,C28,93:93)+100</f>
        <v>100</v>
      </c>
      <c r="G28" s="1907"/>
      <c r="H28" s="386">
        <f>SUMIF(92:92,G28,93:93)-SUMIF(92:92,C28,93:93)+100</f>
        <v>100</v>
      </c>
      <c r="I28" s="385"/>
      <c r="J28" s="386">
        <f>SUMIF(92:92,I28,93:93)-SUMIF(92:92,C28,93:93)+100</f>
        <v>100</v>
      </c>
      <c r="K28" s="1893"/>
      <c r="L28" s="2720"/>
      <c r="M28" s="2714"/>
      <c r="N28" s="2714"/>
      <c r="O28" s="2714"/>
      <c r="P28" s="4150"/>
      <c r="Q28" s="1351">
        <f t="shared" si="11"/>
        <v>111</v>
      </c>
      <c r="R28" s="704" t="s">
        <v>18</v>
      </c>
      <c r="S28" s="705">
        <f t="shared" si="12"/>
        <v>100</v>
      </c>
      <c r="T28" s="704" t="s">
        <v>18</v>
      </c>
      <c r="U28" s="705">
        <f t="shared" si="13"/>
        <v>100</v>
      </c>
      <c r="V28" s="704" t="s">
        <v>18</v>
      </c>
      <c r="W28" s="705">
        <f t="shared" si="14"/>
        <v>100</v>
      </c>
      <c r="X28" s="1354"/>
      <c r="Y28" s="4143"/>
      <c r="Z28" s="1355">
        <f t="shared" ref="Z28:Z46" si="18">Q28</f>
        <v>111</v>
      </c>
      <c r="AA28" s="1352">
        <f t="shared" si="15"/>
        <v>1</v>
      </c>
      <c r="AB28" s="1352">
        <f t="shared" si="16"/>
        <v>1</v>
      </c>
      <c r="AC28" s="1352">
        <f t="shared" si="17"/>
        <v>1</v>
      </c>
    </row>
    <row r="29" spans="1:29" ht="15">
      <c r="A29" s="379"/>
      <c r="B29" s="1132">
        <v>111</v>
      </c>
      <c r="C29" s="385"/>
      <c r="D29" s="386">
        <v>100</v>
      </c>
      <c r="E29" s="385"/>
      <c r="F29" s="386">
        <f>SUMIF(94:94,E29,95:95)-SUMIF(94:94,C29,95:95)+100</f>
        <v>100</v>
      </c>
      <c r="G29" s="1907"/>
      <c r="H29" s="386">
        <f>SUMIF(94:94,G29,95:95)-SUMIF(94:94,C29,95:95)+100</f>
        <v>100</v>
      </c>
      <c r="I29" s="385"/>
      <c r="J29" s="386">
        <f>SUMIF(94:94,I29,95:95)-SUMIF(94:94,C29,95:95)+100</f>
        <v>100</v>
      </c>
      <c r="K29" s="1893"/>
      <c r="L29" s="2720"/>
      <c r="M29" s="2714"/>
      <c r="N29" s="2714"/>
      <c r="O29" s="2714"/>
      <c r="P29" s="4150"/>
      <c r="Q29" s="1351">
        <f t="shared" si="11"/>
        <v>111</v>
      </c>
      <c r="R29" s="704" t="s">
        <v>18</v>
      </c>
      <c r="S29" s="705">
        <f t="shared" si="12"/>
        <v>100</v>
      </c>
      <c r="T29" s="704" t="s">
        <v>18</v>
      </c>
      <c r="U29" s="705">
        <f t="shared" si="13"/>
        <v>100</v>
      </c>
      <c r="V29" s="704" t="s">
        <v>18</v>
      </c>
      <c r="W29" s="705">
        <f t="shared" si="14"/>
        <v>100</v>
      </c>
      <c r="X29" s="1354"/>
      <c r="Y29" s="4143"/>
      <c r="Z29" s="1355">
        <f t="shared" si="18"/>
        <v>111</v>
      </c>
      <c r="AA29" s="1352">
        <f t="shared" si="15"/>
        <v>1</v>
      </c>
      <c r="AB29" s="1352">
        <f t="shared" si="16"/>
        <v>1</v>
      </c>
      <c r="AC29" s="1352">
        <f t="shared" si="17"/>
        <v>1</v>
      </c>
    </row>
    <row r="30" spans="1:29" ht="15">
      <c r="A30" s="379"/>
      <c r="B30" s="1132">
        <v>111</v>
      </c>
      <c r="C30" s="385"/>
      <c r="D30" s="386">
        <v>100</v>
      </c>
      <c r="E30" s="385"/>
      <c r="F30" s="386">
        <f>SUMIF(96:96,E30,97:97)-SUMIF(96:96,C30,97:97)+100</f>
        <v>100</v>
      </c>
      <c r="G30" s="1907"/>
      <c r="H30" s="386">
        <f>SUMIF(96:96,G30,97:97)-SUMIF(96:96,C30,97:97)+100</f>
        <v>100</v>
      </c>
      <c r="I30" s="385"/>
      <c r="J30" s="386">
        <f>SUMIF(96:96,I30,97:97)-SUMIF(96:96,C30,97:97)+100</f>
        <v>100</v>
      </c>
      <c r="K30" s="1893"/>
      <c r="L30" s="2720"/>
      <c r="M30" s="2714"/>
      <c r="N30" s="2714"/>
      <c r="O30" s="2714"/>
      <c r="P30" s="4150"/>
      <c r="Q30" s="1351">
        <f t="shared" si="11"/>
        <v>111</v>
      </c>
      <c r="R30" s="704" t="s">
        <v>18</v>
      </c>
      <c r="S30" s="705">
        <f t="shared" si="12"/>
        <v>100</v>
      </c>
      <c r="T30" s="704" t="s">
        <v>18</v>
      </c>
      <c r="U30" s="705">
        <f t="shared" si="13"/>
        <v>100</v>
      </c>
      <c r="V30" s="704" t="s">
        <v>18</v>
      </c>
      <c r="W30" s="705">
        <f t="shared" si="14"/>
        <v>100</v>
      </c>
      <c r="X30" s="1354"/>
      <c r="Y30" s="4143"/>
      <c r="Z30" s="1355">
        <f t="shared" si="18"/>
        <v>111</v>
      </c>
      <c r="AA30" s="1352">
        <f t="shared" si="15"/>
        <v>1</v>
      </c>
      <c r="AB30" s="1352">
        <f t="shared" si="16"/>
        <v>1</v>
      </c>
      <c r="AC30" s="1352">
        <f t="shared" si="17"/>
        <v>1</v>
      </c>
    </row>
    <row r="31" spans="1:29" ht="15.75" thickBot="1">
      <c r="A31" s="387"/>
      <c r="B31" s="1132">
        <v>111</v>
      </c>
      <c r="C31" s="388"/>
      <c r="D31" s="389">
        <v>100</v>
      </c>
      <c r="E31" s="388"/>
      <c r="F31" s="389">
        <f>SUMIF(98:98,E31,99:99)-SUMIF(98:98,C31,99:99)+100</f>
        <v>100</v>
      </c>
      <c r="G31" s="1908"/>
      <c r="H31" s="389">
        <f>SUMIF(98:98,G31,99:99)-SUMIF(98:98,C31,99:99)+100</f>
        <v>100</v>
      </c>
      <c r="I31" s="388"/>
      <c r="J31" s="389">
        <f>SUMIF(98:98,I31,99:99)-SUMIF(98:98,C31,99:99)+100</f>
        <v>100</v>
      </c>
      <c r="K31" s="1893"/>
      <c r="L31" s="2720"/>
      <c r="M31" s="2714"/>
      <c r="N31" s="2714"/>
      <c r="O31" s="2714"/>
      <c r="P31" s="4150"/>
      <c r="Q31" s="1351">
        <f t="shared" si="11"/>
        <v>111</v>
      </c>
      <c r="R31" s="704" t="s">
        <v>18</v>
      </c>
      <c r="S31" s="705">
        <f t="shared" si="12"/>
        <v>100</v>
      </c>
      <c r="T31" s="704" t="s">
        <v>18</v>
      </c>
      <c r="U31" s="705">
        <f t="shared" si="13"/>
        <v>100</v>
      </c>
      <c r="V31" s="704" t="s">
        <v>18</v>
      </c>
      <c r="W31" s="705">
        <f t="shared" si="14"/>
        <v>100</v>
      </c>
      <c r="X31" s="1354"/>
      <c r="Y31" s="4143"/>
      <c r="Z31" s="1355">
        <f t="shared" si="18"/>
        <v>111</v>
      </c>
      <c r="AA31" s="1352">
        <f t="shared" si="15"/>
        <v>1</v>
      </c>
      <c r="AB31" s="1352">
        <f t="shared" si="16"/>
        <v>1</v>
      </c>
      <c r="AC31" s="1352">
        <f t="shared" si="17"/>
        <v>1</v>
      </c>
    </row>
    <row r="32" spans="1:29" ht="15">
      <c r="A32" s="391" t="s">
        <v>1692</v>
      </c>
      <c r="B32" s="63" t="s">
        <v>1693</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720"/>
      <c r="M32" s="2714"/>
      <c r="N32" s="2714"/>
      <c r="O32" s="2714"/>
      <c r="P32" s="4144" t="s">
        <v>1694</v>
      </c>
      <c r="Q32" s="1351" t="str">
        <f t="shared" si="11"/>
        <v>建筑类型</v>
      </c>
      <c r="R32" s="704" t="s">
        <v>18</v>
      </c>
      <c r="S32" s="705">
        <f t="shared" si="12"/>
        <v>100</v>
      </c>
      <c r="T32" s="704" t="s">
        <v>18</v>
      </c>
      <c r="U32" s="705">
        <f t="shared" si="13"/>
        <v>100</v>
      </c>
      <c r="V32" s="704" t="s">
        <v>18</v>
      </c>
      <c r="W32" s="705">
        <f t="shared" si="14"/>
        <v>100</v>
      </c>
      <c r="X32" s="1354"/>
      <c r="Y32" s="4147" t="s">
        <v>1694</v>
      </c>
      <c r="Z32" s="1355" t="str">
        <f t="shared" si="18"/>
        <v>建筑类型</v>
      </c>
      <c r="AA32" s="1352">
        <f t="shared" si="15"/>
        <v>1</v>
      </c>
      <c r="AB32" s="1352">
        <f t="shared" si="16"/>
        <v>1</v>
      </c>
      <c r="AC32" s="1352">
        <f t="shared" si="17"/>
        <v>1</v>
      </c>
    </row>
    <row r="33" spans="1:29" s="422" customFormat="1" ht="15">
      <c r="A33" s="419"/>
      <c r="B33" s="375" t="s">
        <v>1695</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719"/>
      <c r="M33" s="2721"/>
      <c r="N33" s="2721"/>
      <c r="O33" s="2721"/>
      <c r="P33" s="4145"/>
      <c r="Q33" s="706" t="str">
        <f t="shared" si="11"/>
        <v>项目建筑规模</v>
      </c>
      <c r="R33" s="707" t="s">
        <v>18</v>
      </c>
      <c r="S33" s="708" t="e">
        <f t="shared" si="12"/>
        <v>#N/A</v>
      </c>
      <c r="T33" s="707" t="s">
        <v>18</v>
      </c>
      <c r="U33" s="708" t="e">
        <f t="shared" si="13"/>
        <v>#N/A</v>
      </c>
      <c r="V33" s="707" t="s">
        <v>18</v>
      </c>
      <c r="W33" s="708" t="e">
        <f t="shared" si="14"/>
        <v>#N/A</v>
      </c>
      <c r="X33" s="709"/>
      <c r="Y33" s="4147"/>
      <c r="Z33" s="710" t="str">
        <f t="shared" si="18"/>
        <v>项目建筑规模</v>
      </c>
      <c r="AA33" s="1352" t="e">
        <f t="shared" si="15"/>
        <v>#N/A</v>
      </c>
      <c r="AB33" s="1352" t="e">
        <f t="shared" si="16"/>
        <v>#N/A</v>
      </c>
      <c r="AC33" s="1352" t="e">
        <f t="shared" si="17"/>
        <v>#N/A</v>
      </c>
    </row>
    <row r="34" spans="1:29" ht="15">
      <c r="A34" s="423"/>
      <c r="B34" s="375" t="s">
        <v>1696</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720"/>
      <c r="M34" s="2714"/>
      <c r="N34" s="2714"/>
      <c r="O34" s="2714"/>
      <c r="P34" s="4145"/>
      <c r="Q34" s="1351" t="str">
        <f t="shared" si="11"/>
        <v>建筑结构</v>
      </c>
      <c r="R34" s="704" t="s">
        <v>18</v>
      </c>
      <c r="S34" s="705">
        <f t="shared" si="12"/>
        <v>100</v>
      </c>
      <c r="T34" s="704" t="s">
        <v>18</v>
      </c>
      <c r="U34" s="705">
        <f t="shared" si="13"/>
        <v>100</v>
      </c>
      <c r="V34" s="704" t="s">
        <v>18</v>
      </c>
      <c r="W34" s="705">
        <f t="shared" si="14"/>
        <v>100</v>
      </c>
      <c r="X34" s="1354"/>
      <c r="Y34" s="4147"/>
      <c r="Z34" s="1355" t="str">
        <f t="shared" si="18"/>
        <v>建筑结构</v>
      </c>
      <c r="AA34" s="1352">
        <f t="shared" si="15"/>
        <v>1</v>
      </c>
      <c r="AB34" s="1352">
        <f t="shared" si="16"/>
        <v>1</v>
      </c>
      <c r="AC34" s="1352">
        <f t="shared" si="17"/>
        <v>1</v>
      </c>
    </row>
    <row r="35" spans="1:29" ht="15">
      <c r="A35" s="423"/>
      <c r="B35" s="375" t="s">
        <v>1697</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720"/>
      <c r="M35" s="2714"/>
      <c r="N35" s="2714"/>
      <c r="O35" s="2714"/>
      <c r="P35" s="4145"/>
      <c r="Q35" s="1351" t="str">
        <f t="shared" si="11"/>
        <v>建筑品质</v>
      </c>
      <c r="R35" s="704" t="s">
        <v>18</v>
      </c>
      <c r="S35" s="705">
        <f t="shared" si="12"/>
        <v>100</v>
      </c>
      <c r="T35" s="704" t="s">
        <v>18</v>
      </c>
      <c r="U35" s="705">
        <f t="shared" si="13"/>
        <v>100</v>
      </c>
      <c r="V35" s="704" t="s">
        <v>18</v>
      </c>
      <c r="W35" s="705">
        <f t="shared" si="14"/>
        <v>100</v>
      </c>
      <c r="X35" s="1354"/>
      <c r="Y35" s="4147"/>
      <c r="Z35" s="1355" t="str">
        <f t="shared" si="18"/>
        <v>建筑品质</v>
      </c>
      <c r="AA35" s="1352">
        <f t="shared" si="15"/>
        <v>1</v>
      </c>
      <c r="AB35" s="1352">
        <f t="shared" si="16"/>
        <v>1</v>
      </c>
      <c r="AC35" s="1352">
        <f t="shared" si="17"/>
        <v>1</v>
      </c>
    </row>
    <row r="36" spans="1:29" ht="15">
      <c r="A36" s="423"/>
      <c r="B36" s="375" t="s">
        <v>1698</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720"/>
      <c r="M36" s="2714"/>
      <c r="N36" s="2714"/>
      <c r="O36" s="2714"/>
      <c r="P36" s="4145"/>
      <c r="Q36" s="1351" t="str">
        <f t="shared" si="11"/>
        <v>公共部分装修</v>
      </c>
      <c r="R36" s="704" t="s">
        <v>18</v>
      </c>
      <c r="S36" s="705">
        <f t="shared" si="12"/>
        <v>100</v>
      </c>
      <c r="T36" s="704" t="s">
        <v>18</v>
      </c>
      <c r="U36" s="705">
        <f t="shared" si="13"/>
        <v>100</v>
      </c>
      <c r="V36" s="704" t="s">
        <v>18</v>
      </c>
      <c r="W36" s="705">
        <f t="shared" si="14"/>
        <v>100</v>
      </c>
      <c r="X36" s="1354"/>
      <c r="Y36" s="4147"/>
      <c r="Z36" s="1355" t="str">
        <f t="shared" si="18"/>
        <v>公共部分装修</v>
      </c>
      <c r="AA36" s="1352">
        <f t="shared" si="15"/>
        <v>1</v>
      </c>
      <c r="AB36" s="1352">
        <f t="shared" si="16"/>
        <v>1</v>
      </c>
      <c r="AC36" s="1352">
        <f t="shared" si="17"/>
        <v>1</v>
      </c>
    </row>
    <row r="37" spans="1:29" s="108" customFormat="1" ht="15">
      <c r="A37" s="424"/>
      <c r="B37" s="375" t="s">
        <v>1699</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4145"/>
      <c r="Q37" s="1342" t="str">
        <f t="shared" si="11"/>
        <v>成新度</v>
      </c>
      <c r="R37" s="700" t="s">
        <v>18</v>
      </c>
      <c r="S37" s="701" t="e">
        <f t="shared" si="12"/>
        <v>#N/A</v>
      </c>
      <c r="T37" s="700" t="s">
        <v>18</v>
      </c>
      <c r="U37" s="701" t="e">
        <f t="shared" si="13"/>
        <v>#N/A</v>
      </c>
      <c r="V37" s="700" t="s">
        <v>18</v>
      </c>
      <c r="W37" s="701" t="e">
        <f t="shared" si="14"/>
        <v>#N/A</v>
      </c>
      <c r="X37" s="702"/>
      <c r="Y37" s="4147"/>
      <c r="Z37" s="52" t="str">
        <f t="shared" si="18"/>
        <v>成新度</v>
      </c>
      <c r="AA37" s="703" t="e">
        <f t="shared" si="15"/>
        <v>#N/A</v>
      </c>
      <c r="AB37" s="703" t="e">
        <f t="shared" si="16"/>
        <v>#N/A</v>
      </c>
      <c r="AC37" s="703" t="e">
        <f t="shared" si="17"/>
        <v>#N/A</v>
      </c>
    </row>
    <row r="38" spans="1:29" ht="15">
      <c r="A38" s="423"/>
      <c r="B38" s="375" t="s">
        <v>1700</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720"/>
      <c r="M38" s="2714"/>
      <c r="N38" s="2714"/>
      <c r="O38" s="2714"/>
      <c r="P38" s="4145" t="s">
        <v>1694</v>
      </c>
      <c r="Q38" s="1351" t="str">
        <f t="shared" si="11"/>
        <v>物业管理</v>
      </c>
      <c r="R38" s="704" t="s">
        <v>18</v>
      </c>
      <c r="S38" s="705">
        <f t="shared" si="12"/>
        <v>100</v>
      </c>
      <c r="T38" s="704" t="s">
        <v>18</v>
      </c>
      <c r="U38" s="705">
        <f t="shared" si="13"/>
        <v>100</v>
      </c>
      <c r="V38" s="704" t="s">
        <v>18</v>
      </c>
      <c r="W38" s="705">
        <f t="shared" si="14"/>
        <v>100</v>
      </c>
      <c r="X38" s="1354"/>
      <c r="Y38" s="4147" t="s">
        <v>1694</v>
      </c>
      <c r="Z38" s="1355" t="str">
        <f t="shared" si="18"/>
        <v>物业管理</v>
      </c>
      <c r="AA38" s="1352">
        <f t="shared" si="15"/>
        <v>1</v>
      </c>
      <c r="AB38" s="1352">
        <f t="shared" si="16"/>
        <v>1</v>
      </c>
      <c r="AC38" s="1352">
        <f t="shared" si="17"/>
        <v>1</v>
      </c>
    </row>
    <row r="39" spans="1:29" ht="15">
      <c r="A39" s="423"/>
      <c r="B39" s="375" t="s">
        <v>1701</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720"/>
      <c r="M39" s="2714"/>
      <c r="N39" s="2714"/>
      <c r="O39" s="2714"/>
      <c r="P39" s="4145"/>
      <c r="Q39" s="1351" t="str">
        <f t="shared" si="11"/>
        <v>市政基础设施</v>
      </c>
      <c r="R39" s="704" t="s">
        <v>18</v>
      </c>
      <c r="S39" s="705">
        <f t="shared" si="12"/>
        <v>100</v>
      </c>
      <c r="T39" s="704" t="s">
        <v>18</v>
      </c>
      <c r="U39" s="705">
        <f t="shared" si="13"/>
        <v>100</v>
      </c>
      <c r="V39" s="704" t="s">
        <v>18</v>
      </c>
      <c r="W39" s="705">
        <f t="shared" si="14"/>
        <v>100</v>
      </c>
      <c r="X39" s="1354"/>
      <c r="Y39" s="4147"/>
      <c r="Z39" s="1355" t="str">
        <f t="shared" si="18"/>
        <v>市政基础设施</v>
      </c>
      <c r="AA39" s="1352">
        <f t="shared" si="15"/>
        <v>1</v>
      </c>
      <c r="AB39" s="1352">
        <f t="shared" si="16"/>
        <v>1</v>
      </c>
      <c r="AC39" s="1352">
        <f t="shared" si="17"/>
        <v>1</v>
      </c>
    </row>
    <row r="40" spans="1:29" ht="15">
      <c r="A40" s="423"/>
      <c r="B40" s="375" t="s">
        <v>1702</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720"/>
      <c r="M40" s="2714"/>
      <c r="N40" s="2714"/>
      <c r="O40" s="2714"/>
      <c r="P40" s="4145"/>
      <c r="Q40" s="1351" t="str">
        <f t="shared" si="11"/>
        <v>房型</v>
      </c>
      <c r="R40" s="704" t="s">
        <v>18</v>
      </c>
      <c r="S40" s="705">
        <f t="shared" si="12"/>
        <v>100</v>
      </c>
      <c r="T40" s="704" t="s">
        <v>18</v>
      </c>
      <c r="U40" s="705">
        <f t="shared" si="13"/>
        <v>100</v>
      </c>
      <c r="V40" s="704" t="s">
        <v>18</v>
      </c>
      <c r="W40" s="705">
        <f t="shared" si="14"/>
        <v>100</v>
      </c>
      <c r="X40" s="1354"/>
      <c r="Y40" s="4147"/>
      <c r="Z40" s="1355" t="str">
        <f t="shared" si="18"/>
        <v>房型</v>
      </c>
      <c r="AA40" s="1352">
        <f t="shared" si="15"/>
        <v>1</v>
      </c>
      <c r="AB40" s="1352">
        <f t="shared" si="16"/>
        <v>1</v>
      </c>
      <c r="AC40" s="1352">
        <f t="shared" si="17"/>
        <v>1</v>
      </c>
    </row>
    <row r="41" spans="1:29" s="422" customFormat="1" ht="28.5">
      <c r="A41" s="419"/>
      <c r="B41" s="375" t="s">
        <v>1703</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719"/>
      <c r="M41" s="2721"/>
      <c r="N41" s="2721"/>
      <c r="O41" s="2721"/>
      <c r="P41" s="4145"/>
      <c r="Q41" s="706" t="str">
        <f t="shared" si="11"/>
        <v>单套/主力户型建筑面积</v>
      </c>
      <c r="R41" s="707" t="s">
        <v>18</v>
      </c>
      <c r="S41" s="708">
        <f t="shared" si="12"/>
        <v>100</v>
      </c>
      <c r="T41" s="707" t="s">
        <v>18</v>
      </c>
      <c r="U41" s="708">
        <f t="shared" si="13"/>
        <v>100</v>
      </c>
      <c r="V41" s="707" t="s">
        <v>18</v>
      </c>
      <c r="W41" s="708">
        <f t="shared" si="14"/>
        <v>100</v>
      </c>
      <c r="X41" s="709"/>
      <c r="Y41" s="4147"/>
      <c r="Z41" s="710" t="str">
        <f t="shared" si="18"/>
        <v>单套/主力户型建筑面积</v>
      </c>
      <c r="AA41" s="1352">
        <f t="shared" si="15"/>
        <v>1</v>
      </c>
      <c r="AB41" s="1352">
        <f t="shared" si="16"/>
        <v>1</v>
      </c>
      <c r="AC41" s="1352">
        <f t="shared" si="17"/>
        <v>1</v>
      </c>
    </row>
    <row r="42" spans="1:29" ht="15">
      <c r="A42" s="423"/>
      <c r="B42" s="375" t="s">
        <v>1704</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720"/>
      <c r="M42" s="2714"/>
      <c r="N42" s="2714"/>
      <c r="O42" s="2714"/>
      <c r="P42" s="4145"/>
      <c r="Q42" s="1351" t="str">
        <f t="shared" si="11"/>
        <v>内部装修</v>
      </c>
      <c r="R42" s="704" t="s">
        <v>18</v>
      </c>
      <c r="S42" s="705">
        <f t="shared" si="12"/>
        <v>100</v>
      </c>
      <c r="T42" s="704" t="s">
        <v>18</v>
      </c>
      <c r="U42" s="705">
        <f t="shared" si="13"/>
        <v>100</v>
      </c>
      <c r="V42" s="704" t="s">
        <v>18</v>
      </c>
      <c r="W42" s="705">
        <f t="shared" si="14"/>
        <v>100</v>
      </c>
      <c r="X42" s="1354"/>
      <c r="Y42" s="4147"/>
      <c r="Z42" s="1355" t="str">
        <f t="shared" si="18"/>
        <v>内部装修</v>
      </c>
      <c r="AA42" s="1352">
        <f t="shared" si="15"/>
        <v>1</v>
      </c>
      <c r="AB42" s="1352">
        <f t="shared" si="16"/>
        <v>1</v>
      </c>
      <c r="AC42" s="1352">
        <f t="shared" si="17"/>
        <v>1</v>
      </c>
    </row>
    <row r="43" spans="1:29" ht="15">
      <c r="A43" s="423"/>
      <c r="B43" s="375" t="s">
        <v>1705</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720"/>
      <c r="M43" s="2714"/>
      <c r="N43" s="2714"/>
      <c r="O43" s="2714"/>
      <c r="P43" s="4145"/>
      <c r="Q43" s="1351" t="str">
        <f t="shared" si="11"/>
        <v>内部装修维护情况</v>
      </c>
      <c r="R43" s="704" t="s">
        <v>18</v>
      </c>
      <c r="S43" s="705">
        <f t="shared" si="12"/>
        <v>100</v>
      </c>
      <c r="T43" s="704" t="s">
        <v>18</v>
      </c>
      <c r="U43" s="705">
        <f t="shared" si="13"/>
        <v>100</v>
      </c>
      <c r="V43" s="704" t="s">
        <v>18</v>
      </c>
      <c r="W43" s="705">
        <f t="shared" si="14"/>
        <v>100</v>
      </c>
      <c r="X43" s="1354"/>
      <c r="Y43" s="4147"/>
      <c r="Z43" s="1355" t="str">
        <f t="shared" si="18"/>
        <v>内部装修维护情况</v>
      </c>
      <c r="AA43" s="1352">
        <f t="shared" si="15"/>
        <v>1</v>
      </c>
      <c r="AB43" s="1352">
        <f t="shared" si="16"/>
        <v>1</v>
      </c>
      <c r="AC43" s="1352">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715"/>
      <c r="M44" s="2716"/>
      <c r="N44" s="2716"/>
      <c r="O44" s="2716"/>
      <c r="P44" s="4145"/>
      <c r="Q44" s="1342">
        <f t="shared" si="11"/>
        <v>111</v>
      </c>
      <c r="R44" s="700" t="s">
        <v>18</v>
      </c>
      <c r="S44" s="701">
        <f t="shared" si="12"/>
        <v>100</v>
      </c>
      <c r="T44" s="700" t="s">
        <v>18</v>
      </c>
      <c r="U44" s="701">
        <f t="shared" si="13"/>
        <v>100</v>
      </c>
      <c r="V44" s="700" t="s">
        <v>18</v>
      </c>
      <c r="W44" s="701">
        <f t="shared" si="14"/>
        <v>100</v>
      </c>
      <c r="X44" s="702"/>
      <c r="Y44" s="4147"/>
      <c r="Z44" s="52">
        <f t="shared" si="18"/>
        <v>111</v>
      </c>
      <c r="AA44" s="703">
        <f t="shared" si="15"/>
        <v>1</v>
      </c>
      <c r="AB44" s="703">
        <f t="shared" si="16"/>
        <v>1</v>
      </c>
      <c r="AC44" s="703">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720"/>
      <c r="M45" s="2714"/>
      <c r="N45" s="2714"/>
      <c r="O45" s="2714"/>
      <c r="P45" s="4145"/>
      <c r="Q45" s="1351">
        <f t="shared" si="11"/>
        <v>111</v>
      </c>
      <c r="R45" s="704" t="s">
        <v>18</v>
      </c>
      <c r="S45" s="705">
        <f t="shared" si="12"/>
        <v>100</v>
      </c>
      <c r="T45" s="704" t="s">
        <v>18</v>
      </c>
      <c r="U45" s="705">
        <f t="shared" si="13"/>
        <v>100</v>
      </c>
      <c r="V45" s="704" t="s">
        <v>18</v>
      </c>
      <c r="W45" s="705">
        <f t="shared" si="14"/>
        <v>100</v>
      </c>
      <c r="X45" s="1354"/>
      <c r="Y45" s="4147"/>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720"/>
      <c r="M46" s="2714"/>
      <c r="N46" s="2714"/>
      <c r="O46" s="2714"/>
      <c r="P46" s="4146"/>
      <c r="Q46" s="1351">
        <f t="shared" si="11"/>
        <v>111</v>
      </c>
      <c r="R46" s="704" t="s">
        <v>17</v>
      </c>
      <c r="S46" s="705">
        <f t="shared" si="12"/>
        <v>100</v>
      </c>
      <c r="T46" s="704" t="s">
        <v>17</v>
      </c>
      <c r="U46" s="705">
        <f t="shared" si="13"/>
        <v>100</v>
      </c>
      <c r="V46" s="704" t="s">
        <v>17</v>
      </c>
      <c r="W46" s="705">
        <f t="shared" si="14"/>
        <v>100</v>
      </c>
      <c r="X46" s="1354"/>
      <c r="Y46" s="4148"/>
      <c r="Z46" s="1355">
        <f t="shared" si="18"/>
        <v>111</v>
      </c>
      <c r="AA46" s="1352">
        <f t="shared" si="15"/>
        <v>1</v>
      </c>
      <c r="AB46" s="1352">
        <f t="shared" si="16"/>
        <v>1</v>
      </c>
      <c r="AC46" s="1352">
        <f t="shared" si="17"/>
        <v>1</v>
      </c>
    </row>
    <row r="47" spans="1:29" ht="15">
      <c r="A47" s="430" t="s">
        <v>1706</v>
      </c>
      <c r="B47" s="431"/>
      <c r="C47" s="1153" t="s">
        <v>16</v>
      </c>
      <c r="D47" s="1154"/>
      <c r="E47" s="1155"/>
      <c r="F47" s="1156"/>
      <c r="G47" s="1157"/>
      <c r="H47" s="1158"/>
      <c r="I47" s="1155"/>
      <c r="J47" s="1158"/>
      <c r="K47" s="1913"/>
      <c r="L47" s="2722"/>
      <c r="M47" s="2723"/>
      <c r="N47" s="2714"/>
      <c r="O47" s="2723"/>
      <c r="P47" s="4140" t="str">
        <f>A47</f>
        <v>成交单价（元/平方米）</v>
      </c>
      <c r="Q47" s="4140"/>
      <c r="R47" s="4141">
        <f>E47</f>
        <v>0</v>
      </c>
      <c r="S47" s="4141"/>
      <c r="T47" s="4141">
        <f>G47</f>
        <v>0</v>
      </c>
      <c r="U47" s="4141"/>
      <c r="V47" s="4141">
        <f>I47</f>
        <v>0</v>
      </c>
      <c r="W47" s="4141"/>
      <c r="X47" s="689"/>
      <c r="Y47" s="711"/>
      <c r="Z47" s="689"/>
      <c r="AA47" s="689"/>
      <c r="AB47" s="689"/>
      <c r="AC47" s="689"/>
    </row>
    <row r="48" spans="1:29" ht="15.75" thickBot="1">
      <c r="A48" s="437" t="s">
        <v>1707</v>
      </c>
      <c r="B48" s="438"/>
      <c r="C48" s="1159" t="e">
        <f>R49</f>
        <v>#DIV/0!</v>
      </c>
      <c r="D48" s="2316" t="s">
        <v>2135</v>
      </c>
      <c r="E48" s="1160" t="e">
        <f>R48</f>
        <v>#DIV/0!</v>
      </c>
      <c r="F48" s="2317"/>
      <c r="G48" s="1159" t="e">
        <f>T48</f>
        <v>#DIV/0!</v>
      </c>
      <c r="H48" s="2317"/>
      <c r="I48" s="1160" t="e">
        <f>V48</f>
        <v>#DIV/0!</v>
      </c>
      <c r="J48" s="2317"/>
      <c r="K48" s="2318">
        <f>F48+H48+J48</f>
        <v>0</v>
      </c>
      <c r="L48" s="2722"/>
      <c r="M48" s="2723"/>
      <c r="N48" s="2723"/>
      <c r="O48" s="2723"/>
      <c r="P48" s="4140" t="str">
        <f>A48</f>
        <v>比较价值（元/平方米）</v>
      </c>
      <c r="Q48" s="4140"/>
      <c r="R48" s="4141" t="e">
        <f>IF(F1="售价",ROUND(PRODUCT(R47,AA7:AA46),0),ROUND(PRODUCT(R47,AA7:AA46),1))</f>
        <v>#DIV/0!</v>
      </c>
      <c r="S48" s="4141"/>
      <c r="T48" s="4141" t="e">
        <f>IF(F1="售价",ROUND(PRODUCT(T47,AB7:AB46),0),ROUND(PRODUCT(T47,AB7:AB46),1))</f>
        <v>#DIV/0!</v>
      </c>
      <c r="U48" s="4141"/>
      <c r="V48" s="4141" t="e">
        <f>IF(F1="售价",ROUND(PRODUCT(V47,AC7:AC46),0),ROUND(PRODUCT(V47,AC7:AC46),1))</f>
        <v>#DIV/0!</v>
      </c>
      <c r="W48" s="4141"/>
      <c r="X48" s="689"/>
      <c r="Y48" s="689"/>
      <c r="Z48" s="689"/>
      <c r="AA48" s="689"/>
      <c r="AB48" s="689"/>
      <c r="AC48" s="689"/>
    </row>
    <row r="49" spans="1:29" ht="15.75" thickBot="1">
      <c r="A49" s="441" t="s">
        <v>1708</v>
      </c>
      <c r="B49" s="442"/>
      <c r="C49" s="1161" t="e">
        <f>R49</f>
        <v>#DIV/0!</v>
      </c>
      <c r="D49" s="1162"/>
      <c r="E49" s="1162"/>
      <c r="F49" s="1162"/>
      <c r="G49" s="1162"/>
      <c r="H49" s="1162"/>
      <c r="I49" s="1162"/>
      <c r="J49" s="1162"/>
      <c r="K49" s="1914"/>
      <c r="L49" s="2722"/>
      <c r="M49" s="2723"/>
      <c r="N49" s="2723"/>
      <c r="O49" s="2723"/>
      <c r="P49" s="4137" t="str">
        <f>A49</f>
        <v>估价对象XX用房的比较价值（楼面单价，元/平方米）</v>
      </c>
      <c r="Q49" s="4138"/>
      <c r="R49" s="4139" t="e">
        <f>IF(F1="售价",ROUND(IF(D48="简单平均",AVERAGE(R48:V48),R48*F48+T48*H48+V48*J48),0),ROUND(IF(D48="简单平均",AVERAGE(R48:V48),R48*F48+T48*H48+V48*J48),1))</f>
        <v>#DIV/0!</v>
      </c>
      <c r="S49" s="4139"/>
      <c r="T49" s="4139"/>
      <c r="U49" s="4139"/>
      <c r="V49" s="4139"/>
      <c r="W49" s="4139"/>
      <c r="X49" s="689"/>
      <c r="Y49" s="689"/>
      <c r="Z49" s="689"/>
      <c r="AA49" s="689"/>
      <c r="AB49" s="689"/>
      <c r="AC49" s="689"/>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1709</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1710</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1711</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6"/>
    </row>
    <row r="55" spans="1:29" s="451" customFormat="1">
      <c r="A55" s="2726"/>
      <c r="B55" s="2729"/>
      <c r="C55" s="2730"/>
      <c r="D55" s="2726"/>
      <c r="E55" s="2726"/>
      <c r="F55" s="2726"/>
      <c r="G55" s="2726"/>
      <c r="H55" s="2726"/>
      <c r="I55" s="2726"/>
      <c r="J55" s="2726"/>
      <c r="K55" s="2731"/>
      <c r="L55" s="2725"/>
      <c r="M55" s="2726"/>
      <c r="N55" s="2726"/>
      <c r="O55" s="2726"/>
      <c r="P55" s="1916"/>
    </row>
    <row r="56" spans="1:29">
      <c r="A56" s="2723"/>
      <c r="B56" s="2729"/>
      <c r="C56" s="2730"/>
      <c r="D56" s="2723"/>
      <c r="E56" s="2723"/>
      <c r="F56" s="2723"/>
      <c r="G56" s="2723"/>
      <c r="H56" s="2723"/>
      <c r="I56" s="2723"/>
      <c r="J56" s="2723"/>
      <c r="K56" s="2728"/>
      <c r="L56" s="2724"/>
      <c r="M56" s="2723"/>
      <c r="N56" s="2723"/>
      <c r="O56" s="2723"/>
    </row>
    <row r="57" spans="1:29" ht="21.75" thickBot="1">
      <c r="A57" s="693" t="s">
        <v>1712</v>
      </c>
      <c r="B57" s="689"/>
      <c r="C57" s="694"/>
      <c r="D57" s="694"/>
      <c r="E57" s="694"/>
      <c r="F57" s="695"/>
      <c r="G57" s="695"/>
      <c r="H57" s="694"/>
      <c r="I57" s="694"/>
      <c r="J57" s="694"/>
      <c r="K57" s="940"/>
      <c r="L57" s="941"/>
      <c r="M57" s="939"/>
      <c r="N57" s="939"/>
      <c r="O57" s="939"/>
      <c r="P57" s="1917"/>
      <c r="Q57" s="453"/>
    </row>
    <row r="58" spans="1:29" s="457" customFormat="1" ht="15">
      <c r="A58" s="454" t="s">
        <v>1713</v>
      </c>
      <c r="B58" s="455"/>
      <c r="C58" s="1185" t="str">
        <f>YEAR(C7)&amp;"-"&amp;MONTH(C7)</f>
        <v>2024-10</v>
      </c>
      <c r="D58" s="1184">
        <f>EDATE(C58,-1)</f>
        <v>45536</v>
      </c>
      <c r="E58" s="1184">
        <f>EDATE(D58,-1)</f>
        <v>45505</v>
      </c>
      <c r="F58" s="1184">
        <f t="shared" ref="F58:O58" si="19">EDATE(E58,-1)</f>
        <v>45474</v>
      </c>
      <c r="G58" s="1184">
        <f t="shared" si="19"/>
        <v>45444</v>
      </c>
      <c r="H58" s="1184">
        <f t="shared" si="19"/>
        <v>45413</v>
      </c>
      <c r="I58" s="1184">
        <f t="shared" si="19"/>
        <v>45383</v>
      </c>
      <c r="J58" s="1184">
        <f t="shared" si="19"/>
        <v>45352</v>
      </c>
      <c r="K58" s="1184">
        <f t="shared" si="19"/>
        <v>45323</v>
      </c>
      <c r="L58" s="1184">
        <f t="shared" si="19"/>
        <v>45292</v>
      </c>
      <c r="M58" s="1184">
        <f t="shared" si="19"/>
        <v>45261</v>
      </c>
      <c r="N58" s="1184">
        <f t="shared" si="19"/>
        <v>45231</v>
      </c>
      <c r="O58" s="1184">
        <f t="shared" si="19"/>
        <v>45200</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1714</v>
      </c>
      <c r="B60" s="465"/>
      <c r="C60" s="466"/>
      <c r="D60" s="467"/>
      <c r="E60" s="467"/>
      <c r="F60" s="467"/>
      <c r="G60" s="467"/>
      <c r="H60" s="467"/>
      <c r="I60" s="467"/>
      <c r="J60" s="467"/>
      <c r="K60" s="467"/>
      <c r="L60" s="467"/>
      <c r="M60" s="468"/>
      <c r="N60" s="467"/>
      <c r="O60" s="468"/>
      <c r="P60" s="1919"/>
      <c r="Q60" s="453"/>
    </row>
    <row r="61" spans="1:29" s="108" customFormat="1" ht="15">
      <c r="A61" s="470" t="s">
        <v>1715</v>
      </c>
      <c r="B61" s="459"/>
      <c r="C61" s="471" t="s">
        <v>1716</v>
      </c>
      <c r="D61" s="472"/>
      <c r="E61" s="472"/>
      <c r="F61" s="472"/>
      <c r="G61" s="472"/>
      <c r="H61" s="472"/>
      <c r="I61" s="472"/>
      <c r="J61" s="472"/>
      <c r="K61" s="472"/>
      <c r="L61" s="473"/>
      <c r="M61" s="474"/>
      <c r="N61" s="931"/>
      <c r="O61" s="931"/>
      <c r="P61" s="1920"/>
      <c r="Q61" s="453"/>
    </row>
    <row r="62" spans="1:29" s="108" customFormat="1" ht="15.75" thickBot="1">
      <c r="A62" s="470"/>
      <c r="B62" s="459"/>
      <c r="C62" s="460">
        <v>100</v>
      </c>
      <c r="D62" s="461"/>
      <c r="E62" s="461"/>
      <c r="F62" s="461"/>
      <c r="G62" s="461"/>
      <c r="H62" s="461"/>
      <c r="I62" s="461"/>
      <c r="J62" s="461"/>
      <c r="K62" s="461"/>
      <c r="L62" s="461"/>
      <c r="M62" s="463"/>
      <c r="N62" s="931"/>
      <c r="O62" s="931"/>
      <c r="P62" s="1919"/>
      <c r="Q62" s="453"/>
    </row>
    <row r="63" spans="1:29">
      <c r="A63" s="476" t="s">
        <v>1717</v>
      </c>
      <c r="B63" s="477" t="s">
        <v>1683</v>
      </c>
      <c r="C63" s="478">
        <f>C9</f>
        <v>0</v>
      </c>
      <c r="D63" s="479"/>
      <c r="E63" s="479"/>
      <c r="F63" s="479"/>
      <c r="G63" s="479"/>
      <c r="H63" s="479"/>
      <c r="I63" s="479"/>
      <c r="J63" s="479"/>
      <c r="K63" s="480"/>
      <c r="L63" s="481"/>
      <c r="M63" s="482"/>
      <c r="N63" s="932"/>
      <c r="O63" s="932"/>
      <c r="P63" s="1921"/>
      <c r="Q63" s="453"/>
    </row>
    <row r="64" spans="1:29" ht="15.75" thickBot="1">
      <c r="A64" s="483"/>
      <c r="B64" s="484"/>
      <c r="C64" s="485">
        <v>100</v>
      </c>
      <c r="D64" s="485"/>
      <c r="E64" s="485"/>
      <c r="F64" s="485"/>
      <c r="G64" s="485"/>
      <c r="H64" s="485"/>
      <c r="I64" s="485"/>
      <c r="J64" s="485"/>
      <c r="K64" s="485"/>
      <c r="L64" s="485"/>
      <c r="M64" s="486"/>
      <c r="N64" s="933"/>
      <c r="O64" s="933"/>
      <c r="P64" s="1921"/>
      <c r="Q64" s="453"/>
    </row>
    <row r="65" spans="1:17" ht="27.75" thickTop="1">
      <c r="A65" s="483"/>
      <c r="B65" s="487" t="s">
        <v>1686</v>
      </c>
      <c r="C65" s="532"/>
      <c r="D65" s="532"/>
      <c r="E65" s="532"/>
      <c r="F65" s="532"/>
      <c r="G65" s="532"/>
      <c r="H65" s="532"/>
      <c r="I65" s="532"/>
      <c r="J65" s="532"/>
      <c r="K65" s="532"/>
      <c r="L65" s="532"/>
      <c r="M65" s="532"/>
      <c r="N65" s="933"/>
      <c r="O65" s="933"/>
      <c r="P65" s="1921"/>
      <c r="Q65" s="453"/>
    </row>
    <row r="66" spans="1:17" ht="15.75" thickBot="1">
      <c r="A66" s="483"/>
      <c r="B66" s="492"/>
      <c r="C66" s="485"/>
      <c r="D66" s="485"/>
      <c r="E66" s="485"/>
      <c r="F66" s="485"/>
      <c r="G66" s="485"/>
      <c r="H66" s="485"/>
      <c r="I66" s="485"/>
      <c r="J66" s="485"/>
      <c r="K66" s="485"/>
      <c r="L66" s="485"/>
      <c r="M66" s="486"/>
      <c r="N66" s="933"/>
      <c r="O66" s="933"/>
      <c r="P66" s="1921"/>
      <c r="Q66" s="453"/>
    </row>
    <row r="67" spans="1:17" ht="15.75" thickTop="1">
      <c r="A67" s="483"/>
      <c r="B67" s="495" t="s">
        <v>1687</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3"/>
      <c r="O67" s="933"/>
      <c r="P67" s="1921"/>
      <c r="Q67" s="453"/>
    </row>
    <row r="68" spans="1:17" ht="15">
      <c r="A68" s="483"/>
      <c r="B68" s="497"/>
      <c r="C68" s="498"/>
      <c r="D68" s="498"/>
      <c r="E68" s="498"/>
      <c r="F68" s="498"/>
      <c r="G68" s="498"/>
      <c r="H68" s="498"/>
      <c r="I68" s="498"/>
      <c r="J68" s="498"/>
      <c r="K68" s="499"/>
      <c r="L68" s="500"/>
      <c r="M68" s="501"/>
      <c r="N68" s="932"/>
      <c r="O68" s="932"/>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3"/>
      <c r="O69" s="933"/>
      <c r="P69" s="1921"/>
      <c r="Q69" s="453"/>
    </row>
    <row r="70" spans="1:17" s="422" customFormat="1" ht="15.75" thickTop="1">
      <c r="A70" s="502"/>
      <c r="B70" s="487">
        <f>B12</f>
        <v>111</v>
      </c>
      <c r="C70" s="503"/>
      <c r="D70" s="503"/>
      <c r="E70" s="503"/>
      <c r="F70" s="503"/>
      <c r="G70" s="503"/>
      <c r="H70" s="504"/>
      <c r="I70" s="504"/>
      <c r="J70" s="504"/>
      <c r="K70" s="504"/>
      <c r="L70" s="505"/>
      <c r="M70" s="506"/>
      <c r="N70" s="934"/>
      <c r="O70" s="934"/>
      <c r="P70" s="1922"/>
      <c r="Q70" s="508"/>
    </row>
    <row r="71" spans="1:17" s="422" customFormat="1" ht="15.75" thickBot="1">
      <c r="A71" s="502"/>
      <c r="B71" s="492"/>
      <c r="C71" s="509"/>
      <c r="D71" s="485"/>
      <c r="E71" s="485"/>
      <c r="F71" s="485"/>
      <c r="G71" s="485"/>
      <c r="H71" s="485"/>
      <c r="I71" s="485"/>
      <c r="J71" s="485"/>
      <c r="K71" s="485"/>
      <c r="L71" s="485"/>
      <c r="M71" s="486"/>
      <c r="N71" s="933"/>
      <c r="O71" s="933"/>
      <c r="P71" s="1922"/>
      <c r="Q71" s="508"/>
    </row>
    <row r="72" spans="1:17" s="422" customFormat="1" ht="15.75" thickTop="1">
      <c r="A72" s="502"/>
      <c r="B72" s="487">
        <f>B13</f>
        <v>111</v>
      </c>
      <c r="C72" s="503"/>
      <c r="D72" s="503"/>
      <c r="E72" s="503"/>
      <c r="F72" s="503"/>
      <c r="G72" s="503"/>
      <c r="H72" s="504"/>
      <c r="I72" s="504"/>
      <c r="J72" s="504"/>
      <c r="K72" s="504"/>
      <c r="L72" s="505"/>
      <c r="M72" s="506"/>
      <c r="N72" s="934"/>
      <c r="O72" s="934"/>
      <c r="P72" s="1923"/>
      <c r="Q72" s="510"/>
    </row>
    <row r="73" spans="1:17" s="422" customFormat="1" ht="15.75" thickBot="1">
      <c r="A73" s="502"/>
      <c r="B73" s="492"/>
      <c r="C73" s="509"/>
      <c r="D73" s="509"/>
      <c r="E73" s="509"/>
      <c r="F73" s="509"/>
      <c r="G73" s="509"/>
      <c r="H73" s="511"/>
      <c r="I73" s="511"/>
      <c r="J73" s="511"/>
      <c r="K73" s="511"/>
      <c r="L73" s="511"/>
      <c r="M73" s="512"/>
      <c r="N73" s="934"/>
      <c r="O73" s="934"/>
      <c r="P73" s="1922"/>
      <c r="Q73" s="508"/>
    </row>
    <row r="74" spans="1:17" s="422" customFormat="1" ht="15.75" thickTop="1">
      <c r="A74" s="502"/>
      <c r="B74" s="495">
        <f>B14</f>
        <v>111</v>
      </c>
      <c r="C74" s="503"/>
      <c r="D74" s="503"/>
      <c r="E74" s="503"/>
      <c r="F74" s="503"/>
      <c r="G74" s="472"/>
      <c r="H74" s="513"/>
      <c r="I74" s="513"/>
      <c r="J74" s="513"/>
      <c r="K74" s="513"/>
      <c r="L74" s="514"/>
      <c r="M74" s="515"/>
      <c r="N74" s="934"/>
      <c r="O74" s="934"/>
      <c r="P74" s="1924"/>
      <c r="Q74" s="508"/>
    </row>
    <row r="75" spans="1:17" s="422" customFormat="1" ht="15.75" thickBot="1">
      <c r="A75" s="517"/>
      <c r="B75" s="518"/>
      <c r="C75" s="519"/>
      <c r="D75" s="519"/>
      <c r="E75" s="519"/>
      <c r="F75" s="519"/>
      <c r="G75" s="519"/>
      <c r="H75" s="520"/>
      <c r="I75" s="520"/>
      <c r="J75" s="520"/>
      <c r="K75" s="520"/>
      <c r="L75" s="520"/>
      <c r="M75" s="521"/>
      <c r="N75" s="934"/>
      <c r="O75" s="934"/>
      <c r="P75" s="1922"/>
      <c r="Q75" s="508"/>
    </row>
    <row r="76" spans="1:17">
      <c r="A76" s="476" t="s">
        <v>1688</v>
      </c>
      <c r="B76" s="477" t="s">
        <v>1718</v>
      </c>
      <c r="C76" s="522" t="s">
        <v>1719</v>
      </c>
      <c r="D76" s="522" t="s">
        <v>1720</v>
      </c>
      <c r="E76" s="522" t="s">
        <v>1721</v>
      </c>
      <c r="F76" s="522" t="s">
        <v>1722</v>
      </c>
      <c r="G76" s="522" t="s">
        <v>1723</v>
      </c>
      <c r="H76" s="478"/>
      <c r="I76" s="478"/>
      <c r="J76" s="478"/>
      <c r="K76" s="523"/>
      <c r="L76" s="524"/>
      <c r="M76" s="525"/>
      <c r="N76" s="932"/>
      <c r="O76" s="932"/>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3"/>
      <c r="O77" s="933"/>
      <c r="P77" s="1921"/>
      <c r="Q77" s="453"/>
    </row>
    <row r="78" spans="1:17" ht="15.75" thickTop="1">
      <c r="A78" s="483"/>
      <c r="B78" s="487" t="s">
        <v>1724</v>
      </c>
      <c r="C78" s="527" t="s">
        <v>1719</v>
      </c>
      <c r="D78" s="527" t="s">
        <v>1720</v>
      </c>
      <c r="E78" s="527" t="s">
        <v>1721</v>
      </c>
      <c r="F78" s="527" t="s">
        <v>1722</v>
      </c>
      <c r="G78" s="527" t="s">
        <v>1723</v>
      </c>
      <c r="H78" s="488"/>
      <c r="I78" s="488"/>
      <c r="J78" s="488"/>
      <c r="K78" s="489"/>
      <c r="L78" s="490"/>
      <c r="M78" s="491"/>
      <c r="N78" s="932"/>
      <c r="O78" s="932"/>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3"/>
      <c r="O79" s="933"/>
      <c r="P79" s="1921"/>
      <c r="Q79" s="453"/>
    </row>
    <row r="80" spans="1:17" ht="15.75" thickTop="1">
      <c r="A80" s="483"/>
      <c r="B80" s="487" t="s">
        <v>1725</v>
      </c>
      <c r="C80" s="527" t="s">
        <v>1719</v>
      </c>
      <c r="D80" s="527" t="s">
        <v>1720</v>
      </c>
      <c r="E80" s="527" t="s">
        <v>1721</v>
      </c>
      <c r="F80" s="527" t="s">
        <v>1722</v>
      </c>
      <c r="G80" s="527" t="s">
        <v>1723</v>
      </c>
      <c r="H80" s="488"/>
      <c r="I80" s="488"/>
      <c r="J80" s="488"/>
      <c r="K80" s="489"/>
      <c r="L80" s="490"/>
      <c r="M80" s="491"/>
      <c r="N80" s="932"/>
      <c r="O80" s="932"/>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3"/>
      <c r="O81" s="933"/>
      <c r="P81" s="1921"/>
      <c r="Q81" s="453"/>
    </row>
    <row r="82" spans="1:17" ht="15.75" thickTop="1">
      <c r="A82" s="483"/>
      <c r="B82" s="495" t="s">
        <v>1258</v>
      </c>
      <c r="C82" s="488" t="s">
        <v>1726</v>
      </c>
      <c r="D82" s="488" t="s">
        <v>1727</v>
      </c>
      <c r="E82" s="488" t="s">
        <v>1728</v>
      </c>
      <c r="F82" s="488" t="s">
        <v>1729</v>
      </c>
      <c r="G82" s="488" t="s">
        <v>1730</v>
      </c>
      <c r="H82" s="488"/>
      <c r="I82" s="488"/>
      <c r="J82" s="488"/>
      <c r="K82" s="488"/>
      <c r="L82" s="488"/>
      <c r="M82" s="1128"/>
      <c r="N82" s="933"/>
      <c r="O82" s="933"/>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3"/>
      <c r="O83" s="933"/>
      <c r="P83" s="1921"/>
      <c r="Q83" s="453"/>
    </row>
    <row r="84" spans="1:17" ht="15.75" thickTop="1">
      <c r="A84" s="483"/>
      <c r="B84" s="487" t="s">
        <v>1731</v>
      </c>
      <c r="C84" s="527" t="s">
        <v>1719</v>
      </c>
      <c r="D84" s="527" t="s">
        <v>1720</v>
      </c>
      <c r="E84" s="527" t="s">
        <v>1721</v>
      </c>
      <c r="F84" s="527" t="s">
        <v>1722</v>
      </c>
      <c r="G84" s="527" t="s">
        <v>1723</v>
      </c>
      <c r="H84" s="488"/>
      <c r="I84" s="488"/>
      <c r="J84" s="488"/>
      <c r="K84" s="489"/>
      <c r="L84" s="490"/>
      <c r="M84" s="491"/>
      <c r="N84" s="932"/>
      <c r="O84" s="932"/>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3"/>
      <c r="O85" s="933"/>
      <c r="P85" s="1921"/>
      <c r="Q85" s="453"/>
    </row>
    <row r="86" spans="1:17" s="108" customFormat="1" ht="15.75" thickTop="1">
      <c r="A86" s="528"/>
      <c r="B86" s="487" t="s">
        <v>1732</v>
      </c>
      <c r="C86" s="503"/>
      <c r="D86" s="503"/>
      <c r="E86" s="503"/>
      <c r="F86" s="503"/>
      <c r="G86" s="503"/>
      <c r="H86" s="503"/>
      <c r="I86" s="503"/>
      <c r="J86" s="503"/>
      <c r="K86" s="503"/>
      <c r="L86" s="529"/>
      <c r="M86" s="530"/>
      <c r="N86" s="931"/>
      <c r="O86" s="931"/>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3"/>
      <c r="O87" s="933"/>
      <c r="P87" s="1921"/>
      <c r="Q87" s="453"/>
    </row>
    <row r="88" spans="1:17" s="108" customFormat="1" ht="15.75" thickTop="1">
      <c r="A88" s="528"/>
      <c r="B88" s="487" t="s">
        <v>1733</v>
      </c>
      <c r="C88" s="503"/>
      <c r="D88" s="503"/>
      <c r="E88" s="503"/>
      <c r="F88" s="1926"/>
      <c r="G88" s="503"/>
      <c r="H88" s="503"/>
      <c r="I88" s="503"/>
      <c r="J88" s="503"/>
      <c r="K88" s="503"/>
      <c r="L88" s="503"/>
      <c r="M88" s="530"/>
      <c r="N88" s="931"/>
      <c r="O88" s="931"/>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3"/>
      <c r="O89" s="933"/>
      <c r="P89" s="1921"/>
      <c r="Q89" s="453"/>
    </row>
    <row r="90" spans="1:17" s="422" customFormat="1" ht="15.75" thickTop="1">
      <c r="A90" s="502"/>
      <c r="B90" s="487">
        <f>B27</f>
        <v>111</v>
      </c>
      <c r="C90" s="503"/>
      <c r="D90" s="503"/>
      <c r="E90" s="503"/>
      <c r="F90" s="503"/>
      <c r="G90" s="503"/>
      <c r="H90" s="504"/>
      <c r="I90" s="504"/>
      <c r="J90" s="504"/>
      <c r="K90" s="504"/>
      <c r="L90" s="505"/>
      <c r="M90" s="506"/>
      <c r="N90" s="934"/>
      <c r="O90" s="934"/>
      <c r="P90" s="1922"/>
      <c r="Q90" s="508"/>
    </row>
    <row r="91" spans="1:17" s="422" customFormat="1" ht="15.75" thickBot="1">
      <c r="A91" s="502"/>
      <c r="B91" s="492"/>
      <c r="C91" s="509"/>
      <c r="D91" s="509"/>
      <c r="E91" s="509"/>
      <c r="F91" s="509"/>
      <c r="G91" s="509"/>
      <c r="H91" s="511"/>
      <c r="I91" s="511"/>
      <c r="J91" s="511"/>
      <c r="K91" s="511"/>
      <c r="L91" s="511"/>
      <c r="M91" s="512"/>
      <c r="N91" s="934"/>
      <c r="O91" s="934"/>
      <c r="P91" s="1922"/>
      <c r="Q91" s="508"/>
    </row>
    <row r="92" spans="1:17" ht="15.75" thickTop="1">
      <c r="A92" s="483"/>
      <c r="B92" s="487">
        <f>B28</f>
        <v>111</v>
      </c>
      <c r="C92" s="503"/>
      <c r="D92" s="503"/>
      <c r="E92" s="503"/>
      <c r="F92" s="503"/>
      <c r="G92" s="532"/>
      <c r="H92" s="532"/>
      <c r="I92" s="532"/>
      <c r="J92" s="532"/>
      <c r="K92" s="533"/>
      <c r="L92" s="534"/>
      <c r="M92" s="535"/>
      <c r="N92" s="932"/>
      <c r="O92" s="932"/>
      <c r="P92" s="1921"/>
      <c r="Q92" s="453"/>
    </row>
    <row r="93" spans="1:17" ht="15.75" thickBot="1">
      <c r="A93" s="483"/>
      <c r="B93" s="492"/>
      <c r="C93" s="509"/>
      <c r="D93" s="485"/>
      <c r="E93" s="485"/>
      <c r="F93" s="485"/>
      <c r="G93" s="485"/>
      <c r="H93" s="485"/>
      <c r="I93" s="485"/>
      <c r="J93" s="485"/>
      <c r="K93" s="485"/>
      <c r="L93" s="485"/>
      <c r="M93" s="486"/>
      <c r="N93" s="933"/>
      <c r="O93" s="933"/>
      <c r="P93" s="1921"/>
      <c r="Q93" s="453"/>
    </row>
    <row r="94" spans="1:17" ht="15.75" thickTop="1">
      <c r="A94" s="483"/>
      <c r="B94" s="487">
        <f>B29</f>
        <v>111</v>
      </c>
      <c r="C94" s="503"/>
      <c r="D94" s="503"/>
      <c r="E94" s="503"/>
      <c r="F94" s="503"/>
      <c r="G94" s="532"/>
      <c r="H94" s="532"/>
      <c r="I94" s="532"/>
      <c r="J94" s="532"/>
      <c r="K94" s="533"/>
      <c r="L94" s="534"/>
      <c r="M94" s="535"/>
      <c r="N94" s="932"/>
      <c r="O94" s="932"/>
      <c r="P94" s="1921"/>
      <c r="Q94" s="453"/>
    </row>
    <row r="95" spans="1:17" ht="15.75" thickBot="1">
      <c r="A95" s="483"/>
      <c r="B95" s="492"/>
      <c r="C95" s="509"/>
      <c r="D95" s="509"/>
      <c r="E95" s="509"/>
      <c r="F95" s="509"/>
      <c r="G95" s="485"/>
      <c r="H95" s="485"/>
      <c r="I95" s="485"/>
      <c r="J95" s="485"/>
      <c r="K95" s="485"/>
      <c r="L95" s="485"/>
      <c r="M95" s="486"/>
      <c r="N95" s="933"/>
      <c r="O95" s="933"/>
      <c r="P95" s="1921"/>
      <c r="Q95" s="453"/>
    </row>
    <row r="96" spans="1:17" ht="15.75" thickTop="1">
      <c r="A96" s="483"/>
      <c r="B96" s="487">
        <f>B30</f>
        <v>111</v>
      </c>
      <c r="C96" s="503"/>
      <c r="D96" s="503"/>
      <c r="E96" s="503"/>
      <c r="F96" s="503"/>
      <c r="G96" s="532"/>
      <c r="H96" s="532"/>
      <c r="I96" s="532"/>
      <c r="J96" s="532"/>
      <c r="K96" s="533"/>
      <c r="L96" s="534"/>
      <c r="M96" s="535"/>
      <c r="N96" s="932"/>
      <c r="O96" s="932"/>
      <c r="P96" s="1921"/>
      <c r="Q96" s="453"/>
    </row>
    <row r="97" spans="1:17" ht="15.75" thickBot="1">
      <c r="A97" s="483"/>
      <c r="B97" s="492"/>
      <c r="C97" s="519"/>
      <c r="D97" s="519"/>
      <c r="E97" s="519"/>
      <c r="F97" s="519"/>
      <c r="G97" s="485"/>
      <c r="H97" s="485"/>
      <c r="I97" s="485"/>
      <c r="J97" s="485"/>
      <c r="K97" s="485"/>
      <c r="L97" s="485"/>
      <c r="M97" s="486"/>
      <c r="N97" s="933"/>
      <c r="O97" s="933"/>
      <c r="P97" s="1921"/>
      <c r="Q97" s="453"/>
    </row>
    <row r="98" spans="1:17" ht="15.75" thickTop="1">
      <c r="A98" s="483"/>
      <c r="B98" s="495">
        <f>B31</f>
        <v>111</v>
      </c>
      <c r="C98" s="536"/>
      <c r="D98" s="536"/>
      <c r="E98" s="536"/>
      <c r="F98" s="536"/>
      <c r="G98" s="536"/>
      <c r="H98" s="536"/>
      <c r="I98" s="536"/>
      <c r="J98" s="536"/>
      <c r="K98" s="537"/>
      <c r="L98" s="538"/>
      <c r="M98" s="539"/>
      <c r="N98" s="932"/>
      <c r="O98" s="932"/>
      <c r="P98" s="1921"/>
      <c r="Q98" s="453"/>
    </row>
    <row r="99" spans="1:17" ht="15.75" thickBot="1">
      <c r="A99" s="1927"/>
      <c r="B99" s="518"/>
      <c r="C99" s="540"/>
      <c r="D99" s="540"/>
      <c r="E99" s="540"/>
      <c r="F99" s="540"/>
      <c r="G99" s="540"/>
      <c r="H99" s="540"/>
      <c r="I99" s="540"/>
      <c r="J99" s="540"/>
      <c r="K99" s="540"/>
      <c r="L99" s="540"/>
      <c r="M99" s="541"/>
      <c r="N99" s="933"/>
      <c r="O99" s="933"/>
      <c r="P99" s="1921"/>
      <c r="Q99" s="453"/>
    </row>
    <row r="100" spans="1:17">
      <c r="A100" s="476" t="s">
        <v>1692</v>
      </c>
      <c r="B100" s="477" t="s">
        <v>1734</v>
      </c>
      <c r="C100" s="479"/>
      <c r="D100" s="479"/>
      <c r="E100" s="479"/>
      <c r="F100" s="479"/>
      <c r="G100" s="479"/>
      <c r="H100" s="479"/>
      <c r="I100" s="479"/>
      <c r="J100" s="479"/>
      <c r="K100" s="480"/>
      <c r="L100" s="481"/>
      <c r="M100" s="482"/>
      <c r="N100" s="932"/>
      <c r="O100" s="932"/>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3"/>
      <c r="O101" s="933"/>
      <c r="P101" s="1921"/>
      <c r="Q101" s="453"/>
    </row>
    <row r="102" spans="1:17" ht="15.75" thickTop="1">
      <c r="A102" s="483"/>
      <c r="B102" s="487" t="s">
        <v>1735</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1"/>
      <c r="O102" s="931"/>
      <c r="P102" s="1921"/>
      <c r="Q102" s="453"/>
    </row>
    <row r="103" spans="1:17" s="422" customFormat="1">
      <c r="A103" s="542"/>
      <c r="B103" s="543"/>
      <c r="C103" s="544"/>
      <c r="D103" s="544"/>
      <c r="E103" s="544"/>
      <c r="F103" s="544"/>
      <c r="G103" s="544"/>
      <c r="H103" s="544"/>
      <c r="I103" s="544"/>
      <c r="J103" s="545"/>
      <c r="K103" s="545"/>
      <c r="L103" s="546"/>
      <c r="M103" s="547"/>
      <c r="N103" s="934"/>
      <c r="O103" s="934"/>
      <c r="P103" s="1922"/>
      <c r="Q103" s="508"/>
    </row>
    <row r="104" spans="1:17" s="422" customFormat="1" ht="15.75" thickBot="1">
      <c r="A104" s="502"/>
      <c r="B104" s="492"/>
      <c r="C104" s="509"/>
      <c r="D104" s="485"/>
      <c r="E104" s="485"/>
      <c r="F104" s="485"/>
      <c r="G104" s="485"/>
      <c r="H104" s="485"/>
      <c r="I104" s="485"/>
      <c r="J104" s="485"/>
      <c r="K104" s="485"/>
      <c r="L104" s="485"/>
      <c r="M104" s="485"/>
      <c r="N104" s="933"/>
      <c r="O104" s="933"/>
      <c r="P104" s="1922"/>
      <c r="Q104" s="508"/>
    </row>
    <row r="105" spans="1:17" ht="15" thickTop="1">
      <c r="A105" s="548"/>
      <c r="B105" s="487" t="s">
        <v>1736</v>
      </c>
      <c r="C105" s="503"/>
      <c r="D105" s="503"/>
      <c r="E105" s="532"/>
      <c r="F105" s="532"/>
      <c r="G105" s="532"/>
      <c r="H105" s="532"/>
      <c r="I105" s="532"/>
      <c r="J105" s="532"/>
      <c r="K105" s="533"/>
      <c r="L105" s="534"/>
      <c r="M105" s="535"/>
      <c r="N105" s="932"/>
      <c r="O105" s="932"/>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3"/>
      <c r="O106" s="933"/>
      <c r="P106" s="1921"/>
      <c r="Q106" s="453"/>
    </row>
    <row r="107" spans="1:17" ht="15" thickTop="1">
      <c r="A107" s="548"/>
      <c r="B107" s="487" t="s">
        <v>1737</v>
      </c>
      <c r="C107" s="532"/>
      <c r="D107" s="532"/>
      <c r="E107" s="532"/>
      <c r="F107" s="532"/>
      <c r="G107" s="532"/>
      <c r="H107" s="532"/>
      <c r="I107" s="532"/>
      <c r="J107" s="532"/>
      <c r="K107" s="533"/>
      <c r="L107" s="534"/>
      <c r="M107" s="535"/>
      <c r="N107" s="932"/>
      <c r="O107" s="932"/>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3"/>
      <c r="O108" s="933"/>
      <c r="P108" s="1921"/>
      <c r="Q108" s="453"/>
    </row>
    <row r="109" spans="1:17" ht="15" thickTop="1">
      <c r="A109" s="548"/>
      <c r="B109" s="487" t="s">
        <v>1738</v>
      </c>
      <c r="C109" s="503"/>
      <c r="D109" s="503"/>
      <c r="E109" s="503"/>
      <c r="F109" s="532"/>
      <c r="G109" s="532"/>
      <c r="H109" s="532"/>
      <c r="I109" s="532"/>
      <c r="J109" s="532"/>
      <c r="K109" s="533"/>
      <c r="L109" s="534"/>
      <c r="M109" s="535"/>
      <c r="N109" s="932"/>
      <c r="O109" s="932"/>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3"/>
      <c r="O110" s="933"/>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4"/>
      <c r="O111" s="934"/>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4"/>
      <c r="O112" s="934"/>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4"/>
      <c r="O113" s="934"/>
      <c r="P113" s="1922"/>
      <c r="Q113" s="508"/>
    </row>
    <row r="114" spans="1:17" ht="15" thickTop="1">
      <c r="A114" s="548"/>
      <c r="B114" s="487" t="s">
        <v>1739</v>
      </c>
      <c r="C114" s="503"/>
      <c r="D114" s="503"/>
      <c r="E114" s="532"/>
      <c r="F114" s="532"/>
      <c r="G114" s="532"/>
      <c r="H114" s="532"/>
      <c r="I114" s="532"/>
      <c r="J114" s="532"/>
      <c r="K114" s="533"/>
      <c r="L114" s="534"/>
      <c r="M114" s="535"/>
      <c r="N114" s="932"/>
      <c r="O114" s="932"/>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3"/>
      <c r="O115" s="933"/>
      <c r="P115" s="1921"/>
      <c r="Q115" s="453"/>
    </row>
    <row r="116" spans="1:17" ht="15" thickTop="1">
      <c r="A116" s="548"/>
      <c r="B116" s="487" t="s">
        <v>1740</v>
      </c>
      <c r="C116" s="503"/>
      <c r="D116" s="503"/>
      <c r="E116" s="503"/>
      <c r="F116" s="503"/>
      <c r="G116" s="503"/>
      <c r="H116" s="532"/>
      <c r="I116" s="532"/>
      <c r="J116" s="532"/>
      <c r="K116" s="533"/>
      <c r="L116" s="534"/>
      <c r="M116" s="535"/>
      <c r="N116" s="932"/>
      <c r="O116" s="932"/>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3"/>
      <c r="O117" s="933"/>
      <c r="P117" s="1921"/>
      <c r="Q117" s="453"/>
    </row>
    <row r="118" spans="1:17" ht="15" thickTop="1">
      <c r="A118" s="548"/>
      <c r="B118" s="487" t="s">
        <v>1741</v>
      </c>
      <c r="C118" s="532"/>
      <c r="D118" s="532"/>
      <c r="E118" s="532"/>
      <c r="F118" s="532"/>
      <c r="G118" s="532"/>
      <c r="H118" s="532"/>
      <c r="I118" s="532"/>
      <c r="J118" s="532"/>
      <c r="K118" s="533"/>
      <c r="L118" s="534"/>
      <c r="M118" s="535"/>
      <c r="N118" s="932"/>
      <c r="O118" s="932"/>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3"/>
      <c r="O119" s="933"/>
      <c r="P119" s="1921"/>
      <c r="Q119" s="453"/>
    </row>
    <row r="120" spans="1:17" s="422" customFormat="1" ht="28.5" thickTop="1">
      <c r="A120" s="542"/>
      <c r="B120" s="487" t="s">
        <v>1703</v>
      </c>
      <c r="C120" s="503"/>
      <c r="D120" s="503"/>
      <c r="E120" s="503"/>
      <c r="F120" s="503"/>
      <c r="G120" s="503"/>
      <c r="H120" s="503"/>
      <c r="I120" s="503"/>
      <c r="J120" s="503"/>
      <c r="K120" s="503"/>
      <c r="L120" s="529"/>
      <c r="M120" s="530"/>
      <c r="N120" s="934"/>
      <c r="O120" s="934"/>
      <c r="P120" s="1922"/>
      <c r="Q120" s="508"/>
    </row>
    <row r="121" spans="1:17" s="422" customFormat="1" ht="15.75" thickBot="1">
      <c r="A121" s="502"/>
      <c r="B121" s="484"/>
      <c r="C121" s="509"/>
      <c r="D121" s="485"/>
      <c r="E121" s="485"/>
      <c r="F121" s="485"/>
      <c r="G121" s="485"/>
      <c r="H121" s="485"/>
      <c r="I121" s="485"/>
      <c r="J121" s="485"/>
      <c r="K121" s="485"/>
      <c r="L121" s="485"/>
      <c r="M121" s="485"/>
      <c r="N121" s="934"/>
      <c r="O121" s="934"/>
      <c r="P121" s="1922"/>
      <c r="Q121" s="508"/>
    </row>
    <row r="122" spans="1:17" ht="15" thickTop="1">
      <c r="A122" s="548"/>
      <c r="B122" s="487" t="s">
        <v>1742</v>
      </c>
      <c r="C122" s="503"/>
      <c r="D122" s="503"/>
      <c r="E122" s="503"/>
      <c r="F122" s="532"/>
      <c r="G122" s="532"/>
      <c r="H122" s="532"/>
      <c r="I122" s="532"/>
      <c r="J122" s="532"/>
      <c r="K122" s="533"/>
      <c r="L122" s="534"/>
      <c r="M122" s="535"/>
      <c r="N122" s="932"/>
      <c r="O122" s="932"/>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3"/>
      <c r="O123" s="933"/>
      <c r="P123" s="1921"/>
      <c r="Q123" s="453"/>
    </row>
    <row r="124" spans="1:17" ht="15" thickTop="1">
      <c r="A124" s="548"/>
      <c r="B124" s="487" t="s">
        <v>1743</v>
      </c>
      <c r="C124" s="527" t="s">
        <v>1719</v>
      </c>
      <c r="D124" s="527" t="s">
        <v>1720</v>
      </c>
      <c r="E124" s="527" t="s">
        <v>1721</v>
      </c>
      <c r="F124" s="527" t="s">
        <v>1722</v>
      </c>
      <c r="G124" s="527" t="s">
        <v>1723</v>
      </c>
      <c r="H124" s="488"/>
      <c r="I124" s="488"/>
      <c r="J124" s="488"/>
      <c r="K124" s="489"/>
      <c r="L124" s="490"/>
      <c r="M124" s="491"/>
      <c r="N124" s="932"/>
      <c r="O124" s="932"/>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3"/>
      <c r="O125" s="933"/>
      <c r="P125" s="1921"/>
      <c r="Q125" s="453"/>
    </row>
    <row r="126" spans="1:17" s="422" customFormat="1" ht="15" thickTop="1">
      <c r="A126" s="542"/>
      <c r="B126" s="487">
        <f>B44</f>
        <v>111</v>
      </c>
      <c r="C126" s="503"/>
      <c r="D126" s="503"/>
      <c r="E126" s="503"/>
      <c r="F126" s="503"/>
      <c r="G126" s="503"/>
      <c r="H126" s="504"/>
      <c r="I126" s="504"/>
      <c r="J126" s="504"/>
      <c r="K126" s="504"/>
      <c r="L126" s="505"/>
      <c r="M126" s="506"/>
      <c r="N126" s="934"/>
      <c r="O126" s="934"/>
      <c r="P126" s="1922"/>
      <c r="Q126" s="508"/>
    </row>
    <row r="127" spans="1:17" s="422" customFormat="1" ht="15.75" thickBot="1">
      <c r="A127" s="502"/>
      <c r="B127" s="492"/>
      <c r="C127" s="509"/>
      <c r="D127" s="485"/>
      <c r="E127" s="485"/>
      <c r="F127" s="485"/>
      <c r="G127" s="509"/>
      <c r="H127" s="511"/>
      <c r="I127" s="511"/>
      <c r="J127" s="511"/>
      <c r="K127" s="511"/>
      <c r="L127" s="511"/>
      <c r="M127" s="512"/>
      <c r="N127" s="934"/>
      <c r="O127" s="934"/>
      <c r="P127" s="1922"/>
      <c r="Q127" s="508"/>
    </row>
    <row r="128" spans="1:17" ht="15" thickTop="1">
      <c r="A128" s="548"/>
      <c r="B128" s="487">
        <f>B45</f>
        <v>111</v>
      </c>
      <c r="C128" s="503"/>
      <c r="D128" s="503"/>
      <c r="E128" s="503"/>
      <c r="F128" s="503"/>
      <c r="G128" s="532"/>
      <c r="H128" s="532"/>
      <c r="I128" s="532"/>
      <c r="J128" s="532"/>
      <c r="K128" s="533"/>
      <c r="L128" s="534"/>
      <c r="M128" s="535"/>
      <c r="N128" s="932"/>
      <c r="O128" s="932"/>
      <c r="P128" s="1921"/>
      <c r="Q128" s="453"/>
    </row>
    <row r="129" spans="1:17" ht="15.75" thickBot="1">
      <c r="A129" s="483"/>
      <c r="B129" s="492"/>
      <c r="C129" s="509"/>
      <c r="D129" s="509"/>
      <c r="E129" s="509"/>
      <c r="F129" s="509"/>
      <c r="G129" s="485"/>
      <c r="H129" s="485"/>
      <c r="I129" s="485"/>
      <c r="J129" s="485"/>
      <c r="K129" s="485"/>
      <c r="L129" s="485"/>
      <c r="M129" s="486"/>
      <c r="N129" s="933"/>
      <c r="O129" s="933"/>
      <c r="P129" s="1921"/>
      <c r="Q129" s="453"/>
    </row>
    <row r="130" spans="1:17" ht="15" thickTop="1">
      <c r="A130" s="548"/>
      <c r="B130" s="495">
        <f>B46</f>
        <v>111</v>
      </c>
      <c r="C130" s="503"/>
      <c r="D130" s="503"/>
      <c r="E130" s="503"/>
      <c r="F130" s="503"/>
      <c r="G130" s="536"/>
      <c r="H130" s="536"/>
      <c r="I130" s="536"/>
      <c r="J130" s="536"/>
      <c r="K130" s="472"/>
      <c r="L130" s="473"/>
      <c r="M130" s="539"/>
      <c r="N130" s="932"/>
      <c r="O130" s="932"/>
      <c r="P130" s="1921"/>
      <c r="Q130" s="453"/>
    </row>
    <row r="131" spans="1:17" ht="15.75" thickBot="1">
      <c r="A131" s="1927"/>
      <c r="B131" s="518"/>
      <c r="C131" s="519"/>
      <c r="D131" s="519"/>
      <c r="E131" s="519"/>
      <c r="F131" s="519"/>
      <c r="G131" s="540"/>
      <c r="H131" s="540"/>
      <c r="I131" s="540"/>
      <c r="J131" s="540"/>
      <c r="K131" s="540"/>
      <c r="L131" s="540"/>
      <c r="M131" s="541"/>
      <c r="N131" s="933"/>
      <c r="O131" s="933"/>
      <c r="P131" s="1921"/>
      <c r="Q131" s="453"/>
    </row>
    <row r="136" spans="1:17" ht="15" thickBot="1">
      <c r="B136" s="1928" t="s">
        <v>1744</v>
      </c>
    </row>
    <row r="137" spans="1:17" ht="15">
      <c r="B137" s="1929" t="s">
        <v>1745</v>
      </c>
      <c r="C137" s="1930"/>
      <c r="D137" s="1930"/>
      <c r="E137" s="1930"/>
      <c r="F137" s="1930"/>
      <c r="G137" s="1931"/>
      <c r="H137" s="1932"/>
      <c r="I137" s="1933" t="s">
        <v>1746</v>
      </c>
      <c r="J137" s="1930"/>
      <c r="K137" s="1934"/>
    </row>
    <row r="138" spans="1:17" ht="15">
      <c r="B138" s="1935"/>
      <c r="C138" s="137" t="s">
        <v>1747</v>
      </c>
      <c r="D138" s="137" t="s">
        <v>1748</v>
      </c>
      <c r="E138" s="1936" t="s">
        <v>1749</v>
      </c>
      <c r="F138" s="1937" t="s">
        <v>1750</v>
      </c>
      <c r="G138" s="137" t="s">
        <v>1748</v>
      </c>
      <c r="H138" s="138" t="s">
        <v>1749</v>
      </c>
      <c r="I138" s="1938"/>
      <c r="J138" s="137" t="s">
        <v>1751</v>
      </c>
      <c r="K138" s="138" t="s">
        <v>1752</v>
      </c>
    </row>
    <row r="139" spans="1:17" ht="15">
      <c r="B139" s="866">
        <v>6</v>
      </c>
      <c r="C139" s="867">
        <v>96</v>
      </c>
      <c r="D139" s="1939" t="s">
        <v>1753</v>
      </c>
      <c r="E139" s="868">
        <v>100</v>
      </c>
      <c r="F139" s="869">
        <v>102.5</v>
      </c>
      <c r="G139" s="1939" t="s">
        <v>1753</v>
      </c>
      <c r="H139" s="870">
        <v>105</v>
      </c>
      <c r="I139" s="1940" t="s">
        <v>1754</v>
      </c>
      <c r="J139" s="867">
        <v>20</v>
      </c>
      <c r="K139" s="871">
        <f>C145/(J139-2)</f>
        <v>4.0555555555555553E-3</v>
      </c>
    </row>
    <row r="140" spans="1:17" ht="15">
      <c r="B140" s="872">
        <v>5</v>
      </c>
      <c r="C140" s="873">
        <v>100</v>
      </c>
      <c r="D140" s="873"/>
      <c r="E140" s="874"/>
      <c r="F140" s="875">
        <v>102</v>
      </c>
      <c r="G140" s="873"/>
      <c r="H140" s="876"/>
      <c r="I140" s="1941" t="s">
        <v>1755</v>
      </c>
      <c r="J140" s="271">
        <f>ROUNDUP((J139-1)/2,0)</f>
        <v>10</v>
      </c>
      <c r="K140" s="877">
        <v>100</v>
      </c>
    </row>
    <row r="141" spans="1:17" ht="15">
      <c r="B141" s="872">
        <v>4</v>
      </c>
      <c r="C141" s="873">
        <v>102</v>
      </c>
      <c r="D141" s="873"/>
      <c r="E141" s="874"/>
      <c r="F141" s="875">
        <v>101.5</v>
      </c>
      <c r="G141" s="873"/>
      <c r="H141" s="876"/>
      <c r="I141" s="1941" t="s">
        <v>1756</v>
      </c>
      <c r="J141" s="271">
        <v>1</v>
      </c>
      <c r="K141" s="878">
        <f>ROUND(100+(J141-J140)*K139*100,1)</f>
        <v>96.4</v>
      </c>
    </row>
    <row r="142" spans="1:17" ht="15">
      <c r="B142" s="872">
        <v>3</v>
      </c>
      <c r="C142" s="873">
        <v>103</v>
      </c>
      <c r="D142" s="873"/>
      <c r="E142" s="874"/>
      <c r="F142" s="875">
        <v>101</v>
      </c>
      <c r="G142" s="873"/>
      <c r="H142" s="876"/>
      <c r="I142" s="1941" t="s">
        <v>1757</v>
      </c>
      <c r="J142" s="271">
        <f>J139</f>
        <v>20</v>
      </c>
      <c r="K142" s="879">
        <v>95</v>
      </c>
    </row>
    <row r="143" spans="1:17" ht="15">
      <c r="B143" s="872">
        <v>2</v>
      </c>
      <c r="C143" s="873">
        <v>100</v>
      </c>
      <c r="D143" s="873"/>
      <c r="E143" s="874"/>
      <c r="F143" s="875">
        <v>100.5</v>
      </c>
      <c r="G143" s="873"/>
      <c r="H143" s="876"/>
      <c r="I143" s="1941" t="s">
        <v>1758</v>
      </c>
      <c r="J143" s="873">
        <v>15</v>
      </c>
      <c r="K143" s="878">
        <f>ROUND(100+(J143-J140)*K139*100,1)</f>
        <v>102</v>
      </c>
    </row>
    <row r="144" spans="1:17" ht="15">
      <c r="B144" s="872">
        <v>1</v>
      </c>
      <c r="C144" s="873">
        <v>98</v>
      </c>
      <c r="D144" s="1942" t="s">
        <v>1759</v>
      </c>
      <c r="E144" s="874">
        <v>102</v>
      </c>
      <c r="F144" s="880">
        <v>100</v>
      </c>
      <c r="G144" s="1942" t="s">
        <v>1759</v>
      </c>
      <c r="H144" s="876">
        <v>105</v>
      </c>
      <c r="I144" s="1941" t="s">
        <v>1758</v>
      </c>
      <c r="J144" s="873">
        <v>18</v>
      </c>
      <c r="K144" s="878">
        <f>ROUND(100+(J144-J140)*K139*100,1)</f>
        <v>103.2</v>
      </c>
    </row>
    <row r="145" spans="2:11" ht="15.75" thickBot="1">
      <c r="B145" s="1943" t="s">
        <v>1760</v>
      </c>
      <c r="C145" s="881">
        <f>ROUND(MAX(C139:C144)/MIN(C139:C144)-1,3)</f>
        <v>7.2999999999999995E-2</v>
      </c>
      <c r="D145" s="882"/>
      <c r="E145" s="882"/>
      <c r="F145" s="1944" t="s">
        <v>1761</v>
      </c>
      <c r="G145" s="1945"/>
      <c r="H145" s="1946"/>
      <c r="I145" s="1947" t="s">
        <v>1758</v>
      </c>
      <c r="J145" s="883">
        <v>8</v>
      </c>
      <c r="K145" s="884">
        <f>ROUND(100+(J145-J140)*K139*100,1)</f>
        <v>99.2</v>
      </c>
    </row>
    <row r="147" spans="2:11">
      <c r="B147" s="1928" t="s">
        <v>1762</v>
      </c>
    </row>
    <row r="148" spans="2:11">
      <c r="B148" s="1928" t="s">
        <v>1763</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96" priority="19" stopIfTrue="1" operator="containsText" text="超过">
      <formula>NOT(ISERROR(SEARCH("超过",F52)))</formula>
    </cfRule>
  </conditionalFormatting>
  <conditionalFormatting sqref="J54">
    <cfRule type="containsText" dxfId="195" priority="18" stopIfTrue="1" operator="containsText" text="超过">
      <formula>NOT(ISERROR(SEARCH("超过",J54)))</formula>
    </cfRule>
  </conditionalFormatting>
  <conditionalFormatting sqref="H54">
    <cfRule type="containsText" dxfId="194" priority="17" stopIfTrue="1" operator="containsText" text="超过">
      <formula>NOT(ISERROR(SEARCH("超过",H54)))</formula>
    </cfRule>
  </conditionalFormatting>
  <conditionalFormatting sqref="F54">
    <cfRule type="containsText" dxfId="193" priority="16" stopIfTrue="1" operator="containsText" text="超过">
      <formula>NOT(ISERROR(SEARCH("超过",F54)))</formula>
    </cfRule>
  </conditionalFormatting>
  <conditionalFormatting sqref="F53 H53 J53">
    <cfRule type="containsText" dxfId="192" priority="15" stopIfTrue="1" operator="containsText" text="超过">
      <formula>NOT(ISERROR(SEARCH("超过",F53)))</formula>
    </cfRule>
  </conditionalFormatting>
  <conditionalFormatting sqref="E52">
    <cfRule type="expression" dxfId="191" priority="14" stopIfTrue="1">
      <formula>$F$52="超过30%"</formula>
    </cfRule>
  </conditionalFormatting>
  <conditionalFormatting sqref="G54">
    <cfRule type="expression" dxfId="190" priority="12" stopIfTrue="1">
      <formula>$H$54="超过30%"</formula>
    </cfRule>
  </conditionalFormatting>
  <conditionalFormatting sqref="E53">
    <cfRule type="expression" dxfId="189" priority="11" stopIfTrue="1">
      <formula>$F$53="超过20%"</formula>
    </cfRule>
  </conditionalFormatting>
  <conditionalFormatting sqref="E54">
    <cfRule type="expression" dxfId="188" priority="10" stopIfTrue="1">
      <formula>$F$54="超过30%"</formula>
    </cfRule>
  </conditionalFormatting>
  <conditionalFormatting sqref="G52">
    <cfRule type="expression" dxfId="187" priority="9" stopIfTrue="1">
      <formula>$H$52="超过30%"</formula>
    </cfRule>
  </conditionalFormatting>
  <conditionalFormatting sqref="G53">
    <cfRule type="expression" dxfId="186" priority="8" stopIfTrue="1">
      <formula>$H$53="超过20%"</formula>
    </cfRule>
  </conditionalFormatting>
  <conditionalFormatting sqref="I52">
    <cfRule type="expression" dxfId="185" priority="7" stopIfTrue="1">
      <formula>$J$52="超过30%"</formula>
    </cfRule>
  </conditionalFormatting>
  <conditionalFormatting sqref="I53">
    <cfRule type="expression" dxfId="184" priority="6" stopIfTrue="1">
      <formula>$J$53="超过20%"</formula>
    </cfRule>
  </conditionalFormatting>
  <conditionalFormatting sqref="I54">
    <cfRule type="expression" dxfId="183" priority="5" stopIfTrue="1">
      <formula>$J$54="超过30%"</formula>
    </cfRule>
  </conditionalFormatting>
  <conditionalFormatting sqref="F48">
    <cfRule type="expression" dxfId="182" priority="4">
      <formula>$D$48="简单平均"</formula>
    </cfRule>
  </conditionalFormatting>
  <conditionalFormatting sqref="H48">
    <cfRule type="expression" dxfId="181" priority="3">
      <formula>$D$48="简单平均"</formula>
    </cfRule>
  </conditionalFormatting>
  <conditionalFormatting sqref="J48">
    <cfRule type="expression" dxfId="180" priority="2">
      <formula>$D$48="简单平均"</formula>
    </cfRule>
  </conditionalFormatting>
  <conditionalFormatting sqref="F7:F46 H7:H46 J7:J46">
    <cfRule type="cellIs" dxfId="17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1658</v>
      </c>
      <c r="B1" s="1877" t="s">
        <v>1764</v>
      </c>
      <c r="C1" s="1237" t="s">
        <v>1660</v>
      </c>
      <c r="D1" s="1224"/>
      <c r="E1" s="3424"/>
      <c r="F1" s="1878"/>
      <c r="G1" s="1234" t="s">
        <v>1765</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1460</v>
      </c>
      <c r="B2" s="1163"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1461</v>
      </c>
      <c r="F2" s="1882"/>
      <c r="G2" s="907"/>
      <c r="H2" s="907"/>
      <c r="I2" s="907"/>
      <c r="J2" s="907"/>
      <c r="K2" s="907"/>
      <c r="L2" s="2732"/>
      <c r="M2" s="2733"/>
      <c r="N2" s="2733"/>
      <c r="O2" s="2733"/>
      <c r="P2" s="1951"/>
      <c r="Q2" s="911"/>
      <c r="R2" s="911"/>
      <c r="S2" s="911"/>
      <c r="T2" s="911"/>
      <c r="U2" s="911"/>
      <c r="V2" s="911"/>
      <c r="W2" s="911"/>
      <c r="X2" s="911"/>
      <c r="Y2" s="911"/>
      <c r="Z2" s="911"/>
      <c r="AA2" s="911"/>
      <c r="AB2" s="911"/>
      <c r="AC2" s="1952"/>
    </row>
    <row r="3" spans="1:29" s="352" customFormat="1" ht="28.5" customHeight="1" thickBot="1">
      <c r="A3" s="203" t="s">
        <v>1462</v>
      </c>
      <c r="B3" s="558">
        <f>IF(C2="——",C49,ROUND(B2*10000/D3,0))</f>
        <v>0</v>
      </c>
      <c r="C3" s="354" t="s">
        <v>1766</v>
      </c>
      <c r="D3" s="353">
        <f>IF(D1="",'数据-汇总表'!E3,SUMIF('数据-汇总表'!$C19:$C33,D1,'数据-汇总表'!$E19:$E33))</f>
        <v>34111.17</v>
      </c>
      <c r="E3" s="1953"/>
      <c r="F3" s="908"/>
      <c r="G3" s="907"/>
      <c r="H3" s="907"/>
      <c r="I3" s="907"/>
      <c r="J3" s="907"/>
      <c r="K3" s="909"/>
      <c r="L3" s="2732"/>
      <c r="M3" s="2733"/>
      <c r="N3" s="2733"/>
      <c r="O3" s="2733"/>
      <c r="P3" s="1951"/>
      <c r="Q3" s="911"/>
      <c r="R3" s="911"/>
      <c r="S3" s="911"/>
      <c r="T3" s="911"/>
      <c r="U3" s="911"/>
      <c r="V3" s="911"/>
      <c r="W3" s="911"/>
      <c r="X3" s="911"/>
      <c r="Y3" s="911"/>
      <c r="Z3" s="911"/>
      <c r="AA3" s="911"/>
      <c r="AB3" s="911"/>
      <c r="AC3" s="1953"/>
    </row>
    <row r="4" spans="1:29" ht="15">
      <c r="A4" s="355" t="s">
        <v>1767</v>
      </c>
      <c r="B4" s="356"/>
      <c r="C4" s="4123" t="s">
        <v>1768</v>
      </c>
      <c r="D4" s="4124"/>
      <c r="E4" s="4125" t="s">
        <v>1769</v>
      </c>
      <c r="F4" s="4126"/>
      <c r="G4" s="4123" t="s">
        <v>1770</v>
      </c>
      <c r="H4" s="4124"/>
      <c r="I4" s="4123" t="s">
        <v>1771</v>
      </c>
      <c r="J4" s="4124"/>
      <c r="K4" s="559" t="s">
        <v>1772</v>
      </c>
      <c r="L4" s="2713"/>
      <c r="M4" s="2714"/>
      <c r="N4" s="2714"/>
      <c r="O4" s="2714"/>
      <c r="P4" s="4127" t="s">
        <v>1773</v>
      </c>
      <c r="Q4" s="4128"/>
      <c r="R4" s="4110" t="s">
        <v>1769</v>
      </c>
      <c r="S4" s="4111"/>
      <c r="T4" s="4110" t="s">
        <v>1770</v>
      </c>
      <c r="U4" s="4111"/>
      <c r="V4" s="4135" t="s">
        <v>1771</v>
      </c>
      <c r="W4" s="4135"/>
      <c r="X4" s="1354"/>
      <c r="Y4" s="4110" t="s">
        <v>1773</v>
      </c>
      <c r="Z4" s="4111"/>
      <c r="AA4" s="4105" t="s">
        <v>1769</v>
      </c>
      <c r="AB4" s="4135" t="s">
        <v>1770</v>
      </c>
      <c r="AC4" s="4105" t="s">
        <v>1771</v>
      </c>
    </row>
    <row r="5" spans="1:29" ht="15">
      <c r="A5" s="358"/>
      <c r="B5" s="359"/>
      <c r="C5" s="4116" t="s">
        <v>1671</v>
      </c>
      <c r="D5" s="4117"/>
      <c r="E5" s="4114" t="s">
        <v>1672</v>
      </c>
      <c r="F5" s="4115"/>
      <c r="G5" s="4116" t="s">
        <v>1673</v>
      </c>
      <c r="H5" s="4117"/>
      <c r="I5" s="4116" t="s">
        <v>1674</v>
      </c>
      <c r="J5" s="4117"/>
      <c r="K5" s="559"/>
      <c r="L5" s="2713"/>
      <c r="M5" s="2714"/>
      <c r="N5" s="2714"/>
      <c r="O5" s="2714"/>
      <c r="P5" s="4129"/>
      <c r="Q5" s="4130"/>
      <c r="R5" s="4112"/>
      <c r="S5" s="4113"/>
      <c r="T5" s="4112"/>
      <c r="U5" s="4113"/>
      <c r="V5" s="4135"/>
      <c r="W5" s="4135"/>
      <c r="X5" s="1354"/>
      <c r="Y5" s="4112"/>
      <c r="Z5" s="4113"/>
      <c r="AA5" s="4106"/>
      <c r="AB5" s="4135"/>
      <c r="AC5" s="4106"/>
    </row>
    <row r="6" spans="1:29" ht="15.75" thickBot="1">
      <c r="A6" s="360"/>
      <c r="B6" s="361"/>
      <c r="C6" s="4118" t="s">
        <v>1675</v>
      </c>
      <c r="D6" s="4119"/>
      <c r="E6" s="4120" t="s">
        <v>1675</v>
      </c>
      <c r="F6" s="4121"/>
      <c r="G6" s="4118" t="s">
        <v>1675</v>
      </c>
      <c r="H6" s="4119"/>
      <c r="I6" s="4118" t="s">
        <v>1675</v>
      </c>
      <c r="J6" s="4119"/>
      <c r="K6" s="559" t="s">
        <v>1676</v>
      </c>
      <c r="L6" s="2713"/>
      <c r="M6" s="2714"/>
      <c r="N6" s="2714"/>
      <c r="O6" s="2714"/>
      <c r="P6" s="4131"/>
      <c r="Q6" s="4132"/>
      <c r="R6" s="4112"/>
      <c r="S6" s="4113"/>
      <c r="T6" s="4133"/>
      <c r="U6" s="4134"/>
      <c r="V6" s="4135"/>
      <c r="W6" s="4135"/>
      <c r="X6" s="1354"/>
      <c r="Y6" s="4133"/>
      <c r="Z6" s="4134"/>
      <c r="AA6" s="4107"/>
      <c r="AB6" s="4135"/>
      <c r="AC6" s="4107"/>
    </row>
    <row r="7" spans="1:29" s="108" customFormat="1" ht="15.75" thickBot="1">
      <c r="A7" s="362" t="s">
        <v>1677</v>
      </c>
      <c r="B7" s="363"/>
      <c r="C7" s="364">
        <f>'数据-取费表'!B2</f>
        <v>45575</v>
      </c>
      <c r="D7" s="365">
        <v>100</v>
      </c>
      <c r="E7" s="366"/>
      <c r="F7" s="367">
        <f>SUMIF(58:58,YEAR(E7)&amp;"-"&amp;MONTH(E7),59:59)</f>
        <v>0</v>
      </c>
      <c r="G7" s="366"/>
      <c r="H7" s="365">
        <f>SUMIF(58:58,YEAR(G7)&amp;"-"&amp;MONTH(G7),59:59)</f>
        <v>0</v>
      </c>
      <c r="I7" s="366"/>
      <c r="J7" s="365">
        <f>SUMIF(58:58,YEAR(I7)&amp;"-"&amp;MONTH(I7),59:59)</f>
        <v>0</v>
      </c>
      <c r="K7" s="560"/>
      <c r="L7" s="2715"/>
      <c r="M7" s="2716"/>
      <c r="N7" s="2716"/>
      <c r="O7" s="2716"/>
      <c r="P7" s="4108" t="s">
        <v>1678</v>
      </c>
      <c r="Q7" s="4136"/>
      <c r="R7" s="700" t="s">
        <v>14</v>
      </c>
      <c r="S7" s="701">
        <f t="shared" ref="S7:S15" si="0">F7</f>
        <v>0</v>
      </c>
      <c r="T7" s="700" t="s">
        <v>14</v>
      </c>
      <c r="U7" s="701">
        <f t="shared" ref="U7:U15" si="1">H7</f>
        <v>0</v>
      </c>
      <c r="V7" s="700" t="s">
        <v>14</v>
      </c>
      <c r="W7" s="701">
        <f t="shared" ref="W7:W15" si="2">J7</f>
        <v>0</v>
      </c>
      <c r="X7" s="702"/>
      <c r="Y7" s="4108" t="s">
        <v>1678</v>
      </c>
      <c r="Z7" s="4109"/>
      <c r="AA7" s="703" t="e">
        <f>D7/F7</f>
        <v>#DIV/0!</v>
      </c>
      <c r="AB7" s="703" t="e">
        <f>D7/H7</f>
        <v>#DIV/0!</v>
      </c>
      <c r="AC7" s="703" t="e">
        <f>D7/J7</f>
        <v>#DIV/0!</v>
      </c>
    </row>
    <row r="8" spans="1:29" s="108" customFormat="1" ht="15.75" thickBot="1">
      <c r="A8" s="362" t="s">
        <v>1679</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4108" t="s">
        <v>1681</v>
      </c>
      <c r="Q8" s="4109"/>
      <c r="R8" s="700" t="s">
        <v>14</v>
      </c>
      <c r="S8" s="701">
        <f t="shared" si="0"/>
        <v>100</v>
      </c>
      <c r="T8" s="700" t="s">
        <v>14</v>
      </c>
      <c r="U8" s="701">
        <f t="shared" si="1"/>
        <v>100</v>
      </c>
      <c r="V8" s="700" t="s">
        <v>14</v>
      </c>
      <c r="W8" s="701">
        <f t="shared" si="2"/>
        <v>100</v>
      </c>
      <c r="X8" s="702"/>
      <c r="Y8" s="4108" t="s">
        <v>1681</v>
      </c>
      <c r="Z8" s="4109"/>
      <c r="AA8" s="703">
        <f t="shared" ref="AA8:AA46" si="3">D8/F8</f>
        <v>1</v>
      </c>
      <c r="AB8" s="703">
        <f t="shared" ref="AB8:AB46" si="4">D8/H8</f>
        <v>1</v>
      </c>
      <c r="AC8" s="703">
        <f t="shared" ref="AC8:AC46" si="5">D8/J8</f>
        <v>1</v>
      </c>
    </row>
    <row r="9" spans="1:29" s="108" customFormat="1">
      <c r="A9" s="369" t="s">
        <v>1682</v>
      </c>
      <c r="B9" s="63" t="s">
        <v>1683</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4122" t="s">
        <v>1684</v>
      </c>
      <c r="Q9" s="1342" t="str">
        <f t="shared" ref="Q9:Q15" si="6">B9</f>
        <v>用途</v>
      </c>
      <c r="R9" s="700" t="s">
        <v>14</v>
      </c>
      <c r="S9" s="701">
        <f t="shared" si="0"/>
        <v>100</v>
      </c>
      <c r="T9" s="700" t="s">
        <v>14</v>
      </c>
      <c r="U9" s="701">
        <f t="shared" si="1"/>
        <v>100</v>
      </c>
      <c r="V9" s="700" t="s">
        <v>14</v>
      </c>
      <c r="W9" s="701">
        <f t="shared" si="2"/>
        <v>100</v>
      </c>
      <c r="X9" s="702"/>
      <c r="Y9" s="4052" t="s">
        <v>1685</v>
      </c>
      <c r="Z9" s="52" t="str">
        <f t="shared" ref="Z9:Z15" si="7">Q9</f>
        <v>用途</v>
      </c>
      <c r="AA9" s="703">
        <f t="shared" si="3"/>
        <v>1</v>
      </c>
      <c r="AB9" s="703">
        <f t="shared" si="4"/>
        <v>1</v>
      </c>
      <c r="AC9" s="703">
        <f t="shared" si="5"/>
        <v>1</v>
      </c>
    </row>
    <row r="10" spans="1:29" s="378" customFormat="1" ht="27">
      <c r="A10" s="374"/>
      <c r="B10" s="375" t="s">
        <v>1686</v>
      </c>
      <c r="C10" s="3432"/>
      <c r="D10" s="127">
        <v>100</v>
      </c>
      <c r="E10" s="3433"/>
      <c r="F10" s="376">
        <f>SUMIF(65:65,E10,66:66)-SUMIF(65:65,C10,66:66)+100</f>
        <v>100</v>
      </c>
      <c r="G10" s="3432"/>
      <c r="H10" s="127">
        <f>SUMIF(65:65,G10,66:66)-SUMIF(65:65,C10,66:66)+100</f>
        <v>100</v>
      </c>
      <c r="I10" s="3432"/>
      <c r="J10" s="127">
        <f>SUMIF(65:65,I10,66:66)-SUMIF(65:65,C10,66:66)+100</f>
        <v>100</v>
      </c>
      <c r="K10" s="560"/>
      <c r="L10" s="2717"/>
      <c r="M10" s="2718"/>
      <c r="N10" s="2718"/>
      <c r="O10" s="2718"/>
      <c r="P10" s="4122"/>
      <c r="Q10" s="1342" t="str">
        <f t="shared" si="6"/>
        <v>土地使用年限（年）</v>
      </c>
      <c r="R10" s="700" t="s">
        <v>14</v>
      </c>
      <c r="S10" s="701">
        <f t="shared" si="0"/>
        <v>100</v>
      </c>
      <c r="T10" s="700" t="s">
        <v>14</v>
      </c>
      <c r="U10" s="701">
        <f t="shared" si="1"/>
        <v>100</v>
      </c>
      <c r="V10" s="700" t="s">
        <v>14</v>
      </c>
      <c r="W10" s="701">
        <f t="shared" si="2"/>
        <v>100</v>
      </c>
      <c r="X10" s="702"/>
      <c r="Y10" s="4052"/>
      <c r="Z10" s="52" t="str">
        <f t="shared" si="7"/>
        <v>土地使用年限（年）</v>
      </c>
      <c r="AA10" s="703">
        <f t="shared" si="3"/>
        <v>1</v>
      </c>
      <c r="AB10" s="703">
        <f t="shared" si="4"/>
        <v>1</v>
      </c>
      <c r="AC10" s="703">
        <f t="shared" si="5"/>
        <v>1</v>
      </c>
    </row>
    <row r="11" spans="1:29" ht="15">
      <c r="A11" s="379"/>
      <c r="B11" s="375" t="s">
        <v>1687</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4122"/>
      <c r="Q11" s="1342" t="str">
        <f t="shared" si="6"/>
        <v>容积率</v>
      </c>
      <c r="R11" s="700" t="s">
        <v>14</v>
      </c>
      <c r="S11" s="701" t="e">
        <f t="shared" si="0"/>
        <v>#N/A</v>
      </c>
      <c r="T11" s="700" t="s">
        <v>14</v>
      </c>
      <c r="U11" s="701" t="e">
        <f t="shared" si="1"/>
        <v>#N/A</v>
      </c>
      <c r="V11" s="700" t="s">
        <v>14</v>
      </c>
      <c r="W11" s="701" t="e">
        <f t="shared" si="2"/>
        <v>#N/A</v>
      </c>
      <c r="X11" s="702"/>
      <c r="Y11" s="4052"/>
      <c r="Z11" s="52" t="str">
        <f t="shared" si="7"/>
        <v>容积率</v>
      </c>
      <c r="AA11" s="703" t="e">
        <f t="shared" si="3"/>
        <v>#N/A</v>
      </c>
      <c r="AB11" s="703" t="e">
        <f t="shared" si="4"/>
        <v>#N/A</v>
      </c>
      <c r="AC11" s="703"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4122"/>
      <c r="Q12" s="1342">
        <f t="shared" si="6"/>
        <v>111</v>
      </c>
      <c r="R12" s="700" t="s">
        <v>14</v>
      </c>
      <c r="S12" s="701">
        <f t="shared" si="0"/>
        <v>100</v>
      </c>
      <c r="T12" s="700" t="s">
        <v>14</v>
      </c>
      <c r="U12" s="701">
        <f t="shared" si="1"/>
        <v>100</v>
      </c>
      <c r="V12" s="700" t="s">
        <v>14</v>
      </c>
      <c r="W12" s="701">
        <f t="shared" si="2"/>
        <v>100</v>
      </c>
      <c r="X12" s="702"/>
      <c r="Y12" s="4052"/>
      <c r="Z12" s="52">
        <f t="shared" si="7"/>
        <v>111</v>
      </c>
      <c r="AA12" s="703">
        <f>D12/F12</f>
        <v>1</v>
      </c>
      <c r="AB12" s="703">
        <f>D12/H12</f>
        <v>1</v>
      </c>
      <c r="AC12" s="703">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4122"/>
      <c r="Q13" s="1342">
        <f t="shared" si="6"/>
        <v>111</v>
      </c>
      <c r="R13" s="700" t="s">
        <v>14</v>
      </c>
      <c r="S13" s="701">
        <f t="shared" si="0"/>
        <v>100</v>
      </c>
      <c r="T13" s="700" t="s">
        <v>14</v>
      </c>
      <c r="U13" s="701">
        <f t="shared" si="1"/>
        <v>100</v>
      </c>
      <c r="V13" s="700" t="s">
        <v>14</v>
      </c>
      <c r="W13" s="701">
        <f t="shared" si="2"/>
        <v>100</v>
      </c>
      <c r="X13" s="702"/>
      <c r="Y13" s="4052"/>
      <c r="Z13" s="52">
        <f t="shared" si="7"/>
        <v>111</v>
      </c>
      <c r="AA13" s="703">
        <f t="shared" si="3"/>
        <v>1</v>
      </c>
      <c r="AB13" s="703">
        <f t="shared" si="4"/>
        <v>1</v>
      </c>
      <c r="AC13" s="703">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4122"/>
      <c r="Q14" s="1342">
        <f t="shared" si="6"/>
        <v>111</v>
      </c>
      <c r="R14" s="700" t="s">
        <v>14</v>
      </c>
      <c r="S14" s="701">
        <f t="shared" si="0"/>
        <v>100</v>
      </c>
      <c r="T14" s="700" t="s">
        <v>14</v>
      </c>
      <c r="U14" s="701">
        <f t="shared" si="1"/>
        <v>100</v>
      </c>
      <c r="V14" s="700" t="s">
        <v>14</v>
      </c>
      <c r="W14" s="701">
        <f t="shared" si="2"/>
        <v>100</v>
      </c>
      <c r="X14" s="702"/>
      <c r="Y14" s="4052"/>
      <c r="Z14" s="52">
        <f t="shared" si="7"/>
        <v>111</v>
      </c>
      <c r="AA14" s="703">
        <f t="shared" si="3"/>
        <v>1</v>
      </c>
      <c r="AB14" s="703">
        <f t="shared" si="4"/>
        <v>1</v>
      </c>
      <c r="AC14" s="703">
        <f t="shared" si="5"/>
        <v>1</v>
      </c>
    </row>
    <row r="15" spans="1:29" ht="71.25">
      <c r="A15" s="391" t="s">
        <v>1688</v>
      </c>
      <c r="B15" s="61" t="s">
        <v>1775</v>
      </c>
      <c r="C15" s="1895"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4149" t="s">
        <v>1689</v>
      </c>
      <c r="Q15" s="1351" t="str">
        <f t="shared" si="6"/>
        <v>商业繁华度</v>
      </c>
      <c r="R15" s="704" t="s">
        <v>14</v>
      </c>
      <c r="S15" s="705">
        <f t="shared" si="0"/>
        <v>100</v>
      </c>
      <c r="T15" s="704" t="s">
        <v>14</v>
      </c>
      <c r="U15" s="705">
        <f t="shared" si="1"/>
        <v>100</v>
      </c>
      <c r="V15" s="704" t="s">
        <v>14</v>
      </c>
      <c r="W15" s="705">
        <f t="shared" si="2"/>
        <v>100</v>
      </c>
      <c r="X15" s="1354"/>
      <c r="Y15" s="4142" t="s">
        <v>1689</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720"/>
      <c r="M16" s="2714"/>
      <c r="N16" s="2714"/>
      <c r="O16" s="2714"/>
      <c r="P16" s="4150"/>
      <c r="Q16" s="1351"/>
      <c r="R16" s="704"/>
      <c r="S16" s="705"/>
      <c r="T16" s="704"/>
      <c r="U16" s="705"/>
      <c r="V16" s="704"/>
      <c r="W16" s="705"/>
      <c r="X16" s="1354"/>
      <c r="Y16" s="4143"/>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4150"/>
      <c r="Q17" s="1351" t="str">
        <f>B17</f>
        <v>交通便捷度</v>
      </c>
      <c r="R17" s="704" t="s">
        <v>14</v>
      </c>
      <c r="S17" s="705">
        <f>F17</f>
        <v>100</v>
      </c>
      <c r="T17" s="704" t="s">
        <v>14</v>
      </c>
      <c r="U17" s="705">
        <f>H17</f>
        <v>100</v>
      </c>
      <c r="V17" s="704" t="s">
        <v>14</v>
      </c>
      <c r="W17" s="705">
        <f>J17</f>
        <v>100</v>
      </c>
      <c r="X17" s="1354"/>
      <c r="Y17" s="4143"/>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720"/>
      <c r="M18" s="2714"/>
      <c r="N18" s="2714"/>
      <c r="O18" s="2714"/>
      <c r="P18" s="4150"/>
      <c r="Q18" s="1351"/>
      <c r="R18" s="704"/>
      <c r="S18" s="705"/>
      <c r="T18" s="704"/>
      <c r="U18" s="705"/>
      <c r="V18" s="704"/>
      <c r="W18" s="705"/>
      <c r="X18" s="1354"/>
      <c r="Y18" s="4143"/>
      <c r="Z18" s="1355"/>
      <c r="AA18" s="1352">
        <v>1</v>
      </c>
      <c r="AB18" s="1352">
        <v>1</v>
      </c>
      <c r="AC18" s="1352">
        <v>1</v>
      </c>
    </row>
    <row r="19" spans="1:29" ht="42.75">
      <c r="A19" s="379"/>
      <c r="B19" s="402" t="s">
        <v>1776</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4150"/>
      <c r="Q19" s="1351" t="str">
        <f>B19</f>
        <v>公共配套设施</v>
      </c>
      <c r="R19" s="704" t="s">
        <v>14</v>
      </c>
      <c r="S19" s="705">
        <f>F19</f>
        <v>100</v>
      </c>
      <c r="T19" s="704" t="s">
        <v>14</v>
      </c>
      <c r="U19" s="705">
        <f>H19</f>
        <v>100</v>
      </c>
      <c r="V19" s="704" t="s">
        <v>14</v>
      </c>
      <c r="W19" s="705">
        <f>J19</f>
        <v>100</v>
      </c>
      <c r="X19" s="1354"/>
      <c r="Y19" s="4143"/>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720"/>
      <c r="M20" s="2714"/>
      <c r="N20" s="2714"/>
      <c r="O20" s="2714"/>
      <c r="P20" s="4150"/>
      <c r="Q20" s="1351"/>
      <c r="R20" s="704"/>
      <c r="S20" s="705"/>
      <c r="T20" s="704"/>
      <c r="U20" s="705"/>
      <c r="V20" s="704"/>
      <c r="W20" s="705"/>
      <c r="X20" s="1354"/>
      <c r="Y20" s="4143"/>
      <c r="Z20" s="1355"/>
      <c r="AA20" s="1352">
        <v>1</v>
      </c>
      <c r="AB20" s="1352">
        <v>1</v>
      </c>
      <c r="AC20" s="1352">
        <v>1</v>
      </c>
    </row>
    <row r="21" spans="1:29" ht="28.5">
      <c r="A21" s="379"/>
      <c r="B21" s="1130" t="s">
        <v>1777</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4150"/>
      <c r="Q21" s="1351" t="str">
        <f>B21</f>
        <v>基础设施水平</v>
      </c>
      <c r="R21" s="704" t="s">
        <v>14</v>
      </c>
      <c r="S21" s="705">
        <f>F21</f>
        <v>100</v>
      </c>
      <c r="T21" s="704" t="s">
        <v>14</v>
      </c>
      <c r="U21" s="705">
        <f>H21</f>
        <v>100</v>
      </c>
      <c r="V21" s="704" t="s">
        <v>14</v>
      </c>
      <c r="W21" s="705">
        <f>J21</f>
        <v>100</v>
      </c>
      <c r="X21" s="1354"/>
      <c r="Y21" s="4143"/>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2720"/>
      <c r="M22" s="2714"/>
      <c r="N22" s="2714"/>
      <c r="O22" s="2714"/>
      <c r="P22" s="4150"/>
      <c r="Q22" s="1351"/>
      <c r="R22" s="704"/>
      <c r="S22" s="705"/>
      <c r="T22" s="704"/>
      <c r="U22" s="705"/>
      <c r="V22" s="704"/>
      <c r="W22" s="705"/>
      <c r="X22" s="1354"/>
      <c r="Y22" s="4143"/>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4150"/>
      <c r="Q23" s="1351" t="str">
        <f>B23</f>
        <v>自然及人文环境</v>
      </c>
      <c r="R23" s="704" t="s">
        <v>14</v>
      </c>
      <c r="S23" s="705">
        <f>F23</f>
        <v>100</v>
      </c>
      <c r="T23" s="704" t="s">
        <v>14</v>
      </c>
      <c r="U23" s="705">
        <f>H23</f>
        <v>100</v>
      </c>
      <c r="V23" s="704" t="s">
        <v>14</v>
      </c>
      <c r="W23" s="705">
        <f>J23</f>
        <v>100</v>
      </c>
      <c r="X23" s="1354"/>
      <c r="Y23" s="4143"/>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720"/>
      <c r="M24" s="2714"/>
      <c r="N24" s="2714"/>
      <c r="O24" s="2714"/>
      <c r="P24" s="4150"/>
      <c r="Q24" s="1351"/>
      <c r="R24" s="704"/>
      <c r="S24" s="705"/>
      <c r="T24" s="704"/>
      <c r="U24" s="705"/>
      <c r="V24" s="704"/>
      <c r="W24" s="705"/>
      <c r="X24" s="1354"/>
      <c r="Y24" s="4143"/>
      <c r="Z24" s="1355"/>
      <c r="AA24" s="1352">
        <v>1</v>
      </c>
      <c r="AB24" s="1352">
        <v>1</v>
      </c>
      <c r="AC24" s="1352">
        <v>1</v>
      </c>
    </row>
    <row r="25" spans="1:29" ht="15">
      <c r="A25" s="379"/>
      <c r="B25" s="375" t="s">
        <v>1778</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4150"/>
      <c r="Q25" s="1351" t="str">
        <f t="shared" ref="Q25:Q46" si="11">B25</f>
        <v>临街状况</v>
      </c>
      <c r="R25" s="704" t="s">
        <v>14</v>
      </c>
      <c r="S25" s="705">
        <f>F25</f>
        <v>100</v>
      </c>
      <c r="T25" s="704" t="s">
        <v>14</v>
      </c>
      <c r="U25" s="705">
        <f>H25</f>
        <v>100</v>
      </c>
      <c r="V25" s="704" t="s">
        <v>14</v>
      </c>
      <c r="W25" s="705">
        <f>J25</f>
        <v>100</v>
      </c>
      <c r="X25" s="1354"/>
      <c r="Y25" s="4143"/>
      <c r="Z25" s="1355" t="str">
        <f>Q25</f>
        <v>临街状况</v>
      </c>
      <c r="AA25" s="1352">
        <f t="shared" si="3"/>
        <v>1</v>
      </c>
      <c r="AB25" s="1352">
        <f t="shared" si="4"/>
        <v>1</v>
      </c>
      <c r="AC25" s="1352">
        <f t="shared" si="5"/>
        <v>1</v>
      </c>
    </row>
    <row r="26" spans="1:29" ht="15">
      <c r="A26" s="379"/>
      <c r="B26" s="1132" t="s">
        <v>1779</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4150"/>
      <c r="Q26" s="1351" t="str">
        <f t="shared" si="11"/>
        <v>平面位置/可视性</v>
      </c>
      <c r="R26" s="704" t="s">
        <v>14</v>
      </c>
      <c r="S26" s="705">
        <f>F26</f>
        <v>100</v>
      </c>
      <c r="T26" s="704" t="s">
        <v>14</v>
      </c>
      <c r="U26" s="705">
        <f>H26</f>
        <v>100</v>
      </c>
      <c r="V26" s="704" t="s">
        <v>14</v>
      </c>
      <c r="W26" s="705">
        <f>J26</f>
        <v>100</v>
      </c>
      <c r="X26" s="1354"/>
      <c r="Y26" s="4143"/>
      <c r="Z26" s="1355" t="str">
        <f>Q26</f>
        <v>平面位置/可视性</v>
      </c>
      <c r="AA26" s="1352">
        <f t="shared" si="3"/>
        <v>1</v>
      </c>
      <c r="AB26" s="1352">
        <f t="shared" si="4"/>
        <v>1</v>
      </c>
      <c r="AC26" s="1352">
        <f t="shared" si="5"/>
        <v>1</v>
      </c>
    </row>
    <row r="27" spans="1:29" s="108" customFormat="1" ht="15">
      <c r="A27" s="382"/>
      <c r="B27" s="402" t="s">
        <v>1780</v>
      </c>
      <c r="C27" s="1955"/>
      <c r="D27" s="413">
        <v>100</v>
      </c>
      <c r="E27" s="1955"/>
      <c r="F27" s="415">
        <f>SUMIF(90:90,E27,91:91)-SUMIF(90:90,C27,91:91)+100</f>
        <v>100</v>
      </c>
      <c r="G27" s="1955"/>
      <c r="H27" s="413">
        <f>SUMIF(90:90,G27,91:91)-SUMIF(90:90,C27,91:91)+100</f>
        <v>100</v>
      </c>
      <c r="I27" s="1955"/>
      <c r="J27" s="413">
        <f>SUMIF(90:90,I27,91:91)-SUMIF(90:90,C27,91:91)+100</f>
        <v>100</v>
      </c>
      <c r="K27" s="561"/>
      <c r="L27" s="2715"/>
      <c r="M27" s="2716"/>
      <c r="N27" s="2716"/>
      <c r="O27" s="2716"/>
      <c r="P27" s="4150"/>
      <c r="Q27" s="1342" t="str">
        <f t="shared" si="11"/>
        <v>人流量</v>
      </c>
      <c r="R27" s="700" t="s">
        <v>14</v>
      </c>
      <c r="S27" s="701">
        <f>F27</f>
        <v>100</v>
      </c>
      <c r="T27" s="700" t="s">
        <v>14</v>
      </c>
      <c r="U27" s="701">
        <f>H27</f>
        <v>100</v>
      </c>
      <c r="V27" s="700" t="s">
        <v>14</v>
      </c>
      <c r="W27" s="701">
        <f>J27</f>
        <v>100</v>
      </c>
      <c r="X27" s="702"/>
      <c r="Y27" s="4143"/>
      <c r="Z27" s="52" t="str">
        <f>Q27</f>
        <v>人流量</v>
      </c>
      <c r="AA27" s="1352">
        <f>D27/F27</f>
        <v>1</v>
      </c>
      <c r="AB27" s="1352">
        <f>D27/H27</f>
        <v>1</v>
      </c>
      <c r="AC27" s="1352">
        <f>D27/J27</f>
        <v>1</v>
      </c>
    </row>
    <row r="28" spans="1:29" ht="15">
      <c r="A28" s="379"/>
      <c r="B28" s="375" t="s">
        <v>1781</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4150"/>
      <c r="Q28" s="1351" t="str">
        <f t="shared" si="11"/>
        <v>楼层</v>
      </c>
      <c r="R28" s="704" t="s">
        <v>14</v>
      </c>
      <c r="S28" s="705">
        <f t="shared" ref="S28:S46" si="12">F28</f>
        <v>100</v>
      </c>
      <c r="T28" s="704" t="s">
        <v>14</v>
      </c>
      <c r="U28" s="705">
        <f t="shared" ref="U28:U46" si="13">H28</f>
        <v>100</v>
      </c>
      <c r="V28" s="704" t="s">
        <v>14</v>
      </c>
      <c r="W28" s="705">
        <f t="shared" ref="W28:W46" si="14">J28</f>
        <v>100</v>
      </c>
      <c r="X28" s="1354"/>
      <c r="Y28" s="4143"/>
      <c r="Z28" s="1355" t="str">
        <f t="shared" ref="Z28:Z46" si="15">Q28</f>
        <v>楼层</v>
      </c>
      <c r="AA28" s="1352">
        <f t="shared" si="3"/>
        <v>1</v>
      </c>
      <c r="AB28" s="1352">
        <f t="shared" si="4"/>
        <v>1</v>
      </c>
      <c r="AC28" s="1352">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4150"/>
      <c r="Q29" s="1351">
        <f t="shared" si="11"/>
        <v>111</v>
      </c>
      <c r="R29" s="704" t="s">
        <v>14</v>
      </c>
      <c r="S29" s="705">
        <f t="shared" si="12"/>
        <v>100</v>
      </c>
      <c r="T29" s="704" t="s">
        <v>14</v>
      </c>
      <c r="U29" s="705">
        <f t="shared" si="13"/>
        <v>100</v>
      </c>
      <c r="V29" s="704" t="s">
        <v>14</v>
      </c>
      <c r="W29" s="705">
        <f t="shared" si="14"/>
        <v>100</v>
      </c>
      <c r="X29" s="1354"/>
      <c r="Y29" s="4143"/>
      <c r="Z29" s="1355">
        <f t="shared" si="15"/>
        <v>111</v>
      </c>
      <c r="AA29" s="1352">
        <f t="shared" si="3"/>
        <v>1</v>
      </c>
      <c r="AB29" s="1352">
        <f t="shared" si="4"/>
        <v>1</v>
      </c>
      <c r="AC29" s="1352">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4150"/>
      <c r="Q30" s="1351">
        <f t="shared" si="11"/>
        <v>111</v>
      </c>
      <c r="R30" s="704" t="s">
        <v>14</v>
      </c>
      <c r="S30" s="705">
        <f t="shared" si="12"/>
        <v>100</v>
      </c>
      <c r="T30" s="704" t="s">
        <v>14</v>
      </c>
      <c r="U30" s="705">
        <f t="shared" si="13"/>
        <v>100</v>
      </c>
      <c r="V30" s="704" t="s">
        <v>14</v>
      </c>
      <c r="W30" s="705">
        <f t="shared" si="14"/>
        <v>100</v>
      </c>
      <c r="X30" s="1354"/>
      <c r="Y30" s="4143"/>
      <c r="Z30" s="1355">
        <f t="shared" si="15"/>
        <v>111</v>
      </c>
      <c r="AA30" s="1352">
        <f t="shared" si="3"/>
        <v>1</v>
      </c>
      <c r="AB30" s="1352">
        <f t="shared" si="4"/>
        <v>1</v>
      </c>
      <c r="AC30" s="1352">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4150"/>
      <c r="Q31" s="1351">
        <f t="shared" si="11"/>
        <v>111</v>
      </c>
      <c r="R31" s="704" t="s">
        <v>14</v>
      </c>
      <c r="S31" s="705">
        <f t="shared" si="12"/>
        <v>100</v>
      </c>
      <c r="T31" s="704" t="s">
        <v>14</v>
      </c>
      <c r="U31" s="705">
        <f t="shared" si="13"/>
        <v>100</v>
      </c>
      <c r="V31" s="704" t="s">
        <v>14</v>
      </c>
      <c r="W31" s="705">
        <f t="shared" si="14"/>
        <v>100</v>
      </c>
      <c r="X31" s="1354"/>
      <c r="Y31" s="4143"/>
      <c r="Z31" s="1355">
        <f t="shared" si="15"/>
        <v>111</v>
      </c>
      <c r="AA31" s="1352">
        <f t="shared" si="3"/>
        <v>1</v>
      </c>
      <c r="AB31" s="1352">
        <f t="shared" si="4"/>
        <v>1</v>
      </c>
      <c r="AC31" s="1352">
        <f t="shared" si="5"/>
        <v>1</v>
      </c>
    </row>
    <row r="32" spans="1:29" ht="15">
      <c r="A32" s="391" t="s">
        <v>1692</v>
      </c>
      <c r="B32" s="63" t="s">
        <v>1782</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720"/>
      <c r="M32" s="2714"/>
      <c r="N32" s="2714"/>
      <c r="O32" s="2714"/>
      <c r="P32" s="4144" t="s">
        <v>1694</v>
      </c>
      <c r="Q32" s="1351" t="str">
        <f t="shared" si="11"/>
        <v>商业类型</v>
      </c>
      <c r="R32" s="704" t="s">
        <v>14</v>
      </c>
      <c r="S32" s="705">
        <f t="shared" si="12"/>
        <v>100</v>
      </c>
      <c r="T32" s="704" t="s">
        <v>14</v>
      </c>
      <c r="U32" s="705">
        <f t="shared" si="13"/>
        <v>100</v>
      </c>
      <c r="V32" s="704" t="s">
        <v>14</v>
      </c>
      <c r="W32" s="705">
        <f t="shared" si="14"/>
        <v>100</v>
      </c>
      <c r="X32" s="1354"/>
      <c r="Y32" s="4147" t="s">
        <v>1694</v>
      </c>
      <c r="Z32" s="1355" t="str">
        <f t="shared" si="15"/>
        <v>商业类型</v>
      </c>
      <c r="AA32" s="1352">
        <f t="shared" si="3"/>
        <v>1</v>
      </c>
      <c r="AB32" s="1352">
        <f t="shared" si="4"/>
        <v>1</v>
      </c>
      <c r="AC32" s="1352">
        <f t="shared" si="5"/>
        <v>1</v>
      </c>
    </row>
    <row r="33" spans="1:29" s="422" customFormat="1" ht="15">
      <c r="A33" s="419"/>
      <c r="B33" s="375" t="s">
        <v>1695</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4145"/>
      <c r="Q33" s="706" t="str">
        <f t="shared" si="11"/>
        <v>项目建筑规模</v>
      </c>
      <c r="R33" s="707" t="s">
        <v>14</v>
      </c>
      <c r="S33" s="708" t="e">
        <f t="shared" si="12"/>
        <v>#N/A</v>
      </c>
      <c r="T33" s="707" t="s">
        <v>14</v>
      </c>
      <c r="U33" s="708" t="e">
        <f t="shared" si="13"/>
        <v>#N/A</v>
      </c>
      <c r="V33" s="707" t="s">
        <v>14</v>
      </c>
      <c r="W33" s="708" t="e">
        <f t="shared" si="14"/>
        <v>#N/A</v>
      </c>
      <c r="X33" s="709"/>
      <c r="Y33" s="4147"/>
      <c r="Z33" s="710" t="str">
        <f t="shared" si="15"/>
        <v>项目建筑规模</v>
      </c>
      <c r="AA33" s="1352" t="e">
        <f t="shared" si="3"/>
        <v>#N/A</v>
      </c>
      <c r="AB33" s="1352" t="e">
        <f t="shared" si="4"/>
        <v>#N/A</v>
      </c>
      <c r="AC33" s="1352" t="e">
        <f t="shared" si="5"/>
        <v>#N/A</v>
      </c>
    </row>
    <row r="34" spans="1:29" ht="15">
      <c r="A34" s="423"/>
      <c r="B34" s="375" t="s">
        <v>1696</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720"/>
      <c r="M34" s="2714"/>
      <c r="N34" s="2714"/>
      <c r="O34" s="2714"/>
      <c r="P34" s="4145"/>
      <c r="Q34" s="1351" t="str">
        <f t="shared" si="11"/>
        <v>建筑结构</v>
      </c>
      <c r="R34" s="704" t="s">
        <v>14</v>
      </c>
      <c r="S34" s="705">
        <f t="shared" si="12"/>
        <v>100</v>
      </c>
      <c r="T34" s="704" t="s">
        <v>14</v>
      </c>
      <c r="U34" s="705">
        <f t="shared" si="13"/>
        <v>100</v>
      </c>
      <c r="V34" s="704" t="s">
        <v>14</v>
      </c>
      <c r="W34" s="705">
        <f t="shared" si="14"/>
        <v>100</v>
      </c>
      <c r="X34" s="1354"/>
      <c r="Y34" s="4147"/>
      <c r="Z34" s="1355" t="str">
        <f t="shared" si="15"/>
        <v>建筑结构</v>
      </c>
      <c r="AA34" s="1352">
        <f t="shared" si="3"/>
        <v>1</v>
      </c>
      <c r="AB34" s="1352">
        <f t="shared" si="4"/>
        <v>1</v>
      </c>
      <c r="AC34" s="1352">
        <f t="shared" si="5"/>
        <v>1</v>
      </c>
    </row>
    <row r="35" spans="1:29" ht="15">
      <c r="A35" s="423"/>
      <c r="B35" s="375" t="s">
        <v>1783</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720"/>
      <c r="M35" s="2714"/>
      <c r="N35" s="2714"/>
      <c r="O35" s="2714"/>
      <c r="P35" s="4145"/>
      <c r="Q35" s="1351" t="str">
        <f t="shared" si="11"/>
        <v>公共部分装修</v>
      </c>
      <c r="R35" s="704" t="s">
        <v>14</v>
      </c>
      <c r="S35" s="705">
        <f t="shared" si="12"/>
        <v>100</v>
      </c>
      <c r="T35" s="704" t="s">
        <v>14</v>
      </c>
      <c r="U35" s="705">
        <f t="shared" si="13"/>
        <v>100</v>
      </c>
      <c r="V35" s="704" t="s">
        <v>14</v>
      </c>
      <c r="W35" s="705">
        <f t="shared" si="14"/>
        <v>100</v>
      </c>
      <c r="X35" s="1354"/>
      <c r="Y35" s="4147"/>
      <c r="Z35" s="1355" t="str">
        <f t="shared" si="15"/>
        <v>公共部分装修</v>
      </c>
      <c r="AA35" s="1352">
        <f t="shared" si="3"/>
        <v>1</v>
      </c>
      <c r="AB35" s="1352">
        <f t="shared" si="4"/>
        <v>1</v>
      </c>
      <c r="AC35" s="1352">
        <f t="shared" si="5"/>
        <v>1</v>
      </c>
    </row>
    <row r="36" spans="1:29" ht="15">
      <c r="A36" s="423"/>
      <c r="B36" s="375" t="s">
        <v>1784</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4145"/>
      <c r="Q36" s="1351" t="str">
        <f t="shared" si="11"/>
        <v>成新度</v>
      </c>
      <c r="R36" s="704" t="s">
        <v>14</v>
      </c>
      <c r="S36" s="705" t="e">
        <f t="shared" si="12"/>
        <v>#N/A</v>
      </c>
      <c r="T36" s="704" t="s">
        <v>14</v>
      </c>
      <c r="U36" s="705" t="e">
        <f t="shared" si="13"/>
        <v>#N/A</v>
      </c>
      <c r="V36" s="704" t="s">
        <v>14</v>
      </c>
      <c r="W36" s="705" t="e">
        <f t="shared" si="14"/>
        <v>#N/A</v>
      </c>
      <c r="X36" s="1354"/>
      <c r="Y36" s="4147"/>
      <c r="Z36" s="1355" t="str">
        <f t="shared" si="15"/>
        <v>成新度</v>
      </c>
      <c r="AA36" s="1352" t="e">
        <f t="shared" si="3"/>
        <v>#N/A</v>
      </c>
      <c r="AB36" s="1352" t="e">
        <f t="shared" si="4"/>
        <v>#N/A</v>
      </c>
      <c r="AC36" s="1352" t="e">
        <f t="shared" si="5"/>
        <v>#N/A</v>
      </c>
    </row>
    <row r="37" spans="1:29" s="108" customFormat="1" ht="15">
      <c r="A37" s="424"/>
      <c r="B37" s="375" t="s">
        <v>1785</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715"/>
      <c r="M37" s="2716"/>
      <c r="N37" s="2716"/>
      <c r="O37" s="2716"/>
      <c r="P37" s="4145"/>
      <c r="Q37" s="1342" t="str">
        <f t="shared" si="11"/>
        <v>市政基础设施</v>
      </c>
      <c r="R37" s="700" t="s">
        <v>14</v>
      </c>
      <c r="S37" s="701">
        <f t="shared" si="12"/>
        <v>100</v>
      </c>
      <c r="T37" s="700" t="s">
        <v>14</v>
      </c>
      <c r="U37" s="701">
        <f t="shared" si="13"/>
        <v>100</v>
      </c>
      <c r="V37" s="700" t="s">
        <v>14</v>
      </c>
      <c r="W37" s="701">
        <f t="shared" si="14"/>
        <v>100</v>
      </c>
      <c r="X37" s="702"/>
      <c r="Y37" s="4147"/>
      <c r="Z37" s="52" t="str">
        <f t="shared" si="15"/>
        <v>市政基础设施</v>
      </c>
      <c r="AA37" s="703">
        <f t="shared" si="3"/>
        <v>1</v>
      </c>
      <c r="AB37" s="703">
        <f t="shared" si="4"/>
        <v>1</v>
      </c>
      <c r="AC37" s="703">
        <f t="shared" si="5"/>
        <v>1</v>
      </c>
    </row>
    <row r="38" spans="1:29" ht="15">
      <c r="A38" s="423"/>
      <c r="B38" s="375" t="s">
        <v>1786</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720"/>
      <c r="M38" s="2714"/>
      <c r="N38" s="2714"/>
      <c r="O38" s="2714"/>
      <c r="P38" s="4145" t="s">
        <v>1694</v>
      </c>
      <c r="Q38" s="1351" t="str">
        <f t="shared" si="11"/>
        <v>业态</v>
      </c>
      <c r="R38" s="704" t="s">
        <v>14</v>
      </c>
      <c r="S38" s="705">
        <f t="shared" si="12"/>
        <v>100</v>
      </c>
      <c r="T38" s="704" t="s">
        <v>14</v>
      </c>
      <c r="U38" s="705">
        <f t="shared" si="13"/>
        <v>100</v>
      </c>
      <c r="V38" s="704" t="s">
        <v>14</v>
      </c>
      <c r="W38" s="705">
        <f t="shared" si="14"/>
        <v>100</v>
      </c>
      <c r="X38" s="1354"/>
      <c r="Y38" s="4147" t="s">
        <v>1694</v>
      </c>
      <c r="Z38" s="1355" t="str">
        <f t="shared" si="15"/>
        <v>业态</v>
      </c>
      <c r="AA38" s="1352">
        <f t="shared" si="3"/>
        <v>1</v>
      </c>
      <c r="AB38" s="1352">
        <f t="shared" si="4"/>
        <v>1</v>
      </c>
      <c r="AC38" s="1352">
        <f t="shared" si="5"/>
        <v>1</v>
      </c>
    </row>
    <row r="39" spans="1:29" ht="15">
      <c r="A39" s="423"/>
      <c r="B39" s="375" t="s">
        <v>1787</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720"/>
      <c r="M39" s="2714"/>
      <c r="N39" s="2714"/>
      <c r="O39" s="2714"/>
      <c r="P39" s="4145"/>
      <c r="Q39" s="1351" t="str">
        <f t="shared" si="11"/>
        <v>层高</v>
      </c>
      <c r="R39" s="704" t="s">
        <v>14</v>
      </c>
      <c r="S39" s="705">
        <f t="shared" si="12"/>
        <v>100</v>
      </c>
      <c r="T39" s="704" t="s">
        <v>14</v>
      </c>
      <c r="U39" s="705">
        <f t="shared" si="13"/>
        <v>100</v>
      </c>
      <c r="V39" s="704" t="s">
        <v>14</v>
      </c>
      <c r="W39" s="705">
        <f t="shared" si="14"/>
        <v>100</v>
      </c>
      <c r="X39" s="1354"/>
      <c r="Y39" s="4147"/>
      <c r="Z39" s="1355" t="str">
        <f t="shared" si="15"/>
        <v>层高</v>
      </c>
      <c r="AA39" s="1352">
        <f t="shared" si="3"/>
        <v>1</v>
      </c>
      <c r="AB39" s="1352">
        <f t="shared" si="4"/>
        <v>1</v>
      </c>
      <c r="AC39" s="1352">
        <f t="shared" si="5"/>
        <v>1</v>
      </c>
    </row>
    <row r="40" spans="1:29" ht="15">
      <c r="A40" s="423"/>
      <c r="B40" s="375" t="s">
        <v>1788</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4145"/>
      <c r="Q40" s="1351" t="str">
        <f t="shared" si="11"/>
        <v>单套建筑面积</v>
      </c>
      <c r="R40" s="704" t="s">
        <v>14</v>
      </c>
      <c r="S40" s="705">
        <f t="shared" si="12"/>
        <v>100</v>
      </c>
      <c r="T40" s="704" t="s">
        <v>14</v>
      </c>
      <c r="U40" s="705">
        <f t="shared" si="13"/>
        <v>100</v>
      </c>
      <c r="V40" s="704" t="s">
        <v>14</v>
      </c>
      <c r="W40" s="705">
        <f t="shared" si="14"/>
        <v>100</v>
      </c>
      <c r="X40" s="1354"/>
      <c r="Y40" s="4147"/>
      <c r="Z40" s="1355" t="str">
        <f t="shared" si="15"/>
        <v>单套建筑面积</v>
      </c>
      <c r="AA40" s="1352">
        <f t="shared" si="3"/>
        <v>1</v>
      </c>
      <c r="AB40" s="1352">
        <f t="shared" si="4"/>
        <v>1</v>
      </c>
      <c r="AC40" s="1352">
        <f t="shared" si="5"/>
        <v>1</v>
      </c>
    </row>
    <row r="41" spans="1:29" s="422" customFormat="1" ht="15">
      <c r="A41" s="419"/>
      <c r="B41" s="1353" t="s">
        <v>1789</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4145"/>
      <c r="Q41" s="706" t="str">
        <f t="shared" si="11"/>
        <v>进深比</v>
      </c>
      <c r="R41" s="707" t="s">
        <v>14</v>
      </c>
      <c r="S41" s="708">
        <f t="shared" si="12"/>
        <v>100</v>
      </c>
      <c r="T41" s="707" t="s">
        <v>14</v>
      </c>
      <c r="U41" s="708">
        <f t="shared" si="13"/>
        <v>100</v>
      </c>
      <c r="V41" s="707" t="s">
        <v>14</v>
      </c>
      <c r="W41" s="708">
        <f t="shared" si="14"/>
        <v>100</v>
      </c>
      <c r="X41" s="709"/>
      <c r="Y41" s="4147"/>
      <c r="Z41" s="710" t="str">
        <f t="shared" si="15"/>
        <v>进深比</v>
      </c>
      <c r="AA41" s="1352">
        <f t="shared" si="3"/>
        <v>1</v>
      </c>
      <c r="AB41" s="1352">
        <f t="shared" si="4"/>
        <v>1</v>
      </c>
      <c r="AC41" s="1352">
        <f t="shared" si="5"/>
        <v>1</v>
      </c>
    </row>
    <row r="42" spans="1:29" ht="15">
      <c r="A42" s="423"/>
      <c r="B42" s="375" t="s">
        <v>1790</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720"/>
      <c r="M42" s="2714"/>
      <c r="N42" s="2714"/>
      <c r="O42" s="2714"/>
      <c r="P42" s="4145"/>
      <c r="Q42" s="1351" t="str">
        <f t="shared" si="11"/>
        <v>内部装修</v>
      </c>
      <c r="R42" s="704" t="s">
        <v>14</v>
      </c>
      <c r="S42" s="705">
        <f t="shared" si="12"/>
        <v>100</v>
      </c>
      <c r="T42" s="704" t="s">
        <v>14</v>
      </c>
      <c r="U42" s="705">
        <f t="shared" si="13"/>
        <v>100</v>
      </c>
      <c r="V42" s="704" t="s">
        <v>14</v>
      </c>
      <c r="W42" s="705">
        <f t="shared" si="14"/>
        <v>100</v>
      </c>
      <c r="X42" s="1354"/>
      <c r="Y42" s="4147"/>
      <c r="Z42" s="1355" t="str">
        <f t="shared" si="15"/>
        <v>内部装修</v>
      </c>
      <c r="AA42" s="1352">
        <f t="shared" si="3"/>
        <v>1</v>
      </c>
      <c r="AB42" s="1352">
        <f t="shared" si="4"/>
        <v>1</v>
      </c>
      <c r="AC42" s="1352">
        <f t="shared" si="5"/>
        <v>1</v>
      </c>
    </row>
    <row r="43" spans="1:29" ht="15">
      <c r="A43" s="423"/>
      <c r="B43" s="375" t="s">
        <v>1705</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720"/>
      <c r="M43" s="2714"/>
      <c r="N43" s="2714"/>
      <c r="O43" s="2714"/>
      <c r="P43" s="4145"/>
      <c r="Q43" s="1351" t="str">
        <f t="shared" si="11"/>
        <v>内部装修维护情况</v>
      </c>
      <c r="R43" s="704" t="s">
        <v>14</v>
      </c>
      <c r="S43" s="705">
        <f t="shared" si="12"/>
        <v>100</v>
      </c>
      <c r="T43" s="704" t="s">
        <v>14</v>
      </c>
      <c r="U43" s="705">
        <f t="shared" si="13"/>
        <v>100</v>
      </c>
      <c r="V43" s="704" t="s">
        <v>14</v>
      </c>
      <c r="W43" s="705">
        <f t="shared" si="14"/>
        <v>100</v>
      </c>
      <c r="X43" s="1354"/>
      <c r="Y43" s="4147"/>
      <c r="Z43" s="1355" t="str">
        <f t="shared" si="15"/>
        <v>内部装修维护情况</v>
      </c>
      <c r="AA43" s="1352">
        <f t="shared" si="3"/>
        <v>1</v>
      </c>
      <c r="AB43" s="1352">
        <f t="shared" si="4"/>
        <v>1</v>
      </c>
      <c r="AC43" s="1352">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4145"/>
      <c r="Q44" s="1342">
        <f t="shared" si="11"/>
        <v>111</v>
      </c>
      <c r="R44" s="700" t="s">
        <v>14</v>
      </c>
      <c r="S44" s="701">
        <f t="shared" si="12"/>
        <v>100</v>
      </c>
      <c r="T44" s="700" t="s">
        <v>14</v>
      </c>
      <c r="U44" s="701">
        <f t="shared" si="13"/>
        <v>100</v>
      </c>
      <c r="V44" s="700" t="s">
        <v>14</v>
      </c>
      <c r="W44" s="701">
        <f t="shared" si="14"/>
        <v>100</v>
      </c>
      <c r="X44" s="702"/>
      <c r="Y44" s="4147"/>
      <c r="Z44" s="52">
        <f t="shared" si="15"/>
        <v>111</v>
      </c>
      <c r="AA44" s="703">
        <f t="shared" si="3"/>
        <v>1</v>
      </c>
      <c r="AB44" s="703">
        <f t="shared" si="4"/>
        <v>1</v>
      </c>
      <c r="AC44" s="703">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4145"/>
      <c r="Q45" s="1351">
        <f t="shared" si="11"/>
        <v>111</v>
      </c>
      <c r="R45" s="704" t="s">
        <v>14</v>
      </c>
      <c r="S45" s="705">
        <f t="shared" si="12"/>
        <v>100</v>
      </c>
      <c r="T45" s="704" t="s">
        <v>14</v>
      </c>
      <c r="U45" s="705">
        <f t="shared" si="13"/>
        <v>100</v>
      </c>
      <c r="V45" s="704" t="s">
        <v>14</v>
      </c>
      <c r="W45" s="705">
        <f t="shared" si="14"/>
        <v>100</v>
      </c>
      <c r="X45" s="1354"/>
      <c r="Y45" s="4147"/>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4146"/>
      <c r="Q46" s="1351">
        <f t="shared" si="11"/>
        <v>111</v>
      </c>
      <c r="R46" s="704" t="s">
        <v>14</v>
      </c>
      <c r="S46" s="705">
        <f t="shared" si="12"/>
        <v>100</v>
      </c>
      <c r="T46" s="704" t="s">
        <v>14</v>
      </c>
      <c r="U46" s="705">
        <f t="shared" si="13"/>
        <v>100</v>
      </c>
      <c r="V46" s="704" t="s">
        <v>14</v>
      </c>
      <c r="W46" s="705">
        <f t="shared" si="14"/>
        <v>100</v>
      </c>
      <c r="X46" s="1354"/>
      <c r="Y46" s="4148"/>
      <c r="Z46" s="1355">
        <f t="shared" si="15"/>
        <v>111</v>
      </c>
      <c r="AA46" s="1352">
        <f t="shared" si="3"/>
        <v>1</v>
      </c>
      <c r="AB46" s="1352">
        <f t="shared" si="4"/>
        <v>1</v>
      </c>
      <c r="AC46" s="1352">
        <f t="shared" si="5"/>
        <v>1</v>
      </c>
    </row>
    <row r="47" spans="1:29" ht="15">
      <c r="A47" s="430" t="s">
        <v>1706</v>
      </c>
      <c r="B47" s="431"/>
      <c r="C47" s="1153" t="s">
        <v>0</v>
      </c>
      <c r="D47" s="1154"/>
      <c r="E47" s="1155"/>
      <c r="F47" s="1156"/>
      <c r="G47" s="1157"/>
      <c r="H47" s="1158"/>
      <c r="I47" s="1155"/>
      <c r="J47" s="1158"/>
      <c r="K47" s="713"/>
      <c r="L47" s="2722"/>
      <c r="M47" s="2723"/>
      <c r="N47" s="2714"/>
      <c r="O47" s="2723"/>
      <c r="P47" s="4140" t="str">
        <f>A47</f>
        <v>成交单价（元/平方米）</v>
      </c>
      <c r="Q47" s="4140"/>
      <c r="R47" s="4135">
        <f>E47</f>
        <v>0</v>
      </c>
      <c r="S47" s="4135"/>
      <c r="T47" s="4135">
        <f>G47</f>
        <v>0</v>
      </c>
      <c r="U47" s="4135"/>
      <c r="V47" s="4135">
        <f>I47</f>
        <v>0</v>
      </c>
      <c r="W47" s="4135"/>
      <c r="X47" s="689"/>
      <c r="Y47" s="711"/>
      <c r="Z47" s="689"/>
      <c r="AA47" s="689"/>
      <c r="AB47" s="689"/>
      <c r="AC47" s="689"/>
    </row>
    <row r="48" spans="1:29" ht="15.75" thickBot="1">
      <c r="A48" s="437" t="s">
        <v>1791</v>
      </c>
      <c r="B48" s="438"/>
      <c r="C48" s="1159" t="e">
        <f>R49</f>
        <v>#DIV/0!</v>
      </c>
      <c r="D48" s="2316" t="s">
        <v>2135</v>
      </c>
      <c r="E48" s="1160" t="e">
        <f>R48</f>
        <v>#DIV/0!</v>
      </c>
      <c r="F48" s="2317"/>
      <c r="G48" s="1159" t="e">
        <f>T48</f>
        <v>#DIV/0!</v>
      </c>
      <c r="H48" s="2317"/>
      <c r="I48" s="1160" t="e">
        <f>V48</f>
        <v>#DIV/0!</v>
      </c>
      <c r="J48" s="2317"/>
      <c r="K48" s="2319">
        <f>F48+H48+J48</f>
        <v>0</v>
      </c>
      <c r="L48" s="2722"/>
      <c r="M48" s="2723"/>
      <c r="N48" s="2714"/>
      <c r="O48" s="2723"/>
      <c r="P48" s="4140" t="str">
        <f>A48</f>
        <v>比较价值（元/平方米）</v>
      </c>
      <c r="Q48" s="4140"/>
      <c r="R48" s="4141" t="e">
        <f>IF(F1="售价",ROUND(PRODUCT(R47,AA7:AA46),0),ROUND(PRODUCT(R47,AA7:AA46),1))</f>
        <v>#DIV/0!</v>
      </c>
      <c r="S48" s="4141"/>
      <c r="T48" s="4141" t="e">
        <f>IF(F1="售价",ROUND(PRODUCT(T47,AB7:AB46),0),ROUND(PRODUCT(T47,AB7:AB46),1))</f>
        <v>#DIV/0!</v>
      </c>
      <c r="U48" s="4141"/>
      <c r="V48" s="4141" t="e">
        <f>IF(F1="售价",ROUND(PRODUCT(V47,AC7:AC46),0),ROUND(PRODUCT(V47,AC7:AC46),1))</f>
        <v>#DIV/0!</v>
      </c>
      <c r="W48" s="4141"/>
      <c r="X48" s="689"/>
      <c r="Y48" s="689"/>
      <c r="Z48" s="689"/>
      <c r="AA48" s="689"/>
      <c r="AB48" s="689"/>
      <c r="AC48" s="689"/>
    </row>
    <row r="49" spans="1:29" ht="15.75" thickBot="1">
      <c r="A49" s="441" t="s">
        <v>1792</v>
      </c>
      <c r="B49" s="442"/>
      <c r="C49" s="1162" t="e">
        <f>R49</f>
        <v>#DIV/0!</v>
      </c>
      <c r="D49" s="1162"/>
      <c r="E49" s="1162"/>
      <c r="F49" s="1162"/>
      <c r="G49" s="1162"/>
      <c r="H49" s="1162"/>
      <c r="I49" s="1162"/>
      <c r="J49" s="1162"/>
      <c r="K49" s="714"/>
      <c r="L49" s="2722"/>
      <c r="M49" s="2723"/>
      <c r="N49" s="2714"/>
      <c r="O49" s="2723"/>
      <c r="P49" s="4137" t="str">
        <f>A49</f>
        <v>估价对象XX用房的比较价值（楼面单价，元/平方米）</v>
      </c>
      <c r="Q49" s="4138"/>
      <c r="R49" s="4139" t="e">
        <f>IF(F1="售价",ROUND(IF(D48="简单平均",AVERAGE(R48:V48),R48*F48+T48*H48+V48*J48),0),ROUND(IF(D48="简单平均",AVERAGE(R48:V48),R48*F48+T48*H48+V48*J48),1))</f>
        <v>#DIV/0!</v>
      </c>
      <c r="S49" s="4139"/>
      <c r="T49" s="4139"/>
      <c r="U49" s="4139"/>
      <c r="V49" s="4139"/>
      <c r="W49" s="4139"/>
      <c r="X49" s="689"/>
      <c r="Y49" s="689"/>
      <c r="Z49" s="689"/>
      <c r="AA49" s="689"/>
      <c r="AB49" s="689"/>
      <c r="AC49" s="689"/>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3" t="s">
        <v>1796</v>
      </c>
      <c r="B57" s="689"/>
      <c r="C57" s="694"/>
      <c r="D57" s="694"/>
      <c r="E57" s="694"/>
      <c r="F57" s="695"/>
      <c r="G57" s="695"/>
      <c r="H57" s="694"/>
      <c r="I57" s="694"/>
      <c r="J57" s="694"/>
      <c r="K57" s="696"/>
      <c r="L57" s="941"/>
      <c r="M57" s="939"/>
      <c r="N57" s="939"/>
      <c r="O57" s="939"/>
      <c r="P57" s="2736"/>
      <c r="Q57" s="2737"/>
      <c r="R57" s="2723"/>
      <c r="S57" s="2723"/>
      <c r="T57" s="2723"/>
      <c r="U57" s="2723"/>
      <c r="V57" s="2723"/>
      <c r="W57" s="2723"/>
      <c r="X57" s="2723"/>
      <c r="Y57" s="2723"/>
      <c r="Z57" s="2723"/>
      <c r="AA57" s="2723"/>
      <c r="AB57" s="2723"/>
      <c r="AC57" s="2723"/>
    </row>
    <row r="58" spans="1:29" s="457" customFormat="1" ht="15">
      <c r="A58" s="454" t="s">
        <v>1677</v>
      </c>
      <c r="B58" s="455"/>
      <c r="C58" s="1183" t="str">
        <f>YEAR(C7)&amp;"-"&amp;MONTH(C7)</f>
        <v>2024-10</v>
      </c>
      <c r="D58" s="1184">
        <f>EDATE(C58,-1)</f>
        <v>45536</v>
      </c>
      <c r="E58" s="1184">
        <f t="shared" ref="E58:N58" si="16">EDATE(D58,-1)</f>
        <v>45505</v>
      </c>
      <c r="F58" s="1184">
        <f t="shared" si="16"/>
        <v>45474</v>
      </c>
      <c r="G58" s="1184">
        <f t="shared" si="16"/>
        <v>45444</v>
      </c>
      <c r="H58" s="1184">
        <f t="shared" si="16"/>
        <v>45413</v>
      </c>
      <c r="I58" s="1184">
        <f t="shared" si="16"/>
        <v>45383</v>
      </c>
      <c r="J58" s="1184">
        <f t="shared" si="16"/>
        <v>45352</v>
      </c>
      <c r="K58" s="1184">
        <f t="shared" si="16"/>
        <v>45323</v>
      </c>
      <c r="L58" s="1184">
        <f t="shared" si="16"/>
        <v>45292</v>
      </c>
      <c r="M58" s="1184">
        <f t="shared" si="16"/>
        <v>45261</v>
      </c>
      <c r="N58" s="1184">
        <f t="shared" si="16"/>
        <v>45231</v>
      </c>
      <c r="O58" s="1184">
        <f>EDATE(N58,-1)</f>
        <v>45200</v>
      </c>
      <c r="P58" s="2738"/>
      <c r="Q58" s="2739"/>
      <c r="R58" s="2739"/>
      <c r="S58" s="2739"/>
      <c r="T58" s="2739"/>
      <c r="U58" s="2739"/>
      <c r="V58" s="2739"/>
      <c r="W58" s="2739"/>
      <c r="X58" s="2739"/>
      <c r="Y58" s="2739"/>
      <c r="Z58" s="2739"/>
      <c r="AA58" s="2739"/>
      <c r="AB58" s="2739"/>
      <c r="AC58" s="2739"/>
    </row>
    <row r="59" spans="1:29" s="108" customFormat="1" ht="15">
      <c r="A59" s="458"/>
      <c r="B59" s="459"/>
      <c r="C59" s="1182">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1714</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1679</v>
      </c>
      <c r="B61" s="459"/>
      <c r="C61" s="471" t="s">
        <v>1774</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1717</v>
      </c>
      <c r="B63" s="477" t="s">
        <v>1683</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1686</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1687</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1688</v>
      </c>
      <c r="B76" s="477" t="s">
        <v>1718</v>
      </c>
      <c r="C76" s="522" t="s">
        <v>1719</v>
      </c>
      <c r="D76" s="522" t="s">
        <v>1720</v>
      </c>
      <c r="E76" s="522" t="s">
        <v>1721</v>
      </c>
      <c r="F76" s="522" t="s">
        <v>1722</v>
      </c>
      <c r="G76" s="522" t="s">
        <v>1723</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1724</v>
      </c>
      <c r="C78" s="527" t="s">
        <v>1719</v>
      </c>
      <c r="D78" s="527" t="s">
        <v>1720</v>
      </c>
      <c r="E78" s="527" t="s">
        <v>1721</v>
      </c>
      <c r="F78" s="527" t="s">
        <v>1722</v>
      </c>
      <c r="G78" s="527" t="s">
        <v>1723</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1725</v>
      </c>
      <c r="C80" s="527" t="s">
        <v>1719</v>
      </c>
      <c r="D80" s="527" t="s">
        <v>1720</v>
      </c>
      <c r="E80" s="527" t="s">
        <v>1721</v>
      </c>
      <c r="F80" s="527" t="s">
        <v>1722</v>
      </c>
      <c r="G80" s="527" t="s">
        <v>1723</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1777</v>
      </c>
      <c r="C82" s="608" t="s">
        <v>1797</v>
      </c>
      <c r="D82" s="608" t="s">
        <v>1798</v>
      </c>
      <c r="E82" s="608" t="s">
        <v>1799</v>
      </c>
      <c r="F82" s="608" t="s">
        <v>1800</v>
      </c>
      <c r="G82" s="608" t="s">
        <v>1801</v>
      </c>
      <c r="H82" s="488"/>
      <c r="I82" s="488"/>
      <c r="J82" s="488"/>
      <c r="K82" s="488"/>
      <c r="L82" s="488"/>
      <c r="M82" s="1128"/>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1731</v>
      </c>
      <c r="C84" s="527" t="s">
        <v>1719</v>
      </c>
      <c r="D84" s="527" t="s">
        <v>1720</v>
      </c>
      <c r="E84" s="527" t="s">
        <v>1721</v>
      </c>
      <c r="F84" s="527" t="s">
        <v>1722</v>
      </c>
      <c r="G84" s="527" t="s">
        <v>1723</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1802</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6"/>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7"/>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1692</v>
      </c>
      <c r="B100" s="477" t="s">
        <v>1803</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1735</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1736</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1738</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1740</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1804</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1805</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1806</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1807</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1742</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1743</v>
      </c>
      <c r="C124" s="527" t="s">
        <v>1719</v>
      </c>
      <c r="D124" s="527" t="s">
        <v>1720</v>
      </c>
      <c r="E124" s="527" t="s">
        <v>1721</v>
      </c>
      <c r="F124" s="527" t="s">
        <v>1722</v>
      </c>
      <c r="G124" s="527" t="s">
        <v>1723</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7"/>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78" priority="21" stopIfTrue="1" operator="containsText" text="超过">
      <formula>NOT(ISERROR(SEARCH("超过",F52)))</formula>
    </cfRule>
  </conditionalFormatting>
  <conditionalFormatting sqref="H54">
    <cfRule type="containsText" dxfId="177" priority="19" stopIfTrue="1" operator="containsText" text="超过">
      <formula>NOT(ISERROR(SEARCH("超过",H54)))</formula>
    </cfRule>
  </conditionalFormatting>
  <conditionalFormatting sqref="F54">
    <cfRule type="containsText" dxfId="176" priority="18" stopIfTrue="1" operator="containsText" text="超过">
      <formula>NOT(ISERROR(SEARCH("超过",F54)))</formula>
    </cfRule>
  </conditionalFormatting>
  <conditionalFormatting sqref="F53 H53">
    <cfRule type="containsText" dxfId="175" priority="17" stopIfTrue="1" operator="containsText" text="超过">
      <formula>NOT(ISERROR(SEARCH("超过",F53)))</formula>
    </cfRule>
  </conditionalFormatting>
  <conditionalFormatting sqref="E52">
    <cfRule type="expression" dxfId="174" priority="16" stopIfTrue="1">
      <formula>$F$52="超过30%"</formula>
    </cfRule>
  </conditionalFormatting>
  <conditionalFormatting sqref="E53">
    <cfRule type="expression" dxfId="173" priority="15" stopIfTrue="1">
      <formula>$F$53="超过20%"</formula>
    </cfRule>
  </conditionalFormatting>
  <conditionalFormatting sqref="E54">
    <cfRule type="expression" dxfId="172" priority="14" stopIfTrue="1">
      <formula>$F$54="超过30%"</formula>
    </cfRule>
  </conditionalFormatting>
  <conditionalFormatting sqref="G54">
    <cfRule type="expression" dxfId="171" priority="13" stopIfTrue="1">
      <formula>$H$54="超过30%"</formula>
    </cfRule>
  </conditionalFormatting>
  <conditionalFormatting sqref="G52">
    <cfRule type="expression" dxfId="170" priority="12" stopIfTrue="1">
      <formula>$H$52="超过30%"</formula>
    </cfRule>
  </conditionalFormatting>
  <conditionalFormatting sqref="G53">
    <cfRule type="expression" dxfId="169" priority="11" stopIfTrue="1">
      <formula>$H$53="超过20%"</formula>
    </cfRule>
  </conditionalFormatting>
  <conditionalFormatting sqref="J52">
    <cfRule type="containsText" dxfId="168" priority="10" stopIfTrue="1" operator="containsText" text="超过">
      <formula>NOT(ISERROR(SEARCH("超过",J52)))</formula>
    </cfRule>
  </conditionalFormatting>
  <conditionalFormatting sqref="J54">
    <cfRule type="containsText" dxfId="167" priority="9" stopIfTrue="1" operator="containsText" text="超过">
      <formula>NOT(ISERROR(SEARCH("超过",J54)))</formula>
    </cfRule>
  </conditionalFormatting>
  <conditionalFormatting sqref="J53">
    <cfRule type="containsText" dxfId="166" priority="8" stopIfTrue="1" operator="containsText" text="超过">
      <formula>NOT(ISERROR(SEARCH("超过",J53)))</formula>
    </cfRule>
  </conditionalFormatting>
  <conditionalFormatting sqref="I52">
    <cfRule type="expression" dxfId="165" priority="7" stopIfTrue="1">
      <formula>$J$52="超过30%"</formula>
    </cfRule>
  </conditionalFormatting>
  <conditionalFormatting sqref="I53">
    <cfRule type="expression" dxfId="164" priority="6" stopIfTrue="1">
      <formula>$J$53="超过20%"</formula>
    </cfRule>
  </conditionalFormatting>
  <conditionalFormatting sqref="I54">
    <cfRule type="expression" dxfId="163" priority="5" stopIfTrue="1">
      <formula>$J$54="超过30%"</formula>
    </cfRule>
  </conditionalFormatting>
  <conditionalFormatting sqref="F48">
    <cfRule type="expression" dxfId="162" priority="4">
      <formula>$D$48="简单平均"</formula>
    </cfRule>
  </conditionalFormatting>
  <conditionalFormatting sqref="H48">
    <cfRule type="expression" dxfId="161" priority="3">
      <formula>$D$48="简单平均"</formula>
    </cfRule>
  </conditionalFormatting>
  <conditionalFormatting sqref="J48">
    <cfRule type="expression" dxfId="160" priority="2">
      <formula>$D$48="简单平均"</formula>
    </cfRule>
  </conditionalFormatting>
  <conditionalFormatting sqref="F7:F46 H7:H46 J7:J46">
    <cfRule type="cellIs" dxfId="15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9" zoomScale="90" zoomScaleNormal="70" zoomScaleSheetLayoutView="90" workbookViewId="0">
      <selection activeCell="K28" sqref="K28"/>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1658</v>
      </c>
      <c r="B1" s="1956" t="s">
        <v>1808</v>
      </c>
      <c r="C1" s="1223" t="s">
        <v>1660</v>
      </c>
      <c r="D1" s="1224" t="s">
        <v>3445</v>
      </c>
      <c r="E1" s="3431" t="s">
        <v>3454</v>
      </c>
      <c r="F1" s="1878" t="s">
        <v>3455</v>
      </c>
      <c r="G1" s="1234" t="s">
        <v>1765</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1460</v>
      </c>
      <c r="B2" s="1163">
        <f>IF(E1="项目模式",IF(C2="——",ROUND(C50*D3/10000,0),ROUND(C50*D3/10000,0)-D2),IF(E1="单套模式",IF(C2="——",ROUND(C50*D3/10000,4),ROUND(C50*D3/10000,4)-D2)))</f>
        <v>17261</v>
      </c>
      <c r="C2" s="1880" t="s">
        <v>43</v>
      </c>
      <c r="D2" s="1114" t="e">
        <f ca="1">IF(E1="项目模式",SUMIF(INDIRECT("'"&amp;F2&amp;"'"&amp;"!A:A"),"承租人权益价值",INDIRECT("'"&amp;F2&amp;"'"&amp;"!c:c")),SUMIF(INDIRECT("'"&amp;F2&amp;"'"&amp;"!A:A"),"承租人权益价值（单套）",INDIRECT("'"&amp;F2&amp;"'"&amp;"!c:c")))</f>
        <v>#REF!</v>
      </c>
      <c r="E2" s="1881" t="s">
        <v>1461</v>
      </c>
      <c r="F2" s="1882"/>
      <c r="G2" s="907"/>
      <c r="H2" s="907"/>
      <c r="I2" s="907"/>
      <c r="J2" s="907"/>
      <c r="K2" s="907"/>
      <c r="L2" s="2732"/>
      <c r="M2" s="2733"/>
      <c r="N2" s="2733"/>
      <c r="O2" s="2733"/>
      <c r="P2" s="698"/>
      <c r="Q2" s="698"/>
      <c r="R2" s="698"/>
      <c r="S2" s="698"/>
      <c r="T2" s="698"/>
      <c r="U2" s="698"/>
      <c r="V2" s="698"/>
      <c r="W2" s="698"/>
      <c r="X2" s="698"/>
      <c r="Y2" s="698"/>
      <c r="Z2" s="698"/>
      <c r="AA2" s="698"/>
      <c r="AB2" s="698"/>
      <c r="AC2" s="699"/>
    </row>
    <row r="3" spans="1:29" s="352" customFormat="1" ht="28.5" customHeight="1" thickBot="1">
      <c r="A3" s="203" t="s">
        <v>1462</v>
      </c>
      <c r="B3" s="558">
        <f>IF(C2="——",C50,ROUND(B2*10000/D3,0))</f>
        <v>46000</v>
      </c>
      <c r="C3" s="354" t="s">
        <v>1766</v>
      </c>
      <c r="D3" s="353">
        <f>IF(D1="",'数据-汇总表'!E3,SUMIF('数据-汇总表'!$C19:$C33,D1,'数据-汇总表'!$E19:$E33))</f>
        <v>3752.39</v>
      </c>
      <c r="E3" s="1953"/>
      <c r="F3" s="908"/>
      <c r="G3" s="907"/>
      <c r="H3" s="907"/>
      <c r="I3" s="907"/>
      <c r="J3" s="907"/>
      <c r="K3" s="909"/>
      <c r="L3" s="2732"/>
      <c r="M3" s="2733"/>
      <c r="N3" s="2733"/>
      <c r="O3" s="2733"/>
      <c r="P3" s="698"/>
      <c r="Q3" s="698"/>
      <c r="R3" s="698"/>
      <c r="S3" s="698"/>
      <c r="T3" s="698"/>
      <c r="U3" s="698"/>
      <c r="V3" s="698"/>
      <c r="W3" s="698"/>
      <c r="X3" s="698"/>
      <c r="Y3" s="698"/>
      <c r="Z3" s="698"/>
      <c r="AA3" s="698"/>
      <c r="AB3" s="698"/>
      <c r="AC3" s="699"/>
    </row>
    <row r="4" spans="1:29" ht="15">
      <c r="A4" s="355" t="s">
        <v>1767</v>
      </c>
      <c r="B4" s="356"/>
      <c r="C4" s="4123" t="s">
        <v>1768</v>
      </c>
      <c r="D4" s="4124"/>
      <c r="E4" s="4125" t="s">
        <v>1769</v>
      </c>
      <c r="F4" s="4126"/>
      <c r="G4" s="4123" t="s">
        <v>1770</v>
      </c>
      <c r="H4" s="4124"/>
      <c r="I4" s="4123" t="s">
        <v>1771</v>
      </c>
      <c r="J4" s="4124"/>
      <c r="K4" s="559" t="s">
        <v>1772</v>
      </c>
      <c r="L4" s="2713"/>
      <c r="M4" s="2714"/>
      <c r="N4" s="2714"/>
      <c r="O4" s="2714"/>
      <c r="P4" s="4159" t="s">
        <v>1773</v>
      </c>
      <c r="Q4" s="4160"/>
      <c r="R4" s="4152" t="s">
        <v>1769</v>
      </c>
      <c r="S4" s="4153"/>
      <c r="T4" s="4152" t="s">
        <v>1770</v>
      </c>
      <c r="U4" s="4153"/>
      <c r="V4" s="4163" t="s">
        <v>1771</v>
      </c>
      <c r="W4" s="4163"/>
      <c r="X4" s="1957"/>
      <c r="Y4" s="4152" t="s">
        <v>1773</v>
      </c>
      <c r="Z4" s="4153"/>
      <c r="AA4" s="4151" t="s">
        <v>1769</v>
      </c>
      <c r="AB4" s="4151" t="s">
        <v>1770</v>
      </c>
      <c r="AC4" s="4156" t="s">
        <v>1771</v>
      </c>
    </row>
    <row r="5" spans="1:29" ht="15">
      <c r="A5" s="358"/>
      <c r="B5" s="359"/>
      <c r="C5" s="4155" t="s">
        <v>3456</v>
      </c>
      <c r="D5" s="4117"/>
      <c r="E5" s="4154" t="s">
        <v>3491</v>
      </c>
      <c r="F5" s="4115"/>
      <c r="G5" s="4155" t="s">
        <v>3488</v>
      </c>
      <c r="H5" s="4117"/>
      <c r="I5" s="4155" t="s">
        <v>3489</v>
      </c>
      <c r="J5" s="4117"/>
      <c r="K5" s="559"/>
      <c r="L5" s="2713"/>
      <c r="M5" s="2714"/>
      <c r="N5" s="2714"/>
      <c r="O5" s="2714"/>
      <c r="P5" s="4161"/>
      <c r="Q5" s="4130"/>
      <c r="R5" s="4112"/>
      <c r="S5" s="4113"/>
      <c r="T5" s="4112"/>
      <c r="U5" s="4113"/>
      <c r="V5" s="4135"/>
      <c r="W5" s="4135"/>
      <c r="X5" s="1354"/>
      <c r="Y5" s="4112"/>
      <c r="Z5" s="4113"/>
      <c r="AA5" s="4106"/>
      <c r="AB5" s="4106"/>
      <c r="AC5" s="4157"/>
    </row>
    <row r="6" spans="1:29" ht="15.75" thickBot="1">
      <c r="A6" s="360"/>
      <c r="B6" s="361"/>
      <c r="C6" s="4118" t="s">
        <v>1675</v>
      </c>
      <c r="D6" s="4119"/>
      <c r="E6" s="4120" t="s">
        <v>1675</v>
      </c>
      <c r="F6" s="4121"/>
      <c r="G6" s="4118" t="s">
        <v>1675</v>
      </c>
      <c r="H6" s="4119"/>
      <c r="I6" s="4118" t="s">
        <v>1675</v>
      </c>
      <c r="J6" s="4119"/>
      <c r="K6" s="559" t="s">
        <v>1676</v>
      </c>
      <c r="L6" s="2713"/>
      <c r="M6" s="2714"/>
      <c r="N6" s="2714"/>
      <c r="O6" s="2714"/>
      <c r="P6" s="4162"/>
      <c r="Q6" s="4132"/>
      <c r="R6" s="4112"/>
      <c r="S6" s="4113"/>
      <c r="T6" s="4133"/>
      <c r="U6" s="4134"/>
      <c r="V6" s="4135"/>
      <c r="W6" s="4135"/>
      <c r="X6" s="1354"/>
      <c r="Y6" s="4133"/>
      <c r="Z6" s="4134"/>
      <c r="AA6" s="4107"/>
      <c r="AB6" s="4107"/>
      <c r="AC6" s="4158"/>
    </row>
    <row r="7" spans="1:29" s="108" customFormat="1" ht="15.75" thickBot="1">
      <c r="A7" s="362" t="s">
        <v>1677</v>
      </c>
      <c r="B7" s="363"/>
      <c r="C7" s="364">
        <f>'数据-取费表'!B2</f>
        <v>45575</v>
      </c>
      <c r="D7" s="365">
        <v>100</v>
      </c>
      <c r="E7" s="366">
        <f>C7</f>
        <v>45575</v>
      </c>
      <c r="F7" s="367">
        <f>SUMIF(59:59,YEAR(E7)&amp;"-"&amp;MONTH(E7),60:60)</f>
        <v>100</v>
      </c>
      <c r="G7" s="366">
        <f>C7</f>
        <v>45575</v>
      </c>
      <c r="H7" s="365">
        <f>SUMIF(59:59,YEAR(G7)&amp;"-"&amp;MONTH(G7),60:60)</f>
        <v>100</v>
      </c>
      <c r="I7" s="366">
        <f>C7</f>
        <v>45575</v>
      </c>
      <c r="J7" s="365">
        <f>SUMIF(59:59,YEAR(I7)&amp;"-"&amp;MONTH(I7),60:60)</f>
        <v>100</v>
      </c>
      <c r="K7" s="560"/>
      <c r="L7" s="2715"/>
      <c r="M7" s="2716"/>
      <c r="N7" s="2716"/>
      <c r="O7" s="2716"/>
      <c r="P7" s="4164" t="s">
        <v>1678</v>
      </c>
      <c r="Q7" s="4136"/>
      <c r="R7" s="700" t="s">
        <v>14</v>
      </c>
      <c r="S7" s="701">
        <f t="shared" ref="S7:S15" si="0">F7</f>
        <v>100</v>
      </c>
      <c r="T7" s="700" t="s">
        <v>14</v>
      </c>
      <c r="U7" s="701">
        <f t="shared" ref="U7:U15" si="1">H7</f>
        <v>100</v>
      </c>
      <c r="V7" s="700" t="s">
        <v>14</v>
      </c>
      <c r="W7" s="701">
        <f t="shared" ref="W7:W15" si="2">J7</f>
        <v>100</v>
      </c>
      <c r="X7" s="702"/>
      <c r="Y7" s="4108" t="s">
        <v>1678</v>
      </c>
      <c r="Z7" s="4109"/>
      <c r="AA7" s="703">
        <f>D7/F7</f>
        <v>1</v>
      </c>
      <c r="AB7" s="703">
        <f>D7/H7</f>
        <v>1</v>
      </c>
      <c r="AC7" s="1958">
        <f>D7/J7</f>
        <v>1</v>
      </c>
    </row>
    <row r="8" spans="1:29" s="108" customFormat="1" ht="15.75" thickBot="1">
      <c r="A8" s="362" t="s">
        <v>1679</v>
      </c>
      <c r="B8" s="363"/>
      <c r="C8" s="368" t="s">
        <v>3457</v>
      </c>
      <c r="D8" s="365">
        <v>100</v>
      </c>
      <c r="E8" s="368" t="s">
        <v>3459</v>
      </c>
      <c r="F8" s="367">
        <f>SUMIF(62:62,E8,63:63)-SUMIF(62:62,C8,63:63)+100</f>
        <v>100</v>
      </c>
      <c r="G8" s="368" t="s">
        <v>3459</v>
      </c>
      <c r="H8" s="365">
        <f>SUMIF(62:62,G8,63:63)-SUMIF(62:62,C8,63:63)+100</f>
        <v>100</v>
      </c>
      <c r="I8" s="368" t="s">
        <v>3459</v>
      </c>
      <c r="J8" s="365">
        <f>SUMIF(62:62,I8,63:63)-SUMIF(62:62,C8,63:63)+100</f>
        <v>100</v>
      </c>
      <c r="K8" s="560"/>
      <c r="L8" s="2715"/>
      <c r="M8" s="2716"/>
      <c r="N8" s="2716"/>
      <c r="O8" s="2716"/>
      <c r="P8" s="4164" t="s">
        <v>1681</v>
      </c>
      <c r="Q8" s="4109"/>
      <c r="R8" s="700" t="s">
        <v>14</v>
      </c>
      <c r="S8" s="701">
        <f t="shared" si="0"/>
        <v>100</v>
      </c>
      <c r="T8" s="700" t="s">
        <v>14</v>
      </c>
      <c r="U8" s="701">
        <f t="shared" si="1"/>
        <v>100</v>
      </c>
      <c r="V8" s="700" t="s">
        <v>14</v>
      </c>
      <c r="W8" s="701">
        <f t="shared" si="2"/>
        <v>100</v>
      </c>
      <c r="X8" s="702"/>
      <c r="Y8" s="4108" t="s">
        <v>1681</v>
      </c>
      <c r="Z8" s="4109"/>
      <c r="AA8" s="703">
        <f t="shared" ref="AA8:AA47" si="3">D8/F8</f>
        <v>1</v>
      </c>
      <c r="AB8" s="703">
        <f t="shared" ref="AB8:AB47" si="4">D8/H8</f>
        <v>1</v>
      </c>
      <c r="AC8" s="1958">
        <f t="shared" ref="AC8:AC47" si="5">D8/J8</f>
        <v>1</v>
      </c>
    </row>
    <row r="9" spans="1:29" s="108" customFormat="1">
      <c r="A9" s="369" t="s">
        <v>1682</v>
      </c>
      <c r="B9" s="63" t="s">
        <v>1683</v>
      </c>
      <c r="C9" s="3487" t="s">
        <v>3458</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4122" t="s">
        <v>1684</v>
      </c>
      <c r="Q9" s="1342" t="str">
        <f t="shared" ref="Q9:Q15" si="6">B9</f>
        <v>用途</v>
      </c>
      <c r="R9" s="700" t="s">
        <v>14</v>
      </c>
      <c r="S9" s="701">
        <f t="shared" si="0"/>
        <v>100</v>
      </c>
      <c r="T9" s="700" t="s">
        <v>14</v>
      </c>
      <c r="U9" s="701">
        <f t="shared" si="1"/>
        <v>100</v>
      </c>
      <c r="V9" s="700" t="s">
        <v>14</v>
      </c>
      <c r="W9" s="701">
        <f t="shared" si="2"/>
        <v>100</v>
      </c>
      <c r="X9" s="702"/>
      <c r="Y9" s="4052" t="s">
        <v>1685</v>
      </c>
      <c r="Z9" s="52" t="str">
        <f t="shared" ref="Z9:Z15" si="7">Q9</f>
        <v>用途</v>
      </c>
      <c r="AA9" s="703">
        <f t="shared" si="3"/>
        <v>1</v>
      </c>
      <c r="AB9" s="703">
        <f t="shared" si="4"/>
        <v>1</v>
      </c>
      <c r="AC9" s="1958">
        <f t="shared" si="5"/>
        <v>1</v>
      </c>
    </row>
    <row r="10" spans="1:29" s="378" customFormat="1" ht="27">
      <c r="A10" s="374"/>
      <c r="B10" s="375" t="s">
        <v>1686</v>
      </c>
      <c r="C10" s="3432"/>
      <c r="D10" s="127">
        <v>100</v>
      </c>
      <c r="E10" s="3432"/>
      <c r="F10" s="127">
        <f>SUMIF(66:66,E10,67:67)-SUMIF(66:66,C10,67:67)+100</f>
        <v>100</v>
      </c>
      <c r="G10" s="3433"/>
      <c r="H10" s="127">
        <f>SUMIF(66:66,G10,67:67)-SUMIF(66:66,C10,67:67)+100</f>
        <v>100</v>
      </c>
      <c r="I10" s="3432"/>
      <c r="J10" s="127">
        <f>SUMIF(66:66,I10,67:67)-SUMIF(66:66,C10,67:67)+100</f>
        <v>100</v>
      </c>
      <c r="K10" s="560"/>
      <c r="L10" s="2717"/>
      <c r="M10" s="2718"/>
      <c r="N10" s="2718"/>
      <c r="O10" s="2718"/>
      <c r="P10" s="4122"/>
      <c r="Q10" s="1342" t="str">
        <f t="shared" si="6"/>
        <v>土地使用年限（年）</v>
      </c>
      <c r="R10" s="700" t="s">
        <v>14</v>
      </c>
      <c r="S10" s="701">
        <f t="shared" si="0"/>
        <v>100</v>
      </c>
      <c r="T10" s="700" t="s">
        <v>14</v>
      </c>
      <c r="U10" s="701">
        <f t="shared" si="1"/>
        <v>100</v>
      </c>
      <c r="V10" s="700" t="s">
        <v>14</v>
      </c>
      <c r="W10" s="701">
        <f t="shared" si="2"/>
        <v>100</v>
      </c>
      <c r="X10" s="702"/>
      <c r="Y10" s="4052"/>
      <c r="Z10" s="52" t="str">
        <f t="shared" si="7"/>
        <v>土地使用年限（年）</v>
      </c>
      <c r="AA10" s="703">
        <f t="shared" si="3"/>
        <v>1</v>
      </c>
      <c r="AB10" s="703">
        <f t="shared" si="4"/>
        <v>1</v>
      </c>
      <c r="AC10" s="1958">
        <f t="shared" si="5"/>
        <v>1</v>
      </c>
    </row>
    <row r="11" spans="1:29" ht="15">
      <c r="A11" s="379"/>
      <c r="B11" s="375" t="s">
        <v>1687</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4122"/>
      <c r="Q11" s="1342" t="str">
        <f t="shared" si="6"/>
        <v>容积率</v>
      </c>
      <c r="R11" s="700" t="s">
        <v>14</v>
      </c>
      <c r="S11" s="701">
        <f t="shared" si="0"/>
        <v>100</v>
      </c>
      <c r="T11" s="700" t="s">
        <v>14</v>
      </c>
      <c r="U11" s="701">
        <f t="shared" si="1"/>
        <v>100</v>
      </c>
      <c r="V11" s="700" t="s">
        <v>14</v>
      </c>
      <c r="W11" s="701">
        <f t="shared" si="2"/>
        <v>100</v>
      </c>
      <c r="X11" s="702"/>
      <c r="Y11" s="4052"/>
      <c r="Z11" s="52"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5"/>
      <c r="M12" s="2716"/>
      <c r="N12" s="2716"/>
      <c r="O12" s="2716"/>
      <c r="P12" s="4122"/>
      <c r="Q12" s="1342">
        <f t="shared" si="6"/>
        <v>111</v>
      </c>
      <c r="R12" s="700" t="s">
        <v>14</v>
      </c>
      <c r="S12" s="701">
        <f t="shared" si="0"/>
        <v>100</v>
      </c>
      <c r="T12" s="700" t="s">
        <v>14</v>
      </c>
      <c r="U12" s="701">
        <f t="shared" si="1"/>
        <v>100</v>
      </c>
      <c r="V12" s="700" t="s">
        <v>14</v>
      </c>
      <c r="W12" s="701">
        <f t="shared" si="2"/>
        <v>100</v>
      </c>
      <c r="X12" s="702"/>
      <c r="Y12" s="4052"/>
      <c r="Z12" s="52">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20"/>
      <c r="M13" s="2714"/>
      <c r="N13" s="2714"/>
      <c r="O13" s="2714"/>
      <c r="P13" s="4122"/>
      <c r="Q13" s="1342">
        <f t="shared" si="6"/>
        <v>111</v>
      </c>
      <c r="R13" s="700" t="s">
        <v>14</v>
      </c>
      <c r="S13" s="701">
        <f t="shared" si="0"/>
        <v>100</v>
      </c>
      <c r="T13" s="700" t="s">
        <v>14</v>
      </c>
      <c r="U13" s="701">
        <f t="shared" si="1"/>
        <v>100</v>
      </c>
      <c r="V13" s="700" t="s">
        <v>14</v>
      </c>
      <c r="W13" s="701">
        <f t="shared" si="2"/>
        <v>100</v>
      </c>
      <c r="X13" s="702"/>
      <c r="Y13" s="4052"/>
      <c r="Z13" s="52">
        <f t="shared" si="7"/>
        <v>111</v>
      </c>
      <c r="AA13" s="703">
        <f t="shared" si="3"/>
        <v>1</v>
      </c>
      <c r="AB13" s="703">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720"/>
      <c r="M14" s="2714"/>
      <c r="N14" s="2714"/>
      <c r="O14" s="2714"/>
      <c r="P14" s="4122"/>
      <c r="Q14" s="1342">
        <f t="shared" si="6"/>
        <v>111</v>
      </c>
      <c r="R14" s="700" t="s">
        <v>14</v>
      </c>
      <c r="S14" s="701">
        <f t="shared" si="0"/>
        <v>100</v>
      </c>
      <c r="T14" s="700" t="s">
        <v>14</v>
      </c>
      <c r="U14" s="701">
        <f t="shared" si="1"/>
        <v>100</v>
      </c>
      <c r="V14" s="700" t="s">
        <v>14</v>
      </c>
      <c r="W14" s="701">
        <f t="shared" si="2"/>
        <v>100</v>
      </c>
      <c r="X14" s="702"/>
      <c r="Y14" s="4052"/>
      <c r="Z14" s="52">
        <f t="shared" si="7"/>
        <v>111</v>
      </c>
      <c r="AA14" s="703">
        <f t="shared" si="3"/>
        <v>1</v>
      </c>
      <c r="AB14" s="703">
        <f t="shared" si="4"/>
        <v>1</v>
      </c>
      <c r="AC14" s="1958">
        <f t="shared" si="5"/>
        <v>1</v>
      </c>
    </row>
    <row r="15" spans="1:29" ht="71.25">
      <c r="A15" s="391" t="s">
        <v>1688</v>
      </c>
      <c r="B15" s="577" t="s">
        <v>1809</v>
      </c>
      <c r="C15" s="1960"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0"/>
      <c r="M15" s="2714"/>
      <c r="N15" s="2714"/>
      <c r="O15" s="2714"/>
      <c r="P15" s="4149" t="s">
        <v>1689</v>
      </c>
      <c r="Q15" s="1351" t="str">
        <f t="shared" si="6"/>
        <v>办公集聚程度</v>
      </c>
      <c r="R15" s="704" t="s">
        <v>14</v>
      </c>
      <c r="S15" s="705">
        <f t="shared" si="0"/>
        <v>100</v>
      </c>
      <c r="T15" s="704" t="s">
        <v>14</v>
      </c>
      <c r="U15" s="705">
        <f t="shared" si="1"/>
        <v>100</v>
      </c>
      <c r="V15" s="704" t="s">
        <v>14</v>
      </c>
      <c r="W15" s="705">
        <f t="shared" si="2"/>
        <v>100</v>
      </c>
      <c r="X15" s="1354"/>
      <c r="Y15" s="4142" t="s">
        <v>1689</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720"/>
      <c r="M16" s="2714"/>
      <c r="N16" s="2714"/>
      <c r="O16" s="2714"/>
      <c r="P16" s="4150"/>
      <c r="Q16" s="1351"/>
      <c r="R16" s="704"/>
      <c r="S16" s="705"/>
      <c r="T16" s="704"/>
      <c r="U16" s="705"/>
      <c r="V16" s="704"/>
      <c r="W16" s="705"/>
      <c r="X16" s="1354"/>
      <c r="Y16" s="4143"/>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0"/>
      <c r="M17" s="2714"/>
      <c r="N17" s="2714"/>
      <c r="O17" s="2714"/>
      <c r="P17" s="4150"/>
      <c r="Q17" s="1351" t="str">
        <f>B17</f>
        <v>交通便捷度</v>
      </c>
      <c r="R17" s="704" t="s">
        <v>14</v>
      </c>
      <c r="S17" s="705">
        <f>F17</f>
        <v>100</v>
      </c>
      <c r="T17" s="704" t="s">
        <v>14</v>
      </c>
      <c r="U17" s="705">
        <f>H17</f>
        <v>100</v>
      </c>
      <c r="V17" s="704" t="s">
        <v>14</v>
      </c>
      <c r="W17" s="705">
        <f>J17</f>
        <v>100</v>
      </c>
      <c r="X17" s="1354"/>
      <c r="Y17" s="4143"/>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720"/>
      <c r="M18" s="2714"/>
      <c r="N18" s="2714"/>
      <c r="O18" s="2714"/>
      <c r="P18" s="4150"/>
      <c r="Q18" s="1351"/>
      <c r="R18" s="704"/>
      <c r="S18" s="705"/>
      <c r="T18" s="704"/>
      <c r="U18" s="705"/>
      <c r="V18" s="704"/>
      <c r="W18" s="705"/>
      <c r="X18" s="1354"/>
      <c r="Y18" s="4143"/>
      <c r="Z18" s="1355"/>
      <c r="AA18" s="1352">
        <v>1</v>
      </c>
      <c r="AB18" s="1352">
        <v>1</v>
      </c>
      <c r="AC18" s="1961">
        <v>1</v>
      </c>
    </row>
    <row r="19" spans="1:29" ht="42.75">
      <c r="A19" s="379"/>
      <c r="B19" s="579" t="s">
        <v>1810</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0"/>
      <c r="M19" s="2714"/>
      <c r="N19" s="2714"/>
      <c r="O19" s="2714"/>
      <c r="P19" s="4150"/>
      <c r="Q19" s="1351" t="str">
        <f>B19</f>
        <v>公共配套设施</v>
      </c>
      <c r="R19" s="704" t="s">
        <v>14</v>
      </c>
      <c r="S19" s="705">
        <f>F19</f>
        <v>100</v>
      </c>
      <c r="T19" s="704" t="s">
        <v>14</v>
      </c>
      <c r="U19" s="705">
        <f>H19</f>
        <v>100</v>
      </c>
      <c r="V19" s="704" t="s">
        <v>14</v>
      </c>
      <c r="W19" s="705">
        <f>J19</f>
        <v>100</v>
      </c>
      <c r="X19" s="1354"/>
      <c r="Y19" s="4143"/>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720"/>
      <c r="M20" s="2714"/>
      <c r="N20" s="2714"/>
      <c r="O20" s="2714"/>
      <c r="P20" s="4150"/>
      <c r="Q20" s="1351"/>
      <c r="R20" s="704"/>
      <c r="S20" s="705"/>
      <c r="T20" s="704"/>
      <c r="U20" s="705"/>
      <c r="V20" s="704"/>
      <c r="W20" s="705"/>
      <c r="X20" s="1354"/>
      <c r="Y20" s="4143"/>
      <c r="Z20" s="1355"/>
      <c r="AA20" s="1352">
        <v>1</v>
      </c>
      <c r="AB20" s="1352">
        <v>1</v>
      </c>
      <c r="AC20" s="1961">
        <v>1</v>
      </c>
    </row>
    <row r="21" spans="1:29" ht="28.5">
      <c r="A21" s="379"/>
      <c r="B21" s="581" t="s">
        <v>1811</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0"/>
      <c r="M21" s="2714"/>
      <c r="N21" s="2714"/>
      <c r="O21" s="2714"/>
      <c r="P21" s="4150"/>
      <c r="Q21" s="1351" t="str">
        <f>B21</f>
        <v>基础设施水平</v>
      </c>
      <c r="R21" s="704" t="s">
        <v>14</v>
      </c>
      <c r="S21" s="705">
        <f>F21</f>
        <v>100</v>
      </c>
      <c r="T21" s="704" t="s">
        <v>14</v>
      </c>
      <c r="U21" s="705">
        <f>H21</f>
        <v>100</v>
      </c>
      <c r="V21" s="704" t="s">
        <v>14</v>
      </c>
      <c r="W21" s="705">
        <f>J21</f>
        <v>100</v>
      </c>
      <c r="X21" s="1354"/>
      <c r="Y21" s="4143"/>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29"/>
      <c r="L22" s="2720"/>
      <c r="M22" s="2714"/>
      <c r="N22" s="2714"/>
      <c r="O22" s="2714"/>
      <c r="P22" s="4150"/>
      <c r="Q22" s="1351"/>
      <c r="R22" s="704"/>
      <c r="S22" s="705"/>
      <c r="T22" s="704"/>
      <c r="U22" s="705"/>
      <c r="V22" s="704"/>
      <c r="W22" s="705"/>
      <c r="X22" s="1354"/>
      <c r="Y22" s="4143"/>
      <c r="Z22" s="1355"/>
      <c r="AA22" s="1352">
        <v>1</v>
      </c>
      <c r="AB22" s="1352">
        <v>1</v>
      </c>
      <c r="AC22" s="1961">
        <v>1</v>
      </c>
    </row>
    <row r="23" spans="1:29" ht="42.75">
      <c r="A23" s="379"/>
      <c r="B23" s="579" t="s">
        <v>1812</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0"/>
      <c r="M23" s="2714"/>
      <c r="N23" s="2714"/>
      <c r="O23" s="2714"/>
      <c r="P23" s="4150"/>
      <c r="Q23" s="1351" t="str">
        <f>B23</f>
        <v>环境质量</v>
      </c>
      <c r="R23" s="704" t="s">
        <v>14</v>
      </c>
      <c r="S23" s="705">
        <f>F23</f>
        <v>100</v>
      </c>
      <c r="T23" s="704" t="s">
        <v>14</v>
      </c>
      <c r="U23" s="705">
        <f>H23</f>
        <v>100</v>
      </c>
      <c r="V23" s="704" t="s">
        <v>14</v>
      </c>
      <c r="W23" s="705">
        <f>J23</f>
        <v>100</v>
      </c>
      <c r="X23" s="1354"/>
      <c r="Y23" s="4143"/>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720"/>
      <c r="M24" s="2714"/>
      <c r="N24" s="2714"/>
      <c r="O24" s="2714"/>
      <c r="P24" s="4150"/>
      <c r="Q24" s="1351"/>
      <c r="R24" s="704"/>
      <c r="S24" s="705"/>
      <c r="T24" s="704"/>
      <c r="U24" s="705"/>
      <c r="V24" s="704"/>
      <c r="W24" s="705"/>
      <c r="X24" s="1354"/>
      <c r="Y24" s="4143"/>
      <c r="Z24" s="1355"/>
      <c r="AA24" s="1352">
        <v>1</v>
      </c>
      <c r="AB24" s="1352">
        <v>1</v>
      </c>
      <c r="AC24" s="1961">
        <v>1</v>
      </c>
    </row>
    <row r="25" spans="1:29" ht="27">
      <c r="A25" s="358"/>
      <c r="B25" s="579" t="s">
        <v>1813</v>
      </c>
      <c r="C25" s="1907"/>
      <c r="D25" s="386">
        <v>100</v>
      </c>
      <c r="E25" s="385"/>
      <c r="F25" s="386">
        <f>SUMIF(87:87,E26,88:88)-SUMIF(87:87,C26,88:88)+100</f>
        <v>100</v>
      </c>
      <c r="G25" s="1907"/>
      <c r="H25" s="386">
        <f>SUMIF(87:87,G26,88:88)-SUMIF(87:87,C26,88:88)+100</f>
        <v>100</v>
      </c>
      <c r="I25" s="385"/>
      <c r="J25" s="386">
        <f>SUMIF(87:87,I26,88:88)-SUMIF(87:87,C26,88:88)+100</f>
        <v>100</v>
      </c>
      <c r="K25" s="563"/>
      <c r="L25" s="2720"/>
      <c r="M25" s="2714"/>
      <c r="N25" s="2714"/>
      <c r="O25" s="2714"/>
      <c r="P25" s="4150"/>
      <c r="Q25" s="1351" t="str">
        <f>B25</f>
        <v>毗邻道路的类型与等级</v>
      </c>
      <c r="R25" s="704" t="s">
        <v>14</v>
      </c>
      <c r="S25" s="705">
        <f>F25</f>
        <v>100</v>
      </c>
      <c r="T25" s="704" t="s">
        <v>14</v>
      </c>
      <c r="U25" s="705">
        <f>H25</f>
        <v>100</v>
      </c>
      <c r="V25" s="704" t="s">
        <v>14</v>
      </c>
      <c r="W25" s="705">
        <f>J25</f>
        <v>100</v>
      </c>
      <c r="X25" s="1354"/>
      <c r="Y25" s="4143"/>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720"/>
      <c r="M26" s="2714"/>
      <c r="N26" s="2714"/>
      <c r="O26" s="2714"/>
      <c r="P26" s="4150"/>
      <c r="Q26" s="1351"/>
      <c r="R26" s="704"/>
      <c r="S26" s="705"/>
      <c r="T26" s="704"/>
      <c r="U26" s="705"/>
      <c r="V26" s="704"/>
      <c r="W26" s="705"/>
      <c r="X26" s="1354"/>
      <c r="Y26" s="4143"/>
      <c r="Z26" s="1355"/>
      <c r="AA26" s="1352">
        <v>1</v>
      </c>
      <c r="AB26" s="1352">
        <v>1</v>
      </c>
      <c r="AC26" s="1961">
        <v>1</v>
      </c>
    </row>
    <row r="27" spans="1:29" ht="15">
      <c r="A27" s="379"/>
      <c r="B27" s="580" t="s">
        <v>1781</v>
      </c>
      <c r="C27" s="582" t="s">
        <v>3463</v>
      </c>
      <c r="D27" s="386">
        <v>100</v>
      </c>
      <c r="E27" s="565" t="s">
        <v>3463</v>
      </c>
      <c r="F27" s="386">
        <f>SUMIF(89:89,E27,90:90)-SUMIF(89:89,C27,90:90)+100</f>
        <v>100</v>
      </c>
      <c r="G27" s="582" t="s">
        <v>3463</v>
      </c>
      <c r="H27" s="386">
        <f>SUMIF(89:89,G27,90:90)-SUMIF(89:89,C27,90:90)+100</f>
        <v>100</v>
      </c>
      <c r="I27" s="565" t="s">
        <v>3461</v>
      </c>
      <c r="J27" s="386">
        <f>SUMIF(89:89,I27,90:90)-SUMIF(89:89,C27,90:90)+100</f>
        <v>100</v>
      </c>
      <c r="K27" s="561">
        <v>0</v>
      </c>
      <c r="L27" s="2720"/>
      <c r="M27" s="2714"/>
      <c r="N27" s="2714"/>
      <c r="O27" s="2714"/>
      <c r="P27" s="4150"/>
      <c r="Q27" s="1351" t="str">
        <f t="shared" ref="Q27:Q47" si="11">B27</f>
        <v>楼层</v>
      </c>
      <c r="R27" s="704" t="s">
        <v>14</v>
      </c>
      <c r="S27" s="705">
        <f>F27</f>
        <v>100</v>
      </c>
      <c r="T27" s="704" t="s">
        <v>14</v>
      </c>
      <c r="U27" s="705">
        <f>H27</f>
        <v>100</v>
      </c>
      <c r="V27" s="704" t="s">
        <v>14</v>
      </c>
      <c r="W27" s="705">
        <f>J27</f>
        <v>100</v>
      </c>
      <c r="X27" s="1354"/>
      <c r="Y27" s="4143"/>
      <c r="Z27" s="1355" t="str">
        <f>Q27</f>
        <v>楼层</v>
      </c>
      <c r="AA27" s="1352">
        <f t="shared" si="3"/>
        <v>1</v>
      </c>
      <c r="AB27" s="1352">
        <f t="shared" si="4"/>
        <v>1</v>
      </c>
      <c r="AC27" s="1961">
        <f t="shared" si="5"/>
        <v>1</v>
      </c>
    </row>
    <row r="28" spans="1:29" s="108" customFormat="1" ht="15">
      <c r="A28" s="382"/>
      <c r="B28" s="579" t="s">
        <v>1814</v>
      </c>
      <c r="C28" s="1964"/>
      <c r="D28" s="413">
        <v>100</v>
      </c>
      <c r="E28" s="1955"/>
      <c r="F28" s="413">
        <f>SUMIF(91:91,E28,92:92)-SUMIF(91:91,C28,92:92)+100</f>
        <v>100</v>
      </c>
      <c r="G28" s="1964"/>
      <c r="H28" s="413">
        <f>SUMIF(91:91,G28,92:92)-SUMIF(91:91,C28,92:92)+100</f>
        <v>100</v>
      </c>
      <c r="I28" s="1955"/>
      <c r="J28" s="413">
        <f>SUMIF(91:91,I28,92:92)-SUMIF(91:91,C28,92:92)+100</f>
        <v>100</v>
      </c>
      <c r="K28" s="561"/>
      <c r="L28" s="2715"/>
      <c r="M28" s="2716"/>
      <c r="N28" s="2716"/>
      <c r="O28" s="2716"/>
      <c r="P28" s="4150"/>
      <c r="Q28" s="1342" t="str">
        <f t="shared" si="11"/>
        <v>朝向</v>
      </c>
      <c r="R28" s="700" t="s">
        <v>14</v>
      </c>
      <c r="S28" s="701">
        <f>F28</f>
        <v>100</v>
      </c>
      <c r="T28" s="700" t="s">
        <v>14</v>
      </c>
      <c r="U28" s="701">
        <f>H28</f>
        <v>100</v>
      </c>
      <c r="V28" s="700" t="s">
        <v>14</v>
      </c>
      <c r="W28" s="701">
        <f>J28</f>
        <v>100</v>
      </c>
      <c r="X28" s="702"/>
      <c r="Y28" s="4143"/>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20"/>
      <c r="M29" s="2714"/>
      <c r="N29" s="2714"/>
      <c r="O29" s="2714"/>
      <c r="P29" s="4150"/>
      <c r="Q29" s="1351">
        <f t="shared" si="11"/>
        <v>111</v>
      </c>
      <c r="R29" s="704" t="s">
        <v>14</v>
      </c>
      <c r="S29" s="705">
        <f t="shared" ref="S29:S47" si="12">F29</f>
        <v>100</v>
      </c>
      <c r="T29" s="704" t="s">
        <v>14</v>
      </c>
      <c r="U29" s="705">
        <f t="shared" ref="U29:U47" si="13">H29</f>
        <v>100</v>
      </c>
      <c r="V29" s="704" t="s">
        <v>14</v>
      </c>
      <c r="W29" s="705">
        <f t="shared" ref="W29:W47" si="14">J29</f>
        <v>100</v>
      </c>
      <c r="X29" s="1354"/>
      <c r="Y29" s="4143"/>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20"/>
      <c r="M30" s="2714"/>
      <c r="N30" s="2714"/>
      <c r="O30" s="2714"/>
      <c r="P30" s="4150"/>
      <c r="Q30" s="1351">
        <f t="shared" si="11"/>
        <v>111</v>
      </c>
      <c r="R30" s="704" t="s">
        <v>14</v>
      </c>
      <c r="S30" s="705">
        <f t="shared" si="12"/>
        <v>100</v>
      </c>
      <c r="T30" s="704" t="s">
        <v>14</v>
      </c>
      <c r="U30" s="705">
        <f t="shared" si="13"/>
        <v>100</v>
      </c>
      <c r="V30" s="704" t="s">
        <v>14</v>
      </c>
      <c r="W30" s="705">
        <f t="shared" si="14"/>
        <v>100</v>
      </c>
      <c r="X30" s="1354"/>
      <c r="Y30" s="4143"/>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20"/>
      <c r="M31" s="2714"/>
      <c r="N31" s="2714"/>
      <c r="O31" s="2714"/>
      <c r="P31" s="4150"/>
      <c r="Q31" s="1351">
        <f t="shared" si="11"/>
        <v>111</v>
      </c>
      <c r="R31" s="704" t="s">
        <v>14</v>
      </c>
      <c r="S31" s="705">
        <f t="shared" si="12"/>
        <v>100</v>
      </c>
      <c r="T31" s="704" t="s">
        <v>14</v>
      </c>
      <c r="U31" s="705">
        <f t="shared" si="13"/>
        <v>100</v>
      </c>
      <c r="V31" s="704" t="s">
        <v>14</v>
      </c>
      <c r="W31" s="705">
        <f t="shared" si="14"/>
        <v>100</v>
      </c>
      <c r="X31" s="1354"/>
      <c r="Y31" s="4143"/>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720"/>
      <c r="M32" s="2714"/>
      <c r="N32" s="2714"/>
      <c r="O32" s="2714"/>
      <c r="P32" s="4150"/>
      <c r="Q32" s="1351">
        <f t="shared" si="11"/>
        <v>111</v>
      </c>
      <c r="R32" s="704" t="s">
        <v>14</v>
      </c>
      <c r="S32" s="705">
        <f t="shared" si="12"/>
        <v>100</v>
      </c>
      <c r="T32" s="704" t="s">
        <v>14</v>
      </c>
      <c r="U32" s="705">
        <f t="shared" si="13"/>
        <v>100</v>
      </c>
      <c r="V32" s="704" t="s">
        <v>14</v>
      </c>
      <c r="W32" s="705">
        <f t="shared" si="14"/>
        <v>100</v>
      </c>
      <c r="X32" s="1354"/>
      <c r="Y32" s="4143"/>
      <c r="Z32" s="1355">
        <f t="shared" si="15"/>
        <v>111</v>
      </c>
      <c r="AA32" s="1352">
        <f t="shared" si="3"/>
        <v>1</v>
      </c>
      <c r="AB32" s="1352">
        <f t="shared" si="4"/>
        <v>1</v>
      </c>
      <c r="AC32" s="1961">
        <f t="shared" si="5"/>
        <v>1</v>
      </c>
    </row>
    <row r="33" spans="1:29" ht="15">
      <c r="A33" s="391" t="s">
        <v>1692</v>
      </c>
      <c r="B33" s="63" t="s">
        <v>1815</v>
      </c>
      <c r="C33" s="1966" t="s">
        <v>3467</v>
      </c>
      <c r="D33" s="418">
        <v>100</v>
      </c>
      <c r="E33" s="1966" t="s">
        <v>3467</v>
      </c>
      <c r="F33" s="412">
        <f>SUMIF(101:101,E33,102:102)-SUMIF(101:101,C33,102:102)+100</f>
        <v>100</v>
      </c>
      <c r="G33" s="1966" t="s">
        <v>3467</v>
      </c>
      <c r="H33" s="386">
        <f>SUMIF(101:101,G33,102:102)-SUMIF(101:101,C33,102:102)+100</f>
        <v>100</v>
      </c>
      <c r="I33" s="1966" t="s">
        <v>3467</v>
      </c>
      <c r="J33" s="418">
        <f>SUMIF(101:101,I33,102:102)-SUMIF(101:101,C33,102:102)+100</f>
        <v>100</v>
      </c>
      <c r="K33" s="561">
        <v>1</v>
      </c>
      <c r="L33" s="2720"/>
      <c r="M33" s="2714"/>
      <c r="N33" s="2714"/>
      <c r="O33" s="2714"/>
      <c r="P33" s="4144" t="s">
        <v>1694</v>
      </c>
      <c r="Q33" s="1351" t="str">
        <f t="shared" si="11"/>
        <v>建筑类型</v>
      </c>
      <c r="R33" s="704" t="s">
        <v>14</v>
      </c>
      <c r="S33" s="705">
        <f t="shared" si="12"/>
        <v>100</v>
      </c>
      <c r="T33" s="704" t="s">
        <v>14</v>
      </c>
      <c r="U33" s="705">
        <f t="shared" si="13"/>
        <v>100</v>
      </c>
      <c r="V33" s="704" t="s">
        <v>14</v>
      </c>
      <c r="W33" s="705">
        <f t="shared" si="14"/>
        <v>100</v>
      </c>
      <c r="X33" s="1354"/>
      <c r="Y33" s="4147" t="s">
        <v>1694</v>
      </c>
      <c r="Z33" s="1355" t="str">
        <f t="shared" si="15"/>
        <v>建筑类型</v>
      </c>
      <c r="AA33" s="1352">
        <f t="shared" si="3"/>
        <v>1</v>
      </c>
      <c r="AB33" s="1352">
        <f t="shared" si="4"/>
        <v>1</v>
      </c>
      <c r="AC33" s="1961">
        <f t="shared" si="5"/>
        <v>1</v>
      </c>
    </row>
    <row r="34" spans="1:29" s="422" customFormat="1" ht="15">
      <c r="A34" s="419"/>
      <c r="B34" s="375" t="s">
        <v>1695</v>
      </c>
      <c r="C34" s="420">
        <f>'数据-汇总表'!F19</f>
        <v>3752.39</v>
      </c>
      <c r="D34" s="127">
        <v>100</v>
      </c>
      <c r="E34" s="381">
        <v>127.75</v>
      </c>
      <c r="F34" s="376">
        <f>LOOKUP(E34,104:104,105:105)-LOOKUP(C34,104:104,105:105)+100</f>
        <v>100</v>
      </c>
      <c r="G34" s="380">
        <v>338.6</v>
      </c>
      <c r="H34" s="127">
        <f>LOOKUP(G34,104:104,105:105)-LOOKUP(C34,104:104,105:105)+100</f>
        <v>100</v>
      </c>
      <c r="I34" s="380">
        <v>288</v>
      </c>
      <c r="J34" s="127">
        <f>LOOKUP(I34,104:104,105:105)-LOOKUP(C34,104:104,105:105)+100</f>
        <v>100</v>
      </c>
      <c r="K34" s="562"/>
      <c r="L34" s="2719"/>
      <c r="M34" s="2721"/>
      <c r="N34" s="2721"/>
      <c r="O34" s="2721"/>
      <c r="P34" s="4145"/>
      <c r="Q34" s="706" t="str">
        <f t="shared" si="11"/>
        <v>项目建筑规模</v>
      </c>
      <c r="R34" s="707" t="s">
        <v>14</v>
      </c>
      <c r="S34" s="708">
        <f t="shared" si="12"/>
        <v>100</v>
      </c>
      <c r="T34" s="707" t="s">
        <v>14</v>
      </c>
      <c r="U34" s="708">
        <f t="shared" si="13"/>
        <v>100</v>
      </c>
      <c r="V34" s="707" t="s">
        <v>14</v>
      </c>
      <c r="W34" s="708">
        <f t="shared" si="14"/>
        <v>100</v>
      </c>
      <c r="X34" s="709"/>
      <c r="Y34" s="4147"/>
      <c r="Z34" s="710" t="str">
        <f t="shared" si="15"/>
        <v>项目建筑规模</v>
      </c>
      <c r="AA34" s="1352">
        <f t="shared" si="3"/>
        <v>1</v>
      </c>
      <c r="AB34" s="1352">
        <f t="shared" si="4"/>
        <v>1</v>
      </c>
      <c r="AC34" s="1961">
        <f t="shared" si="5"/>
        <v>1</v>
      </c>
    </row>
    <row r="35" spans="1:29" ht="15">
      <c r="A35" s="423"/>
      <c r="B35" s="375" t="s">
        <v>1696</v>
      </c>
      <c r="C35" s="411" t="s">
        <v>3451</v>
      </c>
      <c r="D35" s="386">
        <v>100</v>
      </c>
      <c r="E35" s="411" t="s">
        <v>3451</v>
      </c>
      <c r="F35" s="412">
        <f>SUMIF(106:106,E35,107:107)-SUMIF(106:106,C35,107:107)+100</f>
        <v>100</v>
      </c>
      <c r="G35" s="411" t="s">
        <v>3451</v>
      </c>
      <c r="H35" s="386">
        <f>SUMIF(106:106,G35,107:107)-SUMIF(106:106,C35,107:107)+100</f>
        <v>100</v>
      </c>
      <c r="I35" s="411" t="s">
        <v>3451</v>
      </c>
      <c r="J35" s="386">
        <f>SUMIF(106:106,I35,107:107)-SUMIF(106:106,C35,107:107)+100</f>
        <v>100</v>
      </c>
      <c r="K35" s="561">
        <v>1</v>
      </c>
      <c r="L35" s="2720"/>
      <c r="M35" s="2714"/>
      <c r="N35" s="2714"/>
      <c r="O35" s="2714"/>
      <c r="P35" s="4145"/>
      <c r="Q35" s="1351" t="str">
        <f t="shared" si="11"/>
        <v>建筑结构</v>
      </c>
      <c r="R35" s="704" t="s">
        <v>14</v>
      </c>
      <c r="S35" s="705">
        <f t="shared" si="12"/>
        <v>100</v>
      </c>
      <c r="T35" s="704" t="s">
        <v>14</v>
      </c>
      <c r="U35" s="705">
        <f t="shared" si="13"/>
        <v>100</v>
      </c>
      <c r="V35" s="704" t="s">
        <v>14</v>
      </c>
      <c r="W35" s="705">
        <f t="shared" si="14"/>
        <v>100</v>
      </c>
      <c r="X35" s="1354"/>
      <c r="Y35" s="4147"/>
      <c r="Z35" s="1355" t="str">
        <f t="shared" si="15"/>
        <v>建筑结构</v>
      </c>
      <c r="AA35" s="1352">
        <f t="shared" si="3"/>
        <v>1</v>
      </c>
      <c r="AB35" s="1352">
        <f t="shared" si="4"/>
        <v>1</v>
      </c>
      <c r="AC35" s="1961">
        <f t="shared" si="5"/>
        <v>1</v>
      </c>
    </row>
    <row r="36" spans="1:29" ht="15">
      <c r="A36" s="423"/>
      <c r="B36" s="375" t="s">
        <v>1783</v>
      </c>
      <c r="C36" s="411" t="s">
        <v>3470</v>
      </c>
      <c r="D36" s="386">
        <v>100</v>
      </c>
      <c r="E36" s="411" t="s">
        <v>3470</v>
      </c>
      <c r="F36" s="412">
        <f>SUMIF(108:108,E36,109:109)-SUMIF(108:108,C36,109:109)+100</f>
        <v>100</v>
      </c>
      <c r="G36" s="411" t="s">
        <v>3470</v>
      </c>
      <c r="H36" s="386">
        <f>SUMIF(108:108,G36,109:109)-SUMIF(108:108,C36,109:109)+100</f>
        <v>100</v>
      </c>
      <c r="I36" s="411" t="s">
        <v>3470</v>
      </c>
      <c r="J36" s="386">
        <f>SUMIF(108:108,I36,109:109)-SUMIF(108:108,C36,109:109)+100</f>
        <v>100</v>
      </c>
      <c r="K36" s="561">
        <v>1</v>
      </c>
      <c r="L36" s="2720"/>
      <c r="M36" s="2714"/>
      <c r="N36" s="2714"/>
      <c r="O36" s="2714"/>
      <c r="P36" s="4145"/>
      <c r="Q36" s="1351" t="str">
        <f t="shared" si="11"/>
        <v>公共部分装修</v>
      </c>
      <c r="R36" s="704" t="s">
        <v>14</v>
      </c>
      <c r="S36" s="705">
        <f t="shared" si="12"/>
        <v>100</v>
      </c>
      <c r="T36" s="704" t="s">
        <v>14</v>
      </c>
      <c r="U36" s="705">
        <f t="shared" si="13"/>
        <v>100</v>
      </c>
      <c r="V36" s="704" t="s">
        <v>14</v>
      </c>
      <c r="W36" s="705">
        <f t="shared" si="14"/>
        <v>100</v>
      </c>
      <c r="X36" s="1354"/>
      <c r="Y36" s="4147"/>
      <c r="Z36" s="1355" t="str">
        <f t="shared" si="15"/>
        <v>公共部分装修</v>
      </c>
      <c r="AA36" s="1352">
        <f t="shared" si="3"/>
        <v>1</v>
      </c>
      <c r="AB36" s="1352">
        <f t="shared" si="4"/>
        <v>1</v>
      </c>
      <c r="AC36" s="1961">
        <f t="shared" si="5"/>
        <v>1</v>
      </c>
    </row>
    <row r="37" spans="1:29" ht="15">
      <c r="A37" s="423"/>
      <c r="B37" s="375" t="s">
        <v>1784</v>
      </c>
      <c r="C37" s="425">
        <f>'数据-取费表'!N6</f>
        <v>0.73099999999999987</v>
      </c>
      <c r="D37" s="386">
        <v>100</v>
      </c>
      <c r="E37" s="425">
        <v>0.77</v>
      </c>
      <c r="F37" s="412">
        <f>LOOKUP(E37,111:111,112:112)-LOOKUP(C37,111:111,112:112)+100</f>
        <v>100</v>
      </c>
      <c r="G37" s="425">
        <v>0.75</v>
      </c>
      <c r="H37" s="412">
        <f>LOOKUP(G37,111:111,112:112)-LOOKUP(C37,111:111,112:112)+100</f>
        <v>100</v>
      </c>
      <c r="I37" s="425">
        <v>0.75</v>
      </c>
      <c r="J37" s="386">
        <f>LOOKUP(I37,111:111,112:112)-LOOKUP(C37,111:111,112:112)+100</f>
        <v>100</v>
      </c>
      <c r="K37" s="561">
        <v>0</v>
      </c>
      <c r="L37" s="2720"/>
      <c r="M37" s="2714"/>
      <c r="N37" s="2714"/>
      <c r="O37" s="2714"/>
      <c r="P37" s="4145"/>
      <c r="Q37" s="1351" t="str">
        <f t="shared" si="11"/>
        <v>成新度</v>
      </c>
      <c r="R37" s="704" t="s">
        <v>14</v>
      </c>
      <c r="S37" s="705">
        <f t="shared" si="12"/>
        <v>100</v>
      </c>
      <c r="T37" s="704" t="s">
        <v>14</v>
      </c>
      <c r="U37" s="705">
        <f t="shared" si="13"/>
        <v>100</v>
      </c>
      <c r="V37" s="704" t="s">
        <v>14</v>
      </c>
      <c r="W37" s="705">
        <f t="shared" si="14"/>
        <v>100</v>
      </c>
      <c r="X37" s="1354"/>
      <c r="Y37" s="4147"/>
      <c r="Z37" s="1355" t="str">
        <f t="shared" si="15"/>
        <v>成新度</v>
      </c>
      <c r="AA37" s="1352">
        <f t="shared" si="3"/>
        <v>1</v>
      </c>
      <c r="AB37" s="1352">
        <f t="shared" si="4"/>
        <v>1</v>
      </c>
      <c r="AC37" s="1961">
        <f t="shared" si="5"/>
        <v>1</v>
      </c>
    </row>
    <row r="38" spans="1:29" s="108" customFormat="1" ht="15">
      <c r="A38" s="424"/>
      <c r="B38" s="375" t="s">
        <v>1816</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v>1</v>
      </c>
      <c r="L38" s="2715"/>
      <c r="M38" s="2716"/>
      <c r="N38" s="2716"/>
      <c r="O38" s="2716"/>
      <c r="P38" s="4145"/>
      <c r="Q38" s="1342" t="str">
        <f t="shared" si="11"/>
        <v>写字楼等级</v>
      </c>
      <c r="R38" s="700" t="s">
        <v>14</v>
      </c>
      <c r="S38" s="701">
        <f t="shared" si="12"/>
        <v>100</v>
      </c>
      <c r="T38" s="700" t="s">
        <v>14</v>
      </c>
      <c r="U38" s="701">
        <f t="shared" si="13"/>
        <v>100</v>
      </c>
      <c r="V38" s="700" t="s">
        <v>14</v>
      </c>
      <c r="W38" s="701">
        <f t="shared" si="14"/>
        <v>100</v>
      </c>
      <c r="X38" s="702"/>
      <c r="Y38" s="4147"/>
      <c r="Z38" s="52" t="str">
        <f t="shared" si="15"/>
        <v>写字楼等级</v>
      </c>
      <c r="AA38" s="703">
        <f t="shared" si="3"/>
        <v>1</v>
      </c>
      <c r="AB38" s="703">
        <f t="shared" si="4"/>
        <v>1</v>
      </c>
      <c r="AC38" s="1958">
        <f t="shared" si="5"/>
        <v>1</v>
      </c>
    </row>
    <row r="39" spans="1:29" ht="15">
      <c r="A39" s="423"/>
      <c r="B39" s="375" t="s">
        <v>1817</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v>1</v>
      </c>
      <c r="L39" s="2720"/>
      <c r="M39" s="2714"/>
      <c r="N39" s="2714"/>
      <c r="O39" s="2714"/>
      <c r="P39" s="4145" t="s">
        <v>1694</v>
      </c>
      <c r="Q39" s="1351" t="str">
        <f t="shared" si="11"/>
        <v>物业管理</v>
      </c>
      <c r="R39" s="704" t="s">
        <v>14</v>
      </c>
      <c r="S39" s="705">
        <f t="shared" si="12"/>
        <v>100</v>
      </c>
      <c r="T39" s="704" t="s">
        <v>14</v>
      </c>
      <c r="U39" s="705">
        <f t="shared" si="13"/>
        <v>100</v>
      </c>
      <c r="V39" s="704" t="s">
        <v>14</v>
      </c>
      <c r="W39" s="705">
        <f t="shared" si="14"/>
        <v>100</v>
      </c>
      <c r="X39" s="1354"/>
      <c r="Y39" s="4147" t="s">
        <v>1694</v>
      </c>
      <c r="Z39" s="1355" t="str">
        <f t="shared" si="15"/>
        <v>物业管理</v>
      </c>
      <c r="AA39" s="1352">
        <f t="shared" si="3"/>
        <v>1</v>
      </c>
      <c r="AB39" s="1352">
        <f t="shared" si="4"/>
        <v>1</v>
      </c>
      <c r="AC39" s="1961">
        <f t="shared" si="5"/>
        <v>1</v>
      </c>
    </row>
    <row r="40" spans="1:29" ht="15">
      <c r="A40" s="423"/>
      <c r="B40" s="375" t="s">
        <v>1785</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v>1</v>
      </c>
      <c r="L40" s="2720"/>
      <c r="M40" s="2714"/>
      <c r="N40" s="2714"/>
      <c r="O40" s="2714"/>
      <c r="P40" s="4145"/>
      <c r="Q40" s="1351" t="str">
        <f t="shared" si="11"/>
        <v>市政基础设施</v>
      </c>
      <c r="R40" s="704" t="s">
        <v>14</v>
      </c>
      <c r="S40" s="705">
        <f t="shared" si="12"/>
        <v>100</v>
      </c>
      <c r="T40" s="704" t="s">
        <v>14</v>
      </c>
      <c r="U40" s="705">
        <f t="shared" si="13"/>
        <v>100</v>
      </c>
      <c r="V40" s="704" t="s">
        <v>14</v>
      </c>
      <c r="W40" s="705">
        <f t="shared" si="14"/>
        <v>100</v>
      </c>
      <c r="X40" s="1354"/>
      <c r="Y40" s="4147"/>
      <c r="Z40" s="1355" t="str">
        <f t="shared" si="15"/>
        <v>市政基础设施</v>
      </c>
      <c r="AA40" s="1352">
        <f t="shared" si="3"/>
        <v>1</v>
      </c>
      <c r="AB40" s="1352">
        <f t="shared" si="4"/>
        <v>1</v>
      </c>
      <c r="AC40" s="1961">
        <f t="shared" si="5"/>
        <v>1</v>
      </c>
    </row>
    <row r="41" spans="1:29" ht="15">
      <c r="A41" s="423"/>
      <c r="B41" s="375" t="s">
        <v>1787</v>
      </c>
      <c r="C41" s="565" t="s">
        <v>3478</v>
      </c>
      <c r="D41" s="386">
        <v>100</v>
      </c>
      <c r="E41" s="565" t="s">
        <v>3478</v>
      </c>
      <c r="F41" s="412">
        <f>SUMIF(119:119,E41,120:120)-SUMIF(119:119,C41,120:120)+100</f>
        <v>100</v>
      </c>
      <c r="G41" s="565" t="s">
        <v>3478</v>
      </c>
      <c r="H41" s="386">
        <f>SUMIF(119:119,G41,120:120)-SUMIF(119:119,C41,120:120)+100</f>
        <v>100</v>
      </c>
      <c r="I41" s="565" t="s">
        <v>3478</v>
      </c>
      <c r="J41" s="386">
        <f>SUMIF(119:119,I41,120:120)-SUMIF(119:119,C41,120:120)+100</f>
        <v>100</v>
      </c>
      <c r="K41" s="561">
        <v>2</v>
      </c>
      <c r="L41" s="2720"/>
      <c r="M41" s="2714"/>
      <c r="N41" s="2714"/>
      <c r="O41" s="2714"/>
      <c r="P41" s="4145"/>
      <c r="Q41" s="1351" t="str">
        <f t="shared" si="11"/>
        <v>层高</v>
      </c>
      <c r="R41" s="704" t="s">
        <v>14</v>
      </c>
      <c r="S41" s="705">
        <f t="shared" si="12"/>
        <v>100</v>
      </c>
      <c r="T41" s="704" t="s">
        <v>14</v>
      </c>
      <c r="U41" s="705">
        <f t="shared" si="13"/>
        <v>100</v>
      </c>
      <c r="V41" s="704" t="s">
        <v>14</v>
      </c>
      <c r="W41" s="705">
        <f t="shared" si="14"/>
        <v>100</v>
      </c>
      <c r="X41" s="1354"/>
      <c r="Y41" s="4147"/>
      <c r="Z41" s="1355" t="str">
        <f t="shared" si="15"/>
        <v>层高</v>
      </c>
      <c r="AA41" s="1352">
        <f t="shared" si="3"/>
        <v>1</v>
      </c>
      <c r="AB41" s="1352">
        <f t="shared" si="4"/>
        <v>1</v>
      </c>
      <c r="AC41" s="1961">
        <f t="shared" si="5"/>
        <v>1</v>
      </c>
    </row>
    <row r="42" spans="1:29" s="422" customFormat="1" ht="15" hidden="1">
      <c r="A42" s="419"/>
      <c r="B42" s="1353" t="s">
        <v>1818</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4145"/>
      <c r="Q42" s="706" t="str">
        <f t="shared" si="11"/>
        <v>单套建筑面积</v>
      </c>
      <c r="R42" s="707" t="s">
        <v>14</v>
      </c>
      <c r="S42" s="708">
        <f t="shared" si="12"/>
        <v>100</v>
      </c>
      <c r="T42" s="707" t="s">
        <v>14</v>
      </c>
      <c r="U42" s="708">
        <f t="shared" si="13"/>
        <v>100</v>
      </c>
      <c r="V42" s="707" t="s">
        <v>14</v>
      </c>
      <c r="W42" s="708">
        <f t="shared" si="14"/>
        <v>100</v>
      </c>
      <c r="X42" s="709"/>
      <c r="Y42" s="4147"/>
      <c r="Z42" s="710" t="str">
        <f t="shared" si="15"/>
        <v>单套建筑面积</v>
      </c>
      <c r="AA42" s="1352">
        <f t="shared" si="3"/>
        <v>1</v>
      </c>
      <c r="AB42" s="1352">
        <f t="shared" si="4"/>
        <v>1</v>
      </c>
      <c r="AC42" s="1961">
        <f t="shared" si="5"/>
        <v>1</v>
      </c>
    </row>
    <row r="43" spans="1:29" ht="15">
      <c r="A43" s="423"/>
      <c r="B43" s="375" t="s">
        <v>1790</v>
      </c>
      <c r="C43" s="411" t="s">
        <v>3480</v>
      </c>
      <c r="D43" s="386">
        <v>100</v>
      </c>
      <c r="E43" s="411" t="s">
        <v>3480</v>
      </c>
      <c r="F43" s="412">
        <f>SUMIF(123:123,E43,124:124)-SUMIF(123:123,C43,124:124)+100</f>
        <v>100</v>
      </c>
      <c r="G43" s="411" t="s">
        <v>3480</v>
      </c>
      <c r="H43" s="386">
        <f>SUMIF(123:123,G43,124:124)-SUMIF(123:123,C43,124:124)+100</f>
        <v>100</v>
      </c>
      <c r="I43" s="411" t="s">
        <v>3480</v>
      </c>
      <c r="J43" s="386">
        <f>SUMIF(123:123,I43,124:124)-SUMIF(123:123,C43,124:124)+100</f>
        <v>100</v>
      </c>
      <c r="K43" s="561">
        <v>1</v>
      </c>
      <c r="L43" s="2720"/>
      <c r="M43" s="2714"/>
      <c r="N43" s="2714"/>
      <c r="O43" s="2714"/>
      <c r="P43" s="4145"/>
      <c r="Q43" s="1351" t="str">
        <f t="shared" si="11"/>
        <v>内部装修</v>
      </c>
      <c r="R43" s="704" t="s">
        <v>14</v>
      </c>
      <c r="S43" s="705">
        <f t="shared" si="12"/>
        <v>100</v>
      </c>
      <c r="T43" s="704" t="s">
        <v>14</v>
      </c>
      <c r="U43" s="705">
        <f t="shared" si="13"/>
        <v>100</v>
      </c>
      <c r="V43" s="704" t="s">
        <v>14</v>
      </c>
      <c r="W43" s="705">
        <f t="shared" si="14"/>
        <v>100</v>
      </c>
      <c r="X43" s="1354"/>
      <c r="Y43" s="4147"/>
      <c r="Z43" s="1355" t="str">
        <f t="shared" si="15"/>
        <v>内部装修</v>
      </c>
      <c r="AA43" s="1352">
        <f t="shared" si="3"/>
        <v>1</v>
      </c>
      <c r="AB43" s="1352">
        <f t="shared" si="4"/>
        <v>1</v>
      </c>
      <c r="AC43" s="1961">
        <f t="shared" si="5"/>
        <v>1</v>
      </c>
    </row>
    <row r="44" spans="1:29" ht="15">
      <c r="A44" s="423"/>
      <c r="B44" s="375" t="s">
        <v>1705</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20"/>
      <c r="M44" s="2714"/>
      <c r="N44" s="2714"/>
      <c r="O44" s="2714"/>
      <c r="P44" s="4145"/>
      <c r="Q44" s="1351" t="str">
        <f t="shared" si="11"/>
        <v>内部装修维护情况</v>
      </c>
      <c r="R44" s="704" t="s">
        <v>14</v>
      </c>
      <c r="S44" s="705">
        <f t="shared" si="12"/>
        <v>100</v>
      </c>
      <c r="T44" s="704" t="s">
        <v>14</v>
      </c>
      <c r="U44" s="705">
        <f t="shared" si="13"/>
        <v>100</v>
      </c>
      <c r="V44" s="704" t="s">
        <v>14</v>
      </c>
      <c r="W44" s="705">
        <f t="shared" si="14"/>
        <v>100</v>
      </c>
      <c r="X44" s="1354"/>
      <c r="Y44" s="4147"/>
      <c r="Z44" s="1355" t="str">
        <f t="shared" si="15"/>
        <v>内部装修维护情况</v>
      </c>
      <c r="AA44" s="1352">
        <f t="shared" si="3"/>
        <v>1</v>
      </c>
      <c r="AB44" s="1352">
        <f t="shared" si="4"/>
        <v>1</v>
      </c>
      <c r="AC44" s="1961">
        <f t="shared" si="5"/>
        <v>1</v>
      </c>
    </row>
    <row r="45" spans="1:29" s="108" customFormat="1" ht="15">
      <c r="A45" s="424"/>
      <c r="B45" s="3501" t="s">
        <v>3490</v>
      </c>
      <c r="C45" s="420">
        <f>'数据-取费表'!N18</f>
        <v>1998</v>
      </c>
      <c r="D45" s="127">
        <v>100</v>
      </c>
      <c r="E45" s="383">
        <v>2008</v>
      </c>
      <c r="F45" s="376">
        <f>SUMIF(127:127,E45,128:128)-SUMIF(127:127,C45,128:128)+100</f>
        <v>100</v>
      </c>
      <c r="G45" s="383">
        <v>2006</v>
      </c>
      <c r="H45" s="127">
        <f>SUMIF(127:127,G45,128:128)-SUMIF(127:127,C45,128:128)+100</f>
        <v>100</v>
      </c>
      <c r="I45" s="383">
        <v>2006</v>
      </c>
      <c r="J45" s="127">
        <f>SUMIF(127:127,I45,128:128)-SUMIF(127:127,C45,128:128)+100</f>
        <v>100</v>
      </c>
      <c r="K45" s="562"/>
      <c r="L45" s="2715"/>
      <c r="M45" s="2716"/>
      <c r="N45" s="2716"/>
      <c r="O45" s="2716"/>
      <c r="P45" s="4145"/>
      <c r="Q45" s="1342" t="str">
        <f t="shared" si="11"/>
        <v>建成年代</v>
      </c>
      <c r="R45" s="700" t="s">
        <v>14</v>
      </c>
      <c r="S45" s="701">
        <f t="shared" si="12"/>
        <v>100</v>
      </c>
      <c r="T45" s="700" t="s">
        <v>14</v>
      </c>
      <c r="U45" s="701">
        <f t="shared" si="13"/>
        <v>100</v>
      </c>
      <c r="V45" s="700" t="s">
        <v>14</v>
      </c>
      <c r="W45" s="701">
        <f t="shared" si="14"/>
        <v>100</v>
      </c>
      <c r="X45" s="702"/>
      <c r="Y45" s="4147"/>
      <c r="Z45" s="52" t="str">
        <f t="shared" si="15"/>
        <v>建成年代</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4145"/>
      <c r="Q46" s="1351">
        <f t="shared" si="11"/>
        <v>111</v>
      </c>
      <c r="R46" s="704" t="s">
        <v>14</v>
      </c>
      <c r="S46" s="705">
        <f t="shared" si="12"/>
        <v>100</v>
      </c>
      <c r="T46" s="704" t="s">
        <v>14</v>
      </c>
      <c r="U46" s="705">
        <f t="shared" si="13"/>
        <v>100</v>
      </c>
      <c r="V46" s="704" t="s">
        <v>14</v>
      </c>
      <c r="W46" s="705">
        <f t="shared" si="14"/>
        <v>100</v>
      </c>
      <c r="X46" s="1354"/>
      <c r="Y46" s="4147"/>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4146"/>
      <c r="Q47" s="1351">
        <f t="shared" si="11"/>
        <v>111</v>
      </c>
      <c r="R47" s="704" t="s">
        <v>14</v>
      </c>
      <c r="S47" s="705">
        <f t="shared" si="12"/>
        <v>100</v>
      </c>
      <c r="T47" s="704" t="s">
        <v>14</v>
      </c>
      <c r="U47" s="705">
        <f t="shared" si="13"/>
        <v>100</v>
      </c>
      <c r="V47" s="704" t="s">
        <v>14</v>
      </c>
      <c r="W47" s="705">
        <f t="shared" si="14"/>
        <v>100</v>
      </c>
      <c r="X47" s="1354"/>
      <c r="Y47" s="4148"/>
      <c r="Z47" s="1355">
        <f t="shared" si="15"/>
        <v>111</v>
      </c>
      <c r="AA47" s="1352">
        <f t="shared" si="3"/>
        <v>1</v>
      </c>
      <c r="AB47" s="1352">
        <f t="shared" si="4"/>
        <v>1</v>
      </c>
      <c r="AC47" s="1961">
        <f t="shared" si="5"/>
        <v>1</v>
      </c>
    </row>
    <row r="48" spans="1:29" ht="15">
      <c r="A48" s="430" t="s">
        <v>1706</v>
      </c>
      <c r="B48" s="431"/>
      <c r="C48" s="1153" t="s">
        <v>0</v>
      </c>
      <c r="D48" s="1154"/>
      <c r="E48" s="1155">
        <v>46000</v>
      </c>
      <c r="F48" s="1156"/>
      <c r="G48" s="1157">
        <v>46000</v>
      </c>
      <c r="H48" s="1158"/>
      <c r="I48" s="1155">
        <v>46000</v>
      </c>
      <c r="J48" s="436"/>
      <c r="K48" s="713"/>
      <c r="L48" s="2722"/>
      <c r="M48" s="2714"/>
      <c r="N48" s="2714"/>
      <c r="O48" s="2714"/>
      <c r="P48" s="4122" t="str">
        <f>A48</f>
        <v>成交单价（元/平方米）</v>
      </c>
      <c r="Q48" s="4140"/>
      <c r="R48" s="4141">
        <f>E48</f>
        <v>46000</v>
      </c>
      <c r="S48" s="4141"/>
      <c r="T48" s="4141">
        <f>G48</f>
        <v>46000</v>
      </c>
      <c r="U48" s="4141"/>
      <c r="V48" s="4141">
        <f>I48</f>
        <v>46000</v>
      </c>
      <c r="W48" s="4141"/>
      <c r="X48" s="397"/>
      <c r="Y48" s="711"/>
      <c r="Z48" s="397"/>
      <c r="AA48" s="397"/>
      <c r="AB48" s="397"/>
      <c r="AC48" s="578"/>
    </row>
    <row r="49" spans="1:29" ht="15.75" thickBot="1">
      <c r="A49" s="437" t="s">
        <v>1791</v>
      </c>
      <c r="B49" s="438"/>
      <c r="C49" s="1159">
        <f>R50</f>
        <v>46000</v>
      </c>
      <c r="D49" s="2316" t="s">
        <v>2135</v>
      </c>
      <c r="E49" s="1160">
        <f>R49</f>
        <v>46000</v>
      </c>
      <c r="F49" s="2317"/>
      <c r="G49" s="1159">
        <f>T49</f>
        <v>46000</v>
      </c>
      <c r="H49" s="2317"/>
      <c r="I49" s="1160">
        <f>V49</f>
        <v>46000</v>
      </c>
      <c r="J49" s="2317"/>
      <c r="K49" s="2319">
        <f>F49+H49+J49</f>
        <v>0</v>
      </c>
      <c r="L49" s="2722"/>
      <c r="M49" s="2714"/>
      <c r="N49" s="2714"/>
      <c r="O49" s="2714"/>
      <c r="P49" s="4122" t="str">
        <f>A49</f>
        <v>比较价值（元/平方米）</v>
      </c>
      <c r="Q49" s="4140"/>
      <c r="R49" s="4141">
        <f>IF(F1="售价",ROUND(PRODUCT(R48,AA7:AA47),0),ROUND(PRODUCT(R48,AA7:AA47),1))</f>
        <v>46000</v>
      </c>
      <c r="S49" s="4141"/>
      <c r="T49" s="4141">
        <f>IF(F1="售价",ROUND(PRODUCT(T48,AB7:AB47),0),ROUND(PRODUCT(T48,AB7:AB47),1))</f>
        <v>46000</v>
      </c>
      <c r="U49" s="4141"/>
      <c r="V49" s="4141">
        <f>IF(F1="售价",ROUND(PRODUCT(V48,AC7:AC47),0),ROUND(PRODUCT(V48,AC7:AC47),1))</f>
        <v>46000</v>
      </c>
      <c r="W49" s="4141"/>
      <c r="X49" s="397"/>
      <c r="Y49" s="397"/>
      <c r="Z49" s="397"/>
      <c r="AA49" s="397"/>
      <c r="AB49" s="397"/>
      <c r="AC49" s="578"/>
    </row>
    <row r="50" spans="1:29" ht="15.75" thickBot="1">
      <c r="A50" s="441" t="s">
        <v>1792</v>
      </c>
      <c r="B50" s="442"/>
      <c r="C50" s="1162">
        <f>R50</f>
        <v>46000</v>
      </c>
      <c r="D50" s="1162"/>
      <c r="E50" s="1162"/>
      <c r="F50" s="1162"/>
      <c r="G50" s="1162"/>
      <c r="H50" s="1162"/>
      <c r="I50" s="1162"/>
      <c r="J50" s="443"/>
      <c r="K50" s="714"/>
      <c r="L50" s="2722"/>
      <c r="M50" s="2714"/>
      <c r="N50" s="2714"/>
      <c r="O50" s="2714"/>
      <c r="P50" s="4165" t="str">
        <f>A50</f>
        <v>估价对象XX用房的比较价值（楼面单价，元/平方米）</v>
      </c>
      <c r="Q50" s="4166"/>
      <c r="R50" s="4167">
        <f>IF(F1="售价",ROUND(IF(D49="简单平均",AVERAGE(R49:V49),R49*F49+T49*H49+V49*J49),0),ROUND(IF(D49="简单平均",AVERAGE(R49:V49),R49*F49+T49*H49+V49*J49),1))</f>
        <v>46000</v>
      </c>
      <c r="S50" s="4167"/>
      <c r="T50" s="4167"/>
      <c r="U50" s="4167"/>
      <c r="V50" s="4167"/>
      <c r="W50" s="4167"/>
      <c r="X50" s="1945"/>
      <c r="Y50" s="1945"/>
      <c r="Z50" s="1945"/>
      <c r="AA50" s="1945"/>
      <c r="AB50" s="1945"/>
      <c r="AC50" s="1946"/>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1793</v>
      </c>
      <c r="D53" s="447"/>
      <c r="E53" s="448">
        <f>IF(E48&lt;E49,E49/E48-1,E48/E49-1)</f>
        <v>0</v>
      </c>
      <c r="F53" s="449" t="str">
        <f>IF(OR(E53&gt;=0.3,E53&lt;=-0.3),"超过30%","")</f>
        <v/>
      </c>
      <c r="G53" s="448">
        <f>IF(G48&lt;G49,G49/G48-1,G48/G49-1)</f>
        <v>0</v>
      </c>
      <c r="H53" s="449" t="str">
        <f>IF(OR(G53&gt;=0.3,G53&lt;=-0.3),"超过30%","")</f>
        <v/>
      </c>
      <c r="I53" s="448">
        <f>IF(I48&lt;I49,I49/I48-1,I48/I49-1)</f>
        <v>0</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1794</v>
      </c>
      <c r="D54" s="450"/>
      <c r="E54" s="448">
        <f>IF(E49&lt;G49,G49/E49-1,E49/G49-1)</f>
        <v>0</v>
      </c>
      <c r="F54" s="449" t="str">
        <f>IF(OR(E54&gt;=0.2,E54&lt;=-0.2),"超过20%","")</f>
        <v/>
      </c>
      <c r="G54" s="448">
        <f>IF(G49&lt;I49,I49/G49-1,G49/I49-1)</f>
        <v>0</v>
      </c>
      <c r="H54" s="449" t="str">
        <f>IF(OR(G54&gt;=0.2,G54&lt;=-0.2),"超过20%","")</f>
        <v/>
      </c>
      <c r="I54" s="448">
        <f>IF(I49&lt;E49,E49/I49-1,I49/E49-1)</f>
        <v>0</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1795</v>
      </c>
      <c r="D55" s="450"/>
      <c r="E55" s="448">
        <f>IF(E48&lt;G48,G48/E48-1,E48/G48-1)</f>
        <v>0</v>
      </c>
      <c r="F55" s="449" t="str">
        <f>IF(OR(E55&gt;=0.3,E55&lt;=-0.3),"超过30%","")</f>
        <v/>
      </c>
      <c r="G55" s="448">
        <f>IF(G48&lt;I48,I48/G48-1,G48/I48-1)</f>
        <v>0</v>
      </c>
      <c r="H55" s="449" t="str">
        <f>IF(OR(G55&gt;=0.3,G55&lt;=-0.3),"超过30%","")</f>
        <v/>
      </c>
      <c r="I55" s="448">
        <f>IF(I48&lt;E48,E48/I48-1,I48/E48-1)</f>
        <v>0</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3" t="s">
        <v>1796</v>
      </c>
      <c r="B58" s="689"/>
      <c r="C58" s="694"/>
      <c r="D58" s="694"/>
      <c r="E58" s="694"/>
      <c r="F58" s="695"/>
      <c r="G58" s="695"/>
      <c r="H58" s="694"/>
      <c r="I58" s="694"/>
      <c r="J58" s="694"/>
      <c r="K58" s="696"/>
      <c r="L58" s="941"/>
      <c r="M58" s="939"/>
      <c r="N58" s="2767"/>
      <c r="O58" s="2767"/>
      <c r="P58" s="2756"/>
      <c r="Q58" s="2737"/>
      <c r="R58" s="2723"/>
      <c r="S58" s="2723"/>
      <c r="T58" s="2723"/>
      <c r="U58" s="2723"/>
      <c r="V58" s="2723"/>
      <c r="W58" s="2723"/>
      <c r="X58" s="2723"/>
      <c r="Y58" s="2723"/>
      <c r="Z58" s="2723"/>
      <c r="AA58" s="2723"/>
      <c r="AB58" s="2723"/>
      <c r="AC58" s="2723"/>
    </row>
    <row r="59" spans="1:29" s="457" customFormat="1" ht="15">
      <c r="A59" s="454" t="s">
        <v>1677</v>
      </c>
      <c r="B59" s="455"/>
      <c r="C59" s="1183" t="str">
        <f>YEAR(C7)&amp;"-"&amp;MONTH(C7)</f>
        <v>2024-10</v>
      </c>
      <c r="D59" s="1184">
        <f>EDATE(C59,-1)</f>
        <v>45536</v>
      </c>
      <c r="E59" s="1184">
        <f>EDATE(D59,-1)</f>
        <v>45505</v>
      </c>
      <c r="F59" s="1184">
        <f t="shared" ref="F59:O59" si="16">EDATE(E59,-1)</f>
        <v>45474</v>
      </c>
      <c r="G59" s="1184">
        <f t="shared" si="16"/>
        <v>45444</v>
      </c>
      <c r="H59" s="1184">
        <f t="shared" si="16"/>
        <v>45413</v>
      </c>
      <c r="I59" s="1184">
        <f t="shared" si="16"/>
        <v>45383</v>
      </c>
      <c r="J59" s="1184">
        <f t="shared" si="16"/>
        <v>45352</v>
      </c>
      <c r="K59" s="1184">
        <f t="shared" si="16"/>
        <v>45323</v>
      </c>
      <c r="L59" s="1184">
        <f t="shared" si="16"/>
        <v>45292</v>
      </c>
      <c r="M59" s="1184">
        <f t="shared" si="16"/>
        <v>45261</v>
      </c>
      <c r="N59" s="1184">
        <f t="shared" si="16"/>
        <v>45231</v>
      </c>
      <c r="O59" s="1184">
        <f t="shared" si="16"/>
        <v>45200</v>
      </c>
      <c r="P59" s="2757"/>
      <c r="Q59" s="2739"/>
      <c r="R59" s="2739"/>
      <c r="S59" s="2739"/>
      <c r="T59" s="2739"/>
      <c r="U59" s="2739"/>
      <c r="V59" s="2739"/>
      <c r="W59" s="2739"/>
      <c r="X59" s="2739"/>
      <c r="Y59" s="2739"/>
      <c r="Z59" s="2739"/>
      <c r="AA59" s="2739"/>
      <c r="AB59" s="2739"/>
      <c r="AC59" s="2739"/>
    </row>
    <row r="60" spans="1:29" s="108" customFormat="1" ht="15">
      <c r="A60" s="458"/>
      <c r="B60" s="459"/>
      <c r="C60" s="1182">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1714</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1679</v>
      </c>
      <c r="B62" s="459"/>
      <c r="C62" s="471" t="s">
        <v>1774</v>
      </c>
      <c r="D62" s="3488" t="s">
        <v>3460</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100</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1717</v>
      </c>
      <c r="B64" s="477" t="s">
        <v>1683</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1686</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1687</v>
      </c>
      <c r="C68" s="496" t="str">
        <f>C69&amp;"（含）"&amp;"-"&amp;D69</f>
        <v>0（含）-1</v>
      </c>
      <c r="D68" s="496" t="str">
        <f t="shared" ref="D68:L68" si="17">D69&amp;"（含）"&amp;"-"&amp;E69</f>
        <v>1（含）-2</v>
      </c>
      <c r="E68" s="496" t="str">
        <f t="shared" si="17"/>
        <v>2（含）-3</v>
      </c>
      <c r="F68" s="496" t="str">
        <f t="shared" si="17"/>
        <v>3（含）-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1</v>
      </c>
      <c r="E69" s="498">
        <v>2</v>
      </c>
      <c r="F69" s="498">
        <v>3</v>
      </c>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1688</v>
      </c>
      <c r="B77" s="477" t="s">
        <v>1819</v>
      </c>
      <c r="C77" s="522" t="s">
        <v>1719</v>
      </c>
      <c r="D77" s="522" t="s">
        <v>1720</v>
      </c>
      <c r="E77" s="522" t="s">
        <v>1721</v>
      </c>
      <c r="F77" s="522" t="s">
        <v>1722</v>
      </c>
      <c r="G77" s="522" t="s">
        <v>1723</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1724</v>
      </c>
      <c r="C79" s="527" t="s">
        <v>1719</v>
      </c>
      <c r="D79" s="527" t="s">
        <v>1720</v>
      </c>
      <c r="E79" s="527" t="s">
        <v>1721</v>
      </c>
      <c r="F79" s="527" t="s">
        <v>1722</v>
      </c>
      <c r="G79" s="527" t="s">
        <v>1723</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1725</v>
      </c>
      <c r="C81" s="527" t="s">
        <v>1719</v>
      </c>
      <c r="D81" s="527" t="s">
        <v>1720</v>
      </c>
      <c r="E81" s="527" t="s">
        <v>1721</v>
      </c>
      <c r="F81" s="527" t="s">
        <v>1722</v>
      </c>
      <c r="G81" s="527" t="s">
        <v>1723</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1811</v>
      </c>
      <c r="C83" s="608" t="s">
        <v>1797</v>
      </c>
      <c r="D83" s="608" t="s">
        <v>1798</v>
      </c>
      <c r="E83" s="608" t="s">
        <v>1799</v>
      </c>
      <c r="F83" s="608" t="s">
        <v>1800</v>
      </c>
      <c r="G83" s="608" t="s">
        <v>1801</v>
      </c>
      <c r="H83" s="488"/>
      <c r="I83" s="488"/>
      <c r="J83" s="488"/>
      <c r="K83" s="488"/>
      <c r="L83" s="488"/>
      <c r="M83" s="1128"/>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1820</v>
      </c>
      <c r="C85" s="527" t="s">
        <v>1719</v>
      </c>
      <c r="D85" s="527" t="s">
        <v>1720</v>
      </c>
      <c r="E85" s="527" t="s">
        <v>1721</v>
      </c>
      <c r="F85" s="527" t="s">
        <v>1722</v>
      </c>
      <c r="G85" s="527" t="s">
        <v>1723</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1821</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89" t="s">
        <v>3462</v>
      </c>
      <c r="D89" s="3489" t="s">
        <v>3464</v>
      </c>
      <c r="E89" s="3489" t="s">
        <v>3466</v>
      </c>
      <c r="F89" s="1926"/>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7"/>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1692</v>
      </c>
      <c r="B101" s="477" t="s">
        <v>1734</v>
      </c>
      <c r="C101" s="3490" t="s">
        <v>3468</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2"/>
      <c r="O102" s="2752"/>
      <c r="P102" s="2760"/>
      <c r="Q102" s="2737"/>
      <c r="R102" s="2723"/>
      <c r="S102" s="2723"/>
      <c r="T102" s="2723"/>
      <c r="U102" s="2723"/>
      <c r="V102" s="2723"/>
      <c r="W102" s="2723"/>
      <c r="X102" s="2723"/>
      <c r="Y102" s="2723"/>
      <c r="Z102" s="2723"/>
      <c r="AA102" s="2723"/>
      <c r="AB102" s="2723"/>
      <c r="AC102" s="2723"/>
    </row>
    <row r="103" spans="1:29" ht="29.25" thickTop="1">
      <c r="A103" s="483"/>
      <c r="B103" s="487" t="s">
        <v>1735</v>
      </c>
      <c r="C103" s="527" t="str">
        <f>C104&amp;"(含)"&amp;"-"&amp;D104</f>
        <v>0(含)-300</v>
      </c>
      <c r="D103" s="527" t="str">
        <f t="shared" ref="D103:L103" si="23">D104&amp;"(含)"&amp;"-"&amp;E104</f>
        <v>300(含)-600</v>
      </c>
      <c r="E103" s="527" t="str">
        <f t="shared" si="23"/>
        <v>600(含)-1000</v>
      </c>
      <c r="F103" s="527" t="str">
        <f t="shared" si="23"/>
        <v>1000(含)-2000</v>
      </c>
      <c r="G103" s="527" t="str">
        <f t="shared" si="23"/>
        <v>2000(含)-3000</v>
      </c>
      <c r="H103" s="527" t="str">
        <f t="shared" si="23"/>
        <v>3000(含)-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v>300</v>
      </c>
      <c r="E104" s="544">
        <v>600</v>
      </c>
      <c r="F104" s="544">
        <v>1000</v>
      </c>
      <c r="G104" s="544">
        <v>2000</v>
      </c>
      <c r="H104" s="544">
        <v>3000</v>
      </c>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v>100</v>
      </c>
      <c r="D105" s="485">
        <v>100</v>
      </c>
      <c r="E105" s="485">
        <v>100</v>
      </c>
      <c r="F105" s="485">
        <v>100</v>
      </c>
      <c r="G105" s="485">
        <v>100</v>
      </c>
      <c r="H105" s="485">
        <v>100</v>
      </c>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1736</v>
      </c>
      <c r="C106" s="3489" t="s">
        <v>3469</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1738</v>
      </c>
      <c r="C108" s="3489" t="s">
        <v>3471</v>
      </c>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1822</v>
      </c>
      <c r="C113" s="3489" t="s">
        <v>3472</v>
      </c>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1739</v>
      </c>
      <c r="C115" s="503"/>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1740</v>
      </c>
      <c r="C117" s="3489" t="s">
        <v>3473</v>
      </c>
      <c r="D117" s="3489" t="s">
        <v>3474</v>
      </c>
      <c r="E117" s="3489" t="s">
        <v>3475</v>
      </c>
      <c r="F117" s="3489" t="s">
        <v>3476</v>
      </c>
      <c r="G117" s="3489" t="s">
        <v>3477</v>
      </c>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1823</v>
      </c>
      <c r="C119" s="3491" t="s">
        <v>3479</v>
      </c>
      <c r="D119" s="532"/>
      <c r="E119" s="532"/>
      <c r="F119" s="532"/>
      <c r="G119" s="532"/>
      <c r="H119" s="532"/>
      <c r="I119" s="532"/>
      <c r="J119" s="532"/>
      <c r="K119" s="532"/>
      <c r="L119" s="1967"/>
      <c r="M119" s="1968"/>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98</v>
      </c>
      <c r="E120" s="493">
        <f t="shared" ref="E120:M120" si="29">D120-$K41</f>
        <v>96</v>
      </c>
      <c r="F120" s="493">
        <f t="shared" si="29"/>
        <v>94</v>
      </c>
      <c r="G120" s="493">
        <f t="shared" si="29"/>
        <v>92</v>
      </c>
      <c r="H120" s="493">
        <f t="shared" si="29"/>
        <v>90</v>
      </c>
      <c r="I120" s="493">
        <f t="shared" si="29"/>
        <v>88</v>
      </c>
      <c r="J120" s="493">
        <f t="shared" si="29"/>
        <v>86</v>
      </c>
      <c r="K120" s="493">
        <f t="shared" si="29"/>
        <v>84</v>
      </c>
      <c r="L120" s="493">
        <f t="shared" si="29"/>
        <v>82</v>
      </c>
      <c r="M120" s="493">
        <f t="shared" si="29"/>
        <v>80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1806</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1742</v>
      </c>
      <c r="C123" s="3489" t="s">
        <v>3471</v>
      </c>
      <c r="D123" s="3489" t="s">
        <v>3481</v>
      </c>
      <c r="E123" s="3489" t="s">
        <v>3482</v>
      </c>
      <c r="F123" s="3491" t="s">
        <v>3483</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1743</v>
      </c>
      <c r="C125" s="527" t="s">
        <v>1719</v>
      </c>
      <c r="D125" s="527" t="s">
        <v>1720</v>
      </c>
      <c r="E125" s="527" t="s">
        <v>1721</v>
      </c>
      <c r="F125" s="527" t="s">
        <v>1722</v>
      </c>
      <c r="G125" s="527" t="s">
        <v>1723</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t="str">
        <f>B45</f>
        <v>建成年代</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7"/>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58" priority="20" stopIfTrue="1" operator="containsText" text="超过">
      <formula>NOT(ISERROR(SEARCH("超过",F53)))</formula>
    </cfRule>
  </conditionalFormatting>
  <conditionalFormatting sqref="H55">
    <cfRule type="containsText" dxfId="157" priority="19" stopIfTrue="1" operator="containsText" text="超过">
      <formula>NOT(ISERROR(SEARCH("超过",H55)))</formula>
    </cfRule>
  </conditionalFormatting>
  <conditionalFormatting sqref="F55">
    <cfRule type="containsText" dxfId="156" priority="18" stopIfTrue="1" operator="containsText" text="超过">
      <formula>NOT(ISERROR(SEARCH("超过",F55)))</formula>
    </cfRule>
  </conditionalFormatting>
  <conditionalFormatting sqref="F54 H54">
    <cfRule type="containsText" dxfId="155" priority="17" stopIfTrue="1" operator="containsText" text="超过">
      <formula>NOT(ISERROR(SEARCH("超过",F54)))</formula>
    </cfRule>
  </conditionalFormatting>
  <conditionalFormatting sqref="E53">
    <cfRule type="expression" dxfId="154" priority="16" stopIfTrue="1">
      <formula>$F$53="超过30%"</formula>
    </cfRule>
  </conditionalFormatting>
  <conditionalFormatting sqref="E54">
    <cfRule type="expression" dxfId="153" priority="15" stopIfTrue="1">
      <formula>$F$54="超过20%"</formula>
    </cfRule>
  </conditionalFormatting>
  <conditionalFormatting sqref="E55">
    <cfRule type="expression" dxfId="152" priority="14" stopIfTrue="1">
      <formula>$F$55="超过30%"</formula>
    </cfRule>
  </conditionalFormatting>
  <conditionalFormatting sqref="G55">
    <cfRule type="expression" dxfId="151" priority="13" stopIfTrue="1">
      <formula>$H$55="超过30%"</formula>
    </cfRule>
  </conditionalFormatting>
  <conditionalFormatting sqref="G53">
    <cfRule type="expression" dxfId="150" priority="12" stopIfTrue="1">
      <formula>$H$53="超过30%"</formula>
    </cfRule>
  </conditionalFormatting>
  <conditionalFormatting sqref="G54">
    <cfRule type="expression" dxfId="149" priority="11" stopIfTrue="1">
      <formula>$H$54="超过20%"</formula>
    </cfRule>
  </conditionalFormatting>
  <conditionalFormatting sqref="J53">
    <cfRule type="containsText" dxfId="148" priority="10" stopIfTrue="1" operator="containsText" text="超过">
      <formula>NOT(ISERROR(SEARCH("超过",J53)))</formula>
    </cfRule>
  </conditionalFormatting>
  <conditionalFormatting sqref="J55">
    <cfRule type="containsText" dxfId="147" priority="9" stopIfTrue="1" operator="containsText" text="超过">
      <formula>NOT(ISERROR(SEARCH("超过",J55)))</formula>
    </cfRule>
  </conditionalFormatting>
  <conditionalFormatting sqref="J54">
    <cfRule type="containsText" dxfId="146" priority="8" stopIfTrue="1" operator="containsText" text="超过">
      <formula>NOT(ISERROR(SEARCH("超过",J54)))</formula>
    </cfRule>
  </conditionalFormatting>
  <conditionalFormatting sqref="I53">
    <cfRule type="expression" dxfId="145" priority="7" stopIfTrue="1">
      <formula>$J$53="超过30%"</formula>
    </cfRule>
  </conditionalFormatting>
  <conditionalFormatting sqref="I54">
    <cfRule type="expression" dxfId="144" priority="6" stopIfTrue="1">
      <formula>$J$53+$J$54="超过20%"</formula>
    </cfRule>
  </conditionalFormatting>
  <conditionalFormatting sqref="I55">
    <cfRule type="expression" dxfId="143" priority="5" stopIfTrue="1">
      <formula>$J$55="超过30%"</formula>
    </cfRule>
  </conditionalFormatting>
  <conditionalFormatting sqref="F49">
    <cfRule type="expression" dxfId="142" priority="4">
      <formula>$D$49="简单平均"</formula>
    </cfRule>
  </conditionalFormatting>
  <conditionalFormatting sqref="H49">
    <cfRule type="expression" dxfId="141" priority="3">
      <formula>$D$49="简单平均"</formula>
    </cfRule>
  </conditionalFormatting>
  <conditionalFormatting sqref="J49">
    <cfRule type="expression" dxfId="140" priority="2">
      <formula>$D$49="简单平均"</formula>
    </cfRule>
  </conditionalFormatting>
  <conditionalFormatting sqref="F7:F47 H7:H47 J7:J47">
    <cfRule type="cellIs" dxfId="13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1658</v>
      </c>
      <c r="B1" s="1956" t="s">
        <v>1824</v>
      </c>
      <c r="C1" s="1223" t="s">
        <v>1660</v>
      </c>
      <c r="D1" s="1224"/>
      <c r="E1" s="3431"/>
      <c r="F1" s="1878"/>
      <c r="G1" s="1234" t="s">
        <v>1765</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1460</v>
      </c>
      <c r="B2" s="1163" t="b">
        <f>IF(E1="项目模式",IF(C2="——",ROUND(C43*D3/10000,0),ROUND(C43*D3/10000,0)-D2),IF(E1="单套模式",IF(C2="——",ROUND(C43*D3/10000,4),ROUND(C43*D3/10000,4)-D2)))</f>
        <v>0</v>
      </c>
      <c r="C2" s="1880"/>
      <c r="D2" s="906" t="e">
        <f ca="1">IF(E1="项目模式",SUMIF(INDIRECT("'"&amp;F2&amp;"'"&amp;"!A:A"),"承租人权益价值",INDIRECT("'"&amp;F2&amp;"'"&amp;"!c:c")),SUMIF(INDIRECT("'"&amp;F2&amp;"'"&amp;"!A:A"),"承租人权益价值（单套）",INDIRECT("'"&amp;F2&amp;"'"&amp;"!c:c")))</f>
        <v>#REF!</v>
      </c>
      <c r="E2" s="1881" t="s">
        <v>1461</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2" customFormat="1" ht="28.5" customHeight="1" thickBot="1">
      <c r="A3" s="203" t="s">
        <v>1462</v>
      </c>
      <c r="B3" s="558">
        <f>IF(C2="——",C43,ROUND(B2*10000/D3,0))</f>
        <v>0</v>
      </c>
      <c r="C3" s="354" t="s">
        <v>1766</v>
      </c>
      <c r="D3" s="353">
        <f>IF(D1="",'数据-汇总表'!E3,SUMIF('数据-汇总表'!$C19:$C33,D1,'数据-汇总表'!$E19:$E33))</f>
        <v>34111.17</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5" t="s">
        <v>1767</v>
      </c>
      <c r="B4" s="356"/>
      <c r="C4" s="4123" t="s">
        <v>1768</v>
      </c>
      <c r="D4" s="4124"/>
      <c r="E4" s="4125" t="s">
        <v>1769</v>
      </c>
      <c r="F4" s="4126"/>
      <c r="G4" s="4123" t="s">
        <v>1770</v>
      </c>
      <c r="H4" s="4124"/>
      <c r="I4" s="4123" t="s">
        <v>1771</v>
      </c>
      <c r="J4" s="4124"/>
      <c r="K4" s="559" t="s">
        <v>1772</v>
      </c>
      <c r="L4" s="912"/>
      <c r="M4" s="913"/>
      <c r="N4" s="913"/>
      <c r="O4" s="913"/>
      <c r="P4" s="4127" t="s">
        <v>1773</v>
      </c>
      <c r="Q4" s="4128"/>
      <c r="R4" s="4110" t="s">
        <v>1769</v>
      </c>
      <c r="S4" s="4111"/>
      <c r="T4" s="4110" t="s">
        <v>1770</v>
      </c>
      <c r="U4" s="4111"/>
      <c r="V4" s="4135" t="s">
        <v>1771</v>
      </c>
      <c r="W4" s="4135"/>
      <c r="X4" s="1354"/>
      <c r="Y4" s="4110" t="s">
        <v>1773</v>
      </c>
      <c r="Z4" s="4111"/>
      <c r="AA4" s="4105" t="s">
        <v>1769</v>
      </c>
      <c r="AB4" s="4106" t="s">
        <v>1770</v>
      </c>
      <c r="AC4" s="4105" t="s">
        <v>1771</v>
      </c>
    </row>
    <row r="5" spans="1:29" ht="15">
      <c r="A5" s="358"/>
      <c r="B5" s="359"/>
      <c r="C5" s="4116" t="s">
        <v>1671</v>
      </c>
      <c r="D5" s="4117"/>
      <c r="E5" s="4114" t="s">
        <v>1672</v>
      </c>
      <c r="F5" s="4115"/>
      <c r="G5" s="4116" t="s">
        <v>1673</v>
      </c>
      <c r="H5" s="4117"/>
      <c r="I5" s="4116" t="s">
        <v>1674</v>
      </c>
      <c r="J5" s="4117"/>
      <c r="K5" s="559"/>
      <c r="L5" s="912"/>
      <c r="M5" s="913"/>
      <c r="N5" s="913"/>
      <c r="O5" s="913"/>
      <c r="P5" s="4129"/>
      <c r="Q5" s="4130"/>
      <c r="R5" s="4112"/>
      <c r="S5" s="4113"/>
      <c r="T5" s="4112"/>
      <c r="U5" s="4113"/>
      <c r="V5" s="4135"/>
      <c r="W5" s="4135"/>
      <c r="X5" s="1354"/>
      <c r="Y5" s="4112"/>
      <c r="Z5" s="4113"/>
      <c r="AA5" s="4106"/>
      <c r="AB5" s="4106"/>
      <c r="AC5" s="4106"/>
    </row>
    <row r="6" spans="1:29" ht="15.75" thickBot="1">
      <c r="A6" s="360"/>
      <c r="B6" s="361"/>
      <c r="C6" s="4118" t="s">
        <v>1675</v>
      </c>
      <c r="D6" s="4119"/>
      <c r="E6" s="4120" t="s">
        <v>1675</v>
      </c>
      <c r="F6" s="4121"/>
      <c r="G6" s="4118" t="s">
        <v>1675</v>
      </c>
      <c r="H6" s="4119"/>
      <c r="I6" s="4118" t="s">
        <v>1675</v>
      </c>
      <c r="J6" s="4119"/>
      <c r="K6" s="559" t="s">
        <v>1676</v>
      </c>
      <c r="L6" s="912"/>
      <c r="M6" s="913"/>
      <c r="N6" s="913"/>
      <c r="O6" s="913"/>
      <c r="P6" s="4131"/>
      <c r="Q6" s="4132"/>
      <c r="R6" s="4112"/>
      <c r="S6" s="4113"/>
      <c r="T6" s="4133"/>
      <c r="U6" s="4134"/>
      <c r="V6" s="4135"/>
      <c r="W6" s="4135"/>
      <c r="X6" s="1354"/>
      <c r="Y6" s="4133"/>
      <c r="Z6" s="4134"/>
      <c r="AA6" s="4107"/>
      <c r="AB6" s="4107"/>
      <c r="AC6" s="4107"/>
    </row>
    <row r="7" spans="1:29" s="108" customFormat="1" ht="15.75" thickBot="1">
      <c r="A7" s="362" t="s">
        <v>1677</v>
      </c>
      <c r="B7" s="363"/>
      <c r="C7" s="364">
        <f>'数据-取费表'!B2</f>
        <v>45575</v>
      </c>
      <c r="D7" s="365">
        <v>100</v>
      </c>
      <c r="E7" s="366"/>
      <c r="F7" s="367">
        <f>SUMIF(52:52,YEAR(E7)&amp;"-"&amp;MONTH(E7),53:53)</f>
        <v>0</v>
      </c>
      <c r="G7" s="366"/>
      <c r="H7" s="365">
        <f>SUMIF(52:52,YEAR(G7)&amp;"-"&amp;MONTH(G7),53:53)</f>
        <v>0</v>
      </c>
      <c r="I7" s="366"/>
      <c r="J7" s="365">
        <f>SUMIF(52:52,YEAR(I7)&amp;"-"&amp;MONTH(I7),53:53)</f>
        <v>0</v>
      </c>
      <c r="K7" s="560"/>
      <c r="L7" s="914"/>
      <c r="M7" s="915"/>
      <c r="N7" s="915"/>
      <c r="O7" s="915"/>
      <c r="P7" s="4108" t="s">
        <v>1678</v>
      </c>
      <c r="Q7" s="4136"/>
      <c r="R7" s="700" t="s">
        <v>14</v>
      </c>
      <c r="S7" s="701">
        <f t="shared" ref="S7:S15" si="0">F7</f>
        <v>0</v>
      </c>
      <c r="T7" s="700" t="s">
        <v>14</v>
      </c>
      <c r="U7" s="701">
        <f t="shared" ref="U7:U15" si="1">H7</f>
        <v>0</v>
      </c>
      <c r="V7" s="700" t="s">
        <v>14</v>
      </c>
      <c r="W7" s="701">
        <f t="shared" ref="W7:W15" si="2">J7</f>
        <v>0</v>
      </c>
      <c r="X7" s="702"/>
      <c r="Y7" s="4108" t="s">
        <v>1678</v>
      </c>
      <c r="Z7" s="4109"/>
      <c r="AA7" s="703" t="e">
        <f>D7/F7</f>
        <v>#DIV/0!</v>
      </c>
      <c r="AB7" s="703" t="e">
        <f>D7/H7</f>
        <v>#DIV/0!</v>
      </c>
      <c r="AC7" s="703" t="e">
        <f>D7/J7</f>
        <v>#DIV/0!</v>
      </c>
    </row>
    <row r="8" spans="1:29" s="108" customFormat="1" ht="15.75" thickBot="1">
      <c r="A8" s="362" t="s">
        <v>1679</v>
      </c>
      <c r="B8" s="363"/>
      <c r="C8" s="368"/>
      <c r="D8" s="365">
        <v>100</v>
      </c>
      <c r="E8" s="368"/>
      <c r="F8" s="367">
        <f>SUMIF(55:55,E8,56:56)-SUMIF(55:55,C8,56:56)+100</f>
        <v>100</v>
      </c>
      <c r="G8" s="368"/>
      <c r="H8" s="365">
        <f>SUMIF(55:55,G8,56:56)-SUMIF(55:55,C8,56:56)+100</f>
        <v>100</v>
      </c>
      <c r="I8" s="368"/>
      <c r="J8" s="365">
        <f>SUMIF(55:55,I8,56:56)-SUMIF(55:55,C8,56:56)+100</f>
        <v>100</v>
      </c>
      <c r="K8" s="560"/>
      <c r="L8" s="914"/>
      <c r="M8" s="915"/>
      <c r="N8" s="915"/>
      <c r="O8" s="915"/>
      <c r="P8" s="4108" t="s">
        <v>1681</v>
      </c>
      <c r="Q8" s="4109"/>
      <c r="R8" s="700" t="s">
        <v>14</v>
      </c>
      <c r="S8" s="701">
        <f t="shared" si="0"/>
        <v>100</v>
      </c>
      <c r="T8" s="700" t="s">
        <v>14</v>
      </c>
      <c r="U8" s="701">
        <f t="shared" si="1"/>
        <v>100</v>
      </c>
      <c r="V8" s="700" t="s">
        <v>14</v>
      </c>
      <c r="W8" s="701">
        <f t="shared" si="2"/>
        <v>100</v>
      </c>
      <c r="X8" s="702"/>
      <c r="Y8" s="4108" t="s">
        <v>1681</v>
      </c>
      <c r="Z8" s="4109"/>
      <c r="AA8" s="703">
        <f t="shared" ref="AA8:AA40" si="3">D8/F8</f>
        <v>1</v>
      </c>
      <c r="AB8" s="703">
        <f t="shared" ref="AB8:AB40" si="4">D8/H8</f>
        <v>1</v>
      </c>
      <c r="AC8" s="703">
        <f t="shared" ref="AC8:AC40" si="5">D8/J8</f>
        <v>1</v>
      </c>
    </row>
    <row r="9" spans="1:29" s="108" customFormat="1">
      <c r="A9" s="369" t="s">
        <v>1682</v>
      </c>
      <c r="B9" s="63" t="s">
        <v>1683</v>
      </c>
      <c r="C9" s="370"/>
      <c r="D9" s="126">
        <v>100</v>
      </c>
      <c r="E9" s="373"/>
      <c r="F9" s="126">
        <f>SUMIF(57:57,E9,58:58)-SUMIF(57:57,C9,58:58)+100</f>
        <v>100</v>
      </c>
      <c r="G9" s="371"/>
      <c r="H9" s="126">
        <f>SUMIF(57:57,G9,58:58)-SUMIF(57:57,C9,58:58)+100</f>
        <v>100</v>
      </c>
      <c r="I9" s="371"/>
      <c r="J9" s="126">
        <f>SUMIF(57:57,I9,58:58)-SUMIF(57:57,C9,58:58)+100</f>
        <v>100</v>
      </c>
      <c r="K9" s="560"/>
      <c r="L9" s="914"/>
      <c r="M9" s="915"/>
      <c r="N9" s="915"/>
      <c r="O9" s="916"/>
      <c r="P9" s="4140" t="s">
        <v>1684</v>
      </c>
      <c r="Q9" s="1342" t="str">
        <f t="shared" ref="Q9:Q15" si="6">B9</f>
        <v>用途</v>
      </c>
      <c r="R9" s="700" t="s">
        <v>14</v>
      </c>
      <c r="S9" s="701">
        <f t="shared" si="0"/>
        <v>100</v>
      </c>
      <c r="T9" s="700" t="s">
        <v>14</v>
      </c>
      <c r="U9" s="701">
        <f t="shared" si="1"/>
        <v>100</v>
      </c>
      <c r="V9" s="700" t="s">
        <v>14</v>
      </c>
      <c r="W9" s="701">
        <f t="shared" si="2"/>
        <v>100</v>
      </c>
      <c r="X9" s="702"/>
      <c r="Y9" s="4052" t="s">
        <v>1685</v>
      </c>
      <c r="Z9" s="52" t="str">
        <f t="shared" ref="Z9:Z15" si="7">Q9</f>
        <v>用途</v>
      </c>
      <c r="AA9" s="703">
        <f t="shared" si="3"/>
        <v>1</v>
      </c>
      <c r="AB9" s="703">
        <f t="shared" si="4"/>
        <v>1</v>
      </c>
      <c r="AC9" s="703">
        <f t="shared" si="5"/>
        <v>1</v>
      </c>
    </row>
    <row r="10" spans="1:29" s="378" customFormat="1" ht="27">
      <c r="A10" s="374"/>
      <c r="B10" s="375" t="s">
        <v>1686</v>
      </c>
      <c r="C10" s="3432"/>
      <c r="D10" s="127">
        <v>100</v>
      </c>
      <c r="E10" s="3432"/>
      <c r="F10" s="127">
        <f>SUMIF(59:59,E10,60:60)-SUMIF(59:59,C10,60:60)+100</f>
        <v>100</v>
      </c>
      <c r="G10" s="3433"/>
      <c r="H10" s="127">
        <f>SUMIF(59:59,G10,60:60)-SUMIF(59:59,C10,60:60)+100</f>
        <v>100</v>
      </c>
      <c r="I10" s="3432"/>
      <c r="J10" s="127">
        <f>SUMIF(59:59,I10,60:60)-SUMIF(59:59,C10,60:60)+100</f>
        <v>100</v>
      </c>
      <c r="K10" s="560"/>
      <c r="L10" s="917"/>
      <c r="M10" s="918"/>
      <c r="N10" s="918"/>
      <c r="O10" s="919"/>
      <c r="P10" s="4140"/>
      <c r="Q10" s="1342" t="str">
        <f t="shared" si="6"/>
        <v>土地使用年限（年）</v>
      </c>
      <c r="R10" s="700" t="s">
        <v>14</v>
      </c>
      <c r="S10" s="701">
        <f t="shared" si="0"/>
        <v>100</v>
      </c>
      <c r="T10" s="700" t="s">
        <v>14</v>
      </c>
      <c r="U10" s="701">
        <f t="shared" si="1"/>
        <v>100</v>
      </c>
      <c r="V10" s="700" t="s">
        <v>14</v>
      </c>
      <c r="W10" s="701">
        <f t="shared" si="2"/>
        <v>100</v>
      </c>
      <c r="X10" s="702"/>
      <c r="Y10" s="4052"/>
      <c r="Z10" s="52" t="str">
        <f t="shared" si="7"/>
        <v>土地使用年限（年）</v>
      </c>
      <c r="AA10" s="703">
        <f t="shared" si="3"/>
        <v>1</v>
      </c>
      <c r="AB10" s="703">
        <f t="shared" si="4"/>
        <v>1</v>
      </c>
      <c r="AC10" s="703">
        <f t="shared" si="5"/>
        <v>1</v>
      </c>
    </row>
    <row r="11" spans="1:29" ht="15">
      <c r="A11" s="379"/>
      <c r="B11" s="375" t="s">
        <v>1687</v>
      </c>
      <c r="C11" s="380"/>
      <c r="D11" s="127">
        <v>100</v>
      </c>
      <c r="E11" s="380"/>
      <c r="F11" s="127">
        <f>LOOKUP(E11,62:62,63:63)-LOOKUP(C11,62:62,63:63)+100</f>
        <v>100</v>
      </c>
      <c r="G11" s="381"/>
      <c r="H11" s="127">
        <f>LOOKUP(G11,62:62,63:63)-LOOKUP(C11,62:62,63:63)+100</f>
        <v>100</v>
      </c>
      <c r="I11" s="380"/>
      <c r="J11" s="127">
        <f>LOOKUP(I11,62:62,63:63)-LOOKUP(C11,62:62,63:63)+100</f>
        <v>100</v>
      </c>
      <c r="K11" s="561"/>
      <c r="L11" s="920"/>
      <c r="M11" s="913"/>
      <c r="N11" s="913"/>
      <c r="O11" s="921"/>
      <c r="P11" s="4140"/>
      <c r="Q11" s="1342" t="str">
        <f t="shared" si="6"/>
        <v>容积率</v>
      </c>
      <c r="R11" s="700" t="s">
        <v>14</v>
      </c>
      <c r="S11" s="701">
        <f t="shared" si="0"/>
        <v>100</v>
      </c>
      <c r="T11" s="700" t="s">
        <v>14</v>
      </c>
      <c r="U11" s="701">
        <f t="shared" si="1"/>
        <v>100</v>
      </c>
      <c r="V11" s="700" t="s">
        <v>14</v>
      </c>
      <c r="W11" s="701">
        <f t="shared" si="2"/>
        <v>100</v>
      </c>
      <c r="X11" s="702"/>
      <c r="Y11" s="4052"/>
      <c r="Z11" s="52" t="str">
        <f t="shared" si="7"/>
        <v>容积率</v>
      </c>
      <c r="AA11" s="703">
        <f t="shared" si="3"/>
        <v>1</v>
      </c>
      <c r="AB11" s="703">
        <f t="shared" si="4"/>
        <v>1</v>
      </c>
      <c r="AC11" s="703">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4"/>
      <c r="M12" s="915"/>
      <c r="N12" s="915"/>
      <c r="O12" s="916"/>
      <c r="P12" s="4140"/>
      <c r="Q12" s="1342">
        <f t="shared" si="6"/>
        <v>111</v>
      </c>
      <c r="R12" s="700" t="s">
        <v>14</v>
      </c>
      <c r="S12" s="701">
        <f t="shared" si="0"/>
        <v>100</v>
      </c>
      <c r="T12" s="700" t="s">
        <v>14</v>
      </c>
      <c r="U12" s="701">
        <f t="shared" si="1"/>
        <v>100</v>
      </c>
      <c r="V12" s="700" t="s">
        <v>14</v>
      </c>
      <c r="W12" s="701">
        <f t="shared" si="2"/>
        <v>100</v>
      </c>
      <c r="X12" s="702"/>
      <c r="Y12" s="4052"/>
      <c r="Z12" s="52">
        <f t="shared" si="7"/>
        <v>111</v>
      </c>
      <c r="AA12" s="703">
        <f>D12/F12</f>
        <v>1</v>
      </c>
      <c r="AB12" s="703">
        <f>D12/H12</f>
        <v>1</v>
      </c>
      <c r="AC12" s="703">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2"/>
      <c r="M13" s="913"/>
      <c r="N13" s="913"/>
      <c r="O13" s="921"/>
      <c r="P13" s="4140"/>
      <c r="Q13" s="1342">
        <f t="shared" si="6"/>
        <v>111</v>
      </c>
      <c r="R13" s="700" t="s">
        <v>14</v>
      </c>
      <c r="S13" s="701">
        <f t="shared" si="0"/>
        <v>100</v>
      </c>
      <c r="T13" s="700" t="s">
        <v>14</v>
      </c>
      <c r="U13" s="701">
        <f t="shared" si="1"/>
        <v>100</v>
      </c>
      <c r="V13" s="700" t="s">
        <v>14</v>
      </c>
      <c r="W13" s="701">
        <f t="shared" si="2"/>
        <v>100</v>
      </c>
      <c r="X13" s="702"/>
      <c r="Y13" s="4052"/>
      <c r="Z13" s="52">
        <f t="shared" si="7"/>
        <v>111</v>
      </c>
      <c r="AA13" s="703">
        <f t="shared" si="3"/>
        <v>1</v>
      </c>
      <c r="AB13" s="703">
        <f t="shared" si="4"/>
        <v>1</v>
      </c>
      <c r="AC13" s="703">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2"/>
      <c r="M14" s="913"/>
      <c r="N14" s="913"/>
      <c r="O14" s="921"/>
      <c r="P14" s="4140"/>
      <c r="Q14" s="1342">
        <f t="shared" si="6"/>
        <v>111</v>
      </c>
      <c r="R14" s="700" t="s">
        <v>14</v>
      </c>
      <c r="S14" s="701">
        <f t="shared" si="0"/>
        <v>100</v>
      </c>
      <c r="T14" s="700" t="s">
        <v>14</v>
      </c>
      <c r="U14" s="701">
        <f t="shared" si="1"/>
        <v>100</v>
      </c>
      <c r="V14" s="700" t="s">
        <v>14</v>
      </c>
      <c r="W14" s="701">
        <f t="shared" si="2"/>
        <v>100</v>
      </c>
      <c r="X14" s="702"/>
      <c r="Y14" s="4052"/>
      <c r="Z14" s="52">
        <f t="shared" si="7"/>
        <v>111</v>
      </c>
      <c r="AA14" s="703">
        <f t="shared" si="3"/>
        <v>1</v>
      </c>
      <c r="AB14" s="703">
        <f t="shared" si="4"/>
        <v>1</v>
      </c>
      <c r="AC14" s="703">
        <f t="shared" si="5"/>
        <v>1</v>
      </c>
    </row>
    <row r="15" spans="1:29" ht="57">
      <c r="A15" s="391" t="s">
        <v>1688</v>
      </c>
      <c r="B15" s="61" t="s">
        <v>1825</v>
      </c>
      <c r="C15" s="1970"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2"/>
      <c r="M15" s="913"/>
      <c r="N15" s="913"/>
      <c r="O15" s="921"/>
      <c r="P15" s="4142" t="s">
        <v>1689</v>
      </c>
      <c r="Q15" s="1351" t="str">
        <f t="shared" si="6"/>
        <v>产业集聚程度</v>
      </c>
      <c r="R15" s="704" t="s">
        <v>14</v>
      </c>
      <c r="S15" s="705">
        <f t="shared" si="0"/>
        <v>100</v>
      </c>
      <c r="T15" s="704" t="s">
        <v>14</v>
      </c>
      <c r="U15" s="705">
        <f t="shared" si="1"/>
        <v>100</v>
      </c>
      <c r="V15" s="704" t="s">
        <v>14</v>
      </c>
      <c r="W15" s="705">
        <f t="shared" si="2"/>
        <v>100</v>
      </c>
      <c r="X15" s="1354"/>
      <c r="Y15" s="4142" t="s">
        <v>1689</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2"/>
      <c r="M16" s="913"/>
      <c r="N16" s="913"/>
      <c r="O16" s="921"/>
      <c r="P16" s="4143"/>
      <c r="Q16" s="1351"/>
      <c r="R16" s="704"/>
      <c r="S16" s="705"/>
      <c r="T16" s="704"/>
      <c r="U16" s="705"/>
      <c r="V16" s="704"/>
      <c r="W16" s="705"/>
      <c r="X16" s="1354"/>
      <c r="Y16" s="4143"/>
      <c r="Z16" s="1355"/>
      <c r="AA16" s="1352">
        <v>1</v>
      </c>
      <c r="AB16" s="1352">
        <v>1</v>
      </c>
      <c r="AC16" s="1352">
        <v>1</v>
      </c>
    </row>
    <row r="17" spans="1:29" ht="85.5">
      <c r="A17" s="379"/>
      <c r="B17" s="402" t="s">
        <v>1257</v>
      </c>
      <c r="C17" s="1899"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2"/>
      <c r="M17" s="913"/>
      <c r="N17" s="913"/>
      <c r="O17" s="921"/>
      <c r="P17" s="4143"/>
      <c r="Q17" s="1351" t="str">
        <f>B17</f>
        <v>交通便捷度</v>
      </c>
      <c r="R17" s="704" t="s">
        <v>14</v>
      </c>
      <c r="S17" s="705">
        <f>F17</f>
        <v>100</v>
      </c>
      <c r="T17" s="704" t="s">
        <v>14</v>
      </c>
      <c r="U17" s="705">
        <f>H17</f>
        <v>100</v>
      </c>
      <c r="V17" s="704" t="s">
        <v>14</v>
      </c>
      <c r="W17" s="705">
        <f>J17</f>
        <v>100</v>
      </c>
      <c r="X17" s="1354"/>
      <c r="Y17" s="4143"/>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2"/>
      <c r="M18" s="913"/>
      <c r="N18" s="913"/>
      <c r="O18" s="921"/>
      <c r="P18" s="4143"/>
      <c r="Q18" s="1351"/>
      <c r="R18" s="704"/>
      <c r="S18" s="705"/>
      <c r="T18" s="704"/>
      <c r="U18" s="705"/>
      <c r="V18" s="704"/>
      <c r="W18" s="705"/>
      <c r="X18" s="1354"/>
      <c r="Y18" s="4143"/>
      <c r="Z18" s="1355"/>
      <c r="AA18" s="1352">
        <v>1</v>
      </c>
      <c r="AB18" s="1352">
        <v>1</v>
      </c>
      <c r="AC18" s="1352">
        <v>1</v>
      </c>
    </row>
    <row r="19" spans="1:29" ht="42.75">
      <c r="A19" s="379"/>
      <c r="B19" s="402" t="s">
        <v>1810</v>
      </c>
      <c r="C19" s="1899"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2"/>
      <c r="M19" s="913"/>
      <c r="N19" s="913"/>
      <c r="O19" s="921"/>
      <c r="P19" s="4143"/>
      <c r="Q19" s="1351" t="str">
        <f>B19</f>
        <v>公共配套设施</v>
      </c>
      <c r="R19" s="704" t="s">
        <v>14</v>
      </c>
      <c r="S19" s="705">
        <f>F19</f>
        <v>100</v>
      </c>
      <c r="T19" s="704" t="s">
        <v>14</v>
      </c>
      <c r="U19" s="705">
        <f>H19</f>
        <v>100</v>
      </c>
      <c r="V19" s="704" t="s">
        <v>14</v>
      </c>
      <c r="W19" s="705">
        <f>J19</f>
        <v>100</v>
      </c>
      <c r="X19" s="1354"/>
      <c r="Y19" s="4143"/>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2"/>
      <c r="M20" s="913"/>
      <c r="N20" s="913"/>
      <c r="O20" s="921"/>
      <c r="P20" s="4143"/>
      <c r="Q20" s="1351"/>
      <c r="R20" s="704"/>
      <c r="S20" s="705"/>
      <c r="T20" s="704"/>
      <c r="U20" s="705"/>
      <c r="V20" s="704"/>
      <c r="W20" s="705"/>
      <c r="X20" s="1354"/>
      <c r="Y20" s="4143"/>
      <c r="Z20" s="1355"/>
      <c r="AA20" s="1352">
        <v>1</v>
      </c>
      <c r="AB20" s="1352">
        <v>1</v>
      </c>
      <c r="AC20" s="1352">
        <v>1</v>
      </c>
    </row>
    <row r="21" spans="1:29" ht="28.5">
      <c r="A21" s="379"/>
      <c r="B21" s="1130" t="s">
        <v>1811</v>
      </c>
      <c r="C21" s="1899"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2"/>
      <c r="M21" s="913"/>
      <c r="N21" s="913"/>
      <c r="O21" s="921"/>
      <c r="P21" s="4143"/>
      <c r="Q21" s="1351" t="str">
        <f>B21</f>
        <v>基础设施水平</v>
      </c>
      <c r="R21" s="704" t="s">
        <v>14</v>
      </c>
      <c r="S21" s="705">
        <f>F21</f>
        <v>100</v>
      </c>
      <c r="T21" s="704" t="s">
        <v>14</v>
      </c>
      <c r="U21" s="705">
        <f>H21</f>
        <v>100</v>
      </c>
      <c r="V21" s="704" t="s">
        <v>14</v>
      </c>
      <c r="W21" s="705">
        <f>J21</f>
        <v>100</v>
      </c>
      <c r="X21" s="1354"/>
      <c r="Y21" s="4143"/>
      <c r="Z21" s="1355" t="str">
        <f>Q21</f>
        <v>基础设施水平</v>
      </c>
      <c r="AA21" s="1352">
        <f t="shared" ref="AA21" si="8">D21/F21</f>
        <v>1</v>
      </c>
      <c r="AB21" s="1352">
        <f t="shared" ref="AB21" si="9">D21/H21</f>
        <v>1</v>
      </c>
      <c r="AC21" s="1352">
        <f t="shared" ref="AC21" si="10">D21/J21</f>
        <v>1</v>
      </c>
    </row>
    <row r="22" spans="1:29" ht="15">
      <c r="A22" s="379"/>
      <c r="B22" s="1130"/>
      <c r="C22" s="1900"/>
      <c r="D22" s="399"/>
      <c r="E22" s="398"/>
      <c r="F22" s="400"/>
      <c r="G22" s="398"/>
      <c r="H22" s="399"/>
      <c r="I22" s="398"/>
      <c r="J22" s="399"/>
      <c r="K22" s="1129"/>
      <c r="L22" s="922"/>
      <c r="M22" s="913"/>
      <c r="N22" s="913"/>
      <c r="O22" s="921"/>
      <c r="P22" s="4143"/>
      <c r="Q22" s="1351"/>
      <c r="R22" s="704"/>
      <c r="S22" s="705"/>
      <c r="T22" s="704"/>
      <c r="U22" s="705"/>
      <c r="V22" s="704"/>
      <c r="W22" s="705"/>
      <c r="X22" s="1354"/>
      <c r="Y22" s="4143"/>
      <c r="Z22" s="1355"/>
      <c r="AA22" s="1352">
        <v>1</v>
      </c>
      <c r="AB22" s="1352">
        <v>1</v>
      </c>
      <c r="AC22" s="1352">
        <v>1</v>
      </c>
    </row>
    <row r="23" spans="1:29" ht="71.25">
      <c r="A23" s="379"/>
      <c r="B23" s="402" t="s">
        <v>1812</v>
      </c>
      <c r="C23" s="1899"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2"/>
      <c r="M23" s="913"/>
      <c r="N23" s="913"/>
      <c r="O23" s="921"/>
      <c r="P23" s="4143"/>
      <c r="Q23" s="1351" t="str">
        <f>B23</f>
        <v>环境质量</v>
      </c>
      <c r="R23" s="704" t="s">
        <v>14</v>
      </c>
      <c r="S23" s="705">
        <f>F23</f>
        <v>100</v>
      </c>
      <c r="T23" s="704" t="s">
        <v>14</v>
      </c>
      <c r="U23" s="705">
        <f>H23</f>
        <v>100</v>
      </c>
      <c r="V23" s="704" t="s">
        <v>14</v>
      </c>
      <c r="W23" s="705">
        <f>J23</f>
        <v>100</v>
      </c>
      <c r="X23" s="1354"/>
      <c r="Y23" s="4143"/>
      <c r="Z23" s="1355" t="str">
        <f>Q23</f>
        <v>环境质量</v>
      </c>
      <c r="AA23" s="1352">
        <f t="shared" si="3"/>
        <v>1</v>
      </c>
      <c r="AB23" s="1352">
        <f t="shared" si="4"/>
        <v>1</v>
      </c>
      <c r="AC23" s="1352">
        <f t="shared" si="5"/>
        <v>1</v>
      </c>
    </row>
    <row r="24" spans="1:29" ht="15">
      <c r="A24" s="379"/>
      <c r="B24" s="1130"/>
      <c r="C24" s="398"/>
      <c r="D24" s="399"/>
      <c r="E24" s="1897"/>
      <c r="F24" s="400"/>
      <c r="G24" s="1896"/>
      <c r="H24" s="399"/>
      <c r="I24" s="1897"/>
      <c r="J24" s="399"/>
      <c r="K24" s="564"/>
      <c r="L24" s="922"/>
      <c r="M24" s="913"/>
      <c r="N24" s="913"/>
      <c r="O24" s="921"/>
      <c r="P24" s="4143"/>
      <c r="Q24" s="1351"/>
      <c r="R24" s="704"/>
      <c r="S24" s="705"/>
      <c r="T24" s="704"/>
      <c r="U24" s="705"/>
      <c r="V24" s="704"/>
      <c r="W24" s="705"/>
      <c r="X24" s="1354"/>
      <c r="Y24" s="4143"/>
      <c r="Z24" s="1355"/>
      <c r="AA24" s="1352">
        <v>1</v>
      </c>
      <c r="AB24" s="1352">
        <v>1</v>
      </c>
      <c r="AC24" s="1352">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2"/>
      <c r="M25" s="913"/>
      <c r="N25" s="913"/>
      <c r="O25" s="921"/>
      <c r="P25" s="4143"/>
      <c r="Q25" s="1351">
        <f>B25</f>
        <v>111</v>
      </c>
      <c r="R25" s="704" t="s">
        <v>14</v>
      </c>
      <c r="S25" s="705">
        <f>F25</f>
        <v>100</v>
      </c>
      <c r="T25" s="704" t="s">
        <v>14</v>
      </c>
      <c r="U25" s="705">
        <f>H25</f>
        <v>100</v>
      </c>
      <c r="V25" s="704" t="s">
        <v>14</v>
      </c>
      <c r="W25" s="705">
        <f>J25</f>
        <v>100</v>
      </c>
      <c r="X25" s="1354"/>
      <c r="Y25" s="4143"/>
      <c r="Z25" s="1355">
        <f>Q25</f>
        <v>111</v>
      </c>
      <c r="AA25" s="1352">
        <f t="shared" si="3"/>
        <v>1</v>
      </c>
      <c r="AB25" s="1352">
        <f t="shared" si="4"/>
        <v>1</v>
      </c>
      <c r="AC25" s="1352">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2"/>
      <c r="M26" s="913"/>
      <c r="N26" s="913"/>
      <c r="O26" s="921"/>
      <c r="P26" s="4143"/>
      <c r="Q26" s="1351">
        <f t="shared" ref="Q26:Q40" si="11">B26</f>
        <v>111</v>
      </c>
      <c r="R26" s="704" t="s">
        <v>14</v>
      </c>
      <c r="S26" s="705">
        <f>F26</f>
        <v>100</v>
      </c>
      <c r="T26" s="704" t="s">
        <v>14</v>
      </c>
      <c r="U26" s="705">
        <f>H26</f>
        <v>100</v>
      </c>
      <c r="V26" s="704" t="s">
        <v>14</v>
      </c>
      <c r="W26" s="705">
        <f>J26</f>
        <v>100</v>
      </c>
      <c r="X26" s="1354"/>
      <c r="Y26" s="4143"/>
      <c r="Z26" s="1355">
        <f>Q26</f>
        <v>111</v>
      </c>
      <c r="AA26" s="1352">
        <f t="shared" si="3"/>
        <v>1</v>
      </c>
      <c r="AB26" s="1352">
        <f t="shared" si="4"/>
        <v>1</v>
      </c>
      <c r="AC26" s="1352">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4"/>
      <c r="M27" s="915"/>
      <c r="N27" s="915"/>
      <c r="O27" s="916"/>
      <c r="P27" s="4143"/>
      <c r="Q27" s="1342">
        <f t="shared" si="11"/>
        <v>111</v>
      </c>
      <c r="R27" s="700" t="s">
        <v>14</v>
      </c>
      <c r="S27" s="701">
        <f>F27</f>
        <v>100</v>
      </c>
      <c r="T27" s="700" t="s">
        <v>14</v>
      </c>
      <c r="U27" s="701">
        <f>H27</f>
        <v>100</v>
      </c>
      <c r="V27" s="700" t="s">
        <v>14</v>
      </c>
      <c r="W27" s="701">
        <f>J27</f>
        <v>100</v>
      </c>
      <c r="X27" s="702"/>
      <c r="Y27" s="4143"/>
      <c r="Z27" s="52">
        <f>Q27</f>
        <v>111</v>
      </c>
      <c r="AA27" s="1352">
        <f>D27/F27</f>
        <v>1</v>
      </c>
      <c r="AB27" s="1352">
        <f>D27/H27</f>
        <v>1</v>
      </c>
      <c r="AC27" s="1352">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2"/>
      <c r="M28" s="913"/>
      <c r="N28" s="913"/>
      <c r="O28" s="921"/>
      <c r="P28" s="4143"/>
      <c r="Q28" s="1351">
        <f t="shared" si="11"/>
        <v>111</v>
      </c>
      <c r="R28" s="704" t="s">
        <v>14</v>
      </c>
      <c r="S28" s="705">
        <f t="shared" ref="S28:S40" si="12">F28</f>
        <v>100</v>
      </c>
      <c r="T28" s="704" t="s">
        <v>14</v>
      </c>
      <c r="U28" s="705">
        <f t="shared" ref="U28:U40" si="13">H28</f>
        <v>100</v>
      </c>
      <c r="V28" s="704" t="s">
        <v>14</v>
      </c>
      <c r="W28" s="705">
        <f t="shared" ref="W28:W40" si="14">J28</f>
        <v>100</v>
      </c>
      <c r="X28" s="1354"/>
      <c r="Y28" s="4143"/>
      <c r="Z28" s="1355">
        <f t="shared" ref="Z28:Z40" si="15">Q28</f>
        <v>111</v>
      </c>
      <c r="AA28" s="1352">
        <f t="shared" si="3"/>
        <v>1</v>
      </c>
      <c r="AB28" s="1352">
        <f t="shared" si="4"/>
        <v>1</v>
      </c>
      <c r="AC28" s="1352">
        <f t="shared" si="5"/>
        <v>1</v>
      </c>
    </row>
    <row r="29" spans="1:29" ht="28.5">
      <c r="A29" s="417" t="s">
        <v>1692</v>
      </c>
      <c r="B29" s="63" t="s">
        <v>1815</v>
      </c>
      <c r="C29" s="1966"/>
      <c r="D29" s="418">
        <v>100</v>
      </c>
      <c r="E29" s="1966"/>
      <c r="F29" s="412">
        <f>SUMIF(88:88,E29,89:89)-SUMIF(88:88,C29,89:89)+100</f>
        <v>100</v>
      </c>
      <c r="G29" s="1966"/>
      <c r="H29" s="386">
        <f>SUMIF(88:88,G29,89:89)-SUMIF(88:88,C29,89:89)+100</f>
        <v>100</v>
      </c>
      <c r="I29" s="1966"/>
      <c r="J29" s="418">
        <f>SUMIF(88:88,I29,89:89)-SUMIF(88:88,C29,89:89)+100</f>
        <v>100</v>
      </c>
      <c r="K29" s="561"/>
      <c r="L29" s="922"/>
      <c r="M29" s="913"/>
      <c r="N29" s="913"/>
      <c r="O29" s="921"/>
      <c r="P29" s="4168" t="s">
        <v>1694</v>
      </c>
      <c r="Q29" s="1351" t="str">
        <f t="shared" si="11"/>
        <v>建筑类型</v>
      </c>
      <c r="R29" s="704" t="s">
        <v>14</v>
      </c>
      <c r="S29" s="705">
        <f t="shared" si="12"/>
        <v>100</v>
      </c>
      <c r="T29" s="704" t="s">
        <v>14</v>
      </c>
      <c r="U29" s="705">
        <f t="shared" si="13"/>
        <v>100</v>
      </c>
      <c r="V29" s="704" t="s">
        <v>14</v>
      </c>
      <c r="W29" s="705">
        <f t="shared" si="14"/>
        <v>100</v>
      </c>
      <c r="X29" s="1354"/>
      <c r="Y29" s="4147" t="s">
        <v>1694</v>
      </c>
      <c r="Z29" s="1355" t="str">
        <f t="shared" si="15"/>
        <v>建筑类型</v>
      </c>
      <c r="AA29" s="1352">
        <f t="shared" si="3"/>
        <v>1</v>
      </c>
      <c r="AB29" s="1352">
        <f t="shared" si="4"/>
        <v>1</v>
      </c>
      <c r="AC29" s="1352">
        <f t="shared" si="5"/>
        <v>1</v>
      </c>
    </row>
    <row r="30" spans="1:29" s="422" customFormat="1" ht="15">
      <c r="A30" s="419"/>
      <c r="B30" s="375" t="s">
        <v>1695</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0"/>
      <c r="M30" s="923"/>
      <c r="N30" s="923"/>
      <c r="O30" s="924"/>
      <c r="P30" s="4147"/>
      <c r="Q30" s="706" t="str">
        <f t="shared" si="11"/>
        <v>项目建筑规模</v>
      </c>
      <c r="R30" s="707" t="s">
        <v>14</v>
      </c>
      <c r="S30" s="708" t="e">
        <f t="shared" si="12"/>
        <v>#N/A</v>
      </c>
      <c r="T30" s="707" t="s">
        <v>14</v>
      </c>
      <c r="U30" s="708" t="e">
        <f t="shared" si="13"/>
        <v>#N/A</v>
      </c>
      <c r="V30" s="707" t="s">
        <v>14</v>
      </c>
      <c r="W30" s="708" t="e">
        <f t="shared" si="14"/>
        <v>#N/A</v>
      </c>
      <c r="X30" s="709"/>
      <c r="Y30" s="4147"/>
      <c r="Z30" s="710" t="str">
        <f t="shared" si="15"/>
        <v>项目建筑规模</v>
      </c>
      <c r="AA30" s="1352" t="e">
        <f t="shared" si="3"/>
        <v>#N/A</v>
      </c>
      <c r="AB30" s="1352" t="e">
        <f t="shared" si="4"/>
        <v>#N/A</v>
      </c>
      <c r="AC30" s="1352" t="e">
        <f t="shared" si="5"/>
        <v>#N/A</v>
      </c>
    </row>
    <row r="31" spans="1:29" ht="15">
      <c r="A31" s="423"/>
      <c r="B31" s="375" t="s">
        <v>1696</v>
      </c>
      <c r="C31" s="411"/>
      <c r="D31" s="386">
        <v>100</v>
      </c>
      <c r="E31" s="411"/>
      <c r="F31" s="412">
        <f>SUMIF(93:93,E31,94:94)-SUMIF(93:93,C31,94:94)+100</f>
        <v>100</v>
      </c>
      <c r="G31" s="411"/>
      <c r="H31" s="386">
        <f>SUMIF(93:93,G31,94:94)-SUMIF(93:93,C31,94:94)+100</f>
        <v>100</v>
      </c>
      <c r="I31" s="411"/>
      <c r="J31" s="386">
        <f>SUMIF(93:93,I31,94:94)-SUMIF(93:93,C31,94:94)+100</f>
        <v>100</v>
      </c>
      <c r="K31" s="561"/>
      <c r="L31" s="922"/>
      <c r="M31" s="913"/>
      <c r="N31" s="913"/>
      <c r="O31" s="921"/>
      <c r="P31" s="4147"/>
      <c r="Q31" s="1351" t="str">
        <f t="shared" si="11"/>
        <v>建筑结构</v>
      </c>
      <c r="R31" s="704" t="s">
        <v>14</v>
      </c>
      <c r="S31" s="705">
        <f t="shared" si="12"/>
        <v>100</v>
      </c>
      <c r="T31" s="704" t="s">
        <v>14</v>
      </c>
      <c r="U31" s="705">
        <f t="shared" si="13"/>
        <v>100</v>
      </c>
      <c r="V31" s="704" t="s">
        <v>14</v>
      </c>
      <c r="W31" s="705">
        <f t="shared" si="14"/>
        <v>100</v>
      </c>
      <c r="X31" s="1354"/>
      <c r="Y31" s="4147"/>
      <c r="Z31" s="1355" t="str">
        <f t="shared" si="15"/>
        <v>建筑结构</v>
      </c>
      <c r="AA31" s="1352">
        <f t="shared" si="3"/>
        <v>1</v>
      </c>
      <c r="AB31" s="1352">
        <f t="shared" si="4"/>
        <v>1</v>
      </c>
      <c r="AC31" s="1352">
        <f t="shared" si="5"/>
        <v>1</v>
      </c>
    </row>
    <row r="32" spans="1:29" ht="15">
      <c r="A32" s="423"/>
      <c r="B32" s="375" t="s">
        <v>1783</v>
      </c>
      <c r="C32" s="411"/>
      <c r="D32" s="386">
        <v>100</v>
      </c>
      <c r="E32" s="411"/>
      <c r="F32" s="412">
        <f>SUMIF(95:95,E32,96:96)-SUMIF(95:95,C32,96:96)+100</f>
        <v>100</v>
      </c>
      <c r="G32" s="411"/>
      <c r="H32" s="386">
        <f>SUMIF(95:95,G32,96:96)-SUMIF(95:95,C32,96:96)+100</f>
        <v>100</v>
      </c>
      <c r="I32" s="411"/>
      <c r="J32" s="386">
        <f>SUMIF(95:95,I32,96:96)-SUMIF(95:95,C32,96:96)+100</f>
        <v>100</v>
      </c>
      <c r="K32" s="561"/>
      <c r="L32" s="922"/>
      <c r="M32" s="913"/>
      <c r="N32" s="913"/>
      <c r="O32" s="921"/>
      <c r="P32" s="4147"/>
      <c r="Q32" s="1351" t="str">
        <f t="shared" si="11"/>
        <v>公共部分装修</v>
      </c>
      <c r="R32" s="704" t="s">
        <v>14</v>
      </c>
      <c r="S32" s="705">
        <f t="shared" si="12"/>
        <v>100</v>
      </c>
      <c r="T32" s="704" t="s">
        <v>14</v>
      </c>
      <c r="U32" s="705">
        <f t="shared" si="13"/>
        <v>100</v>
      </c>
      <c r="V32" s="704" t="s">
        <v>14</v>
      </c>
      <c r="W32" s="705">
        <f t="shared" si="14"/>
        <v>100</v>
      </c>
      <c r="X32" s="1354"/>
      <c r="Y32" s="4147"/>
      <c r="Z32" s="1355" t="str">
        <f t="shared" si="15"/>
        <v>公共部分装修</v>
      </c>
      <c r="AA32" s="1352">
        <f t="shared" si="3"/>
        <v>1</v>
      </c>
      <c r="AB32" s="1352">
        <f t="shared" si="4"/>
        <v>1</v>
      </c>
      <c r="AC32" s="1352">
        <f t="shared" si="5"/>
        <v>1</v>
      </c>
    </row>
    <row r="33" spans="1:29" ht="15">
      <c r="A33" s="423"/>
      <c r="B33" s="375" t="s">
        <v>1784</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2"/>
      <c r="M33" s="913"/>
      <c r="N33" s="913"/>
      <c r="O33" s="921"/>
      <c r="P33" s="4147"/>
      <c r="Q33" s="1351" t="str">
        <f t="shared" si="11"/>
        <v>成新度</v>
      </c>
      <c r="R33" s="704" t="s">
        <v>14</v>
      </c>
      <c r="S33" s="705" t="e">
        <f t="shared" si="12"/>
        <v>#N/A</v>
      </c>
      <c r="T33" s="704" t="s">
        <v>14</v>
      </c>
      <c r="U33" s="705" t="e">
        <f t="shared" si="13"/>
        <v>#N/A</v>
      </c>
      <c r="V33" s="704" t="s">
        <v>14</v>
      </c>
      <c r="W33" s="705" t="e">
        <f t="shared" si="14"/>
        <v>#N/A</v>
      </c>
      <c r="X33" s="1354"/>
      <c r="Y33" s="4147"/>
      <c r="Z33" s="1355" t="str">
        <f t="shared" si="15"/>
        <v>成新度</v>
      </c>
      <c r="AA33" s="1352" t="e">
        <f t="shared" si="3"/>
        <v>#N/A</v>
      </c>
      <c r="AB33" s="1352" t="e">
        <f t="shared" si="4"/>
        <v>#N/A</v>
      </c>
      <c r="AC33" s="1352" t="e">
        <f t="shared" si="5"/>
        <v>#N/A</v>
      </c>
    </row>
    <row r="34" spans="1:29" s="108" customFormat="1" ht="15">
      <c r="A34" s="424"/>
      <c r="B34" s="375" t="s">
        <v>1817</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4"/>
      <c r="M34" s="915"/>
      <c r="N34" s="915"/>
      <c r="O34" s="916"/>
      <c r="P34" s="4147"/>
      <c r="Q34" s="1342" t="str">
        <f t="shared" si="11"/>
        <v>物业管理</v>
      </c>
      <c r="R34" s="700" t="s">
        <v>14</v>
      </c>
      <c r="S34" s="701">
        <f t="shared" si="12"/>
        <v>100</v>
      </c>
      <c r="T34" s="700" t="s">
        <v>14</v>
      </c>
      <c r="U34" s="701">
        <f t="shared" si="13"/>
        <v>100</v>
      </c>
      <c r="V34" s="700" t="s">
        <v>14</v>
      </c>
      <c r="W34" s="701">
        <f t="shared" si="14"/>
        <v>100</v>
      </c>
      <c r="X34" s="702"/>
      <c r="Y34" s="4147"/>
      <c r="Z34" s="52" t="str">
        <f t="shared" si="15"/>
        <v>物业管理</v>
      </c>
      <c r="AA34" s="703">
        <f t="shared" si="3"/>
        <v>1</v>
      </c>
      <c r="AB34" s="703">
        <f t="shared" si="4"/>
        <v>1</v>
      </c>
      <c r="AC34" s="703">
        <f t="shared" si="5"/>
        <v>1</v>
      </c>
    </row>
    <row r="35" spans="1:29" ht="15">
      <c r="A35" s="423"/>
      <c r="B35" s="375" t="s">
        <v>1785</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2"/>
      <c r="M35" s="913"/>
      <c r="N35" s="913"/>
      <c r="O35" s="921"/>
      <c r="P35" s="4147" t="s">
        <v>1694</v>
      </c>
      <c r="Q35" s="1351" t="str">
        <f t="shared" si="11"/>
        <v>市政基础设施</v>
      </c>
      <c r="R35" s="704" t="s">
        <v>14</v>
      </c>
      <c r="S35" s="705">
        <f t="shared" si="12"/>
        <v>100</v>
      </c>
      <c r="T35" s="704" t="s">
        <v>14</v>
      </c>
      <c r="U35" s="705">
        <f t="shared" si="13"/>
        <v>100</v>
      </c>
      <c r="V35" s="704" t="s">
        <v>14</v>
      </c>
      <c r="W35" s="705">
        <f t="shared" si="14"/>
        <v>100</v>
      </c>
      <c r="X35" s="1354"/>
      <c r="Y35" s="4147" t="s">
        <v>1694</v>
      </c>
      <c r="Z35" s="1355" t="str">
        <f t="shared" si="15"/>
        <v>市政基础设施</v>
      </c>
      <c r="AA35" s="1352">
        <f t="shared" si="3"/>
        <v>1</v>
      </c>
      <c r="AB35" s="1352">
        <f t="shared" si="4"/>
        <v>1</v>
      </c>
      <c r="AC35" s="1352">
        <f t="shared" si="5"/>
        <v>1</v>
      </c>
    </row>
    <row r="36" spans="1:29" ht="15">
      <c r="A36" s="423"/>
      <c r="B36" s="375" t="s">
        <v>1790</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2"/>
      <c r="M36" s="913"/>
      <c r="N36" s="913"/>
      <c r="O36" s="921"/>
      <c r="P36" s="4147"/>
      <c r="Q36" s="1351" t="str">
        <f t="shared" si="11"/>
        <v>内部装修</v>
      </c>
      <c r="R36" s="704" t="s">
        <v>14</v>
      </c>
      <c r="S36" s="705">
        <f t="shared" si="12"/>
        <v>100</v>
      </c>
      <c r="T36" s="704" t="s">
        <v>14</v>
      </c>
      <c r="U36" s="705">
        <f t="shared" si="13"/>
        <v>100</v>
      </c>
      <c r="V36" s="704" t="s">
        <v>14</v>
      </c>
      <c r="W36" s="705">
        <f t="shared" si="14"/>
        <v>100</v>
      </c>
      <c r="X36" s="1354"/>
      <c r="Y36" s="4147"/>
      <c r="Z36" s="1355" t="str">
        <f t="shared" si="15"/>
        <v>内部装修</v>
      </c>
      <c r="AA36" s="1352">
        <f t="shared" si="3"/>
        <v>1</v>
      </c>
      <c r="AB36" s="1352">
        <f t="shared" si="4"/>
        <v>1</v>
      </c>
      <c r="AC36" s="1352">
        <f t="shared" si="5"/>
        <v>1</v>
      </c>
    </row>
    <row r="37" spans="1:29" ht="15">
      <c r="A37" s="423"/>
      <c r="B37" s="375" t="s">
        <v>1826</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2"/>
      <c r="M37" s="913"/>
      <c r="N37" s="913"/>
      <c r="O37" s="921"/>
      <c r="P37" s="4147"/>
      <c r="Q37" s="1351" t="str">
        <f t="shared" si="11"/>
        <v>内部装修状况</v>
      </c>
      <c r="R37" s="704" t="s">
        <v>14</v>
      </c>
      <c r="S37" s="705">
        <f t="shared" si="12"/>
        <v>100</v>
      </c>
      <c r="T37" s="704" t="s">
        <v>14</v>
      </c>
      <c r="U37" s="705">
        <f t="shared" si="13"/>
        <v>100</v>
      </c>
      <c r="V37" s="704" t="s">
        <v>14</v>
      </c>
      <c r="W37" s="705">
        <f t="shared" si="14"/>
        <v>100</v>
      </c>
      <c r="X37" s="1354"/>
      <c r="Y37" s="4147"/>
      <c r="Z37" s="1355" t="str">
        <f t="shared" si="15"/>
        <v>内部装修状况</v>
      </c>
      <c r="AA37" s="1352">
        <f t="shared" si="3"/>
        <v>1</v>
      </c>
      <c r="AB37" s="1352">
        <f t="shared" si="4"/>
        <v>1</v>
      </c>
      <c r="AC37" s="1352">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0"/>
      <c r="M38" s="923"/>
      <c r="N38" s="923"/>
      <c r="O38" s="924"/>
      <c r="P38" s="4147"/>
      <c r="Q38" s="706">
        <f t="shared" si="11"/>
        <v>111</v>
      </c>
      <c r="R38" s="707" t="s">
        <v>14</v>
      </c>
      <c r="S38" s="708">
        <f t="shared" si="12"/>
        <v>100</v>
      </c>
      <c r="T38" s="707" t="s">
        <v>14</v>
      </c>
      <c r="U38" s="708">
        <f t="shared" si="13"/>
        <v>100</v>
      </c>
      <c r="V38" s="707" t="s">
        <v>14</v>
      </c>
      <c r="W38" s="708">
        <f t="shared" si="14"/>
        <v>100</v>
      </c>
      <c r="X38" s="709"/>
      <c r="Y38" s="4147"/>
      <c r="Z38" s="710">
        <f t="shared" si="15"/>
        <v>111</v>
      </c>
      <c r="AA38" s="1352">
        <f t="shared" si="3"/>
        <v>1</v>
      </c>
      <c r="AB38" s="1352">
        <f t="shared" si="4"/>
        <v>1</v>
      </c>
      <c r="AC38" s="1352">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2"/>
      <c r="M39" s="913"/>
      <c r="N39" s="913"/>
      <c r="O39" s="921"/>
      <c r="P39" s="4147"/>
      <c r="Q39" s="1351">
        <f t="shared" si="11"/>
        <v>111</v>
      </c>
      <c r="R39" s="704" t="s">
        <v>14</v>
      </c>
      <c r="S39" s="705">
        <f t="shared" si="12"/>
        <v>100</v>
      </c>
      <c r="T39" s="704" t="s">
        <v>14</v>
      </c>
      <c r="U39" s="705">
        <f t="shared" si="13"/>
        <v>100</v>
      </c>
      <c r="V39" s="704" t="s">
        <v>14</v>
      </c>
      <c r="W39" s="705">
        <f t="shared" si="14"/>
        <v>100</v>
      </c>
      <c r="X39" s="1354"/>
      <c r="Y39" s="4147"/>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2"/>
      <c r="M40" s="913"/>
      <c r="N40" s="913"/>
      <c r="O40" s="921"/>
      <c r="P40" s="4148"/>
      <c r="Q40" s="1351">
        <f t="shared" si="11"/>
        <v>111</v>
      </c>
      <c r="R40" s="704" t="s">
        <v>14</v>
      </c>
      <c r="S40" s="705">
        <f t="shared" si="12"/>
        <v>100</v>
      </c>
      <c r="T40" s="704" t="s">
        <v>14</v>
      </c>
      <c r="U40" s="705">
        <f t="shared" si="13"/>
        <v>100</v>
      </c>
      <c r="V40" s="704" t="s">
        <v>14</v>
      </c>
      <c r="W40" s="705">
        <f t="shared" si="14"/>
        <v>100</v>
      </c>
      <c r="X40" s="1354"/>
      <c r="Y40" s="4148"/>
      <c r="Z40" s="1355">
        <f t="shared" si="15"/>
        <v>111</v>
      </c>
      <c r="AA40" s="1352">
        <f t="shared" si="3"/>
        <v>1</v>
      </c>
      <c r="AB40" s="1352">
        <f t="shared" si="4"/>
        <v>1</v>
      </c>
      <c r="AC40" s="1352">
        <f t="shared" si="5"/>
        <v>1</v>
      </c>
    </row>
    <row r="41" spans="1:29" ht="15">
      <c r="A41" s="430" t="s">
        <v>1706</v>
      </c>
      <c r="B41" s="431"/>
      <c r="C41" s="1153" t="s">
        <v>0</v>
      </c>
      <c r="D41" s="1154"/>
      <c r="E41" s="1155"/>
      <c r="F41" s="1156"/>
      <c r="G41" s="1157"/>
      <c r="H41" s="1158"/>
      <c r="I41" s="1155"/>
      <c r="J41" s="1158"/>
      <c r="K41" s="713"/>
      <c r="L41" s="925"/>
      <c r="M41" s="926"/>
      <c r="N41" s="913"/>
      <c r="O41" s="926"/>
      <c r="P41" s="4140" t="str">
        <f>A41</f>
        <v>成交单价（元/平方米）</v>
      </c>
      <c r="Q41" s="4140"/>
      <c r="R41" s="4141">
        <f>E41</f>
        <v>0</v>
      </c>
      <c r="S41" s="4141"/>
      <c r="T41" s="4141">
        <f>G41</f>
        <v>0</v>
      </c>
      <c r="U41" s="4141"/>
      <c r="V41" s="4141">
        <f>I41</f>
        <v>0</v>
      </c>
      <c r="W41" s="4141"/>
      <c r="X41" s="689"/>
      <c r="Y41" s="711"/>
      <c r="Z41" s="689"/>
      <c r="AA41" s="689"/>
      <c r="AB41" s="689"/>
      <c r="AC41" s="689"/>
    </row>
    <row r="42" spans="1:29" ht="15.75" thickBot="1">
      <c r="A42" s="437" t="s">
        <v>1791</v>
      </c>
      <c r="B42" s="438"/>
      <c r="C42" s="1159" t="e">
        <f>R43</f>
        <v>#DIV/0!</v>
      </c>
      <c r="D42" s="2316" t="s">
        <v>2135</v>
      </c>
      <c r="E42" s="1160" t="e">
        <f>R42</f>
        <v>#DIV/0!</v>
      </c>
      <c r="F42" s="2317"/>
      <c r="G42" s="1159" t="e">
        <f>T42</f>
        <v>#DIV/0!</v>
      </c>
      <c r="H42" s="2317"/>
      <c r="I42" s="1160" t="e">
        <f>V42</f>
        <v>#DIV/0!</v>
      </c>
      <c r="J42" s="2317"/>
      <c r="K42" s="2319">
        <f>F42+H42+J42</f>
        <v>0</v>
      </c>
      <c r="L42" s="925"/>
      <c r="M42" s="926"/>
      <c r="N42" s="913"/>
      <c r="O42" s="926"/>
      <c r="P42" s="4140" t="str">
        <f>A42</f>
        <v>比较价值（元/平方米）</v>
      </c>
      <c r="Q42" s="4140"/>
      <c r="R42" s="4141" t="e">
        <f>IF(F1="售价",ROUND(PRODUCT(R41,AA7:AA40),0),ROUND(PRODUCT(R41,AA7:AA40),1))</f>
        <v>#DIV/0!</v>
      </c>
      <c r="S42" s="4141"/>
      <c r="T42" s="4141" t="e">
        <f>IF(F1="售价",ROUND(PRODUCT(T41,AB7:AB40),0),ROUND(PRODUCT(T41,AB7:AB40),1))</f>
        <v>#DIV/0!</v>
      </c>
      <c r="U42" s="4141"/>
      <c r="V42" s="4141" t="e">
        <f>IF(F1="售价",ROUND(PRODUCT(V41,AC7:AC40),0),ROUND(PRODUCT(V41,AC7:AC40),1))</f>
        <v>#DIV/0!</v>
      </c>
      <c r="W42" s="4141"/>
      <c r="X42" s="689"/>
      <c r="Y42" s="689"/>
      <c r="Z42" s="689"/>
      <c r="AA42" s="689"/>
      <c r="AB42" s="689"/>
      <c r="AC42" s="689"/>
    </row>
    <row r="43" spans="1:29" ht="15.75" thickBot="1">
      <c r="A43" s="441" t="s">
        <v>1792</v>
      </c>
      <c r="B43" s="442"/>
      <c r="C43" s="1162" t="e">
        <f>R43</f>
        <v>#DIV/0!</v>
      </c>
      <c r="D43" s="1162"/>
      <c r="E43" s="1162"/>
      <c r="F43" s="1162"/>
      <c r="G43" s="1162"/>
      <c r="H43" s="1162"/>
      <c r="I43" s="1162"/>
      <c r="J43" s="1162"/>
      <c r="K43" s="714"/>
      <c r="L43" s="925"/>
      <c r="M43" s="926"/>
      <c r="N43" s="926"/>
      <c r="O43" s="926"/>
      <c r="P43" s="4137" t="str">
        <f>A43</f>
        <v>估价对象XX用房的比较价值（楼面单价，元/平方米）</v>
      </c>
      <c r="Q43" s="4138"/>
      <c r="R43" s="4139" t="e">
        <f>IF(F1="售价",ROUND(IF(D42="简单平均",AVERAGE(R42:V42),R42*F42+T42*H42+V42*J42),0),ROUND(IF(D42="简单平均",AVERAGE(R42:V42),R42*F42+T42*H42+V42*J42),1))</f>
        <v>#DIV/0!</v>
      </c>
      <c r="S43" s="4139"/>
      <c r="T43" s="4139"/>
      <c r="U43" s="4139"/>
      <c r="V43" s="4139"/>
      <c r="W43" s="4139"/>
      <c r="X43" s="689"/>
      <c r="Y43" s="689"/>
      <c r="Z43" s="689"/>
      <c r="AA43" s="689"/>
      <c r="AB43" s="689"/>
      <c r="AC43" s="689"/>
    </row>
    <row r="44" spans="1:29">
      <c r="A44" s="2723"/>
      <c r="B44" s="2723"/>
      <c r="C44" s="2723"/>
      <c r="D44" s="2723"/>
      <c r="E44" s="2723"/>
      <c r="F44" s="2723"/>
      <c r="G44" s="2727"/>
      <c r="H44" s="2723"/>
      <c r="I44" s="2723"/>
      <c r="J44" s="2723"/>
      <c r="K44" s="2728"/>
      <c r="L44" s="888"/>
      <c r="M44" s="926"/>
      <c r="N44" s="926"/>
      <c r="O44" s="926"/>
    </row>
    <row r="45" spans="1:29">
      <c r="A45" s="2723"/>
      <c r="B45" s="2723"/>
      <c r="C45" s="2723"/>
      <c r="D45" s="2723"/>
      <c r="E45" s="2723"/>
      <c r="F45" s="2723"/>
      <c r="G45" s="2723"/>
      <c r="H45" s="2723"/>
      <c r="I45" s="2723"/>
      <c r="J45" s="2723"/>
      <c r="K45" s="2728"/>
      <c r="L45" s="888"/>
      <c r="M45" s="926"/>
      <c r="N45" s="926"/>
      <c r="O45" s="926"/>
    </row>
    <row r="46" spans="1:29" ht="13.5" customHeight="1">
      <c r="A46" s="2723"/>
      <c r="B46" s="2723"/>
      <c r="C46" s="446" t="s">
        <v>1793</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8"/>
      <c r="M46" s="926"/>
      <c r="N46" s="926"/>
      <c r="O46" s="926"/>
    </row>
    <row r="47" spans="1:29" ht="13.5" customHeight="1">
      <c r="A47" s="2723"/>
      <c r="B47" s="2723"/>
      <c r="C47" s="446" t="s">
        <v>1794</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8"/>
      <c r="M47" s="926"/>
      <c r="N47" s="926"/>
      <c r="O47" s="926"/>
    </row>
    <row r="48" spans="1:29" s="451" customFormat="1" ht="13.5" customHeight="1">
      <c r="A48" s="2726"/>
      <c r="B48" s="2726"/>
      <c r="C48" s="446" t="s">
        <v>1795</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29"/>
      <c r="M48" s="927"/>
      <c r="N48" s="927"/>
      <c r="O48" s="927"/>
    </row>
    <row r="49" spans="1:17" s="451" customFormat="1">
      <c r="A49" s="2726"/>
      <c r="B49" s="2729"/>
      <c r="C49" s="2730"/>
      <c r="D49" s="2726"/>
      <c r="E49" s="2726"/>
      <c r="F49" s="2726"/>
      <c r="G49" s="2726"/>
      <c r="H49" s="2726"/>
      <c r="I49" s="2726"/>
      <c r="J49" s="2726"/>
      <c r="K49" s="2731"/>
      <c r="L49" s="929"/>
      <c r="M49" s="927"/>
      <c r="N49" s="927"/>
      <c r="O49" s="927"/>
    </row>
    <row r="50" spans="1:17">
      <c r="A50" s="2723"/>
      <c r="B50" s="2729"/>
      <c r="C50" s="2730"/>
      <c r="D50" s="2723"/>
      <c r="E50" s="2723"/>
      <c r="F50" s="2723"/>
      <c r="G50" s="2723"/>
      <c r="H50" s="2723"/>
      <c r="I50" s="2723"/>
      <c r="J50" s="2723"/>
      <c r="K50" s="2728"/>
      <c r="L50" s="888"/>
      <c r="M50" s="926"/>
      <c r="N50" s="926"/>
      <c r="O50" s="926"/>
    </row>
    <row r="51" spans="1:17" ht="21.75" thickBot="1">
      <c r="A51" s="693" t="s">
        <v>1796</v>
      </c>
      <c r="B51" s="689"/>
      <c r="C51" s="694"/>
      <c r="D51" s="694"/>
      <c r="E51" s="694"/>
      <c r="F51" s="695"/>
      <c r="G51" s="695"/>
      <c r="H51" s="694"/>
      <c r="I51" s="694"/>
      <c r="J51" s="694"/>
      <c r="K51" s="940"/>
      <c r="L51" s="941"/>
      <c r="M51" s="939"/>
      <c r="N51" s="939"/>
      <c r="O51" s="939"/>
      <c r="P51" s="452"/>
      <c r="Q51" s="453"/>
    </row>
    <row r="52" spans="1:17" s="457" customFormat="1" ht="15">
      <c r="A52" s="454" t="s">
        <v>1677</v>
      </c>
      <c r="B52" s="455"/>
      <c r="C52" s="1183" t="str">
        <f>YEAR(C7)&amp;"-"&amp;MONTH(C7)</f>
        <v>2024-10</v>
      </c>
      <c r="D52" s="1184">
        <f>EDATE(C52,-1)</f>
        <v>45536</v>
      </c>
      <c r="E52" s="1184">
        <f t="shared" ref="E52:O52" si="16">EDATE(D52,-1)</f>
        <v>45505</v>
      </c>
      <c r="F52" s="1184">
        <f t="shared" si="16"/>
        <v>45474</v>
      </c>
      <c r="G52" s="1184">
        <f t="shared" si="16"/>
        <v>45444</v>
      </c>
      <c r="H52" s="1184">
        <f t="shared" si="16"/>
        <v>45413</v>
      </c>
      <c r="I52" s="1184">
        <f t="shared" si="16"/>
        <v>45383</v>
      </c>
      <c r="J52" s="1184">
        <f t="shared" si="16"/>
        <v>45352</v>
      </c>
      <c r="K52" s="1184">
        <f t="shared" si="16"/>
        <v>45323</v>
      </c>
      <c r="L52" s="1184">
        <f t="shared" si="16"/>
        <v>45292</v>
      </c>
      <c r="M52" s="1184">
        <f t="shared" si="16"/>
        <v>45261</v>
      </c>
      <c r="N52" s="1184">
        <f t="shared" si="16"/>
        <v>45231</v>
      </c>
      <c r="O52" s="1184">
        <f t="shared" si="16"/>
        <v>45200</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1714</v>
      </c>
      <c r="B54" s="465"/>
      <c r="C54" s="466"/>
      <c r="D54" s="467"/>
      <c r="E54" s="467"/>
      <c r="F54" s="467"/>
      <c r="G54" s="467"/>
      <c r="H54" s="467"/>
      <c r="I54" s="467"/>
      <c r="J54" s="467"/>
      <c r="K54" s="467"/>
      <c r="L54" s="467"/>
      <c r="M54" s="468"/>
      <c r="N54" s="2768"/>
      <c r="O54" s="2769"/>
      <c r="P54" s="453"/>
      <c r="Q54" s="453"/>
    </row>
    <row r="55" spans="1:17" s="108" customFormat="1" ht="15">
      <c r="A55" s="470" t="s">
        <v>1679</v>
      </c>
      <c r="B55" s="459"/>
      <c r="C55" s="471" t="s">
        <v>1774</v>
      </c>
      <c r="D55" s="472"/>
      <c r="E55" s="472"/>
      <c r="F55" s="472"/>
      <c r="G55" s="472"/>
      <c r="H55" s="472"/>
      <c r="I55" s="472"/>
      <c r="J55" s="472"/>
      <c r="K55" s="472"/>
      <c r="L55" s="473"/>
      <c r="M55" s="474"/>
      <c r="N55" s="931"/>
      <c r="O55" s="931"/>
      <c r="P55" s="475"/>
      <c r="Q55" s="453"/>
    </row>
    <row r="56" spans="1:17" s="108" customFormat="1" ht="15.75" thickBot="1">
      <c r="A56" s="470"/>
      <c r="B56" s="459"/>
      <c r="C56" s="587">
        <v>100</v>
      </c>
      <c r="D56" s="461"/>
      <c r="E56" s="461"/>
      <c r="F56" s="461"/>
      <c r="G56" s="461"/>
      <c r="H56" s="461"/>
      <c r="I56" s="461"/>
      <c r="J56" s="461"/>
      <c r="K56" s="461"/>
      <c r="L56" s="461"/>
      <c r="M56" s="463"/>
      <c r="N56" s="931"/>
      <c r="O56" s="931"/>
      <c r="P56" s="453"/>
      <c r="Q56" s="453"/>
    </row>
    <row r="57" spans="1:17">
      <c r="A57" s="476" t="s">
        <v>1717</v>
      </c>
      <c r="B57" s="477" t="s">
        <v>1683</v>
      </c>
      <c r="C57" s="478">
        <f>C9</f>
        <v>0</v>
      </c>
      <c r="D57" s="479"/>
      <c r="E57" s="479"/>
      <c r="F57" s="479"/>
      <c r="G57" s="479"/>
      <c r="H57" s="479"/>
      <c r="I57" s="479"/>
      <c r="J57" s="479"/>
      <c r="K57" s="480"/>
      <c r="L57" s="481"/>
      <c r="M57" s="482"/>
      <c r="N57" s="932"/>
      <c r="O57" s="932"/>
      <c r="P57" s="42"/>
      <c r="Q57" s="453"/>
    </row>
    <row r="58" spans="1:17" ht="15.75" thickBot="1">
      <c r="A58" s="483"/>
      <c r="B58" s="484"/>
      <c r="C58" s="485">
        <v>100</v>
      </c>
      <c r="D58" s="485"/>
      <c r="E58" s="485"/>
      <c r="F58" s="485"/>
      <c r="G58" s="485"/>
      <c r="H58" s="485"/>
      <c r="I58" s="485"/>
      <c r="J58" s="485"/>
      <c r="K58" s="485"/>
      <c r="L58" s="485"/>
      <c r="M58" s="486"/>
      <c r="N58" s="933"/>
      <c r="O58" s="933"/>
      <c r="P58" s="42"/>
      <c r="Q58" s="453"/>
    </row>
    <row r="59" spans="1:17" ht="27.75" thickTop="1">
      <c r="A59" s="483"/>
      <c r="B59" s="487" t="s">
        <v>1686</v>
      </c>
      <c r="C59" s="532"/>
      <c r="D59" s="532"/>
      <c r="E59" s="532"/>
      <c r="F59" s="532"/>
      <c r="G59" s="532"/>
      <c r="H59" s="532"/>
      <c r="I59" s="532"/>
      <c r="J59" s="532"/>
      <c r="K59" s="533"/>
      <c r="L59" s="534"/>
      <c r="M59" s="535"/>
      <c r="N59" s="932"/>
      <c r="O59" s="932"/>
      <c r="P59" s="42"/>
      <c r="Q59" s="453"/>
    </row>
    <row r="60" spans="1:17" ht="15.75" thickBot="1">
      <c r="A60" s="483"/>
      <c r="B60" s="492"/>
      <c r="C60" s="485"/>
      <c r="D60" s="485"/>
      <c r="E60" s="485"/>
      <c r="F60" s="485"/>
      <c r="G60" s="485"/>
      <c r="H60" s="485"/>
      <c r="I60" s="485"/>
      <c r="J60" s="485"/>
      <c r="K60" s="485"/>
      <c r="L60" s="485"/>
      <c r="M60" s="486"/>
      <c r="N60" s="933"/>
      <c r="O60" s="933"/>
      <c r="P60" s="42"/>
      <c r="Q60" s="453"/>
    </row>
    <row r="61" spans="1:17" ht="15.75" thickTop="1">
      <c r="A61" s="483"/>
      <c r="B61" s="495" t="s">
        <v>1687</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3"/>
      <c r="O61" s="933"/>
      <c r="P61" s="42"/>
      <c r="Q61" s="453"/>
    </row>
    <row r="62" spans="1:17" ht="15">
      <c r="A62" s="483"/>
      <c r="B62" s="497"/>
      <c r="C62" s="498">
        <v>0</v>
      </c>
      <c r="D62" s="498">
        <v>2</v>
      </c>
      <c r="E62" s="498"/>
      <c r="F62" s="498"/>
      <c r="G62" s="498"/>
      <c r="H62" s="498"/>
      <c r="I62" s="498"/>
      <c r="J62" s="498"/>
      <c r="K62" s="499"/>
      <c r="L62" s="500"/>
      <c r="M62" s="501"/>
      <c r="N62" s="932"/>
      <c r="O62" s="932"/>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3"/>
      <c r="O63" s="933"/>
      <c r="P63" s="42"/>
      <c r="Q63" s="453"/>
    </row>
    <row r="64" spans="1:17" s="422" customFormat="1" ht="15.75" thickTop="1">
      <c r="A64" s="502"/>
      <c r="B64" s="487">
        <f>B12</f>
        <v>111</v>
      </c>
      <c r="C64" s="503"/>
      <c r="D64" s="503"/>
      <c r="E64" s="503"/>
      <c r="F64" s="503"/>
      <c r="G64" s="503"/>
      <c r="H64" s="504"/>
      <c r="I64" s="504"/>
      <c r="J64" s="504"/>
      <c r="K64" s="504"/>
      <c r="L64" s="505"/>
      <c r="M64" s="506"/>
      <c r="N64" s="934"/>
      <c r="O64" s="934"/>
      <c r="P64" s="507"/>
      <c r="Q64" s="508"/>
    </row>
    <row r="65" spans="1:17" s="422" customFormat="1" ht="15.75" thickBot="1">
      <c r="A65" s="502"/>
      <c r="B65" s="492"/>
      <c r="C65" s="509"/>
      <c r="D65" s="485"/>
      <c r="E65" s="485"/>
      <c r="F65" s="485"/>
      <c r="G65" s="485"/>
      <c r="H65" s="485"/>
      <c r="I65" s="485"/>
      <c r="J65" s="485"/>
      <c r="K65" s="485"/>
      <c r="L65" s="485"/>
      <c r="M65" s="486"/>
      <c r="N65" s="933"/>
      <c r="O65" s="933"/>
      <c r="P65" s="507"/>
      <c r="Q65" s="508"/>
    </row>
    <row r="66" spans="1:17" s="422" customFormat="1" ht="15.75" thickTop="1">
      <c r="A66" s="502"/>
      <c r="B66" s="487">
        <f>B13</f>
        <v>111</v>
      </c>
      <c r="C66" s="503"/>
      <c r="D66" s="503"/>
      <c r="E66" s="503"/>
      <c r="F66" s="503"/>
      <c r="G66" s="503"/>
      <c r="H66" s="504"/>
      <c r="I66" s="504"/>
      <c r="J66" s="504"/>
      <c r="K66" s="504"/>
      <c r="L66" s="505"/>
      <c r="M66" s="506"/>
      <c r="N66" s="934"/>
      <c r="O66" s="934"/>
      <c r="P66" s="421"/>
      <c r="Q66" s="510"/>
    </row>
    <row r="67" spans="1:17" s="422" customFormat="1" ht="15.75" thickBot="1">
      <c r="A67" s="502"/>
      <c r="B67" s="492"/>
      <c r="C67" s="509"/>
      <c r="D67" s="485"/>
      <c r="E67" s="485"/>
      <c r="F67" s="485"/>
      <c r="G67" s="509"/>
      <c r="H67" s="511"/>
      <c r="I67" s="511"/>
      <c r="J67" s="511"/>
      <c r="K67" s="511"/>
      <c r="L67" s="511"/>
      <c r="M67" s="512"/>
      <c r="N67" s="934"/>
      <c r="O67" s="934"/>
      <c r="P67" s="507"/>
      <c r="Q67" s="508"/>
    </row>
    <row r="68" spans="1:17" s="422" customFormat="1" ht="15.75" thickTop="1">
      <c r="A68" s="502"/>
      <c r="B68" s="495">
        <f>B14</f>
        <v>111</v>
      </c>
      <c r="C68" s="472"/>
      <c r="D68" s="472"/>
      <c r="E68" s="472"/>
      <c r="F68" s="472"/>
      <c r="G68" s="472"/>
      <c r="H68" s="513"/>
      <c r="I68" s="513"/>
      <c r="J68" s="513"/>
      <c r="K68" s="513"/>
      <c r="L68" s="514"/>
      <c r="M68" s="515"/>
      <c r="N68" s="934"/>
      <c r="O68" s="934"/>
      <c r="P68" s="516"/>
      <c r="Q68" s="508"/>
    </row>
    <row r="69" spans="1:17" s="422" customFormat="1" ht="15.75" thickBot="1">
      <c r="A69" s="517"/>
      <c r="B69" s="518"/>
      <c r="C69" s="519"/>
      <c r="D69" s="519"/>
      <c r="E69" s="519"/>
      <c r="F69" s="519"/>
      <c r="G69" s="519"/>
      <c r="H69" s="520"/>
      <c r="I69" s="520"/>
      <c r="J69" s="520"/>
      <c r="K69" s="520"/>
      <c r="L69" s="520"/>
      <c r="M69" s="521"/>
      <c r="N69" s="934"/>
      <c r="O69" s="934"/>
      <c r="P69" s="507"/>
      <c r="Q69" s="508"/>
    </row>
    <row r="70" spans="1:17">
      <c r="A70" s="476" t="s">
        <v>1688</v>
      </c>
      <c r="B70" s="477" t="s">
        <v>1827</v>
      </c>
      <c r="C70" s="522" t="s">
        <v>1719</v>
      </c>
      <c r="D70" s="522" t="s">
        <v>1720</v>
      </c>
      <c r="E70" s="522" t="s">
        <v>1721</v>
      </c>
      <c r="F70" s="522" t="s">
        <v>1722</v>
      </c>
      <c r="G70" s="522" t="s">
        <v>1723</v>
      </c>
      <c r="H70" s="478"/>
      <c r="I70" s="478"/>
      <c r="J70" s="478"/>
      <c r="K70" s="523"/>
      <c r="L70" s="524"/>
      <c r="M70" s="525"/>
      <c r="N70" s="932"/>
      <c r="O70" s="932"/>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3"/>
      <c r="O71" s="933"/>
      <c r="P71" s="42"/>
      <c r="Q71" s="453"/>
    </row>
    <row r="72" spans="1:17" ht="15.75" thickTop="1">
      <c r="A72" s="483"/>
      <c r="B72" s="487" t="s">
        <v>1724</v>
      </c>
      <c r="C72" s="527" t="s">
        <v>1719</v>
      </c>
      <c r="D72" s="527" t="s">
        <v>1720</v>
      </c>
      <c r="E72" s="527" t="s">
        <v>1721</v>
      </c>
      <c r="F72" s="527" t="s">
        <v>1722</v>
      </c>
      <c r="G72" s="527" t="s">
        <v>1723</v>
      </c>
      <c r="H72" s="488"/>
      <c r="I72" s="488"/>
      <c r="J72" s="488"/>
      <c r="K72" s="489"/>
      <c r="L72" s="490"/>
      <c r="M72" s="491"/>
      <c r="N72" s="932"/>
      <c r="O72" s="932"/>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3"/>
      <c r="O73" s="933"/>
      <c r="P73" s="42"/>
      <c r="Q73" s="453"/>
    </row>
    <row r="74" spans="1:17" ht="15.75" thickTop="1">
      <c r="A74" s="483"/>
      <c r="B74" s="487" t="s">
        <v>1725</v>
      </c>
      <c r="C74" s="527" t="s">
        <v>1719</v>
      </c>
      <c r="D74" s="527" t="s">
        <v>1720</v>
      </c>
      <c r="E74" s="527" t="s">
        <v>1721</v>
      </c>
      <c r="F74" s="527" t="s">
        <v>1722</v>
      </c>
      <c r="G74" s="527" t="s">
        <v>1723</v>
      </c>
      <c r="H74" s="488"/>
      <c r="I74" s="488"/>
      <c r="J74" s="488"/>
      <c r="K74" s="489"/>
      <c r="L74" s="490"/>
      <c r="M74" s="491"/>
      <c r="N74" s="932"/>
      <c r="O74" s="932"/>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3"/>
      <c r="O75" s="933"/>
      <c r="P75" s="42"/>
      <c r="Q75" s="453"/>
    </row>
    <row r="76" spans="1:17" ht="15.75" thickTop="1">
      <c r="A76" s="483"/>
      <c r="B76" s="495" t="s">
        <v>1811</v>
      </c>
      <c r="C76" s="608" t="s">
        <v>1797</v>
      </c>
      <c r="D76" s="608" t="s">
        <v>1798</v>
      </c>
      <c r="E76" s="608" t="s">
        <v>1799</v>
      </c>
      <c r="F76" s="608" t="s">
        <v>1800</v>
      </c>
      <c r="G76" s="608" t="s">
        <v>1801</v>
      </c>
      <c r="H76" s="488"/>
      <c r="I76" s="488"/>
      <c r="J76" s="488"/>
      <c r="K76" s="488"/>
      <c r="L76" s="488"/>
      <c r="M76" s="1128"/>
      <c r="N76" s="933"/>
      <c r="O76" s="933"/>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3"/>
      <c r="O77" s="933"/>
      <c r="P77" s="42"/>
      <c r="Q77" s="453"/>
    </row>
    <row r="78" spans="1:17" ht="15.75" thickTop="1">
      <c r="A78" s="483"/>
      <c r="B78" s="487" t="s">
        <v>1820</v>
      </c>
      <c r="C78" s="527" t="s">
        <v>1719</v>
      </c>
      <c r="D78" s="527" t="s">
        <v>1720</v>
      </c>
      <c r="E78" s="527" t="s">
        <v>1721</v>
      </c>
      <c r="F78" s="527" t="s">
        <v>1722</v>
      </c>
      <c r="G78" s="527" t="s">
        <v>1723</v>
      </c>
      <c r="H78" s="488"/>
      <c r="I78" s="488"/>
      <c r="J78" s="488"/>
      <c r="K78" s="489"/>
      <c r="L78" s="490"/>
      <c r="M78" s="491"/>
      <c r="N78" s="932"/>
      <c r="O78" s="932"/>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3"/>
      <c r="O79" s="933"/>
      <c r="P79" s="42"/>
      <c r="Q79" s="453"/>
    </row>
    <row r="80" spans="1:17" s="108" customFormat="1" ht="15.75" thickTop="1">
      <c r="A80" s="528"/>
      <c r="B80" s="487">
        <f>B25</f>
        <v>111</v>
      </c>
      <c r="C80" s="503"/>
      <c r="D80" s="503"/>
      <c r="E80" s="503"/>
      <c r="F80" s="503"/>
      <c r="G80" s="503"/>
      <c r="H80" s="503"/>
      <c r="I80" s="503"/>
      <c r="J80" s="503"/>
      <c r="K80" s="503"/>
      <c r="L80" s="529"/>
      <c r="M80" s="530"/>
      <c r="N80" s="931"/>
      <c r="O80" s="931"/>
      <c r="P80" s="42"/>
      <c r="Q80" s="453"/>
    </row>
    <row r="81" spans="1:17" s="108" customFormat="1" ht="15.75" thickBot="1">
      <c r="A81" s="528"/>
      <c r="B81" s="492"/>
      <c r="C81" s="509"/>
      <c r="D81" s="485"/>
      <c r="E81" s="485"/>
      <c r="F81" s="485"/>
      <c r="G81" s="485"/>
      <c r="H81" s="485"/>
      <c r="I81" s="485"/>
      <c r="J81" s="485"/>
      <c r="K81" s="485"/>
      <c r="L81" s="485"/>
      <c r="M81" s="486"/>
      <c r="N81" s="933"/>
      <c r="O81" s="933"/>
      <c r="P81" s="42"/>
      <c r="Q81" s="453"/>
    </row>
    <row r="82" spans="1:17" s="108" customFormat="1" ht="15.75" thickTop="1">
      <c r="A82" s="528"/>
      <c r="B82" s="487">
        <f>B26</f>
        <v>111</v>
      </c>
      <c r="C82" s="503"/>
      <c r="D82" s="503"/>
      <c r="E82" s="503"/>
      <c r="F82" s="503"/>
      <c r="G82" s="503"/>
      <c r="H82" s="503"/>
      <c r="I82" s="503"/>
      <c r="J82" s="503"/>
      <c r="K82" s="503"/>
      <c r="L82" s="529"/>
      <c r="M82" s="530"/>
      <c r="N82" s="931"/>
      <c r="O82" s="931"/>
      <c r="P82" s="42"/>
      <c r="Q82" s="453"/>
    </row>
    <row r="83" spans="1:17" s="108" customFormat="1" ht="15.75" thickBot="1">
      <c r="A83" s="528"/>
      <c r="B83" s="492"/>
      <c r="C83" s="509"/>
      <c r="D83" s="485"/>
      <c r="E83" s="485"/>
      <c r="F83" s="485"/>
      <c r="G83" s="485"/>
      <c r="H83" s="485"/>
      <c r="I83" s="485"/>
      <c r="J83" s="485"/>
      <c r="K83" s="485"/>
      <c r="L83" s="485"/>
      <c r="M83" s="486"/>
      <c r="N83" s="933"/>
      <c r="O83" s="933"/>
      <c r="P83" s="42"/>
      <c r="Q83" s="453"/>
    </row>
    <row r="84" spans="1:17" s="422" customFormat="1" ht="15.75" thickTop="1">
      <c r="A84" s="502"/>
      <c r="B84" s="487">
        <f>B27</f>
        <v>111</v>
      </c>
      <c r="C84" s="503"/>
      <c r="D84" s="503"/>
      <c r="E84" s="503"/>
      <c r="F84" s="503"/>
      <c r="G84" s="503"/>
      <c r="H84" s="503"/>
      <c r="I84" s="503"/>
      <c r="J84" s="503"/>
      <c r="K84" s="503"/>
      <c r="L84" s="529"/>
      <c r="M84" s="530"/>
      <c r="N84" s="934"/>
      <c r="O84" s="934"/>
      <c r="P84" s="507"/>
      <c r="Q84" s="508"/>
    </row>
    <row r="85" spans="1:17" s="422" customFormat="1" ht="15.75" thickBot="1">
      <c r="A85" s="502"/>
      <c r="B85" s="492"/>
      <c r="C85" s="509"/>
      <c r="D85" s="485"/>
      <c r="E85" s="485"/>
      <c r="F85" s="485"/>
      <c r="G85" s="485"/>
      <c r="H85" s="485"/>
      <c r="I85" s="485"/>
      <c r="J85" s="485"/>
      <c r="K85" s="485"/>
      <c r="L85" s="485"/>
      <c r="M85" s="486"/>
      <c r="N85" s="934"/>
      <c r="O85" s="934"/>
      <c r="P85" s="507"/>
      <c r="Q85" s="508"/>
    </row>
    <row r="86" spans="1:17" ht="15.75" thickTop="1">
      <c r="A86" s="483"/>
      <c r="B86" s="495">
        <f>B28</f>
        <v>111</v>
      </c>
      <c r="C86" s="472"/>
      <c r="D86" s="472"/>
      <c r="E86" s="472"/>
      <c r="F86" s="472"/>
      <c r="G86" s="536"/>
      <c r="H86" s="536"/>
      <c r="I86" s="536"/>
      <c r="J86" s="536"/>
      <c r="K86" s="537"/>
      <c r="L86" s="538"/>
      <c r="M86" s="539"/>
      <c r="N86" s="932"/>
      <c r="O86" s="932"/>
      <c r="P86" s="42"/>
      <c r="Q86" s="453"/>
    </row>
    <row r="87" spans="1:17" ht="15.75" thickBot="1">
      <c r="A87" s="1927"/>
      <c r="B87" s="518"/>
      <c r="C87" s="519"/>
      <c r="D87" s="519"/>
      <c r="E87" s="519"/>
      <c r="F87" s="519"/>
      <c r="G87" s="540"/>
      <c r="H87" s="540"/>
      <c r="I87" s="540"/>
      <c r="J87" s="540"/>
      <c r="K87" s="540"/>
      <c r="L87" s="540"/>
      <c r="M87" s="541"/>
      <c r="N87" s="933"/>
      <c r="O87" s="933"/>
      <c r="P87" s="42"/>
      <c r="Q87" s="453"/>
    </row>
    <row r="88" spans="1:17">
      <c r="A88" s="476" t="s">
        <v>1692</v>
      </c>
      <c r="B88" s="477" t="s">
        <v>1734</v>
      </c>
      <c r="C88" s="479"/>
      <c r="D88" s="479"/>
      <c r="E88" s="479"/>
      <c r="F88" s="479"/>
      <c r="G88" s="479"/>
      <c r="H88" s="479"/>
      <c r="I88" s="479"/>
      <c r="J88" s="479"/>
      <c r="K88" s="480"/>
      <c r="L88" s="481"/>
      <c r="M88" s="482"/>
      <c r="N88" s="932"/>
      <c r="O88" s="932"/>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3"/>
      <c r="O89" s="933"/>
      <c r="P89" s="42"/>
      <c r="Q89" s="453"/>
    </row>
    <row r="90" spans="1:17" ht="15.75" thickTop="1">
      <c r="A90" s="483"/>
      <c r="B90" s="487" t="s">
        <v>1735</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1"/>
      <c r="O90" s="931"/>
      <c r="P90" s="42"/>
      <c r="Q90" s="453"/>
    </row>
    <row r="91" spans="1:17" s="422" customFormat="1">
      <c r="A91" s="542"/>
      <c r="B91" s="543"/>
      <c r="C91" s="544"/>
      <c r="D91" s="544"/>
      <c r="E91" s="544"/>
      <c r="F91" s="544"/>
      <c r="G91" s="544"/>
      <c r="H91" s="544"/>
      <c r="I91" s="544"/>
      <c r="J91" s="545"/>
      <c r="K91" s="545"/>
      <c r="L91" s="546"/>
      <c r="M91" s="547"/>
      <c r="N91" s="934"/>
      <c r="O91" s="934"/>
      <c r="P91" s="507"/>
      <c r="Q91" s="508"/>
    </row>
    <row r="92" spans="1:17" s="422" customFormat="1" ht="15.75" thickBot="1">
      <c r="A92" s="502"/>
      <c r="B92" s="492"/>
      <c r="C92" s="509"/>
      <c r="D92" s="485"/>
      <c r="E92" s="485"/>
      <c r="F92" s="485"/>
      <c r="G92" s="485"/>
      <c r="H92" s="485"/>
      <c r="I92" s="485"/>
      <c r="J92" s="485"/>
      <c r="K92" s="485"/>
      <c r="L92" s="485"/>
      <c r="M92" s="486"/>
      <c r="N92" s="933"/>
      <c r="O92" s="933"/>
      <c r="P92" s="507"/>
      <c r="Q92" s="508"/>
    </row>
    <row r="93" spans="1:17" ht="15" thickTop="1">
      <c r="A93" s="548"/>
      <c r="B93" s="487" t="s">
        <v>1736</v>
      </c>
      <c r="C93" s="503"/>
      <c r="D93" s="503"/>
      <c r="E93" s="532"/>
      <c r="F93" s="532"/>
      <c r="G93" s="532"/>
      <c r="H93" s="532"/>
      <c r="I93" s="532"/>
      <c r="J93" s="532"/>
      <c r="K93" s="533"/>
      <c r="L93" s="534"/>
      <c r="M93" s="535"/>
      <c r="N93" s="932"/>
      <c r="O93" s="932"/>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3"/>
      <c r="O94" s="933"/>
      <c r="P94" s="42"/>
      <c r="Q94" s="453"/>
    </row>
    <row r="95" spans="1:17" ht="15" thickTop="1">
      <c r="A95" s="548"/>
      <c r="B95" s="487" t="s">
        <v>1738</v>
      </c>
      <c r="C95" s="503"/>
      <c r="D95" s="503"/>
      <c r="E95" s="503"/>
      <c r="F95" s="532"/>
      <c r="G95" s="532"/>
      <c r="H95" s="532"/>
      <c r="I95" s="532"/>
      <c r="J95" s="532"/>
      <c r="K95" s="533"/>
      <c r="L95" s="534"/>
      <c r="M95" s="535"/>
      <c r="N95" s="932"/>
      <c r="O95" s="932"/>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3"/>
      <c r="O96" s="933"/>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2"/>
      <c r="O97" s="932"/>
      <c r="P97" s="42"/>
      <c r="Q97" s="453"/>
    </row>
    <row r="98" spans="1:17">
      <c r="A98" s="548"/>
      <c r="B98" s="495"/>
      <c r="C98" s="552">
        <v>0.5</v>
      </c>
      <c r="D98" s="552">
        <v>0.6</v>
      </c>
      <c r="E98" s="552">
        <v>0.7</v>
      </c>
      <c r="F98" s="552">
        <v>0.8</v>
      </c>
      <c r="G98" s="552">
        <v>0.9</v>
      </c>
      <c r="H98" s="552">
        <v>1.0001</v>
      </c>
      <c r="I98" s="571"/>
      <c r="J98" s="571"/>
      <c r="K98" s="572"/>
      <c r="L98" s="573"/>
      <c r="M98" s="574"/>
      <c r="N98" s="932"/>
      <c r="O98" s="932"/>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3"/>
      <c r="O99" s="933"/>
      <c r="P99" s="42"/>
      <c r="Q99" s="453"/>
    </row>
    <row r="100" spans="1:17" s="422" customFormat="1" ht="15" thickTop="1">
      <c r="A100" s="542"/>
      <c r="B100" s="487" t="s">
        <v>1739</v>
      </c>
      <c r="C100" s="503"/>
      <c r="D100" s="503"/>
      <c r="E100" s="503"/>
      <c r="F100" s="503"/>
      <c r="G100" s="503"/>
      <c r="H100" s="532"/>
      <c r="I100" s="532"/>
      <c r="J100" s="532"/>
      <c r="K100" s="533"/>
      <c r="L100" s="534"/>
      <c r="M100" s="535"/>
      <c r="N100" s="934"/>
      <c r="O100" s="934"/>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4"/>
      <c r="O101" s="934"/>
      <c r="P101" s="507"/>
      <c r="Q101" s="508"/>
    </row>
    <row r="102" spans="1:17" ht="15" thickTop="1">
      <c r="A102" s="548"/>
      <c r="B102" s="487" t="s">
        <v>1740</v>
      </c>
      <c r="C102" s="503"/>
      <c r="D102" s="503"/>
      <c r="E102" s="503"/>
      <c r="F102" s="503"/>
      <c r="G102" s="503"/>
      <c r="H102" s="532"/>
      <c r="I102" s="532"/>
      <c r="J102" s="532"/>
      <c r="K102" s="533"/>
      <c r="L102" s="534"/>
      <c r="M102" s="535"/>
      <c r="N102" s="932"/>
      <c r="O102" s="932"/>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3"/>
      <c r="O103" s="933"/>
      <c r="P103" s="42"/>
      <c r="Q103" s="453"/>
    </row>
    <row r="104" spans="1:17" ht="15" thickTop="1">
      <c r="A104" s="548"/>
      <c r="B104" s="487" t="s">
        <v>1742</v>
      </c>
      <c r="C104" s="503"/>
      <c r="D104" s="503"/>
      <c r="E104" s="503"/>
      <c r="F104" s="503"/>
      <c r="G104" s="503"/>
      <c r="H104" s="532"/>
      <c r="I104" s="532"/>
      <c r="J104" s="532"/>
      <c r="K104" s="533"/>
      <c r="L104" s="534"/>
      <c r="M104" s="535"/>
      <c r="N104" s="932"/>
      <c r="O104" s="932"/>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3"/>
      <c r="O105" s="933"/>
      <c r="P105" s="42"/>
      <c r="Q105" s="453"/>
    </row>
    <row r="106" spans="1:17" ht="15" thickTop="1">
      <c r="A106" s="548"/>
      <c r="B106" s="584" t="s">
        <v>1828</v>
      </c>
      <c r="C106" s="527" t="s">
        <v>1719</v>
      </c>
      <c r="D106" s="527" t="s">
        <v>1720</v>
      </c>
      <c r="E106" s="527" t="s">
        <v>1721</v>
      </c>
      <c r="F106" s="527" t="s">
        <v>1722</v>
      </c>
      <c r="G106" s="527" t="s">
        <v>1723</v>
      </c>
      <c r="H106" s="488"/>
      <c r="I106" s="488"/>
      <c r="J106" s="488"/>
      <c r="K106" s="489"/>
      <c r="L106" s="490"/>
      <c r="M106" s="491"/>
      <c r="N106" s="933"/>
      <c r="O106" s="933"/>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3"/>
      <c r="O107" s="933"/>
      <c r="P107" s="42"/>
      <c r="Q107" s="453"/>
    </row>
    <row r="108" spans="1:17" s="422" customFormat="1" ht="15" thickTop="1">
      <c r="A108" s="542"/>
      <c r="B108" s="487">
        <f>B38</f>
        <v>111</v>
      </c>
      <c r="C108" s="503"/>
      <c r="D108" s="503"/>
      <c r="E108" s="503"/>
      <c r="F108" s="503"/>
      <c r="G108" s="503"/>
      <c r="H108" s="504"/>
      <c r="I108" s="504"/>
      <c r="J108" s="504"/>
      <c r="K108" s="504"/>
      <c r="L108" s="505"/>
      <c r="M108" s="506"/>
      <c r="N108" s="934"/>
      <c r="O108" s="934"/>
      <c r="P108" s="507"/>
      <c r="Q108" s="508"/>
    </row>
    <row r="109" spans="1:17" s="422" customFormat="1" ht="15.75" thickBot="1">
      <c r="A109" s="502"/>
      <c r="B109" s="484"/>
      <c r="C109" s="509"/>
      <c r="D109" s="485"/>
      <c r="E109" s="485"/>
      <c r="F109" s="485"/>
      <c r="G109" s="509"/>
      <c r="H109" s="511"/>
      <c r="I109" s="511"/>
      <c r="J109" s="511"/>
      <c r="K109" s="511"/>
      <c r="L109" s="511"/>
      <c r="M109" s="512"/>
      <c r="N109" s="934"/>
      <c r="O109" s="934"/>
      <c r="P109" s="507"/>
      <c r="Q109" s="508"/>
    </row>
    <row r="110" spans="1:17" ht="15" thickTop="1">
      <c r="A110" s="548"/>
      <c r="B110" s="487">
        <f>B39</f>
        <v>111</v>
      </c>
      <c r="C110" s="503"/>
      <c r="D110" s="503"/>
      <c r="E110" s="503"/>
      <c r="F110" s="503"/>
      <c r="G110" s="503"/>
      <c r="H110" s="504"/>
      <c r="I110" s="504"/>
      <c r="J110" s="504"/>
      <c r="K110" s="504"/>
      <c r="L110" s="505"/>
      <c r="M110" s="506"/>
      <c r="N110" s="932"/>
      <c r="O110" s="932"/>
      <c r="P110" s="42"/>
      <c r="Q110" s="453"/>
    </row>
    <row r="111" spans="1:17" ht="15.75" thickBot="1">
      <c r="A111" s="483"/>
      <c r="B111" s="492"/>
      <c r="C111" s="509"/>
      <c r="D111" s="485"/>
      <c r="E111" s="485"/>
      <c r="F111" s="485"/>
      <c r="G111" s="509"/>
      <c r="H111" s="511"/>
      <c r="I111" s="511"/>
      <c r="J111" s="511"/>
      <c r="K111" s="511"/>
      <c r="L111" s="511"/>
      <c r="M111" s="512"/>
      <c r="N111" s="933"/>
      <c r="O111" s="933"/>
      <c r="P111" s="42"/>
      <c r="Q111" s="453"/>
    </row>
    <row r="112" spans="1:17" ht="15" thickTop="1">
      <c r="A112" s="548"/>
      <c r="B112" s="495">
        <f>B40</f>
        <v>111</v>
      </c>
      <c r="C112" s="472"/>
      <c r="D112" s="472"/>
      <c r="E112" s="472"/>
      <c r="F112" s="472"/>
      <c r="G112" s="536"/>
      <c r="H112" s="536"/>
      <c r="I112" s="536"/>
      <c r="J112" s="536"/>
      <c r="K112" s="472"/>
      <c r="L112" s="473"/>
      <c r="M112" s="539"/>
      <c r="N112" s="932"/>
      <c r="O112" s="932"/>
      <c r="P112" s="42"/>
      <c r="Q112" s="453"/>
    </row>
    <row r="113" spans="1:17" ht="15.75" thickBot="1">
      <c r="A113" s="1927"/>
      <c r="B113" s="518"/>
      <c r="C113" s="519"/>
      <c r="D113" s="519"/>
      <c r="E113" s="519"/>
      <c r="F113" s="519"/>
      <c r="G113" s="540"/>
      <c r="H113" s="540"/>
      <c r="I113" s="540"/>
      <c r="J113" s="540"/>
      <c r="K113" s="540"/>
      <c r="L113" s="540"/>
      <c r="M113" s="541"/>
      <c r="N113" s="933"/>
      <c r="O113" s="933"/>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38" priority="20" stopIfTrue="1" operator="containsText" text="超过">
      <formula>NOT(ISERROR(SEARCH("超过",F46)))</formula>
    </cfRule>
  </conditionalFormatting>
  <conditionalFormatting sqref="H48">
    <cfRule type="containsText" dxfId="137" priority="19" stopIfTrue="1" operator="containsText" text="超过">
      <formula>NOT(ISERROR(SEARCH("超过",H48)))</formula>
    </cfRule>
  </conditionalFormatting>
  <conditionalFormatting sqref="F48">
    <cfRule type="containsText" dxfId="136" priority="18" stopIfTrue="1" operator="containsText" text="超过">
      <formula>NOT(ISERROR(SEARCH("超过",F48)))</formula>
    </cfRule>
  </conditionalFormatting>
  <conditionalFormatting sqref="F47 H47">
    <cfRule type="containsText" dxfId="135" priority="17" stopIfTrue="1" operator="containsText" text="超过">
      <formula>NOT(ISERROR(SEARCH("超过",F47)))</formula>
    </cfRule>
  </conditionalFormatting>
  <conditionalFormatting sqref="E46">
    <cfRule type="expression" dxfId="134" priority="16" stopIfTrue="1">
      <formula>$F$46="超过30%"</formula>
    </cfRule>
  </conditionalFormatting>
  <conditionalFormatting sqref="E47">
    <cfRule type="expression" dxfId="133" priority="15" stopIfTrue="1">
      <formula>$F$47="超过20%"</formula>
    </cfRule>
  </conditionalFormatting>
  <conditionalFormatting sqref="E48">
    <cfRule type="expression" dxfId="132" priority="14" stopIfTrue="1">
      <formula>$F$48="超过30%"</formula>
    </cfRule>
  </conditionalFormatting>
  <conditionalFormatting sqref="G48">
    <cfRule type="expression" dxfId="131" priority="13" stopIfTrue="1">
      <formula>$H$48="超过30%"</formula>
    </cfRule>
  </conditionalFormatting>
  <conditionalFormatting sqref="G46">
    <cfRule type="expression" dxfId="130" priority="12" stopIfTrue="1">
      <formula>$H$46="超过30%"</formula>
    </cfRule>
  </conditionalFormatting>
  <conditionalFormatting sqref="G47">
    <cfRule type="expression" dxfId="129" priority="11" stopIfTrue="1">
      <formula>$H$47="超过20%"</formula>
    </cfRule>
  </conditionalFormatting>
  <conditionalFormatting sqref="J46">
    <cfRule type="containsText" dxfId="128" priority="10" stopIfTrue="1" operator="containsText" text="超过">
      <formula>NOT(ISERROR(SEARCH("超过",J46)))</formula>
    </cfRule>
  </conditionalFormatting>
  <conditionalFormatting sqref="J48">
    <cfRule type="containsText" dxfId="127" priority="9" stopIfTrue="1" operator="containsText" text="超过">
      <formula>NOT(ISERROR(SEARCH("超过",J48)))</formula>
    </cfRule>
  </conditionalFormatting>
  <conditionalFormatting sqref="J47">
    <cfRule type="containsText" dxfId="126" priority="8" stopIfTrue="1" operator="containsText" text="超过">
      <formula>NOT(ISERROR(SEARCH("超过",J47)))</formula>
    </cfRule>
  </conditionalFormatting>
  <conditionalFormatting sqref="I46">
    <cfRule type="expression" dxfId="125" priority="7" stopIfTrue="1">
      <formula>$J$46="超过30%"</formula>
    </cfRule>
  </conditionalFormatting>
  <conditionalFormatting sqref="I47">
    <cfRule type="expression" dxfId="124" priority="6" stopIfTrue="1">
      <formula>$J$47="超过20%"</formula>
    </cfRule>
  </conditionalFormatting>
  <conditionalFormatting sqref="I48">
    <cfRule type="expression" dxfId="123" priority="5" stopIfTrue="1">
      <formula>$J$48="超过30%"</formula>
    </cfRule>
  </conditionalFormatting>
  <conditionalFormatting sqref="F42">
    <cfRule type="expression" dxfId="122" priority="4">
      <formula>$D$42="简单平均"</formula>
    </cfRule>
  </conditionalFormatting>
  <conditionalFormatting sqref="H42">
    <cfRule type="expression" dxfId="121" priority="3">
      <formula>$D$42="简单平均"</formula>
    </cfRule>
  </conditionalFormatting>
  <conditionalFormatting sqref="J42">
    <cfRule type="expression" dxfId="120" priority="2">
      <formula>$D$42="简单平均"</formula>
    </cfRule>
  </conditionalFormatting>
  <conditionalFormatting sqref="F7:F40 H7:H40 J7:J40">
    <cfRule type="cellIs" dxfId="11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7" zoomScale="80" zoomScaleNormal="70" zoomScaleSheetLayoutView="80" workbookViewId="0">
      <selection activeCell="C43" sqref="C4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875</v>
      </c>
      <c r="B1" s="712"/>
      <c r="C1" s="1378" t="s">
        <v>3445</v>
      </c>
      <c r="D1" s="1361" t="s">
        <v>43</v>
      </c>
      <c r="E1" s="1362" t="s">
        <v>676</v>
      </c>
      <c r="F1" s="1061">
        <f ca="1">J53</f>
        <v>23.29</v>
      </c>
      <c r="G1" s="1377">
        <f>MATCH(C1,'数据-取费表'!A6:A16,0)+5</f>
        <v>6</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802</v>
      </c>
      <c r="B2" s="1385">
        <f ca="1">C40+J29+L46</f>
        <v>9435</v>
      </c>
      <c r="C2" s="1386" t="s">
        <v>803</v>
      </c>
      <c r="D2" s="1386"/>
      <c r="E2" s="1387"/>
      <c r="F2" s="1388"/>
      <c r="G2" s="2704"/>
      <c r="H2" s="2693"/>
      <c r="I2" s="2693"/>
      <c r="J2" s="2693"/>
      <c r="K2" s="2694"/>
      <c r="L2" s="2693"/>
      <c r="M2" s="2693"/>
    </row>
    <row r="3" spans="1:37" ht="18" customHeight="1" thickBot="1">
      <c r="A3" s="1389" t="s">
        <v>804</v>
      </c>
      <c r="B3" s="1390">
        <f ca="1">IF(ISERROR(B2*10000/F43),0,ROUND(B2*10000/F43,0))</f>
        <v>25144</v>
      </c>
      <c r="C3" s="1386" t="s">
        <v>805</v>
      </c>
      <c r="D3" s="1386"/>
      <c r="E3" s="1387"/>
      <c r="F3" s="1388"/>
      <c r="G3" s="2704"/>
      <c r="H3" s="682" t="s">
        <v>874</v>
      </c>
      <c r="I3" s="1381"/>
      <c r="J3" s="1381"/>
      <c r="K3" s="1382"/>
      <c r="L3" s="1381"/>
      <c r="M3" s="1381"/>
    </row>
    <row r="4" spans="1:37" ht="18" customHeight="1">
      <c r="A4" s="295" t="s">
        <v>685</v>
      </c>
      <c r="B4" s="296" t="s">
        <v>686</v>
      </c>
      <c r="C4" s="296" t="s">
        <v>687</v>
      </c>
      <c r="D4" s="296" t="s">
        <v>688</v>
      </c>
      <c r="E4" s="297" t="s">
        <v>689</v>
      </c>
      <c r="F4" s="298"/>
      <c r="G4" s="1383"/>
      <c r="H4" s="295" t="s">
        <v>685</v>
      </c>
      <c r="I4" s="296" t="s">
        <v>686</v>
      </c>
      <c r="J4" s="296" t="s">
        <v>687</v>
      </c>
      <c r="K4" s="296" t="s">
        <v>688</v>
      </c>
      <c r="L4" s="297" t="s">
        <v>689</v>
      </c>
      <c r="M4" s="298"/>
    </row>
    <row r="5" spans="1:37" ht="18" customHeight="1">
      <c r="A5" s="299">
        <v>1</v>
      </c>
      <c r="B5" s="300" t="s">
        <v>690</v>
      </c>
      <c r="C5" s="1069">
        <f ca="1">C6+C10+C12</f>
        <v>707</v>
      </c>
      <c r="D5" s="1363" t="s">
        <v>691</v>
      </c>
      <c r="E5" s="1070"/>
      <c r="F5" s="1071"/>
      <c r="G5" s="1383"/>
      <c r="H5" s="299">
        <v>1</v>
      </c>
      <c r="I5" s="300" t="s">
        <v>690</v>
      </c>
      <c r="J5" s="1069">
        <f ca="1">J6+J10+J12</f>
        <v>0</v>
      </c>
      <c r="K5" s="1363" t="s">
        <v>691</v>
      </c>
      <c r="L5" s="1070"/>
      <c r="M5" s="1071"/>
    </row>
    <row r="6" spans="1:37" ht="18" customHeight="1">
      <c r="A6" s="1068" t="s">
        <v>398</v>
      </c>
      <c r="B6" s="4079" t="s">
        <v>692</v>
      </c>
      <c r="C6" s="1073">
        <f ca="1">ROUND(F6*F8*F7*(1-F9)/10000,0)</f>
        <v>706</v>
      </c>
      <c r="D6" s="155" t="s">
        <v>2106</v>
      </c>
      <c r="E6" s="302" t="s">
        <v>694</v>
      </c>
      <c r="F6" s="303">
        <f ca="1">INDIRECT("'数据-取费表'!u"&amp;$G$1)</f>
        <v>5.6</v>
      </c>
      <c r="G6" s="1383"/>
      <c r="H6" s="1068" t="s">
        <v>398</v>
      </c>
      <c r="I6" s="4079" t="s">
        <v>692</v>
      </c>
      <c r="J6" s="301">
        <f ca="1">ROUND(M6*M8*M7*(1-M9)/10000,0)</f>
        <v>0</v>
      </c>
      <c r="K6" s="155" t="s">
        <v>2105</v>
      </c>
      <c r="L6" s="302" t="s">
        <v>694</v>
      </c>
      <c r="M6" s="303">
        <f ca="1">INDIRECT("'数据-取费表'!z"&amp;$G$1)</f>
        <v>0</v>
      </c>
    </row>
    <row r="7" spans="1:37" ht="18" customHeight="1">
      <c r="A7" s="1072"/>
      <c r="B7" s="4080"/>
      <c r="C7" s="1074"/>
      <c r="D7" s="307"/>
      <c r="E7" s="1075" t="s">
        <v>695</v>
      </c>
      <c r="F7" s="303">
        <f ca="1">IF(INDIRECT("'数据-取费表'!ah"&amp;$G$1)="",INDIRECT("'数据-取费表'!k"&amp;$G$1),INDIRECT("'数据-取费表'!ah"&amp;$G$1))</f>
        <v>3752.39</v>
      </c>
      <c r="G7" s="1383"/>
      <c r="H7" s="304"/>
      <c r="I7" s="4080"/>
      <c r="J7" s="306"/>
      <c r="K7" s="307"/>
      <c r="L7" s="302" t="s">
        <v>695</v>
      </c>
      <c r="M7" s="303">
        <f ca="1">F7</f>
        <v>3752.39</v>
      </c>
    </row>
    <row r="8" spans="1:37" ht="18" customHeight="1">
      <c r="A8" s="304"/>
      <c r="B8" s="4080"/>
      <c r="C8" s="306"/>
      <c r="D8" s="307"/>
      <c r="E8" s="302" t="s">
        <v>696</v>
      </c>
      <c r="F8" s="303">
        <f ca="1">INDIRECT("'数据-取费表'!ai"&amp;$G$1)</f>
        <v>365</v>
      </c>
      <c r="G8" s="1383"/>
      <c r="H8" s="304"/>
      <c r="I8" s="4080"/>
      <c r="J8" s="306"/>
      <c r="K8" s="307"/>
      <c r="L8" s="302" t="s">
        <v>696</v>
      </c>
      <c r="M8" s="303">
        <f ca="1">INDIRECT("'数据-取费表'!ai"&amp;$G$1)</f>
        <v>365</v>
      </c>
    </row>
    <row r="9" spans="1:37" ht="18" customHeight="1">
      <c r="A9" s="304"/>
      <c r="B9" s="4081"/>
      <c r="C9" s="306"/>
      <c r="D9" s="307"/>
      <c r="E9" s="302" t="s">
        <v>697</v>
      </c>
      <c r="F9" s="312">
        <f ca="1">INDIRECT("'数据-取费表'!w"&amp;$G$1)</f>
        <v>0.08</v>
      </c>
      <c r="G9" s="1383"/>
      <c r="H9" s="304"/>
      <c r="I9" s="4081"/>
      <c r="J9" s="306"/>
      <c r="K9" s="307"/>
      <c r="L9" s="313" t="s">
        <v>697</v>
      </c>
      <c r="M9" s="314">
        <f ca="1">INDIRECT("'数据-取费表'!ab"&amp;$G$1)</f>
        <v>0</v>
      </c>
    </row>
    <row r="10" spans="1:37" ht="18" customHeight="1">
      <c r="A10" s="1068" t="s">
        <v>402</v>
      </c>
      <c r="B10" s="1364" t="s">
        <v>698</v>
      </c>
      <c r="C10" s="316">
        <f ca="1">ROUND(IF(F10="押一",C6/12*F11,IF(F10="押二",C6/12*2*F11,IF(F10="押三",C6/12*3*F11,C11*F11))),0)</f>
        <v>1</v>
      </c>
      <c r="D10" s="1365" t="s">
        <v>2114</v>
      </c>
      <c r="E10" s="313" t="s">
        <v>699</v>
      </c>
      <c r="F10" s="1115" t="s">
        <v>3450</v>
      </c>
      <c r="G10" s="1383"/>
      <c r="H10" s="1068" t="s">
        <v>402</v>
      </c>
      <c r="I10" s="1364" t="s">
        <v>698</v>
      </c>
      <c r="J10" s="301">
        <f ca="1">ROUND(IF(M10="押一",J6/12*M11,IF(M10="押二",J6/12*2*M11,IF(M10="押三",J6/12*3*M11,J11*M11))),0)</f>
        <v>0</v>
      </c>
      <c r="K10" s="1365" t="s">
        <v>2113</v>
      </c>
      <c r="L10" s="313" t="s">
        <v>699</v>
      </c>
      <c r="M10" s="1115"/>
    </row>
    <row r="11" spans="1:37" ht="18" customHeight="1">
      <c r="A11" s="308"/>
      <c r="B11" s="1366" t="s">
        <v>677</v>
      </c>
      <c r="C11" s="958"/>
      <c r="D11" s="1367"/>
      <c r="E11" s="313" t="s">
        <v>700</v>
      </c>
      <c r="F11" s="314">
        <f ca="1">'数据-取费表'!B39</f>
        <v>1.4999999999999999E-2</v>
      </c>
      <c r="G11" s="1383"/>
      <c r="H11" s="1076"/>
      <c r="I11" s="1366" t="s">
        <v>677</v>
      </c>
      <c r="J11" s="958"/>
      <c r="K11" s="683"/>
      <c r="L11" s="313" t="s">
        <v>700</v>
      </c>
      <c r="M11" s="861">
        <f ca="1">'数据-取费表'!B39</f>
        <v>1.4999999999999999E-2</v>
      </c>
    </row>
    <row r="12" spans="1:37" ht="18" customHeight="1" thickBot="1">
      <c r="A12" s="1082" t="s">
        <v>437</v>
      </c>
      <c r="B12" s="1368" t="s">
        <v>701</v>
      </c>
      <c r="C12" s="1083"/>
      <c r="D12" s="1084"/>
      <c r="E12" s="1089"/>
      <c r="F12" s="1085"/>
      <c r="G12" s="1383"/>
      <c r="H12" s="1082" t="s">
        <v>437</v>
      </c>
      <c r="I12" s="1368" t="s">
        <v>701</v>
      </c>
      <c r="J12" s="1083"/>
      <c r="K12" s="1097"/>
      <c r="L12" s="1089"/>
      <c r="M12" s="1098"/>
    </row>
    <row r="13" spans="1:37" ht="18" customHeight="1" thickTop="1">
      <c r="A13" s="1078">
        <v>2</v>
      </c>
      <c r="B13" s="1079" t="s">
        <v>702</v>
      </c>
      <c r="C13" s="310">
        <f ca="1">ROUND(C29*F13,0)</f>
        <v>1800</v>
      </c>
      <c r="D13" s="1080" t="s">
        <v>703</v>
      </c>
      <c r="E13" s="1080" t="s">
        <v>704</v>
      </c>
      <c r="F13" s="1081">
        <f ca="1">INDIRECT("'数据-取费表'!y"&amp;$G$1)</f>
        <v>0.73099999999999987</v>
      </c>
      <c r="G13" s="1383"/>
      <c r="H13" s="1078">
        <v>2</v>
      </c>
      <c r="I13" s="1079" t="s">
        <v>702</v>
      </c>
      <c r="J13" s="1067">
        <f ca="1">ROUND(J14*J15,0)</f>
        <v>0</v>
      </c>
      <c r="K13" s="1086" t="s">
        <v>703</v>
      </c>
      <c r="L13" s="1391"/>
      <c r="M13" s="1392"/>
    </row>
    <row r="14" spans="1:37" ht="18" customHeight="1">
      <c r="A14" s="981" t="s">
        <v>397</v>
      </c>
      <c r="B14" s="302" t="s">
        <v>705</v>
      </c>
      <c r="C14" s="318">
        <f ca="1">INDIRECT("'数据-取费表'!m"&amp;$G$1)+INDIRECT("'数据-取费表'!t"&amp;$G$1)</f>
        <v>1689</v>
      </c>
      <c r="D14" s="1344" t="s">
        <v>706</v>
      </c>
      <c r="E14" s="1341"/>
      <c r="F14" s="319"/>
      <c r="G14" s="1383"/>
      <c r="H14" s="981" t="s">
        <v>398</v>
      </c>
      <c r="I14" s="302" t="s">
        <v>707</v>
      </c>
      <c r="J14" s="21">
        <f ca="1">C29</f>
        <v>2462</v>
      </c>
      <c r="K14" s="12"/>
      <c r="L14" s="806"/>
      <c r="M14" s="807"/>
    </row>
    <row r="15" spans="1:37" s="1396" customFormat="1" ht="18" customHeight="1" thickBot="1">
      <c r="A15" s="981" t="s">
        <v>399</v>
      </c>
      <c r="B15" s="302" t="s">
        <v>708</v>
      </c>
      <c r="C15" s="21">
        <f ca="1">ROUND(C14*F15,0)</f>
        <v>84</v>
      </c>
      <c r="D15" s="320" t="s">
        <v>709</v>
      </c>
      <c r="E15" s="320" t="s">
        <v>710</v>
      </c>
      <c r="F15" s="321">
        <f>'数据-取费表'!B33</f>
        <v>0.05</v>
      </c>
      <c r="G15" s="1395"/>
      <c r="H15" s="1088" t="s">
        <v>402</v>
      </c>
      <c r="I15" s="1089" t="s">
        <v>704</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678</v>
      </c>
      <c r="B16" s="302" t="s">
        <v>711</v>
      </c>
      <c r="C16" s="21">
        <f ca="1">ROUND(INDIRECT("'数据-取费表'!m"&amp;$G$1)*F16,0)</f>
        <v>0</v>
      </c>
      <c r="D16" s="302" t="s">
        <v>709</v>
      </c>
      <c r="E16" s="302" t="s">
        <v>710</v>
      </c>
      <c r="F16" s="322">
        <f ca="1">IF(INDIRECT("'数据-取费表'!c"&amp;$G$1)="住宅",'数据-取费表'!B34,0)</f>
        <v>0</v>
      </c>
      <c r="G16" s="1383"/>
      <c r="H16" s="1078" t="s">
        <v>393</v>
      </c>
      <c r="I16" s="1079" t="s">
        <v>712</v>
      </c>
      <c r="J16" s="310">
        <f ca="1">ROUND(J17+J22+J23+J24,0)</f>
        <v>13</v>
      </c>
      <c r="K16" s="1086" t="s">
        <v>713</v>
      </c>
      <c r="L16" s="1087"/>
      <c r="M16" s="1071"/>
    </row>
    <row r="17" spans="1:37" s="1396" customFormat="1" ht="18" customHeight="1">
      <c r="A17" s="981" t="s">
        <v>679</v>
      </c>
      <c r="B17" s="302" t="s">
        <v>714</v>
      </c>
      <c r="C17" s="21">
        <f ca="1">ROUND(F17*(F43+INDIRECT("'数据-取费表'!S"&amp;$G$1))/10000,0)</f>
        <v>75</v>
      </c>
      <c r="D17" s="302" t="s">
        <v>715</v>
      </c>
      <c r="E17" s="302" t="s">
        <v>716</v>
      </c>
      <c r="F17" s="23">
        <f>'数据-取费表'!B35</f>
        <v>200</v>
      </c>
      <c r="G17" s="1395"/>
      <c r="H17" s="981" t="s">
        <v>398</v>
      </c>
      <c r="I17" s="302" t="s">
        <v>717</v>
      </c>
      <c r="J17" s="2315">
        <f ca="1">ROUND(IF(AND(项目基本情况!B11="自然人",项目基本情况!B10="北京市"),J6*M17/(1+'数据-取费表'!C42),J18+J19+J20),2)</f>
        <v>0.98</v>
      </c>
      <c r="K17" s="1344" t="s">
        <v>718</v>
      </c>
      <c r="L17" s="1343" t="s">
        <v>719</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680</v>
      </c>
      <c r="B18" s="302" t="s">
        <v>720</v>
      </c>
      <c r="C18" s="21">
        <f ca="1">ROUND(C14*F18,0)</f>
        <v>34</v>
      </c>
      <c r="D18" s="302" t="s">
        <v>709</v>
      </c>
      <c r="E18" s="302" t="s">
        <v>710</v>
      </c>
      <c r="F18" s="322">
        <f>'数据-取费表'!B36</f>
        <v>0.02</v>
      </c>
      <c r="G18" s="1395"/>
      <c r="H18" s="981" t="s">
        <v>397</v>
      </c>
      <c r="I18" s="302" t="s">
        <v>721</v>
      </c>
      <c r="J18" s="21">
        <f ca="1">ROUND(J6*M18/(1+'数据-取费表'!C42),2)</f>
        <v>0</v>
      </c>
      <c r="K18" s="1343" t="s">
        <v>722</v>
      </c>
      <c r="L18" s="302" t="s">
        <v>710</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723</v>
      </c>
      <c r="C19" s="21">
        <f ca="1">SUM(C14:C18)</f>
        <v>1882</v>
      </c>
      <c r="D19" s="131" t="s">
        <v>724</v>
      </c>
      <c r="E19" s="1359"/>
      <c r="F19" s="23"/>
      <c r="G19" s="1383"/>
      <c r="H19" s="981" t="s">
        <v>399</v>
      </c>
      <c r="I19" s="302" t="s">
        <v>725</v>
      </c>
      <c r="J19" s="21">
        <f ca="1">IF(K19="按租金收入计税",ROUND(J6*M19/(1+'数据-取费表'!C42),2),ROUND(C29*M19*0.7,2))</f>
        <v>0</v>
      </c>
      <c r="K19" s="1369" t="s">
        <v>3335</v>
      </c>
      <c r="L19" s="302" t="s">
        <v>710</v>
      </c>
      <c r="M19" s="322">
        <f>IF(K19="按租金收入计税",'数据-取费表'!B51,'数据-取费表'!B50)</f>
        <v>0.12</v>
      </c>
    </row>
    <row r="20" spans="1:37" s="1396" customFormat="1" ht="18" customHeight="1">
      <c r="A20" s="981" t="s">
        <v>402</v>
      </c>
      <c r="B20" s="302" t="s">
        <v>726</v>
      </c>
      <c r="C20" s="21">
        <f ca="1">ROUND(C19*F20,0)</f>
        <v>38</v>
      </c>
      <c r="D20" s="323" t="s">
        <v>727</v>
      </c>
      <c r="E20" s="302" t="s">
        <v>710</v>
      </c>
      <c r="F20" s="322">
        <f>'数据-取费表'!B37</f>
        <v>0.02</v>
      </c>
      <c r="G20" s="1395"/>
      <c r="H20" s="981" t="s">
        <v>678</v>
      </c>
      <c r="I20" s="155" t="s">
        <v>728</v>
      </c>
      <c r="J20" s="22">
        <f ca="1">ROUND(M20*M21/10000,2)</f>
        <v>0.98</v>
      </c>
      <c r="K20" s="324" t="s">
        <v>729</v>
      </c>
      <c r="L20" s="302" t="s">
        <v>730</v>
      </c>
      <c r="M20" s="325">
        <f>'数据-取费表'!B52</f>
        <v>24</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731</v>
      </c>
      <c r="C21" s="21" t="s">
        <v>15</v>
      </c>
      <c r="D21" s="323" t="s">
        <v>732</v>
      </c>
      <c r="E21" s="302" t="s">
        <v>733</v>
      </c>
      <c r="F21" s="322">
        <f>'数据-取费表'!B38</f>
        <v>0.02</v>
      </c>
      <c r="G21" s="1395"/>
      <c r="H21" s="326"/>
      <c r="I21" s="311"/>
      <c r="J21" s="26"/>
      <c r="K21" s="327"/>
      <c r="L21" s="302" t="s">
        <v>734</v>
      </c>
      <c r="M21" s="303">
        <f ca="1">INDIRECT("'数据-取费表'!r"&amp;$G$1)</f>
        <v>406.73</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681</v>
      </c>
      <c r="B22" s="302" t="s">
        <v>735</v>
      </c>
      <c r="C22" s="21"/>
      <c r="D22" s="131" t="str">
        <f>IF(F23&lt;=1,"单利计息。","复利计息。")&amp;"建造成本、管理费用、销售费用产生的利息。"</f>
        <v>复利计息。建造成本、管理费用、销售费用产生的利息。</v>
      </c>
      <c r="E22" s="1359"/>
      <c r="F22" s="23"/>
      <c r="G22" s="1383"/>
      <c r="H22" s="981" t="s">
        <v>402</v>
      </c>
      <c r="I22" s="302" t="s">
        <v>736</v>
      </c>
      <c r="J22" s="21">
        <f ca="1">ROUND(J14*M22,2)</f>
        <v>12.31</v>
      </c>
      <c r="K22" s="1343" t="s">
        <v>737</v>
      </c>
      <c r="L22" s="302" t="s">
        <v>710</v>
      </c>
      <c r="M22" s="328">
        <f ca="1">INDIRECT("'数据-取费表'!Ak"&amp;$G$1)</f>
        <v>5.0000000000000001E-3</v>
      </c>
    </row>
    <row r="23" spans="1:37" s="1396" customFormat="1" ht="18" customHeight="1">
      <c r="A23" s="981" t="s">
        <v>397</v>
      </c>
      <c r="B23" s="302" t="s">
        <v>738</v>
      </c>
      <c r="C23" s="21">
        <f ca="1">IF('数据-取费表'!B22&lt;=1,ROUND(C19*F24*F23/2,0)+ROUND(C20*F24*F23/2,0),ROUND(C19*(POWER((1+F24),F23/2)-1),0)+ROUND(C20*(POWER((1+F24),F23/2)-1),0))</f>
        <v>64</v>
      </c>
      <c r="D23" s="329" t="str">
        <f>IF(F23&lt;=1,"(建造成本+管理费用)×利率×(建设周期÷2)","(建造成本+管理费用)×((1+利率)^(建设周期÷2)-1)")</f>
        <v>(建造成本+管理费用)×((1+利率)^(建设周期÷2)-1)</v>
      </c>
      <c r="E23" s="302" t="s">
        <v>739</v>
      </c>
      <c r="F23" s="325">
        <f>'数据-取费表'!B20</f>
        <v>2</v>
      </c>
      <c r="G23" s="1395"/>
      <c r="H23" s="981" t="s">
        <v>437</v>
      </c>
      <c r="I23" s="302" t="s">
        <v>740</v>
      </c>
      <c r="J23" s="21">
        <f ca="1">ROUND(J13*M23,2)</f>
        <v>0</v>
      </c>
      <c r="K23" s="1343" t="s">
        <v>741</v>
      </c>
      <c r="L23" s="302" t="s">
        <v>742</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743</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3.3500000000000002E-2</v>
      </c>
      <c r="G24" s="1395"/>
      <c r="H24" s="1088" t="s">
        <v>682</v>
      </c>
      <c r="I24" s="1089" t="s">
        <v>726</v>
      </c>
      <c r="J24" s="1090">
        <f ca="1">ROUND(J5*M24,2)</f>
        <v>0</v>
      </c>
      <c r="K24" s="1091" t="s">
        <v>746</v>
      </c>
      <c r="L24" s="1089" t="s">
        <v>742</v>
      </c>
      <c r="M24" s="1085">
        <f ca="1">INDIRECT("'数据-取费表'!Am"&amp;$G$1)</f>
        <v>0.01</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747</v>
      </c>
      <c r="B25" s="302" t="s">
        <v>748</v>
      </c>
      <c r="C25" s="21"/>
      <c r="D25" s="131" t="s">
        <v>749</v>
      </c>
      <c r="E25" s="1359"/>
      <c r="F25" s="23"/>
      <c r="G25" s="1383"/>
      <c r="H25" s="1078" t="s">
        <v>394</v>
      </c>
      <c r="I25" s="1093" t="s">
        <v>750</v>
      </c>
      <c r="J25" s="310">
        <f ca="1">J5-J16</f>
        <v>-13</v>
      </c>
      <c r="K25" s="1094" t="s">
        <v>751</v>
      </c>
      <c r="L25" s="1095"/>
      <c r="M25" s="1096"/>
    </row>
    <row r="26" spans="1:37">
      <c r="A26" s="981" t="s">
        <v>397</v>
      </c>
      <c r="B26" s="302" t="s">
        <v>752</v>
      </c>
      <c r="C26" s="21">
        <f ca="1">ROUND((C19+C20)*F26,0)</f>
        <v>288</v>
      </c>
      <c r="D26" s="323" t="s">
        <v>753</v>
      </c>
      <c r="E26" s="313" t="s">
        <v>754</v>
      </c>
      <c r="F26" s="312">
        <f ca="1">INDIRECT("'数据-取费表'!q"&amp;$G$1)</f>
        <v>0.15</v>
      </c>
      <c r="G26" s="1383"/>
      <c r="H26" s="299" t="s">
        <v>395</v>
      </c>
      <c r="I26" s="300" t="s">
        <v>755</v>
      </c>
      <c r="J26" s="301">
        <f ca="1">IF(J5&lt;&gt;0,ROUND(J25*(1-((1+M28)/(1+M26))^M27)/(M26-M28),0),0)</f>
        <v>0</v>
      </c>
      <c r="K26" s="324" t="s">
        <v>756</v>
      </c>
      <c r="L26" s="302" t="s">
        <v>757</v>
      </c>
      <c r="M26" s="312">
        <f ca="1">INDIRECT("'数据-取费表'!I"&amp;$G$1)</f>
        <v>5.5E-2</v>
      </c>
    </row>
    <row r="27" spans="1:37" ht="18" customHeight="1">
      <c r="A27" s="981" t="s">
        <v>399</v>
      </c>
      <c r="B27" s="302" t="s">
        <v>758</v>
      </c>
      <c r="C27" s="21">
        <f ca="1">ROUND(F21*F26,4)</f>
        <v>3.0000000000000001E-3</v>
      </c>
      <c r="D27" s="323" t="s">
        <v>759</v>
      </c>
      <c r="E27" s="320"/>
      <c r="F27" s="321"/>
      <c r="G27" s="1383"/>
      <c r="H27" s="304"/>
      <c r="I27" s="305"/>
      <c r="J27" s="306"/>
      <c r="K27" s="332" t="s">
        <v>760</v>
      </c>
      <c r="L27" s="302" t="s">
        <v>761</v>
      </c>
      <c r="M27" s="333">
        <f ca="1">INDIRECT("'数据-取费表'!ag"&amp;$G$1)</f>
        <v>0</v>
      </c>
    </row>
    <row r="28" spans="1:37" s="1396" customFormat="1" ht="18" customHeight="1">
      <c r="A28" s="981" t="s">
        <v>400</v>
      </c>
      <c r="B28" s="302" t="s">
        <v>762</v>
      </c>
      <c r="C28" s="21">
        <f>ROUND(F28/(1+'数据-取费表'!C42),4)</f>
        <v>5.33E-2</v>
      </c>
      <c r="D28" s="323" t="s">
        <v>763</v>
      </c>
      <c r="E28" s="302" t="s">
        <v>710</v>
      </c>
      <c r="F28" s="322">
        <f>'数据-取费表'!B41</f>
        <v>5.6000000000000001E-2</v>
      </c>
      <c r="G28" s="1395"/>
      <c r="H28" s="308"/>
      <c r="I28" s="309"/>
      <c r="J28" s="310"/>
      <c r="K28" s="327"/>
      <c r="L28" s="302" t="s">
        <v>764</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765</v>
      </c>
      <c r="C29" s="1090">
        <f ca="1">ROUND((C19+C20+C23+C26)/(1-F21-C24-C27-C28),0)</f>
        <v>2462</v>
      </c>
      <c r="D29" s="1091"/>
      <c r="E29" s="1089"/>
      <c r="F29" s="1092"/>
      <c r="G29" s="1395"/>
      <c r="H29" s="334" t="s">
        <v>396</v>
      </c>
      <c r="I29" s="335" t="s">
        <v>766</v>
      </c>
      <c r="J29" s="336">
        <f ca="1">ROUND(J26/(1+F40)^F41,0)</f>
        <v>0</v>
      </c>
      <c r="K29" s="337" t="s">
        <v>767</v>
      </c>
      <c r="L29" s="338"/>
      <c r="M29" s="339">
        <f ca="1">INDIRECT("'数据-取费表'!k"&amp;$G$1)</f>
        <v>3752.39</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712</v>
      </c>
      <c r="C30" s="310">
        <f ca="1">ROUND(C31+C36+C37+C38,0)</f>
        <v>141</v>
      </c>
      <c r="D30" s="1086" t="s">
        <v>713</v>
      </c>
      <c r="E30" s="1087"/>
      <c r="F30" s="1071"/>
      <c r="G30" s="1383"/>
      <c r="H30" s="2695"/>
      <c r="I30" s="1397"/>
      <c r="J30" s="1398"/>
      <c r="K30" s="2473"/>
      <c r="L30" s="2696"/>
      <c r="M30" s="2697"/>
    </row>
    <row r="31" spans="1:37" ht="18" customHeight="1">
      <c r="A31" s="981" t="s">
        <v>398</v>
      </c>
      <c r="B31" s="302" t="s">
        <v>717</v>
      </c>
      <c r="C31" s="2315">
        <f ca="1">ROUND(IF(AND(项目基本情况!B11="自然人",项目基本情况!B10="北京市"),C6*F31/(1+'数据-取费表'!C42),C32+C33+C34),2)</f>
        <v>119.32</v>
      </c>
      <c r="D31" s="1344" t="s">
        <v>718</v>
      </c>
      <c r="E31" s="1343" t="s">
        <v>768</v>
      </c>
      <c r="F31" s="2314" t="str">
        <f>IF(项目基本情况!B11="企业","——",IF(M47="住宅",IF(F6*F7*F8/12/(1+'数据-取费表'!F30)&gt;100000,4%,2.5%),IF(F6*F7*F8/12/(1+'数据-取费表'!F30)&gt;100000,12%,7%)))</f>
        <v>——</v>
      </c>
      <c r="G31" s="1383"/>
      <c r="H31" s="2806" t="s">
        <v>2305</v>
      </c>
      <c r="I31" s="1397"/>
      <c r="J31" s="1398"/>
      <c r="K31" s="2473"/>
      <c r="L31" s="2696"/>
      <c r="M31" s="2697"/>
    </row>
    <row r="32" spans="1:37" ht="18" customHeight="1">
      <c r="A32" s="981" t="s">
        <v>397</v>
      </c>
      <c r="B32" s="302" t="s">
        <v>721</v>
      </c>
      <c r="C32" s="21">
        <f ca="1">IF(项目基本情况!B11="自然人","——",ROUND(C6*F32/(1+'数据-取费表'!C42),2))</f>
        <v>37.65</v>
      </c>
      <c r="D32" s="1343" t="s">
        <v>722</v>
      </c>
      <c r="E32" s="302" t="s">
        <v>710</v>
      </c>
      <c r="F32" s="331">
        <f>'数据-取费表'!B41</f>
        <v>5.6000000000000001E-2</v>
      </c>
      <c r="G32" s="1383"/>
      <c r="H32" s="2695"/>
      <c r="I32" s="1397"/>
      <c r="J32" s="1398"/>
      <c r="K32" s="2473"/>
      <c r="L32" s="2696"/>
      <c r="M32" s="2697"/>
    </row>
    <row r="33" spans="1:18" ht="18" customHeight="1">
      <c r="A33" s="981" t="s">
        <v>399</v>
      </c>
      <c r="B33" s="302" t="s">
        <v>725</v>
      </c>
      <c r="C33" s="21">
        <f ca="1">IF(项目基本情况!B11="自然人","——",IF(D33="按租金收入计税",ROUND(C6*F33/(1+'数据-取费表'!C42),2),IF(D33="按房产原值计税",ROUND(C29*F33*0.7,2),INDIRECT("'数据-取费表'!Aj"&amp;$G$1))))</f>
        <v>80.69</v>
      </c>
      <c r="D33" s="1369" t="s">
        <v>3335</v>
      </c>
      <c r="E33" s="302" t="s">
        <v>710</v>
      </c>
      <c r="F33" s="322">
        <f>IF(D33="按票据","——",IF(D33="按租金收入计税",'数据-取费表'!B51,'数据-取费表'!B50))</f>
        <v>0.12</v>
      </c>
      <c r="G33" s="1383"/>
      <c r="H33" s="2698"/>
      <c r="I33" s="1397"/>
      <c r="J33" s="1398"/>
      <c r="K33" s="2699"/>
      <c r="L33" s="2698"/>
      <c r="M33" s="2698"/>
    </row>
    <row r="34" spans="1:18" ht="18" customHeight="1">
      <c r="A34" s="1068" t="s">
        <v>678</v>
      </c>
      <c r="B34" s="155" t="s">
        <v>728</v>
      </c>
      <c r="C34" s="22">
        <f ca="1">IF(项目基本情况!B11="自然人","——",ROUND(F34*F35/10000,2))</f>
        <v>0.98</v>
      </c>
      <c r="D34" s="324" t="s">
        <v>729</v>
      </c>
      <c r="E34" s="302" t="s">
        <v>730</v>
      </c>
      <c r="F34" s="325">
        <f>'数据-取费表'!B52</f>
        <v>24</v>
      </c>
      <c r="G34" s="1383"/>
      <c r="H34" s="2695"/>
      <c r="I34" s="1397"/>
      <c r="J34" s="1398"/>
      <c r="K34" s="2700"/>
      <c r="L34" s="2701"/>
      <c r="M34" s="2701"/>
    </row>
    <row r="35" spans="1:18" ht="18" customHeight="1">
      <c r="A35" s="1102"/>
      <c r="B35" s="1100"/>
      <c r="C35" s="26"/>
      <c r="D35" s="327"/>
      <c r="E35" s="302" t="s">
        <v>734</v>
      </c>
      <c r="F35" s="303">
        <f ca="1">INDIRECT("'数据-取费表'!r"&amp;$G$1)</f>
        <v>406.73</v>
      </c>
      <c r="G35" s="1383"/>
      <c r="H35" s="2695"/>
      <c r="I35" s="1397"/>
      <c r="J35" s="1398"/>
      <c r="K35" s="2699"/>
      <c r="L35" s="2698"/>
      <c r="M35" s="2698"/>
    </row>
    <row r="36" spans="1:18" ht="18" customHeight="1">
      <c r="A36" s="1101" t="s">
        <v>402</v>
      </c>
      <c r="B36" s="302" t="s">
        <v>736</v>
      </c>
      <c r="C36" s="21">
        <f ca="1">ROUND(C29*F36,2)</f>
        <v>12.31</v>
      </c>
      <c r="D36" s="1343" t="s">
        <v>769</v>
      </c>
      <c r="E36" s="302" t="s">
        <v>710</v>
      </c>
      <c r="F36" s="328">
        <f ca="1">INDIRECT("'数据-取费表'!Ak"&amp;$G$1)</f>
        <v>5.0000000000000001E-3</v>
      </c>
      <c r="G36" s="1383"/>
      <c r="H36" s="2698"/>
      <c r="I36" s="1397"/>
      <c r="J36" s="1398"/>
      <c r="K36" s="2542"/>
      <c r="L36" s="2698"/>
      <c r="M36" s="2698"/>
    </row>
    <row r="37" spans="1:18" ht="18" customHeight="1">
      <c r="A37" s="981" t="s">
        <v>437</v>
      </c>
      <c r="B37" s="302" t="s">
        <v>740</v>
      </c>
      <c r="C37" s="21">
        <f ca="1">ROUND(C13*F37,2)</f>
        <v>1.8</v>
      </c>
      <c r="D37" s="1343" t="s">
        <v>741</v>
      </c>
      <c r="E37" s="302" t="s">
        <v>742</v>
      </c>
      <c r="F37" s="330">
        <f ca="1">INDIRECT("'数据-取费表'!Al"&amp;$G$1)</f>
        <v>1E-3</v>
      </c>
      <c r="G37" s="1383"/>
      <c r="H37" s="2698"/>
      <c r="I37" s="1397"/>
      <c r="J37" s="1398"/>
      <c r="K37" s="2542"/>
      <c r="L37" s="2698"/>
      <c r="M37" s="2698"/>
    </row>
    <row r="38" spans="1:18" ht="18" customHeight="1" thickBot="1">
      <c r="A38" s="1088" t="s">
        <v>682</v>
      </c>
      <c r="B38" s="1089" t="s">
        <v>726</v>
      </c>
      <c r="C38" s="1090">
        <f ca="1">ROUND(C5*F38,2)</f>
        <v>7.07</v>
      </c>
      <c r="D38" s="1091" t="s">
        <v>746</v>
      </c>
      <c r="E38" s="1089" t="s">
        <v>742</v>
      </c>
      <c r="F38" s="1085">
        <f ca="1">INDIRECT("'数据-取费表'!Am"&amp;$G$1)</f>
        <v>0.01</v>
      </c>
      <c r="G38" s="1383"/>
      <c r="H38" s="2698"/>
      <c r="I38" s="1397"/>
      <c r="J38" s="1398"/>
      <c r="K38" s="2702"/>
      <c r="L38" s="2698"/>
      <c r="M38" s="2698"/>
    </row>
    <row r="39" spans="1:18" ht="24.6" customHeight="1" thickTop="1">
      <c r="A39" s="1078" t="s">
        <v>394</v>
      </c>
      <c r="B39" s="1093" t="s">
        <v>770</v>
      </c>
      <c r="C39" s="310">
        <f ca="1">C5-C30</f>
        <v>566</v>
      </c>
      <c r="D39" s="1094" t="s">
        <v>771</v>
      </c>
      <c r="E39" s="1095"/>
      <c r="F39" s="1096"/>
      <c r="G39" s="1383"/>
      <c r="H39" s="2698"/>
      <c r="I39" s="1397">
        <f ca="1">C39/C6</f>
        <v>0.80169971671388107</v>
      </c>
      <c r="J39" s="1398"/>
      <c r="K39" s="2702"/>
      <c r="L39" s="2698"/>
      <c r="M39" s="2698"/>
    </row>
    <row r="40" spans="1:18" ht="18" customHeight="1">
      <c r="A40" s="299" t="s">
        <v>395</v>
      </c>
      <c r="B40" s="300" t="s">
        <v>772</v>
      </c>
      <c r="C40" s="301">
        <f ca="1">ROUND(C39*(1-((1+F42)/(1+F40))^F41)/(F40-F42),0)</f>
        <v>9231</v>
      </c>
      <c r="D40" s="324" t="s">
        <v>756</v>
      </c>
      <c r="E40" s="302" t="s">
        <v>757</v>
      </c>
      <c r="F40" s="312">
        <f ca="1">INDIRECT("'数据-取费表'!I"&amp;$G$1)</f>
        <v>5.5E-2</v>
      </c>
      <c r="G40" s="1383"/>
      <c r="H40" s="1460"/>
      <c r="I40" s="1397"/>
      <c r="J40" s="1398"/>
      <c r="K40" s="2702"/>
      <c r="L40" s="1460"/>
      <c r="M40" s="1460"/>
    </row>
    <row r="41" spans="1:18" ht="18" customHeight="1">
      <c r="A41" s="304"/>
      <c r="B41" s="305"/>
      <c r="C41" s="306"/>
      <c r="D41" s="332" t="s">
        <v>773</v>
      </c>
      <c r="E41" s="302" t="s">
        <v>761</v>
      </c>
      <c r="F41" s="333">
        <f ca="1">IF(INDIRECT("'数据-取费表'!af"&amp;$G$1)=0,INDIRECT("'数据-取费表'!ae"&amp;$G$1),INDIRECT("'数据-取费表'!af"&amp;$G$1))</f>
        <v>23.29</v>
      </c>
      <c r="G41" s="1383"/>
      <c r="H41" s="1190"/>
      <c r="I41" s="1397"/>
      <c r="J41" s="1398"/>
      <c r="K41" s="2542"/>
      <c r="L41" s="1190"/>
      <c r="M41" s="1190"/>
    </row>
    <row r="42" spans="1:18" ht="18" customHeight="1">
      <c r="A42" s="308"/>
      <c r="B42" s="309"/>
      <c r="C42" s="310"/>
      <c r="D42" s="327"/>
      <c r="E42" s="302" t="s">
        <v>764</v>
      </c>
      <c r="F42" s="312">
        <f ca="1">INDIRECT("'数据-取费表'!v"&amp;$G$1)</f>
        <v>2.5000000000000001E-2</v>
      </c>
      <c r="G42" s="1383"/>
      <c r="H42" s="1190"/>
      <c r="I42" s="1397"/>
      <c r="J42" s="1398"/>
      <c r="K42" s="2542"/>
      <c r="L42" s="1190"/>
      <c r="M42" s="1190"/>
    </row>
    <row r="43" spans="1:18" ht="18" customHeight="1" thickBot="1">
      <c r="A43" s="334" t="s">
        <v>396</v>
      </c>
      <c r="B43" s="335" t="s">
        <v>774</v>
      </c>
      <c r="C43" s="336">
        <f ca="1">ROUND(C40*10000/F43,0)</f>
        <v>24600</v>
      </c>
      <c r="D43" s="337" t="s">
        <v>775</v>
      </c>
      <c r="E43" s="338" t="s">
        <v>776</v>
      </c>
      <c r="F43" s="339">
        <f ca="1">INDIRECT("'数据-取费表'!k"&amp;$G$1)</f>
        <v>3752.39</v>
      </c>
      <c r="G43" s="1383"/>
      <c r="H43" s="1190"/>
      <c r="I43" s="1190"/>
      <c r="J43" s="1190"/>
      <c r="K43" s="2542"/>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3" t="s">
        <v>806</v>
      </c>
      <c r="P45" s="1460"/>
      <c r="Q45" s="1460"/>
      <c r="R45" s="1460"/>
    </row>
    <row r="46" spans="1:18" s="1383" customFormat="1" ht="13.5" thickBot="1">
      <c r="A46" s="1403" t="s">
        <v>807</v>
      </c>
      <c r="C46" s="1404">
        <f ca="1">C68-C40</f>
        <v>-9425</v>
      </c>
      <c r="D46" s="1405" t="str">
        <f>C2</f>
        <v>万元</v>
      </c>
      <c r="E46" s="1399"/>
      <c r="F46" s="1399"/>
      <c r="I46" s="1406" t="s">
        <v>808</v>
      </c>
      <c r="J46" s="1407"/>
      <c r="K46" s="1408"/>
      <c r="L46" s="1409">
        <f ca="1">IF(M47="住宅",0,IF(L48&gt;J51,L60,J60))</f>
        <v>204</v>
      </c>
      <c r="O46" s="1410" t="s">
        <v>809</v>
      </c>
      <c r="P46" s="1411" t="s">
        <v>810</v>
      </c>
      <c r="Q46" s="1412" t="s">
        <v>811</v>
      </c>
      <c r="R46" s="1412" t="s">
        <v>812</v>
      </c>
    </row>
    <row r="47" spans="1:18" s="1383" customFormat="1" ht="13.5" thickBot="1">
      <c r="A47" s="945" t="s">
        <v>685</v>
      </c>
      <c r="B47" s="977" t="s">
        <v>686</v>
      </c>
      <c r="C47" s="1116" t="s">
        <v>687</v>
      </c>
      <c r="D47" s="977" t="s">
        <v>688</v>
      </c>
      <c r="E47" s="1057" t="s">
        <v>689</v>
      </c>
      <c r="F47" s="1058"/>
      <c r="G47" s="721"/>
      <c r="I47" s="1413" t="s">
        <v>813</v>
      </c>
      <c r="J47" s="1414" t="s">
        <v>3451</v>
      </c>
      <c r="K47" s="1415" t="s">
        <v>814</v>
      </c>
      <c r="L47" s="1416">
        <f ca="1">INDIRECT("'数据-取费表'!d"&amp;$G$1)</f>
        <v>50</v>
      </c>
      <c r="M47" s="1379" t="str">
        <f>IF(ISNUMBER(FIND("住宅",C1)),"住宅","非住宅")</f>
        <v>非住宅</v>
      </c>
      <c r="O47" s="1417" t="s">
        <v>403</v>
      </c>
      <c r="P47" s="1418" t="s">
        <v>815</v>
      </c>
      <c r="Q47" s="1419">
        <f ca="1">C40+J29</f>
        <v>9231</v>
      </c>
      <c r="R47" s="1419" t="s">
        <v>816</v>
      </c>
    </row>
    <row r="48" spans="1:18" s="1383" customFormat="1" ht="28.5" thickBot="1">
      <c r="A48" s="1109" t="s">
        <v>438</v>
      </c>
      <c r="B48" s="300" t="s">
        <v>690</v>
      </c>
      <c r="C48" s="1358">
        <f ca="1">C49+C53+C55</f>
        <v>0</v>
      </c>
      <c r="D48" s="1111"/>
      <c r="E48" s="1112"/>
      <c r="F48" s="961"/>
      <c r="G48" s="721"/>
      <c r="H48" s="722"/>
      <c r="I48" s="1420" t="s">
        <v>817</v>
      </c>
      <c r="J48" s="1421" t="s">
        <v>3452</v>
      </c>
      <c r="K48" s="1422" t="s">
        <v>818</v>
      </c>
      <c r="L48" s="1423">
        <f ca="1">INDIRECT("'数据-取费表'!f"&amp;$G$1)</f>
        <v>23.29</v>
      </c>
      <c r="O48" s="1417" t="s">
        <v>404</v>
      </c>
      <c r="P48" s="1418" t="s">
        <v>819</v>
      </c>
      <c r="Q48" s="1419">
        <f ca="1">J60</f>
        <v>204</v>
      </c>
      <c r="R48" s="1419" t="s">
        <v>820</v>
      </c>
    </row>
    <row r="49" spans="1:18" s="1383" customFormat="1" ht="13.5" thickBot="1">
      <c r="A49" s="974" t="s">
        <v>439</v>
      </c>
      <c r="B49" s="1370" t="s">
        <v>777</v>
      </c>
      <c r="C49" s="1113">
        <f ca="1">ROUND(F49*F51*F50*(1-F52)/10000,0)</f>
        <v>0</v>
      </c>
      <c r="D49" s="1054" t="s">
        <v>2107</v>
      </c>
      <c r="E49" s="1371" t="s">
        <v>778</v>
      </c>
      <c r="F49" s="1059"/>
      <c r="G49" s="1424"/>
      <c r="H49" s="722"/>
      <c r="I49" s="1420" t="s">
        <v>821</v>
      </c>
      <c r="J49" s="1425">
        <f>'数据-取费表'!N18</f>
        <v>1998</v>
      </c>
      <c r="K49" s="1422" t="s">
        <v>822</v>
      </c>
      <c r="L49" s="1426"/>
      <c r="O49" s="1427" t="s">
        <v>405</v>
      </c>
      <c r="P49" s="1418" t="s">
        <v>823</v>
      </c>
      <c r="Q49" s="1419">
        <f ca="1">C29</f>
        <v>2462</v>
      </c>
      <c r="R49" s="1419" t="s">
        <v>816</v>
      </c>
    </row>
    <row r="50" spans="1:18" s="1383" customFormat="1" ht="13.5" thickBot="1">
      <c r="A50" s="975"/>
      <c r="B50" s="978"/>
      <c r="C50" s="1117"/>
      <c r="D50" s="952"/>
      <c r="E50" s="1055" t="s">
        <v>695</v>
      </c>
      <c r="F50" s="1056">
        <f ca="1">F7</f>
        <v>3752.39</v>
      </c>
      <c r="H50" s="722"/>
      <c r="I50" s="1420" t="s">
        <v>824</v>
      </c>
      <c r="J50" s="1428">
        <f>SUMPRODUCT((I63:I65=J47)*(J62:L62=J48)*(J63:L65))</f>
        <v>60</v>
      </c>
      <c r="K50" s="1422" t="s">
        <v>825</v>
      </c>
      <c r="L50" s="1426"/>
      <c r="M50" s="1429"/>
      <c r="O50" s="1427" t="s">
        <v>406</v>
      </c>
      <c r="P50" s="1418" t="s">
        <v>826</v>
      </c>
      <c r="Q50" s="1430">
        <f ca="1">J58</f>
        <v>0.4</v>
      </c>
      <c r="R50" s="1419"/>
    </row>
    <row r="51" spans="1:18" s="1383" customFormat="1" ht="13.5" thickBot="1">
      <c r="A51" s="976"/>
      <c r="B51" s="978"/>
      <c r="C51" s="979"/>
      <c r="D51" s="952"/>
      <c r="E51" s="980" t="s">
        <v>696</v>
      </c>
      <c r="F51" s="303">
        <f ca="1">F8</f>
        <v>365</v>
      </c>
      <c r="I51" s="1431" t="s">
        <v>827</v>
      </c>
      <c r="J51" s="1432">
        <f>IF(J49="",J50,J49+J50-YEAR('数据-取费表'!B2))</f>
        <v>34</v>
      </c>
      <c r="K51" s="1433" t="s">
        <v>828</v>
      </c>
      <c r="L51" s="1434">
        <f ca="1">ROUND(-PV(INDIRECT("'数据-取费表'!h"&amp;$G$1),J51,(C39-C13*C76),0),0)</f>
        <v>7125</v>
      </c>
      <c r="M51" s="1435"/>
      <c r="O51" s="1427" t="s">
        <v>407</v>
      </c>
      <c r="P51" s="1418" t="s">
        <v>829</v>
      </c>
      <c r="Q51" s="1430">
        <f>J52</f>
        <v>7.0000000000000007E-2</v>
      </c>
      <c r="R51" s="1419"/>
    </row>
    <row r="52" spans="1:18" s="1383" customFormat="1" ht="13.5" thickBot="1">
      <c r="A52" s="976"/>
      <c r="B52" s="978"/>
      <c r="C52" s="979"/>
      <c r="D52" s="952"/>
      <c r="E52" s="980" t="s">
        <v>697</v>
      </c>
      <c r="F52" s="1053"/>
      <c r="I52" s="1436" t="s">
        <v>830</v>
      </c>
      <c r="J52" s="1437">
        <v>7.0000000000000007E-2</v>
      </c>
      <c r="K52" s="1436" t="s">
        <v>831</v>
      </c>
      <c r="L52" s="1437"/>
      <c r="O52" s="1427" t="s">
        <v>408</v>
      </c>
      <c r="P52" s="1418" t="s">
        <v>832</v>
      </c>
      <c r="Q52" s="1419">
        <f ca="1">J53</f>
        <v>23.29</v>
      </c>
      <c r="R52" s="1419" t="s">
        <v>833</v>
      </c>
    </row>
    <row r="53" spans="1:18" s="1383" customFormat="1" ht="24.75" thickBot="1">
      <c r="A53" s="1151" t="s">
        <v>440</v>
      </c>
      <c r="B53" s="1372" t="s">
        <v>698</v>
      </c>
      <c r="C53" s="316">
        <f ca="1">ROUND(IF(F53="押一",C49/12*F11,IF(F53="押二",C49/12*2*F11,IF(F53="押三",C49/12*3*F11,C54*F11))),0)</f>
        <v>0</v>
      </c>
      <c r="D53" s="1365" t="s">
        <v>2113</v>
      </c>
      <c r="E53" s="313" t="s">
        <v>699</v>
      </c>
      <c r="F53" s="1115"/>
      <c r="I53" s="1438" t="s">
        <v>834</v>
      </c>
      <c r="J53" s="2167">
        <f ca="1">IF(M47="住宅",IF(D1="——",MAX(J51,L48),MAX(J51,L48-'数据-取费表'!B24)),IF(D1="——",MIN(J51,L48),MIN(J51,L48-'数据-取费表'!B24)))</f>
        <v>23.29</v>
      </c>
      <c r="K53" s="4082" t="s">
        <v>835</v>
      </c>
      <c r="L53" s="4083"/>
      <c r="O53" s="1417" t="s">
        <v>409</v>
      </c>
      <c r="P53" s="1418" t="s">
        <v>836</v>
      </c>
      <c r="Q53" s="1419">
        <f ca="1">Q47+Q48</f>
        <v>9435</v>
      </c>
      <c r="R53" s="1419" t="s">
        <v>410</v>
      </c>
    </row>
    <row r="54" spans="1:18" s="1383" customFormat="1" ht="13.5" thickBot="1">
      <c r="A54" s="1152"/>
      <c r="B54" s="1366" t="s">
        <v>677</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837</v>
      </c>
      <c r="P54" s="1380"/>
      <c r="Q54" s="1380"/>
      <c r="R54" s="1380"/>
    </row>
    <row r="55" spans="1:18" s="1383" customFormat="1" ht="13.5" thickBot="1">
      <c r="A55" s="1082" t="s">
        <v>437</v>
      </c>
      <c r="B55" s="1368" t="s">
        <v>701</v>
      </c>
      <c r="C55" s="1083"/>
      <c r="D55" s="1365"/>
      <c r="E55" s="1373"/>
      <c r="F55" s="1439"/>
      <c r="I55" s="1442" t="s">
        <v>838</v>
      </c>
      <c r="J55" s="1443">
        <f ca="1">ROUND(IF(J47="钢混",J57/J50,1-(1-2%)*(J50-J57)/J50),3)</f>
        <v>0.17899999999999999</v>
      </c>
      <c r="K55" s="1444" t="s">
        <v>839</v>
      </c>
      <c r="L55" s="1445"/>
      <c r="O55" s="1410" t="s">
        <v>809</v>
      </c>
      <c r="P55" s="1411" t="s">
        <v>810</v>
      </c>
      <c r="Q55" s="1412" t="s">
        <v>811</v>
      </c>
      <c r="R55" s="1412" t="s">
        <v>812</v>
      </c>
    </row>
    <row r="56" spans="1:18" s="1383" customFormat="1" ht="25.5" thickTop="1" thickBot="1">
      <c r="A56" s="956">
        <v>2</v>
      </c>
      <c r="B56" s="957" t="s">
        <v>702</v>
      </c>
      <c r="C56" s="232">
        <f ca="1">C13</f>
        <v>1800</v>
      </c>
      <c r="D56" s="1446"/>
      <c r="E56" s="1447"/>
      <c r="F56" s="1439"/>
      <c r="I56" s="1448" t="s">
        <v>840</v>
      </c>
      <c r="J56" s="1449" t="s">
        <v>3453</v>
      </c>
      <c r="K56" s="1420" t="s">
        <v>841</v>
      </c>
      <c r="L56" s="1423" t="str">
        <f ca="1">IF(L48&lt;J51,"——",L48-J53)</f>
        <v>——</v>
      </c>
      <c r="O56" s="1417" t="s">
        <v>403</v>
      </c>
      <c r="P56" s="1418" t="s">
        <v>815</v>
      </c>
      <c r="Q56" s="1419">
        <f ca="1">C40+J29</f>
        <v>9231</v>
      </c>
      <c r="R56" s="1419" t="s">
        <v>816</v>
      </c>
    </row>
    <row r="57" spans="1:18" s="1383" customFormat="1" ht="24.75" thickBot="1">
      <c r="A57" s="1450"/>
      <c r="B57" s="949" t="s">
        <v>765</v>
      </c>
      <c r="C57" s="238">
        <f ca="1">C29</f>
        <v>2462</v>
      </c>
      <c r="D57" s="1451"/>
      <c r="E57" s="1452"/>
      <c r="F57" s="1453"/>
      <c r="I57" s="1454" t="s">
        <v>842</v>
      </c>
      <c r="J57" s="1455">
        <f ca="1">IF(OR(M47="住宅",J51&lt;L48,J56="是"),"——",J51-L48)</f>
        <v>10.71</v>
      </c>
      <c r="K57" s="1420" t="s">
        <v>843</v>
      </c>
      <c r="L57" s="1423" t="str">
        <f ca="1">IF(L48&lt;J51,"——",IF(L55="比较法",L49,IF(L55="基准地价",L50,L51)))</f>
        <v>——</v>
      </c>
      <c r="O57" s="1417" t="s">
        <v>404</v>
      </c>
      <c r="P57" s="1418" t="s">
        <v>844</v>
      </c>
      <c r="Q57" s="1419">
        <f ca="1">L60</f>
        <v>0</v>
      </c>
      <c r="R57" s="1419" t="s">
        <v>845</v>
      </c>
    </row>
    <row r="58" spans="1:18" s="1383" customFormat="1" ht="24.75" thickBot="1">
      <c r="A58" s="315" t="s">
        <v>393</v>
      </c>
      <c r="B58" s="957" t="s">
        <v>712</v>
      </c>
      <c r="C58" s="316">
        <f ca="1">ROUND(C59+C64+C65+C66,0)</f>
        <v>15</v>
      </c>
      <c r="D58" s="959" t="s">
        <v>713</v>
      </c>
      <c r="E58" s="960"/>
      <c r="F58" s="961"/>
      <c r="I58" s="1454" t="s">
        <v>846</v>
      </c>
      <c r="J58" s="1456">
        <f ca="1">IF(J55&lt;0.4,0.4,J55)</f>
        <v>0.4</v>
      </c>
      <c r="K58" s="1433" t="s">
        <v>847</v>
      </c>
      <c r="L58" s="1423" t="e">
        <f ca="1">ROUND(POWER(1+L52,L47-L48)*(POWER(1+L52,L48)-1)/(POWER(1+L52,L47)-1),4)</f>
        <v>#DIV/0!</v>
      </c>
      <c r="O58" s="1427" t="s">
        <v>405</v>
      </c>
      <c r="P58" s="1418" t="s">
        <v>848</v>
      </c>
      <c r="Q58" s="1419">
        <f>IF(L55="比较法",L49,IF(L55="基准地价",L50,0))</f>
        <v>0</v>
      </c>
      <c r="R58" s="1419" t="s">
        <v>816</v>
      </c>
    </row>
    <row r="59" spans="1:18" s="1383" customFormat="1" ht="24.75" thickBot="1">
      <c r="A59" s="981" t="s">
        <v>398</v>
      </c>
      <c r="B59" s="949" t="s">
        <v>717</v>
      </c>
      <c r="C59" s="2315">
        <f ca="1">ROUND(IF(AND(项目基本情况!B11="自然人",项目基本情况!B10="北京市"),C49*F59/(1+'数据-取费表'!C42),C60+C61+C62),0)</f>
        <v>1</v>
      </c>
      <c r="D59" s="962" t="s">
        <v>718</v>
      </c>
      <c r="E59" s="963" t="s">
        <v>719</v>
      </c>
      <c r="F59" s="2314" t="str">
        <f>IF(项目基本情况!B11="企业","——",IF('数据-取费表'!B10="住宅",IF(F49*F50*F51/12/(1+'数据-取费表'!F30)&gt;100000,4%,2.5%),IF(F49*F50*F51/12/(1+'数据-取费表'!F30)&gt;100000,12%,7%)))</f>
        <v>——</v>
      </c>
      <c r="I59" s="1454" t="s">
        <v>849</v>
      </c>
      <c r="J59" s="1455">
        <f ca="1">IF(OR(M47="住宅",J51&lt;L48,J56="是"),"——",ROUND(C29*J58,0))</f>
        <v>985</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850</v>
      </c>
      <c r="Q59" s="1430">
        <f>L52</f>
        <v>0</v>
      </c>
      <c r="R59" s="1419"/>
    </row>
    <row r="60" spans="1:18" s="1383" customFormat="1" ht="16.5" thickBot="1">
      <c r="A60" s="981" t="s">
        <v>397</v>
      </c>
      <c r="B60" s="949" t="s">
        <v>721</v>
      </c>
      <c r="C60" s="21">
        <f ca="1">IF(项目基本情况!B11="自然人","——",ROUND(C48*F60/(1+'数据-取费表'!C42),2))</f>
        <v>0</v>
      </c>
      <c r="D60" s="963" t="s">
        <v>722</v>
      </c>
      <c r="E60" s="949" t="s">
        <v>710</v>
      </c>
      <c r="F60" s="331">
        <f t="shared" ref="F60:F66" si="0">F32</f>
        <v>5.6000000000000001E-2</v>
      </c>
      <c r="I60" s="1457" t="s">
        <v>851</v>
      </c>
      <c r="J60" s="1458">
        <f ca="1">IF(OR(M47="住宅",J51&lt;L48,J56="是"),"0",ROUND(J59/(1+J52)^J53,0))</f>
        <v>204</v>
      </c>
      <c r="K60" s="1459" t="s">
        <v>852</v>
      </c>
      <c r="L60" s="1458">
        <f ca="1">IF(OR(M47="住宅",L48&lt;J51),0,ROUND(L57*(L58/L59-1),0))</f>
        <v>0</v>
      </c>
      <c r="O60" s="1427" t="s">
        <v>407</v>
      </c>
      <c r="P60" s="1418" t="s">
        <v>853</v>
      </c>
      <c r="Q60" s="1419" t="e">
        <f ca="1">L58</f>
        <v>#DIV/0!</v>
      </c>
      <c r="R60" s="1419" t="s">
        <v>854</v>
      </c>
    </row>
    <row r="61" spans="1:18" s="1383" customFormat="1" ht="13.5" thickBot="1">
      <c r="A61" s="981" t="s">
        <v>779</v>
      </c>
      <c r="B61" s="949" t="s">
        <v>780</v>
      </c>
      <c r="C61" s="21">
        <f ca="1">IF(项目基本情况!B11="自然人","——",IF(D61="按租金收入计税",ROUND(C49*F61/(1+'数据-取费表'!C42),2),IF(D61="按房产原值计税",ROUND(C57*F61*0.7,2),INDIRECT("'数据-取费表'!Aj"&amp;$G$1))))</f>
        <v>0</v>
      </c>
      <c r="D61" s="1369" t="s">
        <v>3335</v>
      </c>
      <c r="E61" s="949" t="s">
        <v>781</v>
      </c>
      <c r="F61" s="322">
        <f t="shared" si="0"/>
        <v>0.12</v>
      </c>
      <c r="I61" s="1460"/>
      <c r="J61" s="1460"/>
      <c r="K61" s="1460"/>
      <c r="L61" s="1460"/>
      <c r="O61" s="1427" t="s">
        <v>408</v>
      </c>
      <c r="P61" s="1418" t="str">
        <f>K59</f>
        <v>建筑物剩余耐用年限下的土地年期修正系数Kn</v>
      </c>
      <c r="Q61" s="1419" t="e">
        <f ca="1">L59</f>
        <v>#DIV/0!</v>
      </c>
      <c r="R61" s="1419" t="s">
        <v>855</v>
      </c>
    </row>
    <row r="62" spans="1:18" s="1383" customFormat="1" ht="13.5" thickBot="1">
      <c r="A62" s="981" t="s">
        <v>782</v>
      </c>
      <c r="B62" s="948" t="s">
        <v>783</v>
      </c>
      <c r="C62" s="22">
        <f ca="1">IF(项目基本情况!B11="自然人","——",ROUND(F62*F63/10000,2))</f>
        <v>0.98</v>
      </c>
      <c r="D62" s="964" t="s">
        <v>784</v>
      </c>
      <c r="E62" s="949" t="s">
        <v>785</v>
      </c>
      <c r="F62" s="325">
        <f t="shared" si="0"/>
        <v>24</v>
      </c>
      <c r="I62" s="1461" t="s">
        <v>856</v>
      </c>
      <c r="J62" s="1462" t="s">
        <v>857</v>
      </c>
      <c r="K62" s="1462" t="s">
        <v>858</v>
      </c>
      <c r="L62" s="1462" t="s">
        <v>859</v>
      </c>
      <c r="M62" s="1463" t="s">
        <v>860</v>
      </c>
      <c r="O62" s="1417" t="s">
        <v>409</v>
      </c>
      <c r="P62" s="1418" t="s">
        <v>861</v>
      </c>
      <c r="Q62" s="1419">
        <f ca="1">Q56+Q57</f>
        <v>9231</v>
      </c>
      <c r="R62" s="1419" t="s">
        <v>410</v>
      </c>
    </row>
    <row r="63" spans="1:18" s="1383" customFormat="1" ht="13.5" thickBot="1">
      <c r="A63" s="326"/>
      <c r="B63" s="955"/>
      <c r="C63" s="26"/>
      <c r="D63" s="965"/>
      <c r="E63" s="949" t="s">
        <v>786</v>
      </c>
      <c r="F63" s="303">
        <f t="shared" ca="1" si="0"/>
        <v>406.73</v>
      </c>
      <c r="I63" s="1461" t="s">
        <v>862</v>
      </c>
      <c r="J63" s="1462">
        <v>70</v>
      </c>
      <c r="K63" s="1462">
        <v>50</v>
      </c>
      <c r="L63" s="1462">
        <v>80</v>
      </c>
      <c r="M63" s="1464">
        <v>0.02</v>
      </c>
      <c r="O63" s="1402" t="s">
        <v>863</v>
      </c>
      <c r="P63" s="1380"/>
      <c r="Q63" s="1380"/>
      <c r="R63" s="1380"/>
    </row>
    <row r="64" spans="1:18" s="1383" customFormat="1" ht="13.5" thickBot="1">
      <c r="A64" s="981" t="s">
        <v>787</v>
      </c>
      <c r="B64" s="949" t="s">
        <v>788</v>
      </c>
      <c r="C64" s="21">
        <f ca="1">ROUND(C57*F64,2)</f>
        <v>12.31</v>
      </c>
      <c r="D64" s="963" t="s">
        <v>789</v>
      </c>
      <c r="E64" s="949" t="s">
        <v>781</v>
      </c>
      <c r="F64" s="328">
        <f t="shared" ca="1" si="0"/>
        <v>5.0000000000000001E-3</v>
      </c>
      <c r="I64" s="1461" t="s">
        <v>864</v>
      </c>
      <c r="J64" s="1462">
        <v>50</v>
      </c>
      <c r="K64" s="1462">
        <v>35</v>
      </c>
      <c r="L64" s="1462">
        <v>60</v>
      </c>
      <c r="M64" s="1463">
        <v>0</v>
      </c>
      <c r="O64" s="1410" t="s">
        <v>809</v>
      </c>
      <c r="P64" s="1411" t="s">
        <v>810</v>
      </c>
      <c r="Q64" s="1412" t="s">
        <v>811</v>
      </c>
      <c r="R64" s="1412" t="s">
        <v>812</v>
      </c>
    </row>
    <row r="65" spans="1:18" s="1383" customFormat="1" ht="13.5" thickBot="1">
      <c r="A65" s="981" t="s">
        <v>790</v>
      </c>
      <c r="B65" s="949" t="s">
        <v>740</v>
      </c>
      <c r="C65" s="21">
        <f ca="1">ROUND(C56*F65,2)</f>
        <v>1.8</v>
      </c>
      <c r="D65" s="963" t="s">
        <v>741</v>
      </c>
      <c r="E65" s="949" t="s">
        <v>742</v>
      </c>
      <c r="F65" s="330">
        <f t="shared" ca="1" si="0"/>
        <v>1E-3</v>
      </c>
      <c r="I65" s="1461" t="s">
        <v>865</v>
      </c>
      <c r="J65" s="1462">
        <v>40</v>
      </c>
      <c r="K65" s="1462">
        <v>30</v>
      </c>
      <c r="L65" s="1462">
        <v>50</v>
      </c>
      <c r="M65" s="1464">
        <v>0.02</v>
      </c>
      <c r="O65" s="1417" t="s">
        <v>403</v>
      </c>
      <c r="P65" s="1418" t="s">
        <v>866</v>
      </c>
      <c r="Q65" s="1419">
        <f ca="1">C40+J29</f>
        <v>9231</v>
      </c>
      <c r="R65" s="1419" t="s">
        <v>816</v>
      </c>
    </row>
    <row r="66" spans="1:18" s="1383" customFormat="1" ht="16.5" thickBot="1">
      <c r="A66" s="981" t="s">
        <v>791</v>
      </c>
      <c r="B66" s="949" t="s">
        <v>726</v>
      </c>
      <c r="C66" s="21">
        <f ca="1">ROUND(C48*F66,2)</f>
        <v>0</v>
      </c>
      <c r="D66" s="963" t="s">
        <v>792</v>
      </c>
      <c r="E66" s="949" t="s">
        <v>710</v>
      </c>
      <c r="F66" s="312">
        <f t="shared" ca="1" si="0"/>
        <v>0.01</v>
      </c>
      <c r="O66" s="1417" t="s">
        <v>404</v>
      </c>
      <c r="P66" s="1418" t="s">
        <v>844</v>
      </c>
      <c r="Q66" s="1419">
        <f ca="1">L60</f>
        <v>0</v>
      </c>
      <c r="R66" s="1419" t="s">
        <v>867</v>
      </c>
    </row>
    <row r="67" spans="1:18" s="1383" customFormat="1" ht="16.5" thickBot="1">
      <c r="A67" s="956" t="s">
        <v>394</v>
      </c>
      <c r="B67" s="966" t="s">
        <v>750</v>
      </c>
      <c r="C67" s="316">
        <f ca="1">C48-C58</f>
        <v>-15</v>
      </c>
      <c r="D67" s="962" t="s">
        <v>751</v>
      </c>
      <c r="E67" s="967"/>
      <c r="F67" s="968"/>
      <c r="O67" s="1427" t="s">
        <v>405</v>
      </c>
      <c r="P67" s="1418" t="s">
        <v>848</v>
      </c>
      <c r="Q67" s="1465">
        <f ca="1">L51</f>
        <v>7125</v>
      </c>
      <c r="R67" s="1419" t="s">
        <v>868</v>
      </c>
    </row>
    <row r="68" spans="1:18" s="1383" customFormat="1" ht="16.5" thickBot="1">
      <c r="A68" s="946" t="s">
        <v>395</v>
      </c>
      <c r="B68" s="947" t="s">
        <v>772</v>
      </c>
      <c r="C68" s="301">
        <f ca="1">ROUND(C67*(1-((1+F70)/(1+F68))^F69)/(F68-F70),0)</f>
        <v>-194</v>
      </c>
      <c r="D68" s="964" t="s">
        <v>756</v>
      </c>
      <c r="E68" s="949" t="s">
        <v>757</v>
      </c>
      <c r="F68" s="312">
        <f ca="1">F40</f>
        <v>5.5E-2</v>
      </c>
      <c r="O68" s="1427" t="s">
        <v>406</v>
      </c>
      <c r="P68" s="1466" t="s">
        <v>869</v>
      </c>
      <c r="Q68" s="1419">
        <f ca="1">ROUND(Q69-Q70*Q71,0)</f>
        <v>440</v>
      </c>
      <c r="R68" s="1419" t="s">
        <v>414</v>
      </c>
    </row>
    <row r="69" spans="1:18" s="1383" customFormat="1" ht="13.5" thickBot="1">
      <c r="A69" s="950"/>
      <c r="B69" s="951"/>
      <c r="C69" s="306"/>
      <c r="D69" s="969" t="s">
        <v>760</v>
      </c>
      <c r="E69" s="949" t="s">
        <v>761</v>
      </c>
      <c r="F69" s="333">
        <f ca="1">F41</f>
        <v>23.29</v>
      </c>
      <c r="O69" s="1427" t="s">
        <v>411</v>
      </c>
      <c r="P69" s="1466" t="s">
        <v>870</v>
      </c>
      <c r="Q69" s="1419">
        <f ca="1">C39</f>
        <v>566</v>
      </c>
      <c r="R69" s="1419" t="s">
        <v>816</v>
      </c>
    </row>
    <row r="70" spans="1:18" s="1383" customFormat="1" ht="13.5" thickBot="1">
      <c r="A70" s="953"/>
      <c r="B70" s="954"/>
      <c r="C70" s="310"/>
      <c r="D70" s="965"/>
      <c r="E70" s="949" t="s">
        <v>764</v>
      </c>
      <c r="F70" s="1053"/>
      <c r="O70" s="1427" t="s">
        <v>412</v>
      </c>
      <c r="P70" s="1466" t="s">
        <v>871</v>
      </c>
      <c r="Q70" s="1419">
        <f ca="1">C13</f>
        <v>1800</v>
      </c>
      <c r="R70" s="1419" t="s">
        <v>816</v>
      </c>
    </row>
    <row r="71" spans="1:18" s="1383" customFormat="1" ht="13.5" thickBot="1">
      <c r="A71" s="970" t="s">
        <v>396</v>
      </c>
      <c r="B71" s="971" t="s">
        <v>774</v>
      </c>
      <c r="C71" s="336">
        <f ca="1">ROUND(C68*10000/F71,0)</f>
        <v>-517</v>
      </c>
      <c r="D71" s="972" t="s">
        <v>775</v>
      </c>
      <c r="E71" s="973" t="s">
        <v>776</v>
      </c>
      <c r="F71" s="339">
        <f ca="1">F43</f>
        <v>3752.39</v>
      </c>
      <c r="O71" s="1427" t="s">
        <v>413</v>
      </c>
      <c r="P71" s="1466" t="s">
        <v>872</v>
      </c>
      <c r="Q71" s="1430">
        <f ca="1">C76</f>
        <v>7.0000000000000007E-2</v>
      </c>
      <c r="R71" s="1419"/>
    </row>
    <row r="72" spans="1:18" s="1383" customFormat="1" ht="13.5" thickBot="1">
      <c r="B72" s="725"/>
      <c r="C72" s="725"/>
      <c r="O72" s="1427" t="s">
        <v>407</v>
      </c>
      <c r="P72" s="1418" t="s">
        <v>850</v>
      </c>
      <c r="Q72" s="1430">
        <f>L52</f>
        <v>0</v>
      </c>
      <c r="R72" s="1419"/>
    </row>
    <row r="73" spans="1:18" ht="16.5" thickBot="1">
      <c r="A73" s="1383"/>
      <c r="B73" s="725"/>
      <c r="C73" s="725"/>
      <c r="D73" s="1383"/>
      <c r="E73" s="1383"/>
      <c r="F73" s="1383"/>
      <c r="O73" s="1427" t="s">
        <v>408</v>
      </c>
      <c r="P73" s="1418" t="s">
        <v>853</v>
      </c>
      <c r="Q73" s="1419" t="e">
        <f ca="1">L58</f>
        <v>#DIV/0!</v>
      </c>
      <c r="R73" s="1419" t="s">
        <v>854</v>
      </c>
    </row>
    <row r="74" spans="1:18" ht="13.5" thickBot="1">
      <c r="A74" s="1383"/>
      <c r="B74" s="273" t="s">
        <v>873</v>
      </c>
      <c r="C74" s="1468"/>
      <c r="D74" s="1383"/>
      <c r="E74" s="1383"/>
      <c r="F74" s="1383"/>
      <c r="O74" s="1427" t="s">
        <v>415</v>
      </c>
      <c r="P74" s="1418" t="str">
        <f>K59</f>
        <v>建筑物剩余耐用年限下的土地年期修正系数Kn</v>
      </c>
      <c r="Q74" s="1419" t="e">
        <f ca="1">L59</f>
        <v>#DIV/0!</v>
      </c>
      <c r="R74" s="1419" t="s">
        <v>855</v>
      </c>
    </row>
    <row r="75" spans="1:18" ht="13.5" thickBot="1">
      <c r="A75" s="1383"/>
      <c r="B75" s="340" t="s">
        <v>793</v>
      </c>
      <c r="C75" s="341">
        <f ca="1">ROUND(C13*C76,0)</f>
        <v>126</v>
      </c>
      <c r="D75" s="1383"/>
      <c r="E75" s="1383"/>
      <c r="F75" s="1383"/>
      <c r="K75" s="1401"/>
      <c r="L75" s="1383"/>
      <c r="O75" s="1417" t="s">
        <v>409</v>
      </c>
      <c r="P75" s="1418" t="s">
        <v>836</v>
      </c>
      <c r="Q75" s="1419">
        <f ca="1">Q65+Q66</f>
        <v>9231</v>
      </c>
      <c r="R75" s="1419" t="s">
        <v>410</v>
      </c>
    </row>
    <row r="76" spans="1:18">
      <c r="B76" s="342" t="s">
        <v>794</v>
      </c>
      <c r="C76" s="343">
        <f ca="1">INDIRECT("'数据-取费表'!j"&amp;$G$1)</f>
        <v>7.0000000000000007E-2</v>
      </c>
      <c r="I76" s="1383"/>
      <c r="J76" s="1383"/>
      <c r="K76" s="1401"/>
      <c r="L76" s="1383"/>
    </row>
    <row r="77" spans="1:18">
      <c r="B77" s="344" t="s">
        <v>795</v>
      </c>
      <c r="C77" s="345"/>
      <c r="I77" s="1383"/>
      <c r="J77" s="1383"/>
      <c r="K77" s="1401"/>
      <c r="L77" s="1383"/>
    </row>
    <row r="78" spans="1:18">
      <c r="B78" s="270" t="s">
        <v>796</v>
      </c>
      <c r="C78" s="346"/>
    </row>
    <row r="79" spans="1:18">
      <c r="B79" s="340" t="s">
        <v>797</v>
      </c>
      <c r="C79" s="274">
        <f ca="1">1-C80</f>
        <v>0.77700000000000002</v>
      </c>
    </row>
    <row r="80" spans="1:18">
      <c r="B80" s="340" t="s">
        <v>798</v>
      </c>
      <c r="C80" s="274">
        <f ca="1">ROUND(C75/C39,3)</f>
        <v>0.223</v>
      </c>
    </row>
    <row r="81" spans="2:3">
      <c r="B81" s="270" t="s">
        <v>799</v>
      </c>
      <c r="C81" s="238"/>
    </row>
    <row r="82" spans="2:3">
      <c r="B82" s="273" t="s">
        <v>800</v>
      </c>
      <c r="C82" s="275">
        <f ca="1">1-C83</f>
        <v>0.80499999999999994</v>
      </c>
    </row>
    <row r="83" spans="2:3">
      <c r="B83" s="273" t="s">
        <v>801</v>
      </c>
      <c r="C83" s="274">
        <f ca="1">ROUND(C13/C40,3)</f>
        <v>0.19500000000000001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18" priority="56">
      <formula>$L$48&gt;$J$51</formula>
    </cfRule>
  </conditionalFormatting>
  <conditionalFormatting sqref="I55 I60">
    <cfRule type="expression" dxfId="117" priority="57">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28" zoomScale="90" zoomScaleNormal="70" zoomScaleSheetLayoutView="90" workbookViewId="0">
      <selection activeCell="I49" sqref="I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1658</v>
      </c>
      <c r="B1" s="1956" t="s">
        <v>1808</v>
      </c>
      <c r="C1" s="1223" t="s">
        <v>1660</v>
      </c>
      <c r="D1" s="1224" t="s">
        <v>3445</v>
      </c>
      <c r="E1" s="3431" t="s">
        <v>3454</v>
      </c>
      <c r="F1" s="1878" t="s">
        <v>3492</v>
      </c>
      <c r="G1" s="1234" t="s">
        <v>1661</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1460</v>
      </c>
      <c r="B2" s="1163">
        <f>IF(E1="项目模式",IF(C2="——",ROUND(C50*D3/10000,0),ROUND(C50*D3/10000,0)-D2),IF(E1="单套模式",IF(C2="——",ROUND(C50*D3/10000,4),ROUND(C50*D3/10000,4)-D2)))</f>
        <v>2</v>
      </c>
      <c r="C2" s="1880" t="s">
        <v>43</v>
      </c>
      <c r="D2" s="1114" t="e">
        <f ca="1">IF(E1="项目模式",SUMIF(INDIRECT("'"&amp;F2&amp;"'"&amp;"!A:A"),"承租人权益价值",INDIRECT("'"&amp;F2&amp;"'"&amp;"!c:c")),SUMIF(INDIRECT("'"&amp;F2&amp;"'"&amp;"!A:A"),"承租人权益价值（单套）",INDIRECT("'"&amp;F2&amp;"'"&amp;"!c:c")))</f>
        <v>#REF!</v>
      </c>
      <c r="E2" s="1881" t="s">
        <v>1461</v>
      </c>
      <c r="F2" s="1882"/>
      <c r="G2" s="907"/>
      <c r="H2" s="907"/>
      <c r="I2" s="907"/>
      <c r="J2" s="907"/>
      <c r="K2" s="907"/>
      <c r="L2" s="2732"/>
      <c r="M2" s="2733"/>
      <c r="N2" s="2733"/>
      <c r="O2" s="2733"/>
      <c r="P2" s="698"/>
      <c r="Q2" s="698"/>
      <c r="R2" s="698"/>
      <c r="S2" s="698"/>
      <c r="T2" s="698"/>
      <c r="U2" s="698"/>
      <c r="V2" s="698"/>
      <c r="W2" s="698"/>
      <c r="X2" s="698"/>
      <c r="Y2" s="698"/>
      <c r="Z2" s="698"/>
      <c r="AA2" s="698"/>
      <c r="AB2" s="698"/>
      <c r="AC2" s="699"/>
    </row>
    <row r="3" spans="1:29" s="352" customFormat="1" ht="28.5" customHeight="1" thickBot="1">
      <c r="A3" s="203" t="s">
        <v>1462</v>
      </c>
      <c r="B3" s="558">
        <f>IF(C2="——",C50,ROUND(B2*10000/D3,0))</f>
        <v>5.0999999999999996</v>
      </c>
      <c r="C3" s="354" t="s">
        <v>1663</v>
      </c>
      <c r="D3" s="353">
        <f>IF(D1="",'数据-汇总表'!E3,SUMIF('数据-汇总表'!$C19:$C33,D1,'数据-汇总表'!$E19:$E33))</f>
        <v>3752.39</v>
      </c>
      <c r="E3" s="1953"/>
      <c r="F3" s="908"/>
      <c r="G3" s="907"/>
      <c r="H3" s="907"/>
      <c r="I3" s="907"/>
      <c r="J3" s="907"/>
      <c r="K3" s="909"/>
      <c r="L3" s="2732"/>
      <c r="M3" s="2733"/>
      <c r="N3" s="2733"/>
      <c r="O3" s="2733"/>
      <c r="P3" s="698"/>
      <c r="Q3" s="698"/>
      <c r="R3" s="698"/>
      <c r="S3" s="698"/>
      <c r="T3" s="698"/>
      <c r="U3" s="698"/>
      <c r="V3" s="698"/>
      <c r="W3" s="698"/>
      <c r="X3" s="698"/>
      <c r="Y3" s="698"/>
      <c r="Z3" s="698"/>
      <c r="AA3" s="698"/>
      <c r="AB3" s="698"/>
      <c r="AC3" s="699"/>
    </row>
    <row r="4" spans="1:29" ht="15">
      <c r="A4" s="355" t="s">
        <v>1664</v>
      </c>
      <c r="B4" s="356"/>
      <c r="C4" s="4123" t="s">
        <v>1665</v>
      </c>
      <c r="D4" s="4124"/>
      <c r="E4" s="4125" t="s">
        <v>1666</v>
      </c>
      <c r="F4" s="4126"/>
      <c r="G4" s="4123" t="s">
        <v>1667</v>
      </c>
      <c r="H4" s="4124"/>
      <c r="I4" s="4123" t="s">
        <v>1668</v>
      </c>
      <c r="J4" s="4124"/>
      <c r="K4" s="559" t="s">
        <v>1669</v>
      </c>
      <c r="L4" s="2713"/>
      <c r="M4" s="2714"/>
      <c r="N4" s="2714"/>
      <c r="O4" s="2714"/>
      <c r="P4" s="4159" t="s">
        <v>1670</v>
      </c>
      <c r="Q4" s="4160"/>
      <c r="R4" s="4152" t="s">
        <v>1666</v>
      </c>
      <c r="S4" s="4153"/>
      <c r="T4" s="4152" t="s">
        <v>1667</v>
      </c>
      <c r="U4" s="4153"/>
      <c r="V4" s="4163" t="s">
        <v>1668</v>
      </c>
      <c r="W4" s="4163"/>
      <c r="X4" s="3476"/>
      <c r="Y4" s="4152" t="s">
        <v>1670</v>
      </c>
      <c r="Z4" s="4153"/>
      <c r="AA4" s="4151" t="s">
        <v>1666</v>
      </c>
      <c r="AB4" s="4151" t="s">
        <v>1667</v>
      </c>
      <c r="AC4" s="4156" t="s">
        <v>1668</v>
      </c>
    </row>
    <row r="5" spans="1:29" ht="15">
      <c r="A5" s="358"/>
      <c r="B5" s="359"/>
      <c r="C5" s="4155" t="s">
        <v>3456</v>
      </c>
      <c r="D5" s="4117"/>
      <c r="E5" s="4154" t="s">
        <v>3491</v>
      </c>
      <c r="F5" s="4115"/>
      <c r="G5" s="4155" t="s">
        <v>3456</v>
      </c>
      <c r="H5" s="4117"/>
      <c r="I5" s="4155" t="s">
        <v>5104</v>
      </c>
      <c r="J5" s="4117"/>
      <c r="K5" s="559"/>
      <c r="L5" s="2713"/>
      <c r="M5" s="2714"/>
      <c r="N5" s="2714"/>
      <c r="O5" s="2714"/>
      <c r="P5" s="4161"/>
      <c r="Q5" s="4130"/>
      <c r="R5" s="4112"/>
      <c r="S5" s="4113"/>
      <c r="T5" s="4112"/>
      <c r="U5" s="4113"/>
      <c r="V5" s="4135"/>
      <c r="W5" s="4135"/>
      <c r="X5" s="3474"/>
      <c r="Y5" s="4112"/>
      <c r="Z5" s="4113"/>
      <c r="AA5" s="4106"/>
      <c r="AB5" s="4106"/>
      <c r="AC5" s="4157"/>
    </row>
    <row r="6" spans="1:29" ht="15.75" thickBot="1">
      <c r="A6" s="360"/>
      <c r="B6" s="361"/>
      <c r="C6" s="4118" t="s">
        <v>1675</v>
      </c>
      <c r="D6" s="4119"/>
      <c r="E6" s="4120" t="s">
        <v>1675</v>
      </c>
      <c r="F6" s="4121"/>
      <c r="G6" s="4118" t="s">
        <v>1675</v>
      </c>
      <c r="H6" s="4119"/>
      <c r="I6" s="4118" t="s">
        <v>1675</v>
      </c>
      <c r="J6" s="4119"/>
      <c r="K6" s="559" t="s">
        <v>1676</v>
      </c>
      <c r="L6" s="2713"/>
      <c r="M6" s="2714"/>
      <c r="N6" s="2714"/>
      <c r="O6" s="2714"/>
      <c r="P6" s="4162"/>
      <c r="Q6" s="4132"/>
      <c r="R6" s="4112"/>
      <c r="S6" s="4113"/>
      <c r="T6" s="4133"/>
      <c r="U6" s="4134"/>
      <c r="V6" s="4135"/>
      <c r="W6" s="4135"/>
      <c r="X6" s="3474"/>
      <c r="Y6" s="4133"/>
      <c r="Z6" s="4134"/>
      <c r="AA6" s="4107"/>
      <c r="AB6" s="4107"/>
      <c r="AC6" s="4158"/>
    </row>
    <row r="7" spans="1:29" s="108" customFormat="1" ht="15.75" thickBot="1">
      <c r="A7" s="362" t="s">
        <v>1677</v>
      </c>
      <c r="B7" s="363"/>
      <c r="C7" s="364">
        <f>'数据-取费表'!B2</f>
        <v>45575</v>
      </c>
      <c r="D7" s="365">
        <v>100</v>
      </c>
      <c r="E7" s="366">
        <f>C7</f>
        <v>45575</v>
      </c>
      <c r="F7" s="367">
        <f>SUMIF(59:59,YEAR(E7)&amp;"-"&amp;MONTH(E7),60:60)</f>
        <v>100</v>
      </c>
      <c r="G7" s="366">
        <f>C7</f>
        <v>45575</v>
      </c>
      <c r="H7" s="365">
        <f>SUMIF(59:59,YEAR(G7)&amp;"-"&amp;MONTH(G7),60:60)</f>
        <v>100</v>
      </c>
      <c r="I7" s="366">
        <f>C7</f>
        <v>45575</v>
      </c>
      <c r="J7" s="365">
        <f>SUMIF(59:59,YEAR(I7)&amp;"-"&amp;MONTH(I7),60:60)</f>
        <v>100</v>
      </c>
      <c r="K7" s="560"/>
      <c r="L7" s="2715"/>
      <c r="M7" s="2716"/>
      <c r="N7" s="2716"/>
      <c r="O7" s="2716"/>
      <c r="P7" s="4164" t="s">
        <v>1678</v>
      </c>
      <c r="Q7" s="4136"/>
      <c r="R7" s="700" t="s">
        <v>14</v>
      </c>
      <c r="S7" s="701">
        <f t="shared" ref="S7:S15" si="0">F7</f>
        <v>100</v>
      </c>
      <c r="T7" s="700" t="s">
        <v>14</v>
      </c>
      <c r="U7" s="701">
        <f t="shared" ref="U7:U15" si="1">H7</f>
        <v>100</v>
      </c>
      <c r="V7" s="700" t="s">
        <v>14</v>
      </c>
      <c r="W7" s="701">
        <f t="shared" ref="W7:W15" si="2">J7</f>
        <v>100</v>
      </c>
      <c r="X7" s="702"/>
      <c r="Y7" s="4108" t="s">
        <v>1678</v>
      </c>
      <c r="Z7" s="4109"/>
      <c r="AA7" s="703">
        <f>D7/F7</f>
        <v>1</v>
      </c>
      <c r="AB7" s="703">
        <f>D7/H7</f>
        <v>1</v>
      </c>
      <c r="AC7" s="1958">
        <f>D7/J7</f>
        <v>1</v>
      </c>
    </row>
    <row r="8" spans="1:29" s="108" customFormat="1" ht="15.75" thickBot="1">
      <c r="A8" s="362" t="s">
        <v>1679</v>
      </c>
      <c r="B8" s="363"/>
      <c r="C8" s="368" t="s">
        <v>3457</v>
      </c>
      <c r="D8" s="365">
        <v>100</v>
      </c>
      <c r="E8" s="368" t="s">
        <v>3459</v>
      </c>
      <c r="F8" s="367">
        <f>SUMIF(62:62,E8,63:63)-SUMIF(62:62,C8,63:63)+100</f>
        <v>102</v>
      </c>
      <c r="G8" s="368" t="s">
        <v>3459</v>
      </c>
      <c r="H8" s="365">
        <f>SUMIF(62:62,G8,63:63)-SUMIF(62:62,C8,63:63)+100</f>
        <v>102</v>
      </c>
      <c r="I8" s="368" t="s">
        <v>3459</v>
      </c>
      <c r="J8" s="365">
        <f>SUMIF(62:62,I8,63:63)-SUMIF(62:62,C8,63:63)+100</f>
        <v>102</v>
      </c>
      <c r="K8" s="560"/>
      <c r="L8" s="2715"/>
      <c r="M8" s="2716"/>
      <c r="N8" s="2716"/>
      <c r="O8" s="2716"/>
      <c r="P8" s="4164" t="s">
        <v>1681</v>
      </c>
      <c r="Q8" s="4109"/>
      <c r="R8" s="700" t="s">
        <v>14</v>
      </c>
      <c r="S8" s="701">
        <f t="shared" si="0"/>
        <v>102</v>
      </c>
      <c r="T8" s="700" t="s">
        <v>14</v>
      </c>
      <c r="U8" s="701">
        <f t="shared" si="1"/>
        <v>102</v>
      </c>
      <c r="V8" s="700" t="s">
        <v>14</v>
      </c>
      <c r="W8" s="701">
        <f t="shared" si="2"/>
        <v>102</v>
      </c>
      <c r="X8" s="702"/>
      <c r="Y8" s="4108" t="s">
        <v>1681</v>
      </c>
      <c r="Z8" s="4109"/>
      <c r="AA8" s="703">
        <f t="shared" ref="AA8:AA47" si="3">D8/F8</f>
        <v>0.98039215686274506</v>
      </c>
      <c r="AB8" s="703">
        <f t="shared" ref="AB8:AB47" si="4">D8/H8</f>
        <v>0.98039215686274506</v>
      </c>
      <c r="AC8" s="1958">
        <f t="shared" ref="AC8:AC47" si="5">D8/J8</f>
        <v>0.98039215686274506</v>
      </c>
    </row>
    <row r="9" spans="1:29" s="108" customFormat="1">
      <c r="A9" s="369" t="s">
        <v>1682</v>
      </c>
      <c r="B9" s="63" t="s">
        <v>1683</v>
      </c>
      <c r="C9" s="3487" t="s">
        <v>3458</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4122" t="s">
        <v>1684</v>
      </c>
      <c r="Q9" s="3452" t="str">
        <f t="shared" ref="Q9:Q15" si="6">B9</f>
        <v>用途</v>
      </c>
      <c r="R9" s="700" t="s">
        <v>14</v>
      </c>
      <c r="S9" s="701">
        <f t="shared" si="0"/>
        <v>100</v>
      </c>
      <c r="T9" s="700" t="s">
        <v>14</v>
      </c>
      <c r="U9" s="701">
        <f t="shared" si="1"/>
        <v>100</v>
      </c>
      <c r="V9" s="700" t="s">
        <v>14</v>
      </c>
      <c r="W9" s="701">
        <f t="shared" si="2"/>
        <v>100</v>
      </c>
      <c r="X9" s="702"/>
      <c r="Y9" s="4052" t="s">
        <v>1685</v>
      </c>
      <c r="Z9" s="3450" t="str">
        <f t="shared" ref="Z9:Z15" si="7">Q9</f>
        <v>用途</v>
      </c>
      <c r="AA9" s="703">
        <f t="shared" si="3"/>
        <v>1</v>
      </c>
      <c r="AB9" s="703">
        <f t="shared" si="4"/>
        <v>1</v>
      </c>
      <c r="AC9" s="1958">
        <f t="shared" si="5"/>
        <v>1</v>
      </c>
    </row>
    <row r="10" spans="1:29" s="378" customFormat="1" ht="27">
      <c r="A10" s="374"/>
      <c r="B10" s="375" t="s">
        <v>1686</v>
      </c>
      <c r="C10" s="3432"/>
      <c r="D10" s="127">
        <v>100</v>
      </c>
      <c r="E10" s="3432"/>
      <c r="F10" s="127">
        <f>SUMIF(66:66,E10,67:67)-SUMIF(66:66,C10,67:67)+100</f>
        <v>100</v>
      </c>
      <c r="G10" s="3433"/>
      <c r="H10" s="127">
        <f>SUMIF(66:66,G10,67:67)-SUMIF(66:66,C10,67:67)+100</f>
        <v>100</v>
      </c>
      <c r="I10" s="3432"/>
      <c r="J10" s="127">
        <f>SUMIF(66:66,I10,67:67)-SUMIF(66:66,C10,67:67)+100</f>
        <v>100</v>
      </c>
      <c r="K10" s="560"/>
      <c r="L10" s="2717"/>
      <c r="M10" s="2718"/>
      <c r="N10" s="2718"/>
      <c r="O10" s="2718"/>
      <c r="P10" s="4122"/>
      <c r="Q10" s="3452" t="str">
        <f t="shared" si="6"/>
        <v>土地使用年限（年）</v>
      </c>
      <c r="R10" s="700" t="s">
        <v>14</v>
      </c>
      <c r="S10" s="701">
        <f t="shared" si="0"/>
        <v>100</v>
      </c>
      <c r="T10" s="700" t="s">
        <v>14</v>
      </c>
      <c r="U10" s="701">
        <f t="shared" si="1"/>
        <v>100</v>
      </c>
      <c r="V10" s="700" t="s">
        <v>14</v>
      </c>
      <c r="W10" s="701">
        <f t="shared" si="2"/>
        <v>100</v>
      </c>
      <c r="X10" s="702"/>
      <c r="Y10" s="4052"/>
      <c r="Z10" s="3450" t="str">
        <f t="shared" si="7"/>
        <v>土地使用年限（年）</v>
      </c>
      <c r="AA10" s="703">
        <f t="shared" si="3"/>
        <v>1</v>
      </c>
      <c r="AB10" s="703">
        <f t="shared" si="4"/>
        <v>1</v>
      </c>
      <c r="AC10" s="1958">
        <f t="shared" si="5"/>
        <v>1</v>
      </c>
    </row>
    <row r="11" spans="1:29" ht="15">
      <c r="A11" s="379"/>
      <c r="B11" s="375" t="s">
        <v>1687</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4122"/>
      <c r="Q11" s="3452" t="str">
        <f t="shared" si="6"/>
        <v>容积率</v>
      </c>
      <c r="R11" s="700" t="s">
        <v>14</v>
      </c>
      <c r="S11" s="701">
        <f t="shared" si="0"/>
        <v>100</v>
      </c>
      <c r="T11" s="700" t="s">
        <v>14</v>
      </c>
      <c r="U11" s="701">
        <f t="shared" si="1"/>
        <v>100</v>
      </c>
      <c r="V11" s="700" t="s">
        <v>14</v>
      </c>
      <c r="W11" s="701">
        <f t="shared" si="2"/>
        <v>100</v>
      </c>
      <c r="X11" s="702"/>
      <c r="Y11" s="4052"/>
      <c r="Z11" s="3450" t="str">
        <f t="shared" si="7"/>
        <v>容积率</v>
      </c>
      <c r="AA11" s="703">
        <f t="shared" si="3"/>
        <v>1</v>
      </c>
      <c r="AB11" s="703">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715"/>
      <c r="M12" s="2716"/>
      <c r="N12" s="2716"/>
      <c r="O12" s="2716"/>
      <c r="P12" s="4122"/>
      <c r="Q12" s="3452">
        <f t="shared" si="6"/>
        <v>111</v>
      </c>
      <c r="R12" s="700" t="s">
        <v>14</v>
      </c>
      <c r="S12" s="701">
        <f t="shared" si="0"/>
        <v>100</v>
      </c>
      <c r="T12" s="700" t="s">
        <v>14</v>
      </c>
      <c r="U12" s="701">
        <f t="shared" si="1"/>
        <v>100</v>
      </c>
      <c r="V12" s="700" t="s">
        <v>14</v>
      </c>
      <c r="W12" s="701">
        <f t="shared" si="2"/>
        <v>100</v>
      </c>
      <c r="X12" s="702"/>
      <c r="Y12" s="4052"/>
      <c r="Z12" s="3450">
        <f t="shared" si="7"/>
        <v>111</v>
      </c>
      <c r="AA12" s="703">
        <f>D12/F12</f>
        <v>1</v>
      </c>
      <c r="AB12" s="703">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720"/>
      <c r="M13" s="2714"/>
      <c r="N13" s="2714"/>
      <c r="O13" s="2714"/>
      <c r="P13" s="4122"/>
      <c r="Q13" s="3452">
        <f t="shared" si="6"/>
        <v>111</v>
      </c>
      <c r="R13" s="700" t="s">
        <v>14</v>
      </c>
      <c r="S13" s="701">
        <f t="shared" si="0"/>
        <v>100</v>
      </c>
      <c r="T13" s="700" t="s">
        <v>14</v>
      </c>
      <c r="U13" s="701">
        <f t="shared" si="1"/>
        <v>100</v>
      </c>
      <c r="V13" s="700" t="s">
        <v>14</v>
      </c>
      <c r="W13" s="701">
        <f t="shared" si="2"/>
        <v>100</v>
      </c>
      <c r="X13" s="702"/>
      <c r="Y13" s="4052"/>
      <c r="Z13" s="3450">
        <f t="shared" si="7"/>
        <v>111</v>
      </c>
      <c r="AA13" s="703">
        <f t="shared" si="3"/>
        <v>1</v>
      </c>
      <c r="AB13" s="703">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720"/>
      <c r="M14" s="2714"/>
      <c r="N14" s="2714"/>
      <c r="O14" s="2714"/>
      <c r="P14" s="4122"/>
      <c r="Q14" s="3452">
        <f t="shared" si="6"/>
        <v>111</v>
      </c>
      <c r="R14" s="700" t="s">
        <v>14</v>
      </c>
      <c r="S14" s="701">
        <f t="shared" si="0"/>
        <v>100</v>
      </c>
      <c r="T14" s="700" t="s">
        <v>14</v>
      </c>
      <c r="U14" s="701">
        <f t="shared" si="1"/>
        <v>100</v>
      </c>
      <c r="V14" s="700" t="s">
        <v>14</v>
      </c>
      <c r="W14" s="701">
        <f t="shared" si="2"/>
        <v>100</v>
      </c>
      <c r="X14" s="702"/>
      <c r="Y14" s="4052"/>
      <c r="Z14" s="3450">
        <f t="shared" si="7"/>
        <v>111</v>
      </c>
      <c r="AA14" s="703">
        <f t="shared" si="3"/>
        <v>1</v>
      </c>
      <c r="AB14" s="703">
        <f t="shared" si="4"/>
        <v>1</v>
      </c>
      <c r="AC14" s="1958">
        <f t="shared" si="5"/>
        <v>1</v>
      </c>
    </row>
    <row r="15" spans="1:29" ht="71.25">
      <c r="A15" s="391" t="s">
        <v>1688</v>
      </c>
      <c r="B15" s="577" t="s">
        <v>1809</v>
      </c>
      <c r="C15" s="1960"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0"/>
      <c r="M15" s="2714"/>
      <c r="N15" s="2714"/>
      <c r="O15" s="2714"/>
      <c r="P15" s="4149" t="s">
        <v>1689</v>
      </c>
      <c r="Q15" s="3472" t="str">
        <f t="shared" si="6"/>
        <v>办公集聚程度</v>
      </c>
      <c r="R15" s="704" t="s">
        <v>14</v>
      </c>
      <c r="S15" s="705">
        <f t="shared" si="0"/>
        <v>100</v>
      </c>
      <c r="T15" s="704" t="s">
        <v>14</v>
      </c>
      <c r="U15" s="705">
        <f t="shared" si="1"/>
        <v>100</v>
      </c>
      <c r="V15" s="704" t="s">
        <v>14</v>
      </c>
      <c r="W15" s="705">
        <f t="shared" si="2"/>
        <v>100</v>
      </c>
      <c r="X15" s="3474"/>
      <c r="Y15" s="4142" t="s">
        <v>1689</v>
      </c>
      <c r="Z15" s="3475" t="str">
        <f t="shared" si="7"/>
        <v>办公集聚程度</v>
      </c>
      <c r="AA15" s="3473">
        <f t="shared" si="3"/>
        <v>1</v>
      </c>
      <c r="AB15" s="3473">
        <f t="shared" si="4"/>
        <v>1</v>
      </c>
      <c r="AC15" s="1961">
        <f t="shared" si="5"/>
        <v>1</v>
      </c>
    </row>
    <row r="16" spans="1:29" ht="15">
      <c r="A16" s="379"/>
      <c r="B16" s="578"/>
      <c r="C16" s="1903"/>
      <c r="D16" s="399"/>
      <c r="E16" s="398"/>
      <c r="F16" s="399"/>
      <c r="G16" s="1903"/>
      <c r="H16" s="401"/>
      <c r="I16" s="398"/>
      <c r="J16" s="399"/>
      <c r="K16" s="564"/>
      <c r="L16" s="2720"/>
      <c r="M16" s="2714"/>
      <c r="N16" s="2714"/>
      <c r="O16" s="2714"/>
      <c r="P16" s="4150"/>
      <c r="Q16" s="3472"/>
      <c r="R16" s="704"/>
      <c r="S16" s="705"/>
      <c r="T16" s="704"/>
      <c r="U16" s="705"/>
      <c r="V16" s="704"/>
      <c r="W16" s="705"/>
      <c r="X16" s="3474"/>
      <c r="Y16" s="4143"/>
      <c r="Z16" s="3475"/>
      <c r="AA16" s="3473">
        <v>1</v>
      </c>
      <c r="AB16" s="3473">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0"/>
      <c r="M17" s="2714"/>
      <c r="N17" s="2714"/>
      <c r="O17" s="2714"/>
      <c r="P17" s="4150"/>
      <c r="Q17" s="3472" t="str">
        <f>B17</f>
        <v>交通便捷度</v>
      </c>
      <c r="R17" s="704" t="s">
        <v>14</v>
      </c>
      <c r="S17" s="705">
        <f>F17</f>
        <v>100</v>
      </c>
      <c r="T17" s="704" t="s">
        <v>14</v>
      </c>
      <c r="U17" s="705">
        <f>H17</f>
        <v>100</v>
      </c>
      <c r="V17" s="704" t="s">
        <v>14</v>
      </c>
      <c r="W17" s="705">
        <f>J17</f>
        <v>100</v>
      </c>
      <c r="X17" s="3474"/>
      <c r="Y17" s="4143"/>
      <c r="Z17" s="3475" t="str">
        <f>Q17</f>
        <v>交通便捷度</v>
      </c>
      <c r="AA17" s="3473">
        <f t="shared" si="3"/>
        <v>1</v>
      </c>
      <c r="AB17" s="3473">
        <f t="shared" si="4"/>
        <v>1</v>
      </c>
      <c r="AC17" s="1961">
        <f t="shared" si="5"/>
        <v>1</v>
      </c>
    </row>
    <row r="18" spans="1:29" ht="15">
      <c r="A18" s="379"/>
      <c r="B18" s="580"/>
      <c r="C18" s="1963"/>
      <c r="D18" s="401"/>
      <c r="E18" s="1901"/>
      <c r="F18" s="401"/>
      <c r="G18" s="1902"/>
      <c r="H18" s="399"/>
      <c r="I18" s="1902"/>
      <c r="J18" s="399"/>
      <c r="K18" s="564"/>
      <c r="L18" s="2720"/>
      <c r="M18" s="2714"/>
      <c r="N18" s="2714"/>
      <c r="O18" s="2714"/>
      <c r="P18" s="4150"/>
      <c r="Q18" s="3472"/>
      <c r="R18" s="704"/>
      <c r="S18" s="705"/>
      <c r="T18" s="704"/>
      <c r="U18" s="705"/>
      <c r="V18" s="704"/>
      <c r="W18" s="705"/>
      <c r="X18" s="3474"/>
      <c r="Y18" s="4143"/>
      <c r="Z18" s="3475"/>
      <c r="AA18" s="3473">
        <v>1</v>
      </c>
      <c r="AB18" s="3473">
        <v>1</v>
      </c>
      <c r="AC18" s="1961">
        <v>1</v>
      </c>
    </row>
    <row r="19" spans="1:29" ht="42.75">
      <c r="A19" s="379"/>
      <c r="B19" s="579" t="s">
        <v>1810</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0"/>
      <c r="M19" s="2714"/>
      <c r="N19" s="2714"/>
      <c r="O19" s="2714"/>
      <c r="P19" s="4150"/>
      <c r="Q19" s="3472" t="str">
        <f>B19</f>
        <v>公共配套设施</v>
      </c>
      <c r="R19" s="704" t="s">
        <v>14</v>
      </c>
      <c r="S19" s="705">
        <f>F19</f>
        <v>100</v>
      </c>
      <c r="T19" s="704" t="s">
        <v>14</v>
      </c>
      <c r="U19" s="705">
        <f>H19</f>
        <v>100</v>
      </c>
      <c r="V19" s="704" t="s">
        <v>14</v>
      </c>
      <c r="W19" s="705">
        <f>J19</f>
        <v>100</v>
      </c>
      <c r="X19" s="3474"/>
      <c r="Y19" s="4143"/>
      <c r="Z19" s="3475" t="str">
        <f>Q19</f>
        <v>公共配套设施</v>
      </c>
      <c r="AA19" s="3473">
        <f t="shared" si="3"/>
        <v>1</v>
      </c>
      <c r="AB19" s="3473">
        <f t="shared" si="4"/>
        <v>1</v>
      </c>
      <c r="AC19" s="1961">
        <f t="shared" si="5"/>
        <v>1</v>
      </c>
    </row>
    <row r="20" spans="1:29" ht="15">
      <c r="A20" s="379"/>
      <c r="B20" s="580"/>
      <c r="C20" s="1903"/>
      <c r="D20" s="399"/>
      <c r="E20" s="1896"/>
      <c r="F20" s="399"/>
      <c r="G20" s="1897"/>
      <c r="H20" s="399"/>
      <c r="I20" s="1897"/>
      <c r="J20" s="399"/>
      <c r="K20" s="564"/>
      <c r="L20" s="2720"/>
      <c r="M20" s="2714"/>
      <c r="N20" s="2714"/>
      <c r="O20" s="2714"/>
      <c r="P20" s="4150"/>
      <c r="Q20" s="3472"/>
      <c r="R20" s="704"/>
      <c r="S20" s="705"/>
      <c r="T20" s="704"/>
      <c r="U20" s="705"/>
      <c r="V20" s="704"/>
      <c r="W20" s="705"/>
      <c r="X20" s="3474"/>
      <c r="Y20" s="4143"/>
      <c r="Z20" s="3475"/>
      <c r="AA20" s="3473">
        <v>1</v>
      </c>
      <c r="AB20" s="3473">
        <v>1</v>
      </c>
      <c r="AC20" s="1961">
        <v>1</v>
      </c>
    </row>
    <row r="21" spans="1:29" ht="28.5">
      <c r="A21" s="379"/>
      <c r="B21" s="581" t="s">
        <v>1811</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0"/>
      <c r="M21" s="2714"/>
      <c r="N21" s="2714"/>
      <c r="O21" s="2714"/>
      <c r="P21" s="4150"/>
      <c r="Q21" s="3472" t="str">
        <f>B21</f>
        <v>基础设施水平</v>
      </c>
      <c r="R21" s="704" t="s">
        <v>14</v>
      </c>
      <c r="S21" s="705">
        <f>F21</f>
        <v>100</v>
      </c>
      <c r="T21" s="704" t="s">
        <v>14</v>
      </c>
      <c r="U21" s="705">
        <f>H21</f>
        <v>100</v>
      </c>
      <c r="V21" s="704" t="s">
        <v>14</v>
      </c>
      <c r="W21" s="705">
        <f>J21</f>
        <v>100</v>
      </c>
      <c r="X21" s="3474"/>
      <c r="Y21" s="4143"/>
      <c r="Z21" s="3475" t="str">
        <f>Q21</f>
        <v>基础设施水平</v>
      </c>
      <c r="AA21" s="3473">
        <f t="shared" ref="AA21" si="8">D21/F21</f>
        <v>1</v>
      </c>
      <c r="AB21" s="3473">
        <f t="shared" ref="AB21" si="9">D21/H21</f>
        <v>1</v>
      </c>
      <c r="AC21" s="1961">
        <f t="shared" ref="AC21" si="10">D21/J21</f>
        <v>1</v>
      </c>
    </row>
    <row r="22" spans="1:29" ht="15">
      <c r="A22" s="379"/>
      <c r="B22" s="581"/>
      <c r="C22" s="1963"/>
      <c r="D22" s="399"/>
      <c r="E22" s="398"/>
      <c r="F22" s="399"/>
      <c r="G22" s="1903"/>
      <c r="H22" s="399"/>
      <c r="I22" s="1903"/>
      <c r="J22" s="399"/>
      <c r="K22" s="1129"/>
      <c r="L22" s="2720"/>
      <c r="M22" s="2714"/>
      <c r="N22" s="2714"/>
      <c r="O22" s="2714"/>
      <c r="P22" s="4150"/>
      <c r="Q22" s="3472"/>
      <c r="R22" s="704"/>
      <c r="S22" s="705"/>
      <c r="T22" s="704"/>
      <c r="U22" s="705"/>
      <c r="V22" s="704"/>
      <c r="W22" s="705"/>
      <c r="X22" s="3474"/>
      <c r="Y22" s="4143"/>
      <c r="Z22" s="3475"/>
      <c r="AA22" s="3473">
        <v>1</v>
      </c>
      <c r="AB22" s="3473">
        <v>1</v>
      </c>
      <c r="AC22" s="1961">
        <v>1</v>
      </c>
    </row>
    <row r="23" spans="1:29" ht="42.75">
      <c r="A23" s="379"/>
      <c r="B23" s="579" t="s">
        <v>1812</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0"/>
      <c r="M23" s="2714"/>
      <c r="N23" s="2714"/>
      <c r="O23" s="2714"/>
      <c r="P23" s="4150"/>
      <c r="Q23" s="3472" t="str">
        <f>B23</f>
        <v>环境质量</v>
      </c>
      <c r="R23" s="704" t="s">
        <v>14</v>
      </c>
      <c r="S23" s="705">
        <f>F23</f>
        <v>100</v>
      </c>
      <c r="T23" s="704" t="s">
        <v>14</v>
      </c>
      <c r="U23" s="705">
        <f>H23</f>
        <v>100</v>
      </c>
      <c r="V23" s="704" t="s">
        <v>14</v>
      </c>
      <c r="W23" s="705">
        <f>J23</f>
        <v>100</v>
      </c>
      <c r="X23" s="3474"/>
      <c r="Y23" s="4143"/>
      <c r="Z23" s="3475" t="str">
        <f>Q23</f>
        <v>环境质量</v>
      </c>
      <c r="AA23" s="3473">
        <f t="shared" si="3"/>
        <v>1</v>
      </c>
      <c r="AB23" s="3473">
        <f t="shared" si="4"/>
        <v>1</v>
      </c>
      <c r="AC23" s="1961">
        <f t="shared" si="5"/>
        <v>1</v>
      </c>
    </row>
    <row r="24" spans="1:29" ht="15">
      <c r="A24" s="379"/>
      <c r="B24" s="581"/>
      <c r="C24" s="1903"/>
      <c r="D24" s="399"/>
      <c r="E24" s="1896"/>
      <c r="F24" s="399"/>
      <c r="G24" s="1897"/>
      <c r="H24" s="399"/>
      <c r="I24" s="1897"/>
      <c r="J24" s="399"/>
      <c r="K24" s="564"/>
      <c r="L24" s="2720"/>
      <c r="M24" s="2714"/>
      <c r="N24" s="2714"/>
      <c r="O24" s="2714"/>
      <c r="P24" s="4150"/>
      <c r="Q24" s="3472"/>
      <c r="R24" s="704"/>
      <c r="S24" s="705"/>
      <c r="T24" s="704"/>
      <c r="U24" s="705"/>
      <c r="V24" s="704"/>
      <c r="W24" s="705"/>
      <c r="X24" s="3474"/>
      <c r="Y24" s="4143"/>
      <c r="Z24" s="3475"/>
      <c r="AA24" s="3473">
        <v>1</v>
      </c>
      <c r="AB24" s="3473">
        <v>1</v>
      </c>
      <c r="AC24" s="1961">
        <v>1</v>
      </c>
    </row>
    <row r="25" spans="1:29" ht="27">
      <c r="A25" s="358"/>
      <c r="B25" s="579" t="s">
        <v>1813</v>
      </c>
      <c r="C25" s="1907"/>
      <c r="D25" s="386">
        <v>100</v>
      </c>
      <c r="E25" s="385"/>
      <c r="F25" s="386">
        <f>SUMIF(87:87,E26,88:88)-SUMIF(87:87,C26,88:88)+100</f>
        <v>100</v>
      </c>
      <c r="G25" s="1907"/>
      <c r="H25" s="386">
        <f>SUMIF(87:87,G26,88:88)-SUMIF(87:87,C26,88:88)+100</f>
        <v>100</v>
      </c>
      <c r="I25" s="385"/>
      <c r="J25" s="386">
        <f>SUMIF(87:87,I26,88:88)-SUMIF(87:87,C26,88:88)+100</f>
        <v>100</v>
      </c>
      <c r="K25" s="563"/>
      <c r="L25" s="2720"/>
      <c r="M25" s="2714"/>
      <c r="N25" s="2714"/>
      <c r="O25" s="2714"/>
      <c r="P25" s="4150"/>
      <c r="Q25" s="3472" t="str">
        <f>B25</f>
        <v>毗邻道路的类型与等级</v>
      </c>
      <c r="R25" s="704" t="s">
        <v>14</v>
      </c>
      <c r="S25" s="705">
        <f>F25</f>
        <v>100</v>
      </c>
      <c r="T25" s="704" t="s">
        <v>14</v>
      </c>
      <c r="U25" s="705">
        <f>H25</f>
        <v>100</v>
      </c>
      <c r="V25" s="704" t="s">
        <v>14</v>
      </c>
      <c r="W25" s="705">
        <f>J25</f>
        <v>100</v>
      </c>
      <c r="X25" s="3474"/>
      <c r="Y25" s="4143"/>
      <c r="Z25" s="3475" t="str">
        <f>Q25</f>
        <v>毗邻道路的类型与等级</v>
      </c>
      <c r="AA25" s="3473">
        <f t="shared" si="3"/>
        <v>1</v>
      </c>
      <c r="AB25" s="3473">
        <f t="shared" si="4"/>
        <v>1</v>
      </c>
      <c r="AC25" s="1961">
        <f t="shared" si="5"/>
        <v>1</v>
      </c>
    </row>
    <row r="26" spans="1:29" ht="15">
      <c r="A26" s="358"/>
      <c r="B26" s="580"/>
      <c r="C26" s="582"/>
      <c r="D26" s="386"/>
      <c r="E26" s="565"/>
      <c r="F26" s="386"/>
      <c r="G26" s="582"/>
      <c r="H26" s="386"/>
      <c r="I26" s="565"/>
      <c r="J26" s="386"/>
      <c r="K26" s="564"/>
      <c r="L26" s="2720"/>
      <c r="M26" s="2714"/>
      <c r="N26" s="2714"/>
      <c r="O26" s="2714"/>
      <c r="P26" s="4150"/>
      <c r="Q26" s="3472"/>
      <c r="R26" s="704"/>
      <c r="S26" s="705"/>
      <c r="T26" s="704"/>
      <c r="U26" s="705"/>
      <c r="V26" s="704"/>
      <c r="W26" s="705"/>
      <c r="X26" s="3474"/>
      <c r="Y26" s="4143"/>
      <c r="Z26" s="3475"/>
      <c r="AA26" s="3473">
        <v>1</v>
      </c>
      <c r="AB26" s="3473">
        <v>1</v>
      </c>
      <c r="AC26" s="1961">
        <v>1</v>
      </c>
    </row>
    <row r="27" spans="1:29" ht="15">
      <c r="A27" s="379"/>
      <c r="B27" s="580" t="s">
        <v>1781</v>
      </c>
      <c r="C27" s="582" t="s">
        <v>3463</v>
      </c>
      <c r="D27" s="386">
        <v>100</v>
      </c>
      <c r="E27" s="565" t="s">
        <v>3463</v>
      </c>
      <c r="F27" s="386">
        <f>SUMIF(89:89,E27,90:90)-SUMIF(89:89,C27,90:90)+100</f>
        <v>100</v>
      </c>
      <c r="G27" s="582" t="s">
        <v>3463</v>
      </c>
      <c r="H27" s="386">
        <f>SUMIF(89:89,G27,90:90)-SUMIF(89:89,C27,90:90)+100</f>
        <v>100</v>
      </c>
      <c r="I27" s="565" t="s">
        <v>3461</v>
      </c>
      <c r="J27" s="386">
        <f>SUMIF(89:89,I27,90:90)-SUMIF(89:89,C27,90:90)+100</f>
        <v>102</v>
      </c>
      <c r="K27" s="561">
        <v>2</v>
      </c>
      <c r="L27" s="2720"/>
      <c r="M27" s="2714"/>
      <c r="N27" s="2714"/>
      <c r="O27" s="2714"/>
      <c r="P27" s="4150"/>
      <c r="Q27" s="3472" t="str">
        <f t="shared" ref="Q27:Q47" si="11">B27</f>
        <v>楼层</v>
      </c>
      <c r="R27" s="704" t="s">
        <v>14</v>
      </c>
      <c r="S27" s="705">
        <f>F27</f>
        <v>100</v>
      </c>
      <c r="T27" s="704" t="s">
        <v>14</v>
      </c>
      <c r="U27" s="705">
        <f>H27</f>
        <v>100</v>
      </c>
      <c r="V27" s="704" t="s">
        <v>14</v>
      </c>
      <c r="W27" s="705">
        <f>J27</f>
        <v>102</v>
      </c>
      <c r="X27" s="3474"/>
      <c r="Y27" s="4143"/>
      <c r="Z27" s="3475" t="str">
        <f>Q27</f>
        <v>楼层</v>
      </c>
      <c r="AA27" s="3473">
        <f t="shared" si="3"/>
        <v>1</v>
      </c>
      <c r="AB27" s="3473">
        <f t="shared" si="4"/>
        <v>1</v>
      </c>
      <c r="AC27" s="1961">
        <f t="shared" si="5"/>
        <v>0.98039215686274506</v>
      </c>
    </row>
    <row r="28" spans="1:29" s="108" customFormat="1" ht="15">
      <c r="A28" s="382"/>
      <c r="B28" s="579" t="s">
        <v>1814</v>
      </c>
      <c r="C28" s="1964"/>
      <c r="D28" s="413">
        <v>100</v>
      </c>
      <c r="E28" s="1955"/>
      <c r="F28" s="413">
        <f>SUMIF(91:91,E28,92:92)-SUMIF(91:91,C28,92:92)+100</f>
        <v>100</v>
      </c>
      <c r="G28" s="1964"/>
      <c r="H28" s="413">
        <f>SUMIF(91:91,G28,92:92)-SUMIF(91:91,C28,92:92)+100</f>
        <v>100</v>
      </c>
      <c r="I28" s="1955"/>
      <c r="J28" s="413">
        <f>SUMIF(91:91,I28,92:92)-SUMIF(91:91,C28,92:92)+100</f>
        <v>100</v>
      </c>
      <c r="K28" s="561"/>
      <c r="L28" s="2715"/>
      <c r="M28" s="2716"/>
      <c r="N28" s="2716"/>
      <c r="O28" s="2716"/>
      <c r="P28" s="4150"/>
      <c r="Q28" s="3452" t="str">
        <f t="shared" si="11"/>
        <v>朝向</v>
      </c>
      <c r="R28" s="700" t="s">
        <v>14</v>
      </c>
      <c r="S28" s="701">
        <f>F28</f>
        <v>100</v>
      </c>
      <c r="T28" s="700" t="s">
        <v>14</v>
      </c>
      <c r="U28" s="701">
        <f>H28</f>
        <v>100</v>
      </c>
      <c r="V28" s="700" t="s">
        <v>14</v>
      </c>
      <c r="W28" s="701">
        <f>J28</f>
        <v>100</v>
      </c>
      <c r="X28" s="702"/>
      <c r="Y28" s="4143"/>
      <c r="Z28" s="3450" t="str">
        <f>Q28</f>
        <v>朝向</v>
      </c>
      <c r="AA28" s="3473">
        <f>D28/F28</f>
        <v>1</v>
      </c>
      <c r="AB28" s="3473">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720"/>
      <c r="M29" s="2714"/>
      <c r="N29" s="2714"/>
      <c r="O29" s="2714"/>
      <c r="P29" s="4150"/>
      <c r="Q29" s="3472">
        <f t="shared" si="11"/>
        <v>111</v>
      </c>
      <c r="R29" s="704" t="s">
        <v>14</v>
      </c>
      <c r="S29" s="705">
        <f t="shared" ref="S29:S47" si="12">F29</f>
        <v>100</v>
      </c>
      <c r="T29" s="704" t="s">
        <v>14</v>
      </c>
      <c r="U29" s="705">
        <f t="shared" ref="U29:U47" si="13">H29</f>
        <v>100</v>
      </c>
      <c r="V29" s="704" t="s">
        <v>14</v>
      </c>
      <c r="W29" s="705">
        <f t="shared" ref="W29:W47" si="14">J29</f>
        <v>100</v>
      </c>
      <c r="X29" s="3474"/>
      <c r="Y29" s="4143"/>
      <c r="Z29" s="3475">
        <f t="shared" ref="Z29:Z47" si="15">Q29</f>
        <v>111</v>
      </c>
      <c r="AA29" s="3473">
        <f t="shared" si="3"/>
        <v>1</v>
      </c>
      <c r="AB29" s="3473">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720"/>
      <c r="M30" s="2714"/>
      <c r="N30" s="2714"/>
      <c r="O30" s="2714"/>
      <c r="P30" s="4150"/>
      <c r="Q30" s="3472">
        <f t="shared" si="11"/>
        <v>111</v>
      </c>
      <c r="R30" s="704" t="s">
        <v>14</v>
      </c>
      <c r="S30" s="705">
        <f t="shared" si="12"/>
        <v>100</v>
      </c>
      <c r="T30" s="704" t="s">
        <v>14</v>
      </c>
      <c r="U30" s="705">
        <f t="shared" si="13"/>
        <v>100</v>
      </c>
      <c r="V30" s="704" t="s">
        <v>14</v>
      </c>
      <c r="W30" s="705">
        <f t="shared" si="14"/>
        <v>100</v>
      </c>
      <c r="X30" s="3474"/>
      <c r="Y30" s="4143"/>
      <c r="Z30" s="3475">
        <f t="shared" si="15"/>
        <v>111</v>
      </c>
      <c r="AA30" s="3473">
        <f t="shared" si="3"/>
        <v>1</v>
      </c>
      <c r="AB30" s="3473">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720"/>
      <c r="M31" s="2714"/>
      <c r="N31" s="2714"/>
      <c r="O31" s="2714"/>
      <c r="P31" s="4150"/>
      <c r="Q31" s="3472">
        <f t="shared" si="11"/>
        <v>111</v>
      </c>
      <c r="R31" s="704" t="s">
        <v>14</v>
      </c>
      <c r="S31" s="705">
        <f t="shared" si="12"/>
        <v>100</v>
      </c>
      <c r="T31" s="704" t="s">
        <v>14</v>
      </c>
      <c r="U31" s="705">
        <f t="shared" si="13"/>
        <v>100</v>
      </c>
      <c r="V31" s="704" t="s">
        <v>14</v>
      </c>
      <c r="W31" s="705">
        <f t="shared" si="14"/>
        <v>100</v>
      </c>
      <c r="X31" s="3474"/>
      <c r="Y31" s="4143"/>
      <c r="Z31" s="3475">
        <f t="shared" si="15"/>
        <v>111</v>
      </c>
      <c r="AA31" s="3473">
        <f t="shared" si="3"/>
        <v>1</v>
      </c>
      <c r="AB31" s="3473">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720"/>
      <c r="M32" s="2714"/>
      <c r="N32" s="2714"/>
      <c r="O32" s="2714"/>
      <c r="P32" s="4150"/>
      <c r="Q32" s="3472">
        <f t="shared" si="11"/>
        <v>111</v>
      </c>
      <c r="R32" s="704" t="s">
        <v>14</v>
      </c>
      <c r="S32" s="705">
        <f t="shared" si="12"/>
        <v>100</v>
      </c>
      <c r="T32" s="704" t="s">
        <v>14</v>
      </c>
      <c r="U32" s="705">
        <f t="shared" si="13"/>
        <v>100</v>
      </c>
      <c r="V32" s="704" t="s">
        <v>14</v>
      </c>
      <c r="W32" s="705">
        <f t="shared" si="14"/>
        <v>100</v>
      </c>
      <c r="X32" s="3474"/>
      <c r="Y32" s="4143"/>
      <c r="Z32" s="3475">
        <f t="shared" si="15"/>
        <v>111</v>
      </c>
      <c r="AA32" s="3473">
        <f t="shared" si="3"/>
        <v>1</v>
      </c>
      <c r="AB32" s="3473">
        <f t="shared" si="4"/>
        <v>1</v>
      </c>
      <c r="AC32" s="1961">
        <f t="shared" si="5"/>
        <v>1</v>
      </c>
    </row>
    <row r="33" spans="1:29" ht="15">
      <c r="A33" s="391" t="s">
        <v>1692</v>
      </c>
      <c r="B33" s="63" t="s">
        <v>1815</v>
      </c>
      <c r="C33" s="1966" t="s">
        <v>3467</v>
      </c>
      <c r="D33" s="418">
        <v>100</v>
      </c>
      <c r="E33" s="1966" t="s">
        <v>3467</v>
      </c>
      <c r="F33" s="412">
        <f>SUMIF(101:101,E33,102:102)-SUMIF(101:101,C33,102:102)+100</f>
        <v>100</v>
      </c>
      <c r="G33" s="1966" t="s">
        <v>3467</v>
      </c>
      <c r="H33" s="386">
        <f>SUMIF(101:101,G33,102:102)-SUMIF(101:101,C33,102:102)+100</f>
        <v>100</v>
      </c>
      <c r="I33" s="1966" t="s">
        <v>3467</v>
      </c>
      <c r="J33" s="418">
        <f>SUMIF(101:101,I33,102:102)-SUMIF(101:101,C33,102:102)+100</f>
        <v>100</v>
      </c>
      <c r="K33" s="561">
        <v>1</v>
      </c>
      <c r="L33" s="2720"/>
      <c r="M33" s="2714"/>
      <c r="N33" s="2714"/>
      <c r="O33" s="2714"/>
      <c r="P33" s="4144" t="s">
        <v>1694</v>
      </c>
      <c r="Q33" s="3472" t="str">
        <f t="shared" si="11"/>
        <v>建筑类型</v>
      </c>
      <c r="R33" s="704" t="s">
        <v>14</v>
      </c>
      <c r="S33" s="705">
        <f t="shared" si="12"/>
        <v>100</v>
      </c>
      <c r="T33" s="704" t="s">
        <v>14</v>
      </c>
      <c r="U33" s="705">
        <f t="shared" si="13"/>
        <v>100</v>
      </c>
      <c r="V33" s="704" t="s">
        <v>14</v>
      </c>
      <c r="W33" s="705">
        <f t="shared" si="14"/>
        <v>100</v>
      </c>
      <c r="X33" s="3474"/>
      <c r="Y33" s="4147" t="s">
        <v>1694</v>
      </c>
      <c r="Z33" s="3475" t="str">
        <f t="shared" si="15"/>
        <v>建筑类型</v>
      </c>
      <c r="AA33" s="3473">
        <f t="shared" si="3"/>
        <v>1</v>
      </c>
      <c r="AB33" s="3473">
        <f t="shared" si="4"/>
        <v>1</v>
      </c>
      <c r="AC33" s="1961">
        <f t="shared" si="5"/>
        <v>1</v>
      </c>
    </row>
    <row r="34" spans="1:29" s="422" customFormat="1" ht="15">
      <c r="A34" s="419"/>
      <c r="B34" s="375" t="s">
        <v>1695</v>
      </c>
      <c r="C34" s="420">
        <f>'数据-汇总表'!F19</f>
        <v>3752.39</v>
      </c>
      <c r="D34" s="127">
        <v>100</v>
      </c>
      <c r="E34" s="381">
        <v>127</v>
      </c>
      <c r="F34" s="376">
        <f>LOOKUP(E34,104:104,105:105)-LOOKUP(C34,104:104,105:105)+100</f>
        <v>103</v>
      </c>
      <c r="G34" s="380">
        <v>592.69000000000005</v>
      </c>
      <c r="H34" s="127">
        <f>LOOKUP(G34,104:104,105:105)-LOOKUP(C34,104:104,105:105)+100</f>
        <v>104</v>
      </c>
      <c r="I34" s="380">
        <v>203</v>
      </c>
      <c r="J34" s="127">
        <f>LOOKUP(I34,104:104,105:105)-LOOKUP(C34,104:104,105:105)+100</f>
        <v>103</v>
      </c>
      <c r="K34" s="562"/>
      <c r="L34" s="2719"/>
      <c r="M34" s="2721"/>
      <c r="N34" s="2721"/>
      <c r="O34" s="2721"/>
      <c r="P34" s="4145"/>
      <c r="Q34" s="706" t="str">
        <f t="shared" si="11"/>
        <v>项目建筑规模</v>
      </c>
      <c r="R34" s="707" t="s">
        <v>14</v>
      </c>
      <c r="S34" s="708">
        <f t="shared" si="12"/>
        <v>103</v>
      </c>
      <c r="T34" s="707" t="s">
        <v>14</v>
      </c>
      <c r="U34" s="708">
        <f t="shared" si="13"/>
        <v>104</v>
      </c>
      <c r="V34" s="707" t="s">
        <v>14</v>
      </c>
      <c r="W34" s="708">
        <f t="shared" si="14"/>
        <v>103</v>
      </c>
      <c r="X34" s="709"/>
      <c r="Y34" s="4147"/>
      <c r="Z34" s="710" t="str">
        <f t="shared" si="15"/>
        <v>项目建筑规模</v>
      </c>
      <c r="AA34" s="3473">
        <f t="shared" si="3"/>
        <v>0.970873786407767</v>
      </c>
      <c r="AB34" s="3473">
        <f t="shared" si="4"/>
        <v>0.96153846153846156</v>
      </c>
      <c r="AC34" s="1961">
        <f t="shared" si="5"/>
        <v>0.970873786407767</v>
      </c>
    </row>
    <row r="35" spans="1:29" ht="15">
      <c r="A35" s="423"/>
      <c r="B35" s="375" t="s">
        <v>1696</v>
      </c>
      <c r="C35" s="411" t="s">
        <v>3451</v>
      </c>
      <c r="D35" s="386">
        <v>100</v>
      </c>
      <c r="E35" s="411" t="s">
        <v>3451</v>
      </c>
      <c r="F35" s="412">
        <f>SUMIF(106:106,E35,107:107)-SUMIF(106:106,C35,107:107)+100</f>
        <v>100</v>
      </c>
      <c r="G35" s="411" t="s">
        <v>3451</v>
      </c>
      <c r="H35" s="386">
        <f>SUMIF(106:106,G35,107:107)-SUMIF(106:106,C35,107:107)+100</f>
        <v>100</v>
      </c>
      <c r="I35" s="411" t="s">
        <v>3451</v>
      </c>
      <c r="J35" s="386">
        <f>SUMIF(106:106,I35,107:107)-SUMIF(106:106,C35,107:107)+100</f>
        <v>100</v>
      </c>
      <c r="K35" s="561">
        <v>1</v>
      </c>
      <c r="L35" s="2720"/>
      <c r="M35" s="2714"/>
      <c r="N35" s="2714"/>
      <c r="O35" s="2714"/>
      <c r="P35" s="4145"/>
      <c r="Q35" s="3472" t="str">
        <f t="shared" si="11"/>
        <v>建筑结构</v>
      </c>
      <c r="R35" s="704" t="s">
        <v>14</v>
      </c>
      <c r="S35" s="705">
        <f t="shared" si="12"/>
        <v>100</v>
      </c>
      <c r="T35" s="704" t="s">
        <v>14</v>
      </c>
      <c r="U35" s="705">
        <f t="shared" si="13"/>
        <v>100</v>
      </c>
      <c r="V35" s="704" t="s">
        <v>14</v>
      </c>
      <c r="W35" s="705">
        <f t="shared" si="14"/>
        <v>100</v>
      </c>
      <c r="X35" s="3474"/>
      <c r="Y35" s="4147"/>
      <c r="Z35" s="3475" t="str">
        <f t="shared" si="15"/>
        <v>建筑结构</v>
      </c>
      <c r="AA35" s="3473">
        <f t="shared" si="3"/>
        <v>1</v>
      </c>
      <c r="AB35" s="3473">
        <f t="shared" si="4"/>
        <v>1</v>
      </c>
      <c r="AC35" s="1961">
        <f t="shared" si="5"/>
        <v>1</v>
      </c>
    </row>
    <row r="36" spans="1:29" ht="15">
      <c r="A36" s="423"/>
      <c r="B36" s="375" t="s">
        <v>1783</v>
      </c>
      <c r="C36" s="411" t="s">
        <v>3470</v>
      </c>
      <c r="D36" s="386">
        <v>100</v>
      </c>
      <c r="E36" s="411" t="s">
        <v>3470</v>
      </c>
      <c r="F36" s="412">
        <f>SUMIF(108:108,E36,109:109)-SUMIF(108:108,C36,109:109)+100</f>
        <v>100</v>
      </c>
      <c r="G36" s="411" t="s">
        <v>3470</v>
      </c>
      <c r="H36" s="386">
        <f>SUMIF(108:108,G36,109:109)-SUMIF(108:108,C36,109:109)+100</f>
        <v>100</v>
      </c>
      <c r="I36" s="411" t="s">
        <v>3470</v>
      </c>
      <c r="J36" s="386">
        <f>SUMIF(108:108,I36,109:109)-SUMIF(108:108,C36,109:109)+100</f>
        <v>100</v>
      </c>
      <c r="K36" s="561">
        <v>1</v>
      </c>
      <c r="L36" s="2720"/>
      <c r="M36" s="2714"/>
      <c r="N36" s="2714"/>
      <c r="O36" s="2714"/>
      <c r="P36" s="4145"/>
      <c r="Q36" s="3472" t="str">
        <f t="shared" si="11"/>
        <v>公共部分装修</v>
      </c>
      <c r="R36" s="704" t="s">
        <v>14</v>
      </c>
      <c r="S36" s="705">
        <f t="shared" si="12"/>
        <v>100</v>
      </c>
      <c r="T36" s="704" t="s">
        <v>14</v>
      </c>
      <c r="U36" s="705">
        <f t="shared" si="13"/>
        <v>100</v>
      </c>
      <c r="V36" s="704" t="s">
        <v>14</v>
      </c>
      <c r="W36" s="705">
        <f t="shared" si="14"/>
        <v>100</v>
      </c>
      <c r="X36" s="3474"/>
      <c r="Y36" s="4147"/>
      <c r="Z36" s="3475" t="str">
        <f t="shared" si="15"/>
        <v>公共部分装修</v>
      </c>
      <c r="AA36" s="3473">
        <f t="shared" si="3"/>
        <v>1</v>
      </c>
      <c r="AB36" s="3473">
        <f t="shared" si="4"/>
        <v>1</v>
      </c>
      <c r="AC36" s="1961">
        <f t="shared" si="5"/>
        <v>1</v>
      </c>
    </row>
    <row r="37" spans="1:29" ht="15">
      <c r="A37" s="423"/>
      <c r="B37" s="375" t="s">
        <v>1784</v>
      </c>
      <c r="C37" s="425">
        <f>'数据-取费表'!N6</f>
        <v>0.73099999999999987</v>
      </c>
      <c r="D37" s="386">
        <v>100</v>
      </c>
      <c r="E37" s="425">
        <v>0.77</v>
      </c>
      <c r="F37" s="412">
        <f>LOOKUP(E37,111:111,112:112)-LOOKUP(C37,111:111,112:112)+100</f>
        <v>100</v>
      </c>
      <c r="G37" s="425">
        <f>C37</f>
        <v>0.73099999999999987</v>
      </c>
      <c r="H37" s="412">
        <f>LOOKUP(G37,111:111,112:112)-LOOKUP(C37,111:111,112:112)+100</f>
        <v>100</v>
      </c>
      <c r="I37" s="425">
        <v>0.75</v>
      </c>
      <c r="J37" s="386">
        <f>LOOKUP(I37,111:111,112:112)-LOOKUP(C37,111:111,112:112)+100</f>
        <v>100</v>
      </c>
      <c r="K37" s="561">
        <v>2</v>
      </c>
      <c r="L37" s="2720"/>
      <c r="M37" s="2714"/>
      <c r="N37" s="2714"/>
      <c r="O37" s="2714"/>
      <c r="P37" s="4145"/>
      <c r="Q37" s="3472" t="str">
        <f t="shared" si="11"/>
        <v>成新度</v>
      </c>
      <c r="R37" s="704" t="s">
        <v>14</v>
      </c>
      <c r="S37" s="705">
        <f t="shared" si="12"/>
        <v>100</v>
      </c>
      <c r="T37" s="704" t="s">
        <v>14</v>
      </c>
      <c r="U37" s="705">
        <f t="shared" si="13"/>
        <v>100</v>
      </c>
      <c r="V37" s="704" t="s">
        <v>14</v>
      </c>
      <c r="W37" s="705">
        <f t="shared" si="14"/>
        <v>100</v>
      </c>
      <c r="X37" s="3474"/>
      <c r="Y37" s="4147"/>
      <c r="Z37" s="3475" t="str">
        <f t="shared" si="15"/>
        <v>成新度</v>
      </c>
      <c r="AA37" s="3473">
        <f t="shared" si="3"/>
        <v>1</v>
      </c>
      <c r="AB37" s="3473">
        <f t="shared" si="4"/>
        <v>1</v>
      </c>
      <c r="AC37" s="1961">
        <f t="shared" si="5"/>
        <v>1</v>
      </c>
    </row>
    <row r="38" spans="1:29" s="108" customFormat="1" ht="15">
      <c r="A38" s="424"/>
      <c r="B38" s="375" t="s">
        <v>1816</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v>1</v>
      </c>
      <c r="L38" s="2715"/>
      <c r="M38" s="2716"/>
      <c r="N38" s="2716"/>
      <c r="O38" s="2716"/>
      <c r="P38" s="4145"/>
      <c r="Q38" s="3452" t="str">
        <f t="shared" si="11"/>
        <v>写字楼等级</v>
      </c>
      <c r="R38" s="700" t="s">
        <v>14</v>
      </c>
      <c r="S38" s="701">
        <f t="shared" si="12"/>
        <v>100</v>
      </c>
      <c r="T38" s="700" t="s">
        <v>14</v>
      </c>
      <c r="U38" s="701">
        <f t="shared" si="13"/>
        <v>100</v>
      </c>
      <c r="V38" s="700" t="s">
        <v>14</v>
      </c>
      <c r="W38" s="701">
        <f t="shared" si="14"/>
        <v>100</v>
      </c>
      <c r="X38" s="702"/>
      <c r="Y38" s="4147"/>
      <c r="Z38" s="3450" t="str">
        <f t="shared" si="15"/>
        <v>写字楼等级</v>
      </c>
      <c r="AA38" s="703">
        <f t="shared" si="3"/>
        <v>1</v>
      </c>
      <c r="AB38" s="703">
        <f t="shared" si="4"/>
        <v>1</v>
      </c>
      <c r="AC38" s="1958">
        <f t="shared" si="5"/>
        <v>1</v>
      </c>
    </row>
    <row r="39" spans="1:29" ht="15">
      <c r="A39" s="423"/>
      <c r="B39" s="375" t="s">
        <v>1817</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v>1</v>
      </c>
      <c r="L39" s="2720"/>
      <c r="M39" s="2714"/>
      <c r="N39" s="2714"/>
      <c r="O39" s="2714"/>
      <c r="P39" s="4145" t="s">
        <v>1694</v>
      </c>
      <c r="Q39" s="3472" t="str">
        <f t="shared" si="11"/>
        <v>物业管理</v>
      </c>
      <c r="R39" s="704" t="s">
        <v>14</v>
      </c>
      <c r="S39" s="705">
        <f t="shared" si="12"/>
        <v>100</v>
      </c>
      <c r="T39" s="704" t="s">
        <v>14</v>
      </c>
      <c r="U39" s="705">
        <f t="shared" si="13"/>
        <v>100</v>
      </c>
      <c r="V39" s="704" t="s">
        <v>14</v>
      </c>
      <c r="W39" s="705">
        <f t="shared" si="14"/>
        <v>100</v>
      </c>
      <c r="X39" s="3474"/>
      <c r="Y39" s="4147" t="s">
        <v>1694</v>
      </c>
      <c r="Z39" s="3475" t="str">
        <f t="shared" si="15"/>
        <v>物业管理</v>
      </c>
      <c r="AA39" s="3473">
        <f t="shared" si="3"/>
        <v>1</v>
      </c>
      <c r="AB39" s="3473">
        <f t="shared" si="4"/>
        <v>1</v>
      </c>
      <c r="AC39" s="1961">
        <f t="shared" si="5"/>
        <v>1</v>
      </c>
    </row>
    <row r="40" spans="1:29" ht="15">
      <c r="A40" s="423"/>
      <c r="B40" s="375" t="s">
        <v>1785</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v>1</v>
      </c>
      <c r="L40" s="2720"/>
      <c r="M40" s="2714"/>
      <c r="N40" s="2714"/>
      <c r="O40" s="2714"/>
      <c r="P40" s="4145"/>
      <c r="Q40" s="3472" t="str">
        <f t="shared" si="11"/>
        <v>市政基础设施</v>
      </c>
      <c r="R40" s="704" t="s">
        <v>14</v>
      </c>
      <c r="S40" s="705">
        <f t="shared" si="12"/>
        <v>100</v>
      </c>
      <c r="T40" s="704" t="s">
        <v>14</v>
      </c>
      <c r="U40" s="705">
        <f t="shared" si="13"/>
        <v>100</v>
      </c>
      <c r="V40" s="704" t="s">
        <v>14</v>
      </c>
      <c r="W40" s="705">
        <f t="shared" si="14"/>
        <v>100</v>
      </c>
      <c r="X40" s="3474"/>
      <c r="Y40" s="4147"/>
      <c r="Z40" s="3475" t="str">
        <f t="shared" si="15"/>
        <v>市政基础设施</v>
      </c>
      <c r="AA40" s="3473">
        <f t="shared" si="3"/>
        <v>1</v>
      </c>
      <c r="AB40" s="3473">
        <f t="shared" si="4"/>
        <v>1</v>
      </c>
      <c r="AC40" s="1961">
        <f t="shared" si="5"/>
        <v>1</v>
      </c>
    </row>
    <row r="41" spans="1:29" ht="15">
      <c r="A41" s="423"/>
      <c r="B41" s="375" t="s">
        <v>1787</v>
      </c>
      <c r="C41" s="565" t="s">
        <v>3478</v>
      </c>
      <c r="D41" s="386">
        <v>100</v>
      </c>
      <c r="E41" s="565" t="s">
        <v>3478</v>
      </c>
      <c r="F41" s="412">
        <f>SUMIF(119:119,E41,120:120)-SUMIF(119:119,C41,120:120)+100</f>
        <v>100</v>
      </c>
      <c r="G41" s="565" t="s">
        <v>3478</v>
      </c>
      <c r="H41" s="386">
        <f>SUMIF(119:119,G41,120:120)-SUMIF(119:119,C41,120:120)+100</f>
        <v>100</v>
      </c>
      <c r="I41" s="565" t="s">
        <v>3478</v>
      </c>
      <c r="J41" s="386">
        <f>SUMIF(119:119,I41,120:120)-SUMIF(119:119,C41,120:120)+100</f>
        <v>100</v>
      </c>
      <c r="K41" s="561">
        <v>2</v>
      </c>
      <c r="L41" s="2720"/>
      <c r="M41" s="2714"/>
      <c r="N41" s="2714"/>
      <c r="O41" s="2714"/>
      <c r="P41" s="4145"/>
      <c r="Q41" s="3472" t="str">
        <f t="shared" si="11"/>
        <v>层高</v>
      </c>
      <c r="R41" s="704" t="s">
        <v>14</v>
      </c>
      <c r="S41" s="705">
        <f t="shared" si="12"/>
        <v>100</v>
      </c>
      <c r="T41" s="704" t="s">
        <v>14</v>
      </c>
      <c r="U41" s="705">
        <f t="shared" si="13"/>
        <v>100</v>
      </c>
      <c r="V41" s="704" t="s">
        <v>14</v>
      </c>
      <c r="W41" s="705">
        <f t="shared" si="14"/>
        <v>100</v>
      </c>
      <c r="X41" s="3474"/>
      <c r="Y41" s="4147"/>
      <c r="Z41" s="3475" t="str">
        <f t="shared" si="15"/>
        <v>层高</v>
      </c>
      <c r="AA41" s="3473">
        <f t="shared" si="3"/>
        <v>1</v>
      </c>
      <c r="AB41" s="3473">
        <f t="shared" si="4"/>
        <v>1</v>
      </c>
      <c r="AC41" s="1961">
        <f t="shared" si="5"/>
        <v>1</v>
      </c>
    </row>
    <row r="42" spans="1:29" s="422" customFormat="1" ht="15" hidden="1">
      <c r="A42" s="419"/>
      <c r="B42" s="3471" t="s">
        <v>1818</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4145"/>
      <c r="Q42" s="706" t="str">
        <f t="shared" si="11"/>
        <v>单套建筑面积</v>
      </c>
      <c r="R42" s="707" t="s">
        <v>14</v>
      </c>
      <c r="S42" s="708">
        <f t="shared" si="12"/>
        <v>100</v>
      </c>
      <c r="T42" s="707" t="s">
        <v>14</v>
      </c>
      <c r="U42" s="708">
        <f t="shared" si="13"/>
        <v>100</v>
      </c>
      <c r="V42" s="707" t="s">
        <v>14</v>
      </c>
      <c r="W42" s="708">
        <f t="shared" si="14"/>
        <v>100</v>
      </c>
      <c r="X42" s="709"/>
      <c r="Y42" s="4147"/>
      <c r="Z42" s="710" t="str">
        <f t="shared" si="15"/>
        <v>单套建筑面积</v>
      </c>
      <c r="AA42" s="3473">
        <f t="shared" si="3"/>
        <v>1</v>
      </c>
      <c r="AB42" s="3473">
        <f t="shared" si="4"/>
        <v>1</v>
      </c>
      <c r="AC42" s="1961">
        <f t="shared" si="5"/>
        <v>1</v>
      </c>
    </row>
    <row r="43" spans="1:29" ht="15">
      <c r="A43" s="423"/>
      <c r="B43" s="375" t="s">
        <v>1790</v>
      </c>
      <c r="C43" s="411" t="s">
        <v>3480</v>
      </c>
      <c r="D43" s="386">
        <v>100</v>
      </c>
      <c r="E43" s="411" t="s">
        <v>3480</v>
      </c>
      <c r="F43" s="412">
        <f>SUMIF(123:123,E43,124:124)-SUMIF(123:123,C43,124:124)+100</f>
        <v>100</v>
      </c>
      <c r="G43" s="411" t="s">
        <v>3480</v>
      </c>
      <c r="H43" s="386">
        <f>SUMIF(123:123,G43,124:124)-SUMIF(123:123,C43,124:124)+100</f>
        <v>100</v>
      </c>
      <c r="I43" s="411" t="s">
        <v>3480</v>
      </c>
      <c r="J43" s="386">
        <f>SUMIF(123:123,I43,124:124)-SUMIF(123:123,C43,124:124)+100</f>
        <v>100</v>
      </c>
      <c r="K43" s="561">
        <v>1</v>
      </c>
      <c r="L43" s="2720"/>
      <c r="M43" s="2714"/>
      <c r="N43" s="2714"/>
      <c r="O43" s="2714"/>
      <c r="P43" s="4145"/>
      <c r="Q43" s="3472" t="str">
        <f t="shared" si="11"/>
        <v>内部装修</v>
      </c>
      <c r="R43" s="704" t="s">
        <v>14</v>
      </c>
      <c r="S43" s="705">
        <f t="shared" si="12"/>
        <v>100</v>
      </c>
      <c r="T43" s="704" t="s">
        <v>14</v>
      </c>
      <c r="U43" s="705">
        <f t="shared" si="13"/>
        <v>100</v>
      </c>
      <c r="V43" s="704" t="s">
        <v>14</v>
      </c>
      <c r="W43" s="705">
        <f t="shared" si="14"/>
        <v>100</v>
      </c>
      <c r="X43" s="3474"/>
      <c r="Y43" s="4147"/>
      <c r="Z43" s="3475" t="str">
        <f t="shared" si="15"/>
        <v>内部装修</v>
      </c>
      <c r="AA43" s="3473">
        <f t="shared" si="3"/>
        <v>1</v>
      </c>
      <c r="AB43" s="3473">
        <f t="shared" si="4"/>
        <v>1</v>
      </c>
      <c r="AC43" s="1961">
        <f t="shared" si="5"/>
        <v>1</v>
      </c>
    </row>
    <row r="44" spans="1:29" ht="15">
      <c r="A44" s="423"/>
      <c r="B44" s="375" t="s">
        <v>1705</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720"/>
      <c r="M44" s="2714"/>
      <c r="N44" s="2714"/>
      <c r="O44" s="2714"/>
      <c r="P44" s="4145"/>
      <c r="Q44" s="3472" t="str">
        <f t="shared" si="11"/>
        <v>内部装修维护情况</v>
      </c>
      <c r="R44" s="704" t="s">
        <v>14</v>
      </c>
      <c r="S44" s="705">
        <f t="shared" si="12"/>
        <v>100</v>
      </c>
      <c r="T44" s="704" t="s">
        <v>14</v>
      </c>
      <c r="U44" s="705">
        <f t="shared" si="13"/>
        <v>100</v>
      </c>
      <c r="V44" s="704" t="s">
        <v>14</v>
      </c>
      <c r="W44" s="705">
        <f t="shared" si="14"/>
        <v>100</v>
      </c>
      <c r="X44" s="3474"/>
      <c r="Y44" s="4147"/>
      <c r="Z44" s="3475" t="str">
        <f t="shared" si="15"/>
        <v>内部装修维护情况</v>
      </c>
      <c r="AA44" s="3473">
        <f t="shared" si="3"/>
        <v>1</v>
      </c>
      <c r="AB44" s="3473">
        <f t="shared" si="4"/>
        <v>1</v>
      </c>
      <c r="AC44" s="1961">
        <f t="shared" si="5"/>
        <v>1</v>
      </c>
    </row>
    <row r="45" spans="1:29" s="108" customFormat="1" ht="15">
      <c r="A45" s="424"/>
      <c r="B45" s="3501" t="s">
        <v>3490</v>
      </c>
      <c r="C45" s="420">
        <f>'数据-取费表'!N18</f>
        <v>1998</v>
      </c>
      <c r="D45" s="127">
        <v>100</v>
      </c>
      <c r="E45" s="383">
        <v>2008</v>
      </c>
      <c r="F45" s="376">
        <f>SUMIF(127:127,E45,128:128)-SUMIF(127:127,C45,128:128)+100</f>
        <v>100</v>
      </c>
      <c r="G45" s="383">
        <v>2006</v>
      </c>
      <c r="H45" s="127">
        <f>SUMIF(127:127,G45,128:128)-SUMIF(127:127,C45,128:128)+100</f>
        <v>100</v>
      </c>
      <c r="I45" s="383">
        <v>2006</v>
      </c>
      <c r="J45" s="127">
        <f>SUMIF(127:127,I45,128:128)-SUMIF(127:127,C45,128:128)+100</f>
        <v>100</v>
      </c>
      <c r="K45" s="562"/>
      <c r="L45" s="2715"/>
      <c r="M45" s="2716"/>
      <c r="N45" s="2716"/>
      <c r="O45" s="2716"/>
      <c r="P45" s="4145"/>
      <c r="Q45" s="3452" t="str">
        <f t="shared" si="11"/>
        <v>建成年代</v>
      </c>
      <c r="R45" s="700" t="s">
        <v>14</v>
      </c>
      <c r="S45" s="701">
        <f t="shared" si="12"/>
        <v>100</v>
      </c>
      <c r="T45" s="700" t="s">
        <v>14</v>
      </c>
      <c r="U45" s="701">
        <f t="shared" si="13"/>
        <v>100</v>
      </c>
      <c r="V45" s="700" t="s">
        <v>14</v>
      </c>
      <c r="W45" s="701">
        <f t="shared" si="14"/>
        <v>100</v>
      </c>
      <c r="X45" s="702"/>
      <c r="Y45" s="4147"/>
      <c r="Z45" s="3450" t="str">
        <f t="shared" si="15"/>
        <v>建成年代</v>
      </c>
      <c r="AA45" s="703">
        <f t="shared" si="3"/>
        <v>1</v>
      </c>
      <c r="AB45" s="703">
        <f t="shared" si="4"/>
        <v>1</v>
      </c>
      <c r="AC45" s="1958">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4145"/>
      <c r="Q46" s="3472">
        <f t="shared" si="11"/>
        <v>111</v>
      </c>
      <c r="R46" s="704" t="s">
        <v>14</v>
      </c>
      <c r="S46" s="705">
        <f t="shared" si="12"/>
        <v>100</v>
      </c>
      <c r="T46" s="704" t="s">
        <v>14</v>
      </c>
      <c r="U46" s="705">
        <f t="shared" si="13"/>
        <v>100</v>
      </c>
      <c r="V46" s="704" t="s">
        <v>14</v>
      </c>
      <c r="W46" s="705">
        <f t="shared" si="14"/>
        <v>100</v>
      </c>
      <c r="X46" s="3474"/>
      <c r="Y46" s="4147"/>
      <c r="Z46" s="3475">
        <f t="shared" si="15"/>
        <v>111</v>
      </c>
      <c r="AA46" s="3473">
        <f t="shared" si="3"/>
        <v>1</v>
      </c>
      <c r="AB46" s="3473">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4146"/>
      <c r="Q47" s="3472">
        <f t="shared" si="11"/>
        <v>111</v>
      </c>
      <c r="R47" s="704" t="s">
        <v>14</v>
      </c>
      <c r="S47" s="705">
        <f t="shared" si="12"/>
        <v>100</v>
      </c>
      <c r="T47" s="704" t="s">
        <v>14</v>
      </c>
      <c r="U47" s="705">
        <f t="shared" si="13"/>
        <v>100</v>
      </c>
      <c r="V47" s="704" t="s">
        <v>14</v>
      </c>
      <c r="W47" s="705">
        <f t="shared" si="14"/>
        <v>100</v>
      </c>
      <c r="X47" s="3474"/>
      <c r="Y47" s="4148"/>
      <c r="Z47" s="3475">
        <f t="shared" si="15"/>
        <v>111</v>
      </c>
      <c r="AA47" s="3473">
        <f t="shared" si="3"/>
        <v>1</v>
      </c>
      <c r="AB47" s="3473">
        <f t="shared" si="4"/>
        <v>1</v>
      </c>
      <c r="AC47" s="1961">
        <f t="shared" si="5"/>
        <v>1</v>
      </c>
    </row>
    <row r="48" spans="1:29" ht="15">
      <c r="A48" s="430" t="s">
        <v>1706</v>
      </c>
      <c r="B48" s="431"/>
      <c r="C48" s="1153" t="s">
        <v>0</v>
      </c>
      <c r="D48" s="1154"/>
      <c r="E48" s="1155">
        <v>5</v>
      </c>
      <c r="F48" s="1156"/>
      <c r="G48" s="1157">
        <v>5</v>
      </c>
      <c r="H48" s="1158"/>
      <c r="I48" s="1155">
        <v>6.2</v>
      </c>
      <c r="J48" s="436"/>
      <c r="K48" s="713"/>
      <c r="L48" s="2722"/>
      <c r="M48" s="2714"/>
      <c r="N48" s="2714"/>
      <c r="O48" s="2714"/>
      <c r="P48" s="4122" t="str">
        <f>A48</f>
        <v>成交单价（元/平方米）</v>
      </c>
      <c r="Q48" s="4140"/>
      <c r="R48" s="4141">
        <f>E48</f>
        <v>5</v>
      </c>
      <c r="S48" s="4141"/>
      <c r="T48" s="4141">
        <f>G48</f>
        <v>5</v>
      </c>
      <c r="U48" s="4141"/>
      <c r="V48" s="4141">
        <f>I48</f>
        <v>6.2</v>
      </c>
      <c r="W48" s="4141"/>
      <c r="X48" s="397"/>
      <c r="Y48" s="711"/>
      <c r="Z48" s="397"/>
      <c r="AA48" s="397"/>
      <c r="AB48" s="397"/>
      <c r="AC48" s="578"/>
    </row>
    <row r="49" spans="1:29" ht="15.75" thickBot="1">
      <c r="A49" s="437" t="s">
        <v>1707</v>
      </c>
      <c r="B49" s="438"/>
      <c r="C49" s="1159">
        <f>R50</f>
        <v>5.0999999999999996</v>
      </c>
      <c r="D49" s="2316" t="s">
        <v>2135</v>
      </c>
      <c r="E49" s="1160">
        <f>R49</f>
        <v>4.8</v>
      </c>
      <c r="F49" s="2317"/>
      <c r="G49" s="1159">
        <f>T49</f>
        <v>4.7</v>
      </c>
      <c r="H49" s="2317"/>
      <c r="I49" s="1160">
        <f>V49</f>
        <v>5.8</v>
      </c>
      <c r="J49" s="2317"/>
      <c r="K49" s="2319">
        <f>F49+H49+J49</f>
        <v>0</v>
      </c>
      <c r="L49" s="2722"/>
      <c r="M49" s="2714"/>
      <c r="N49" s="2714"/>
      <c r="O49" s="2714"/>
      <c r="P49" s="4122" t="str">
        <f>A49</f>
        <v>比较价值（元/平方米）</v>
      </c>
      <c r="Q49" s="4140"/>
      <c r="R49" s="4141">
        <f>IF(F1="售价",ROUND(PRODUCT(R48,AA7:AA47),0),ROUND(PRODUCT(R48,AA7:AA47),1))</f>
        <v>4.8</v>
      </c>
      <c r="S49" s="4141"/>
      <c r="T49" s="4141">
        <f>IF(F1="售价",ROUND(PRODUCT(T48,AB7:AB47),0),ROUND(PRODUCT(T48,AB7:AB47),1))</f>
        <v>4.7</v>
      </c>
      <c r="U49" s="4141"/>
      <c r="V49" s="4141">
        <f>IF(F1="售价",ROUND(PRODUCT(V48,AC7:AC47),0),ROUND(PRODUCT(V48,AC7:AC47),1))</f>
        <v>5.8</v>
      </c>
      <c r="W49" s="4141"/>
      <c r="X49" s="397"/>
      <c r="Y49" s="397"/>
      <c r="Z49" s="397"/>
      <c r="AA49" s="397"/>
      <c r="AB49" s="397"/>
      <c r="AC49" s="578"/>
    </row>
    <row r="50" spans="1:29" ht="15.75" thickBot="1">
      <c r="A50" s="441" t="s">
        <v>1708</v>
      </c>
      <c r="B50" s="442"/>
      <c r="C50" s="1162">
        <f>R50</f>
        <v>5.0999999999999996</v>
      </c>
      <c r="D50" s="1162"/>
      <c r="E50" s="1162"/>
      <c r="F50" s="1162"/>
      <c r="G50" s="1162"/>
      <c r="H50" s="1162"/>
      <c r="I50" s="1162"/>
      <c r="J50" s="443"/>
      <c r="K50" s="714"/>
      <c r="L50" s="2722"/>
      <c r="M50" s="2714"/>
      <c r="N50" s="2714"/>
      <c r="O50" s="2714"/>
      <c r="P50" s="4165" t="str">
        <f>A50</f>
        <v>估价对象XX用房的比较价值（楼面单价，元/平方米）</v>
      </c>
      <c r="Q50" s="4166"/>
      <c r="R50" s="4167">
        <f>IF(F1="售价",ROUND(IF(D49="简单平均",AVERAGE(R49:V49),R49*F49+T49*H49+V49*J49),0),ROUND(IF(D49="简单平均",AVERAGE(R49:V49),R49*F49+T49*H49+V49*J49),1))</f>
        <v>5.0999999999999996</v>
      </c>
      <c r="S50" s="4167"/>
      <c r="T50" s="4167"/>
      <c r="U50" s="4167"/>
      <c r="V50" s="4167"/>
      <c r="W50" s="4167"/>
      <c r="X50" s="1945"/>
      <c r="Y50" s="1945"/>
      <c r="Z50" s="1945"/>
      <c r="AA50" s="1945"/>
      <c r="AB50" s="1945"/>
      <c r="AC50" s="1946"/>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1709</v>
      </c>
      <c r="D53" s="447"/>
      <c r="E53" s="448">
        <f>IF(E48&lt;E49,E49/E48-1,E48/E49-1)</f>
        <v>4.1666666666666741E-2</v>
      </c>
      <c r="F53" s="449" t="str">
        <f>IF(OR(E53&gt;=0.3,E53&lt;=-0.3),"超过30%","")</f>
        <v/>
      </c>
      <c r="G53" s="448">
        <f>IF(G48&lt;G49,G49/G48-1,G48/G49-1)</f>
        <v>6.3829787234042534E-2</v>
      </c>
      <c r="H53" s="449" t="str">
        <f>IF(OR(G53&gt;=0.3,G53&lt;=-0.3),"超过30%","")</f>
        <v/>
      </c>
      <c r="I53" s="448">
        <f>IF(I48&lt;I49,I49/I48-1,I48/I49-1)</f>
        <v>6.8965517241379448E-2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1710</v>
      </c>
      <c r="D54" s="450"/>
      <c r="E54" s="448">
        <f>IF(E49&lt;G49,G49/E49-1,E49/G49-1)</f>
        <v>2.1276595744680771E-2</v>
      </c>
      <c r="F54" s="449" t="str">
        <f>IF(OR(E54&gt;=0.2,E54&lt;=-0.2),"超过20%","")</f>
        <v/>
      </c>
      <c r="G54" s="448">
        <f>IF(G49&lt;I49,I49/G49-1,G49/I49-1)</f>
        <v>0.23404255319148937</v>
      </c>
      <c r="H54" s="449" t="str">
        <f>IF(OR(G54&gt;=0.2,G54&lt;=-0.2),"超过20%","")</f>
        <v>超过20%</v>
      </c>
      <c r="I54" s="448">
        <f>IF(I49&lt;E49,E49/I49-1,I49/E49-1)</f>
        <v>0.20833333333333326</v>
      </c>
      <c r="J54" s="449" t="str">
        <f>IF(OR(I54&gt;=0.2,I54&lt;=-0.2),"超过20%","")</f>
        <v>超过20%</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1711</v>
      </c>
      <c r="D55" s="450"/>
      <c r="E55" s="448">
        <f>IF(E48&lt;G48,G48/E48-1,E48/G48-1)</f>
        <v>0</v>
      </c>
      <c r="F55" s="449" t="str">
        <f>IF(OR(E55&gt;=0.3,E55&lt;=-0.3),"超过30%","")</f>
        <v/>
      </c>
      <c r="G55" s="448">
        <f>IF(G48&lt;I48,I48/G48-1,G48/I48-1)</f>
        <v>0.24</v>
      </c>
      <c r="H55" s="449" t="str">
        <f>IF(OR(G55&gt;=0.3,G55&lt;=-0.3),"超过30%","")</f>
        <v/>
      </c>
      <c r="I55" s="448">
        <f>IF(I48&lt;E48,E48/I48-1,I48/E48-1)</f>
        <v>0.24</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3" t="s">
        <v>1712</v>
      </c>
      <c r="B58" s="689"/>
      <c r="C58" s="694"/>
      <c r="D58" s="694"/>
      <c r="E58" s="694"/>
      <c r="F58" s="695"/>
      <c r="G58" s="695"/>
      <c r="H58" s="694"/>
      <c r="I58" s="694"/>
      <c r="J58" s="694"/>
      <c r="K58" s="696"/>
      <c r="L58" s="941"/>
      <c r="M58" s="939"/>
      <c r="N58" s="2767"/>
      <c r="O58" s="2767"/>
      <c r="P58" s="2756"/>
      <c r="Q58" s="2737"/>
      <c r="R58" s="2723"/>
      <c r="S58" s="2723"/>
      <c r="T58" s="2723"/>
      <c r="U58" s="2723"/>
      <c r="V58" s="2723"/>
      <c r="W58" s="2723"/>
      <c r="X58" s="2723"/>
      <c r="Y58" s="2723"/>
      <c r="Z58" s="2723"/>
      <c r="AA58" s="2723"/>
      <c r="AB58" s="2723"/>
      <c r="AC58" s="2723"/>
    </row>
    <row r="59" spans="1:29" s="457" customFormat="1" ht="15">
      <c r="A59" s="454" t="s">
        <v>1677</v>
      </c>
      <c r="B59" s="455"/>
      <c r="C59" s="1183" t="str">
        <f>YEAR(C7)&amp;"-"&amp;MONTH(C7)</f>
        <v>2024-10</v>
      </c>
      <c r="D59" s="1184">
        <f>EDATE(C59,-1)</f>
        <v>45536</v>
      </c>
      <c r="E59" s="1184">
        <f>EDATE(D59,-1)</f>
        <v>45505</v>
      </c>
      <c r="F59" s="1184">
        <f t="shared" ref="F59:O59" si="16">EDATE(E59,-1)</f>
        <v>45474</v>
      </c>
      <c r="G59" s="1184">
        <f t="shared" si="16"/>
        <v>45444</v>
      </c>
      <c r="H59" s="1184">
        <f t="shared" si="16"/>
        <v>45413</v>
      </c>
      <c r="I59" s="1184">
        <f t="shared" si="16"/>
        <v>45383</v>
      </c>
      <c r="J59" s="1184">
        <f t="shared" si="16"/>
        <v>45352</v>
      </c>
      <c r="K59" s="1184">
        <f t="shared" si="16"/>
        <v>45323</v>
      </c>
      <c r="L59" s="1184">
        <f t="shared" si="16"/>
        <v>45292</v>
      </c>
      <c r="M59" s="1184">
        <f t="shared" si="16"/>
        <v>45261</v>
      </c>
      <c r="N59" s="1184">
        <f t="shared" si="16"/>
        <v>45231</v>
      </c>
      <c r="O59" s="1184">
        <f t="shared" si="16"/>
        <v>45200</v>
      </c>
      <c r="P59" s="2757"/>
      <c r="Q59" s="2739"/>
      <c r="R59" s="2739"/>
      <c r="S59" s="2739"/>
      <c r="T59" s="2739"/>
      <c r="U59" s="2739"/>
      <c r="V59" s="2739"/>
      <c r="W59" s="2739"/>
      <c r="X59" s="2739"/>
      <c r="Y59" s="2739"/>
      <c r="Z59" s="2739"/>
      <c r="AA59" s="2739"/>
      <c r="AB59" s="2739"/>
      <c r="AC59" s="2739"/>
    </row>
    <row r="60" spans="1:29" s="108" customFormat="1" ht="15">
      <c r="A60" s="458"/>
      <c r="B60" s="459"/>
      <c r="C60" s="1182">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1714</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1679</v>
      </c>
      <c r="B62" s="459"/>
      <c r="C62" s="471" t="s">
        <v>1716</v>
      </c>
      <c r="D62" s="3488" t="s">
        <v>3460</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102</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1717</v>
      </c>
      <c r="B64" s="477" t="s">
        <v>1683</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1686</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1687</v>
      </c>
      <c r="C68" s="496" t="str">
        <f>C69&amp;"（含）"&amp;"-"&amp;D69</f>
        <v>0（含）-1</v>
      </c>
      <c r="D68" s="496" t="str">
        <f t="shared" ref="D68:L68" si="17">D69&amp;"（含）"&amp;"-"&amp;E69</f>
        <v>1（含）-2</v>
      </c>
      <c r="E68" s="496" t="str">
        <f t="shared" si="17"/>
        <v>2（含）-3</v>
      </c>
      <c r="F68" s="496" t="str">
        <f t="shared" si="17"/>
        <v>3（含）-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1</v>
      </c>
      <c r="E69" s="498">
        <v>2</v>
      </c>
      <c r="F69" s="498">
        <v>3</v>
      </c>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1688</v>
      </c>
      <c r="B77" s="477" t="s">
        <v>1819</v>
      </c>
      <c r="C77" s="522" t="s">
        <v>1719</v>
      </c>
      <c r="D77" s="522" t="s">
        <v>1720</v>
      </c>
      <c r="E77" s="522" t="s">
        <v>1721</v>
      </c>
      <c r="F77" s="522" t="s">
        <v>1722</v>
      </c>
      <c r="G77" s="522" t="s">
        <v>1723</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1724</v>
      </c>
      <c r="C79" s="527" t="s">
        <v>1719</v>
      </c>
      <c r="D79" s="527" t="s">
        <v>1720</v>
      </c>
      <c r="E79" s="527" t="s">
        <v>1721</v>
      </c>
      <c r="F79" s="527" t="s">
        <v>1722</v>
      </c>
      <c r="G79" s="527" t="s">
        <v>1723</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1725</v>
      </c>
      <c r="C81" s="527" t="s">
        <v>1719</v>
      </c>
      <c r="D81" s="527" t="s">
        <v>1720</v>
      </c>
      <c r="E81" s="527" t="s">
        <v>1721</v>
      </c>
      <c r="F81" s="527" t="s">
        <v>1722</v>
      </c>
      <c r="G81" s="527" t="s">
        <v>1723</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1811</v>
      </c>
      <c r="C83" s="608" t="s">
        <v>1797</v>
      </c>
      <c r="D83" s="608" t="s">
        <v>1798</v>
      </c>
      <c r="E83" s="608" t="s">
        <v>1799</v>
      </c>
      <c r="F83" s="608" t="s">
        <v>1800</v>
      </c>
      <c r="G83" s="608" t="s">
        <v>1801</v>
      </c>
      <c r="H83" s="488"/>
      <c r="I83" s="488"/>
      <c r="J83" s="488"/>
      <c r="K83" s="488"/>
      <c r="L83" s="488"/>
      <c r="M83" s="1128"/>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1820</v>
      </c>
      <c r="C85" s="527" t="s">
        <v>1719</v>
      </c>
      <c r="D85" s="527" t="s">
        <v>1720</v>
      </c>
      <c r="E85" s="527" t="s">
        <v>1721</v>
      </c>
      <c r="F85" s="527" t="s">
        <v>1722</v>
      </c>
      <c r="G85" s="527" t="s">
        <v>1723</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1821</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89" t="s">
        <v>3462</v>
      </c>
      <c r="D89" s="3489" t="s">
        <v>3464</v>
      </c>
      <c r="E89" s="3489" t="s">
        <v>3466</v>
      </c>
      <c r="F89" s="1926"/>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7"/>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1692</v>
      </c>
      <c r="B101" s="477" t="s">
        <v>1734</v>
      </c>
      <c r="C101" s="3490" t="s">
        <v>3468</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2"/>
      <c r="O102" s="2752"/>
      <c r="P102" s="2760"/>
      <c r="Q102" s="2737"/>
      <c r="R102" s="2723"/>
      <c r="S102" s="2723"/>
      <c r="T102" s="2723"/>
      <c r="U102" s="2723"/>
      <c r="V102" s="2723"/>
      <c r="W102" s="2723"/>
      <c r="X102" s="2723"/>
      <c r="Y102" s="2723"/>
      <c r="Z102" s="2723"/>
      <c r="AA102" s="2723"/>
      <c r="AB102" s="2723"/>
      <c r="AC102" s="2723"/>
    </row>
    <row r="103" spans="1:29" ht="29.25" thickTop="1">
      <c r="A103" s="483"/>
      <c r="B103" s="487" t="s">
        <v>1735</v>
      </c>
      <c r="C103" s="527" t="str">
        <f>C104&amp;"(含)"&amp;"-"&amp;D104</f>
        <v>0(含)-300</v>
      </c>
      <c r="D103" s="527" t="str">
        <f t="shared" ref="D103:L103" si="23">D104&amp;"(含)"&amp;"-"&amp;E104</f>
        <v>300(含)-600</v>
      </c>
      <c r="E103" s="527" t="str">
        <f t="shared" si="23"/>
        <v>600(含)-1000</v>
      </c>
      <c r="F103" s="527" t="str">
        <f t="shared" si="23"/>
        <v>1000(含)-2000</v>
      </c>
      <c r="G103" s="527" t="str">
        <f t="shared" si="23"/>
        <v>2000(含)-3000</v>
      </c>
      <c r="H103" s="527" t="str">
        <f t="shared" si="23"/>
        <v>3000(含)-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v>300</v>
      </c>
      <c r="E104" s="544">
        <v>600</v>
      </c>
      <c r="F104" s="544">
        <v>1000</v>
      </c>
      <c r="G104" s="544">
        <v>2000</v>
      </c>
      <c r="H104" s="544">
        <v>3000</v>
      </c>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v>99</v>
      </c>
      <c r="D105" s="485">
        <v>100</v>
      </c>
      <c r="E105" s="485">
        <v>99</v>
      </c>
      <c r="F105" s="485">
        <v>98</v>
      </c>
      <c r="G105" s="485">
        <v>97</v>
      </c>
      <c r="H105" s="485">
        <v>96</v>
      </c>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1736</v>
      </c>
      <c r="C106" s="3489" t="s">
        <v>3469</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1738</v>
      </c>
      <c r="C108" s="3489" t="s">
        <v>3471</v>
      </c>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1822</v>
      </c>
      <c r="C113" s="3489" t="s">
        <v>3472</v>
      </c>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1739</v>
      </c>
      <c r="C115" s="503"/>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1740</v>
      </c>
      <c r="C117" s="3489" t="s">
        <v>3473</v>
      </c>
      <c r="D117" s="3489" t="s">
        <v>3474</v>
      </c>
      <c r="E117" s="3489" t="s">
        <v>3475</v>
      </c>
      <c r="F117" s="3489" t="s">
        <v>3476</v>
      </c>
      <c r="G117" s="3489" t="s">
        <v>3477</v>
      </c>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1823</v>
      </c>
      <c r="C119" s="3491" t="s">
        <v>3479</v>
      </c>
      <c r="D119" s="532"/>
      <c r="E119" s="532"/>
      <c r="F119" s="532"/>
      <c r="G119" s="532"/>
      <c r="H119" s="532"/>
      <c r="I119" s="532"/>
      <c r="J119" s="532"/>
      <c r="K119" s="532"/>
      <c r="L119" s="1967"/>
      <c r="M119" s="1968"/>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98</v>
      </c>
      <c r="E120" s="493">
        <f t="shared" ref="E120:M120" si="29">D120-$K41</f>
        <v>96</v>
      </c>
      <c r="F120" s="493">
        <f t="shared" si="29"/>
        <v>94</v>
      </c>
      <c r="G120" s="493">
        <f t="shared" si="29"/>
        <v>92</v>
      </c>
      <c r="H120" s="493">
        <f t="shared" si="29"/>
        <v>90</v>
      </c>
      <c r="I120" s="493">
        <f t="shared" si="29"/>
        <v>88</v>
      </c>
      <c r="J120" s="493">
        <f t="shared" si="29"/>
        <v>86</v>
      </c>
      <c r="K120" s="493">
        <f t="shared" si="29"/>
        <v>84</v>
      </c>
      <c r="L120" s="493">
        <f t="shared" si="29"/>
        <v>82</v>
      </c>
      <c r="M120" s="493">
        <f t="shared" si="29"/>
        <v>80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1806</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1742</v>
      </c>
      <c r="C123" s="3489" t="s">
        <v>3471</v>
      </c>
      <c r="D123" s="3489" t="s">
        <v>3481</v>
      </c>
      <c r="E123" s="3489" t="s">
        <v>3482</v>
      </c>
      <c r="F123" s="3491" t="s">
        <v>3483</v>
      </c>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1743</v>
      </c>
      <c r="C125" s="527" t="s">
        <v>1719</v>
      </c>
      <c r="D125" s="527" t="s">
        <v>1720</v>
      </c>
      <c r="E125" s="527" t="s">
        <v>1721</v>
      </c>
      <c r="F125" s="527" t="s">
        <v>1722</v>
      </c>
      <c r="G125" s="527" t="s">
        <v>1723</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t="str">
        <f>B45</f>
        <v>建成年代</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7"/>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3 H53">
    <cfRule type="containsText" dxfId="113" priority="20" stopIfTrue="1" operator="containsText" text="超过">
      <formula>NOT(ISERROR(SEARCH("超过",F53)))</formula>
    </cfRule>
  </conditionalFormatting>
  <conditionalFormatting sqref="H55">
    <cfRule type="containsText" dxfId="112" priority="19" stopIfTrue="1" operator="containsText" text="超过">
      <formula>NOT(ISERROR(SEARCH("超过",H55)))</formula>
    </cfRule>
  </conditionalFormatting>
  <conditionalFormatting sqref="F55">
    <cfRule type="containsText" dxfId="111" priority="18" stopIfTrue="1" operator="containsText" text="超过">
      <formula>NOT(ISERROR(SEARCH("超过",F55)))</formula>
    </cfRule>
  </conditionalFormatting>
  <conditionalFormatting sqref="F54 H54">
    <cfRule type="containsText" dxfId="110" priority="17" stopIfTrue="1" operator="containsText" text="超过">
      <formula>NOT(ISERROR(SEARCH("超过",F54)))</formula>
    </cfRule>
  </conditionalFormatting>
  <conditionalFormatting sqref="E53">
    <cfRule type="expression" dxfId="109" priority="16" stopIfTrue="1">
      <formula>$F$53="超过30%"</formula>
    </cfRule>
  </conditionalFormatting>
  <conditionalFormatting sqref="E54">
    <cfRule type="expression" dxfId="108" priority="15" stopIfTrue="1">
      <formula>$F$54="超过20%"</formula>
    </cfRule>
  </conditionalFormatting>
  <conditionalFormatting sqref="E55">
    <cfRule type="expression" dxfId="107" priority="14" stopIfTrue="1">
      <formula>$F$55="超过30%"</formula>
    </cfRule>
  </conditionalFormatting>
  <conditionalFormatting sqref="G55">
    <cfRule type="expression" dxfId="106" priority="13" stopIfTrue="1">
      <formula>$H$55="超过30%"</formula>
    </cfRule>
  </conditionalFormatting>
  <conditionalFormatting sqref="G53">
    <cfRule type="expression" dxfId="105" priority="12" stopIfTrue="1">
      <formula>$H$53="超过30%"</formula>
    </cfRule>
  </conditionalFormatting>
  <conditionalFormatting sqref="G54">
    <cfRule type="expression" dxfId="104" priority="11" stopIfTrue="1">
      <formula>$H$54="超过20%"</formula>
    </cfRule>
  </conditionalFormatting>
  <conditionalFormatting sqref="J53">
    <cfRule type="containsText" dxfId="103" priority="10" stopIfTrue="1" operator="containsText" text="超过">
      <formula>NOT(ISERROR(SEARCH("超过",J53)))</formula>
    </cfRule>
  </conditionalFormatting>
  <conditionalFormatting sqref="J55">
    <cfRule type="containsText" dxfId="102" priority="9" stopIfTrue="1" operator="containsText" text="超过">
      <formula>NOT(ISERROR(SEARCH("超过",J55)))</formula>
    </cfRule>
  </conditionalFormatting>
  <conditionalFormatting sqref="J54">
    <cfRule type="containsText" dxfId="101" priority="8" stopIfTrue="1" operator="containsText" text="超过">
      <formula>NOT(ISERROR(SEARCH("超过",J54)))</formula>
    </cfRule>
  </conditionalFormatting>
  <conditionalFormatting sqref="I53">
    <cfRule type="expression" dxfId="100" priority="7" stopIfTrue="1">
      <formula>$J$53="超过30%"</formula>
    </cfRule>
  </conditionalFormatting>
  <conditionalFormatting sqref="I54">
    <cfRule type="expression" dxfId="99" priority="6" stopIfTrue="1">
      <formula>$J$53+$J$54="超过20%"</formula>
    </cfRule>
  </conditionalFormatting>
  <conditionalFormatting sqref="I55">
    <cfRule type="expression" dxfId="98" priority="5" stopIfTrue="1">
      <formula>$J$55="超过30%"</formula>
    </cfRule>
  </conditionalFormatting>
  <conditionalFormatting sqref="F49">
    <cfRule type="expression" dxfId="97" priority="4">
      <formula>$D$49="简单平均"</formula>
    </cfRule>
  </conditionalFormatting>
  <conditionalFormatting sqref="H49">
    <cfRule type="expression" dxfId="96" priority="3">
      <formula>$D$49="简单平均"</formula>
    </cfRule>
  </conditionalFormatting>
  <conditionalFormatting sqref="J49">
    <cfRule type="expression" dxfId="95" priority="2">
      <formula>$D$49="简单平均"</formula>
    </cfRule>
  </conditionalFormatting>
  <conditionalFormatting sqref="F7:F47 H7:H47 J7:J47">
    <cfRule type="cellIs" dxfId="94"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A7" zoomScale="90" zoomScaleNormal="90" workbookViewId="0">
      <selection activeCell="T26" sqref="T26"/>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4"/>
    <col min="46" max="16384" width="9" style="130"/>
  </cols>
  <sheetData>
    <row r="1" spans="1:45" ht="14.25" customHeight="1" thickBot="1">
      <c r="A1" s="146"/>
      <c r="B1" s="982" t="s">
        <v>2081</v>
      </c>
      <c r="C1" s="4172" t="s">
        <v>2082</v>
      </c>
      <c r="D1" s="4173"/>
      <c r="E1" s="4173"/>
      <c r="F1" s="4173"/>
      <c r="G1" s="4173"/>
      <c r="H1" s="4173"/>
      <c r="I1" s="4173"/>
      <c r="J1" s="4173"/>
      <c r="K1" s="4173"/>
      <c r="L1" s="4173"/>
      <c r="M1" s="4173"/>
      <c r="N1" s="4173"/>
      <c r="O1" s="4173"/>
      <c r="P1" s="4173"/>
      <c r="Q1" s="4173"/>
      <c r="R1" s="4173"/>
      <c r="S1" s="4174"/>
      <c r="T1" s="982" t="s">
        <v>2083</v>
      </c>
    </row>
    <row r="2" spans="1:45" s="655" customFormat="1" ht="38.25">
      <c r="A2" s="983"/>
      <c r="B2" s="651" t="s">
        <v>2084</v>
      </c>
      <c r="C2" s="652" t="str">
        <f t="shared" ref="C2:L2" si="0">C3&amp;"(含)"&amp;"-"&amp;D3</f>
        <v>0(含)-300</v>
      </c>
      <c r="D2" s="653" t="str">
        <f t="shared" si="0"/>
        <v>300(含)-600</v>
      </c>
      <c r="E2" s="653" t="str">
        <f t="shared" si="0"/>
        <v>600(含)-1000</v>
      </c>
      <c r="F2" s="653" t="str">
        <f t="shared" si="0"/>
        <v>1000(含)-2000</v>
      </c>
      <c r="G2" s="653" t="str">
        <f t="shared" si="0"/>
        <v>2000(含)-3000</v>
      </c>
      <c r="H2" s="653" t="str">
        <f t="shared" si="0"/>
        <v>3000(含)-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4" t="str">
        <f>S3&amp;"(含)"&amp;"-"</f>
        <v>(含)-</v>
      </c>
      <c r="T2" s="654"/>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6"/>
      <c r="C3" s="657">
        <f>'比较法-办公'!C104</f>
        <v>0</v>
      </c>
      <c r="D3" s="657">
        <f>'比较法-办公'!D104</f>
        <v>300</v>
      </c>
      <c r="E3" s="657">
        <f>'比较法-办公'!E104</f>
        <v>600</v>
      </c>
      <c r="F3" s="657">
        <f>'比较法-办公'!F104</f>
        <v>1000</v>
      </c>
      <c r="G3" s="657">
        <f>'比较法-办公'!G104</f>
        <v>2000</v>
      </c>
      <c r="H3" s="657">
        <f>'比较法-办公'!H104</f>
        <v>3000</v>
      </c>
      <c r="I3" s="657"/>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f>'比较法-办公'!C105</f>
        <v>100</v>
      </c>
      <c r="D4" s="988">
        <f>'比较法-办公'!D105</f>
        <v>100</v>
      </c>
      <c r="E4" s="988">
        <f>'比较法-办公'!E105</f>
        <v>100</v>
      </c>
      <c r="F4" s="988">
        <f>'比较法-办公'!F105</f>
        <v>100</v>
      </c>
      <c r="G4" s="988">
        <f>'比较法-办公'!G105</f>
        <v>100</v>
      </c>
      <c r="H4" s="988">
        <f>'比较法-办公'!H105</f>
        <v>100</v>
      </c>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5" t="s">
        <v>2085</v>
      </c>
      <c r="C5" s="994"/>
      <c r="D5" s="995"/>
      <c r="E5" s="995"/>
      <c r="F5" s="1311"/>
      <c r="G5" s="1311"/>
      <c r="H5" s="1311"/>
      <c r="I5" s="1311"/>
      <c r="J5" s="1311"/>
      <c r="K5" s="1311"/>
      <c r="L5" s="1312"/>
      <c r="M5" s="1313"/>
      <c r="N5" s="1313"/>
      <c r="O5" s="1311"/>
      <c r="P5" s="1311"/>
      <c r="Q5" s="1311"/>
      <c r="R5" s="1311"/>
      <c r="S5" s="1314"/>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100</v>
      </c>
      <c r="E6" s="901">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2086</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2087</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2088</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2089</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2090</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5" customFormat="1" ht="25.5">
      <c r="A17" s="2147" t="s">
        <v>2091</v>
      </c>
      <c r="B17" s="2148" t="s">
        <v>2092</v>
      </c>
      <c r="C17" s="1009" t="str">
        <f>'比较法-办公'!C89</f>
        <v>高楼层</v>
      </c>
      <c r="D17" s="1009" t="str">
        <f>'比较法-办公'!D89</f>
        <v>中楼层</v>
      </c>
      <c r="E17" s="1009" t="str">
        <f>'比较法-办公'!E89</f>
        <v>低楼层</v>
      </c>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5" customFormat="1" ht="13.5" thickBot="1">
      <c r="A18" s="1019"/>
      <c r="B18" s="1020"/>
      <c r="C18" s="1021">
        <f>'比较法-办公'!C90</f>
        <v>100</v>
      </c>
      <c r="D18" s="1021">
        <f>'比较法-办公'!D90</f>
        <v>100</v>
      </c>
      <c r="E18" s="1021">
        <f>'比较法-办公'!E90</f>
        <v>100</v>
      </c>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9"/>
      <c r="B19" s="159"/>
      <c r="C19" s="159"/>
      <c r="D19" s="2149" t="s">
        <v>2093</v>
      </c>
      <c r="E19" s="1339"/>
      <c r="F19" s="1339"/>
      <c r="G19" s="1339"/>
      <c r="H19" s="1058"/>
      <c r="I19" s="159"/>
      <c r="J19" s="159"/>
      <c r="K19" s="159"/>
      <c r="L19" s="159"/>
      <c r="M19" s="159"/>
      <c r="N19" s="159"/>
      <c r="O19" s="159"/>
      <c r="P19" s="159"/>
      <c r="Q19" s="159"/>
      <c r="R19" s="717"/>
      <c r="S19" s="129"/>
    </row>
    <row r="20" spans="1:45" ht="16.5" thickBot="1">
      <c r="A20" s="661" t="s">
        <v>2094</v>
      </c>
      <c r="B20" s="294">
        <f ca="1">IF(D20="——",S22,S22-F20)</f>
        <v>112672</v>
      </c>
      <c r="C20" s="159"/>
      <c r="D20" s="2150" t="s">
        <v>43</v>
      </c>
      <c r="E20" s="1340"/>
      <c r="F20" s="982" t="e">
        <f ca="1">SUMIF(INDIRECT("'"&amp;H20&amp;"'"&amp;"!A:A"),"承租人权益价值",INDIRECT("'"&amp;H20&amp;"'"&amp;"!c:c"))</f>
        <v>#REF!</v>
      </c>
      <c r="G20" s="982" t="s">
        <v>2095</v>
      </c>
      <c r="H20" s="2151"/>
      <c r="I20" s="159"/>
      <c r="J20" s="159"/>
      <c r="K20" s="159"/>
      <c r="L20" s="159"/>
      <c r="M20" s="159"/>
      <c r="N20" s="159"/>
      <c r="O20" s="159"/>
      <c r="P20" s="159"/>
      <c r="Q20" s="159"/>
      <c r="R20" s="717"/>
      <c r="S20" s="129"/>
    </row>
    <row r="21" spans="1:45" ht="15.75">
      <c r="A21" s="661" t="s">
        <v>2096</v>
      </c>
      <c r="B21" s="294">
        <f ca="1">ROUND(B20*10000/B22,0)</f>
        <v>39743</v>
      </c>
      <c r="C21" s="159"/>
      <c r="D21" s="159"/>
      <c r="E21" s="159"/>
      <c r="F21" s="159"/>
      <c r="G21" s="159"/>
      <c r="H21" s="159"/>
      <c r="I21" s="159"/>
      <c r="J21" s="159"/>
      <c r="K21" s="159"/>
      <c r="L21" s="159"/>
      <c r="M21" s="159"/>
      <c r="N21" s="159"/>
      <c r="O21" s="159"/>
      <c r="P21" s="159"/>
      <c r="Q21" s="159"/>
      <c r="R21" s="717"/>
      <c r="S21" s="129"/>
    </row>
    <row r="22" spans="1:45">
      <c r="A22" s="316" t="s">
        <v>2097</v>
      </c>
      <c r="B22" s="21">
        <f>SUM(B24:B10000)</f>
        <v>28350.240000000002</v>
      </c>
      <c r="C22" s="4169" t="s">
        <v>27</v>
      </c>
      <c r="D22" s="4170"/>
      <c r="E22" s="4170"/>
      <c r="F22" s="4170"/>
      <c r="G22" s="4170"/>
      <c r="H22" s="4170"/>
      <c r="I22" s="4170"/>
      <c r="J22" s="4170"/>
      <c r="K22" s="4170"/>
      <c r="L22" s="4170"/>
      <c r="M22" s="4170"/>
      <c r="N22" s="4170"/>
      <c r="O22" s="4170"/>
      <c r="P22" s="4170"/>
      <c r="Q22" s="4171"/>
      <c r="R22" s="662">
        <f ca="1">ROUND(S22*10000/B22,0)</f>
        <v>39743</v>
      </c>
      <c r="S22" s="21">
        <f ca="1">SUM(S24:S10000)</f>
        <v>112672</v>
      </c>
    </row>
    <row r="23" spans="1:45" s="9" customFormat="1" ht="24">
      <c r="A23" s="8" t="s">
        <v>2098</v>
      </c>
      <c r="B23" s="8" t="s">
        <v>2099</v>
      </c>
      <c r="C23" s="8" t="s">
        <v>2100</v>
      </c>
      <c r="D23" s="8" t="str">
        <f>B5</f>
        <v>修正项2</v>
      </c>
      <c r="E23" s="8" t="s">
        <v>2100</v>
      </c>
      <c r="F23" s="8" t="str">
        <f>B7</f>
        <v>修正项3</v>
      </c>
      <c r="G23" s="8" t="s">
        <v>2100</v>
      </c>
      <c r="H23" s="8" t="str">
        <f>B9</f>
        <v>修正项4</v>
      </c>
      <c r="I23" s="8" t="s">
        <v>2100</v>
      </c>
      <c r="J23" s="8" t="str">
        <f>B11</f>
        <v>修正项5</v>
      </c>
      <c r="K23" s="8" t="s">
        <v>2100</v>
      </c>
      <c r="L23" s="8" t="str">
        <f>B13</f>
        <v>修正项6</v>
      </c>
      <c r="M23" s="8" t="s">
        <v>2100</v>
      </c>
      <c r="N23" s="8" t="str">
        <f>B15</f>
        <v>修正项7</v>
      </c>
      <c r="O23" s="8" t="s">
        <v>2100</v>
      </c>
      <c r="P23" s="8" t="str">
        <f>B17</f>
        <v>楼层</v>
      </c>
      <c r="Q23" s="8" t="s">
        <v>2100</v>
      </c>
      <c r="R23" s="663" t="s">
        <v>2101</v>
      </c>
      <c r="S23" s="8" t="s">
        <v>2102</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tr">
        <f>抵押物清单!G4</f>
        <v>7层全部</v>
      </c>
      <c r="B24" s="664">
        <f>抵押物清单!H4</f>
        <v>3752.39</v>
      </c>
      <c r="C24" s="2808">
        <v>1</v>
      </c>
      <c r="D24" s="2809"/>
      <c r="E24" s="2808">
        <v>1</v>
      </c>
      <c r="F24" s="2809"/>
      <c r="G24" s="2808">
        <v>1</v>
      </c>
      <c r="H24" s="2809"/>
      <c r="I24" s="2808">
        <v>1</v>
      </c>
      <c r="J24" s="2809"/>
      <c r="K24" s="2808">
        <v>1</v>
      </c>
      <c r="L24" s="2809"/>
      <c r="M24" s="2808">
        <v>1</v>
      </c>
      <c r="N24" s="2809"/>
      <c r="O24" s="2808">
        <v>1</v>
      </c>
      <c r="P24" s="2809" t="s">
        <v>3463</v>
      </c>
      <c r="Q24" s="2808">
        <v>1</v>
      </c>
      <c r="R24" s="667">
        <f ca="1">结果表!G20</f>
        <v>39743</v>
      </c>
      <c r="S24" s="665">
        <f t="shared" ref="S24:S54" ca="1" si="11">ROUND(R24*B24/10000,0)</f>
        <v>14913</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3504" t="str">
        <f>抵押物清单!G5</f>
        <v>11层全部</v>
      </c>
      <c r="B25" s="3504">
        <f>抵押物清单!H5</f>
        <v>3272.56</v>
      </c>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t="s">
        <v>3463</v>
      </c>
      <c r="Q25" s="21">
        <f>(SUMIF($17:$17,P25,$18:$18)-SUMIF($17:$17,$P$24,$18:$18)+100)/100</f>
        <v>1</v>
      </c>
      <c r="R25" s="662">
        <f ca="1">IF(B25="",0,ROUND($R$24*C25*E25*G25*I25*K25*M25*O25*Q25,0))</f>
        <v>39743</v>
      </c>
      <c r="S25" s="316">
        <f t="shared" ca="1" si="11"/>
        <v>13006</v>
      </c>
    </row>
    <row r="26" spans="1:45">
      <c r="A26" s="3504" t="str">
        <f>抵押物清单!G6</f>
        <v>15层全部</v>
      </c>
      <c r="B26" s="3504">
        <f>抵押物清单!H6</f>
        <v>1972.79</v>
      </c>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t="s">
        <v>3461</v>
      </c>
      <c r="Q26" s="21">
        <f t="shared" ref="Q26:Q89" si="19">(SUMIF($17:$17,P26,$18:$18)-SUMIF($17:$17,$P$24,$18:$18)+100)/100</f>
        <v>1</v>
      </c>
      <c r="R26" s="662">
        <f t="shared" ref="R26:R89" ca="1" si="20">IF(B26="",0,ROUND($R$24*C26*E26*G26*I26*K26*M26*O26*Q26,0))</f>
        <v>39743</v>
      </c>
      <c r="S26" s="316">
        <f t="shared" ca="1" si="11"/>
        <v>7840</v>
      </c>
    </row>
    <row r="27" spans="1:45">
      <c r="A27" s="3504" t="str">
        <f>抵押物清单!G7</f>
        <v>16层全部</v>
      </c>
      <c r="B27" s="3504">
        <f>抵押物清单!H7</f>
        <v>1660.81</v>
      </c>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t="s">
        <v>3461</v>
      </c>
      <c r="Q27" s="21">
        <f t="shared" si="19"/>
        <v>1</v>
      </c>
      <c r="R27" s="662">
        <f t="shared" ca="1" si="20"/>
        <v>39743</v>
      </c>
      <c r="S27" s="316">
        <f t="shared" ca="1" si="11"/>
        <v>6601</v>
      </c>
    </row>
    <row r="28" spans="1:45">
      <c r="A28" s="3504" t="str">
        <f>抵押物清单!G8</f>
        <v>17层全部</v>
      </c>
      <c r="B28" s="3504">
        <f>抵押物清单!H8</f>
        <v>1637.44</v>
      </c>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t="s">
        <v>3461</v>
      </c>
      <c r="Q28" s="21">
        <f t="shared" si="19"/>
        <v>1</v>
      </c>
      <c r="R28" s="662">
        <f t="shared" ca="1" si="20"/>
        <v>39743</v>
      </c>
      <c r="S28" s="316">
        <f t="shared" ca="1" si="11"/>
        <v>6508</v>
      </c>
    </row>
    <row r="29" spans="1:45">
      <c r="A29" s="3504" t="str">
        <f>抵押物清单!G11</f>
        <v>2层局部</v>
      </c>
      <c r="B29" s="3502">
        <f>抵押物清单!H11</f>
        <v>2371.92</v>
      </c>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t="s">
        <v>3465</v>
      </c>
      <c r="Q29" s="21">
        <f t="shared" si="19"/>
        <v>1</v>
      </c>
      <c r="R29" s="662">
        <f t="shared" ca="1" si="20"/>
        <v>39743</v>
      </c>
      <c r="S29" s="316">
        <f t="shared" ca="1" si="11"/>
        <v>9427</v>
      </c>
    </row>
    <row r="30" spans="1:45">
      <c r="A30" s="3504" t="str">
        <f>抵押物清单!G12</f>
        <v>3层局部</v>
      </c>
      <c r="B30" s="3502">
        <f>抵押物清单!H12</f>
        <v>2335.88</v>
      </c>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t="s">
        <v>3465</v>
      </c>
      <c r="Q30" s="21">
        <f t="shared" si="19"/>
        <v>1</v>
      </c>
      <c r="R30" s="662">
        <f t="shared" ca="1" si="20"/>
        <v>39743</v>
      </c>
      <c r="S30" s="316">
        <f t="shared" ca="1" si="11"/>
        <v>9283</v>
      </c>
    </row>
    <row r="31" spans="1:45">
      <c r="A31" s="3504" t="str">
        <f>抵押物清单!G13</f>
        <v>4-5层全部</v>
      </c>
      <c r="B31" s="3502">
        <f>抵押物清单!H13</f>
        <v>7564.3</v>
      </c>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t="s">
        <v>3465</v>
      </c>
      <c r="Q31" s="21">
        <f t="shared" si="19"/>
        <v>1</v>
      </c>
      <c r="R31" s="662">
        <f t="shared" ca="1" si="20"/>
        <v>39743</v>
      </c>
      <c r="S31" s="316">
        <f t="shared" ca="1" si="11"/>
        <v>30063</v>
      </c>
    </row>
    <row r="32" spans="1:45">
      <c r="A32" s="3504" t="str">
        <f>抵押物清单!G15</f>
        <v>6层全部</v>
      </c>
      <c r="B32" s="3502">
        <f>抵押物清单!H15</f>
        <v>3782.15</v>
      </c>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t="s">
        <v>3465</v>
      </c>
      <c r="Q32" s="21">
        <f t="shared" si="19"/>
        <v>1</v>
      </c>
      <c r="R32" s="662">
        <f t="shared" ca="1" si="20"/>
        <v>39743</v>
      </c>
      <c r="S32" s="316">
        <f t="shared" ca="1" si="11"/>
        <v>15031</v>
      </c>
    </row>
    <row r="33" spans="1:19">
      <c r="A33" s="3503"/>
      <c r="B33" s="3502"/>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0</v>
      </c>
      <c r="R33" s="662">
        <f t="shared" si="20"/>
        <v>0</v>
      </c>
      <c r="S33" s="316">
        <f t="shared" si="11"/>
        <v>0</v>
      </c>
    </row>
    <row r="34" spans="1:19">
      <c r="A34" s="3503"/>
      <c r="B34" s="3502"/>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0</v>
      </c>
      <c r="R34" s="662">
        <f t="shared" si="20"/>
        <v>0</v>
      </c>
      <c r="S34" s="316">
        <f t="shared" si="11"/>
        <v>0</v>
      </c>
    </row>
    <row r="35" spans="1:19">
      <c r="A35" s="3503"/>
      <c r="B35" s="3502"/>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0</v>
      </c>
      <c r="R35" s="662">
        <f t="shared" si="20"/>
        <v>0</v>
      </c>
      <c r="S35" s="316">
        <f t="shared" si="11"/>
        <v>0</v>
      </c>
    </row>
    <row r="36" spans="1:19">
      <c r="A36" s="3503"/>
      <c r="B36" s="3502"/>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0</v>
      </c>
      <c r="R36" s="662">
        <f t="shared" si="20"/>
        <v>0</v>
      </c>
      <c r="S36" s="316">
        <f t="shared" si="11"/>
        <v>0</v>
      </c>
    </row>
    <row r="37" spans="1:19">
      <c r="A37" s="150"/>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0</v>
      </c>
      <c r="R37" s="662">
        <f t="shared" si="20"/>
        <v>0</v>
      </c>
      <c r="S37" s="316">
        <f t="shared" si="11"/>
        <v>0</v>
      </c>
    </row>
    <row r="38" spans="1:19">
      <c r="A38" s="150"/>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0</v>
      </c>
      <c r="R38" s="662">
        <f t="shared" si="20"/>
        <v>0</v>
      </c>
      <c r="S38" s="316">
        <f t="shared" si="11"/>
        <v>0</v>
      </c>
    </row>
    <row r="39" spans="1:19">
      <c r="A39" s="150"/>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0</v>
      </c>
      <c r="R39" s="662">
        <f t="shared" si="20"/>
        <v>0</v>
      </c>
      <c r="S39" s="316">
        <f t="shared" si="11"/>
        <v>0</v>
      </c>
    </row>
    <row r="40" spans="1:19">
      <c r="A40" s="150"/>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0</v>
      </c>
      <c r="R40" s="662">
        <f t="shared" si="20"/>
        <v>0</v>
      </c>
      <c r="S40" s="316">
        <f t="shared" si="11"/>
        <v>0</v>
      </c>
    </row>
    <row r="41" spans="1:19">
      <c r="A41" s="150"/>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0</v>
      </c>
      <c r="R41" s="662">
        <f t="shared" si="20"/>
        <v>0</v>
      </c>
      <c r="S41" s="316">
        <f t="shared" si="11"/>
        <v>0</v>
      </c>
    </row>
    <row r="42" spans="1:19">
      <c r="A42" s="150"/>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0</v>
      </c>
      <c r="R42" s="662">
        <f t="shared" si="20"/>
        <v>0</v>
      </c>
      <c r="S42" s="316">
        <f t="shared" si="11"/>
        <v>0</v>
      </c>
    </row>
    <row r="43" spans="1:19">
      <c r="A43" s="150"/>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0</v>
      </c>
      <c r="R43" s="662">
        <f t="shared" si="20"/>
        <v>0</v>
      </c>
      <c r="S43" s="316">
        <f t="shared" si="11"/>
        <v>0</v>
      </c>
    </row>
    <row r="44" spans="1:19">
      <c r="A44" s="150"/>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0</v>
      </c>
      <c r="R44" s="662">
        <f t="shared" si="20"/>
        <v>0</v>
      </c>
      <c r="S44" s="316">
        <f t="shared" si="11"/>
        <v>0</v>
      </c>
    </row>
    <row r="45" spans="1:19">
      <c r="A45" s="150"/>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0</v>
      </c>
      <c r="R45" s="662">
        <f t="shared" si="20"/>
        <v>0</v>
      </c>
      <c r="S45" s="316">
        <f t="shared" si="11"/>
        <v>0</v>
      </c>
    </row>
    <row r="46" spans="1:19">
      <c r="A46" s="150"/>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0</v>
      </c>
      <c r="R46" s="662">
        <f t="shared" si="20"/>
        <v>0</v>
      </c>
      <c r="S46" s="316">
        <f t="shared" si="11"/>
        <v>0</v>
      </c>
    </row>
    <row r="47" spans="1:19">
      <c r="A47" s="150"/>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0</v>
      </c>
      <c r="R47" s="662">
        <f t="shared" si="20"/>
        <v>0</v>
      </c>
      <c r="S47" s="316">
        <f t="shared" si="11"/>
        <v>0</v>
      </c>
    </row>
    <row r="48" spans="1:19">
      <c r="A48" s="150"/>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0</v>
      </c>
      <c r="R48" s="662">
        <f t="shared" si="20"/>
        <v>0</v>
      </c>
      <c r="S48" s="316">
        <f t="shared" si="11"/>
        <v>0</v>
      </c>
    </row>
    <row r="49" spans="1:19">
      <c r="A49" s="150"/>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0</v>
      </c>
      <c r="R49" s="662">
        <f t="shared" si="20"/>
        <v>0</v>
      </c>
      <c r="S49" s="316">
        <f t="shared" si="11"/>
        <v>0</v>
      </c>
    </row>
    <row r="50" spans="1:19">
      <c r="A50" s="150"/>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0</v>
      </c>
      <c r="R50" s="662">
        <f t="shared" si="20"/>
        <v>0</v>
      </c>
      <c r="S50" s="316">
        <f t="shared" si="11"/>
        <v>0</v>
      </c>
    </row>
    <row r="51" spans="1:19">
      <c r="A51" s="150"/>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0</v>
      </c>
      <c r="R51" s="662">
        <f t="shared" si="20"/>
        <v>0</v>
      </c>
      <c r="S51" s="316">
        <f t="shared" si="11"/>
        <v>0</v>
      </c>
    </row>
    <row r="52" spans="1:19">
      <c r="A52" s="150"/>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0</v>
      </c>
      <c r="R52" s="662">
        <f t="shared" si="20"/>
        <v>0</v>
      </c>
      <c r="S52" s="316">
        <f t="shared" si="11"/>
        <v>0</v>
      </c>
    </row>
    <row r="53" spans="1:19">
      <c r="A53" s="150"/>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0</v>
      </c>
      <c r="R53" s="662">
        <f t="shared" si="20"/>
        <v>0</v>
      </c>
      <c r="S53" s="316">
        <f t="shared" si="11"/>
        <v>0</v>
      </c>
    </row>
    <row r="54" spans="1:19">
      <c r="A54" s="150"/>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0</v>
      </c>
      <c r="R54" s="662">
        <f t="shared" si="20"/>
        <v>0</v>
      </c>
      <c r="S54" s="316">
        <f t="shared" si="11"/>
        <v>0</v>
      </c>
    </row>
    <row r="55" spans="1:19">
      <c r="A55" s="150"/>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0</v>
      </c>
      <c r="R55" s="662">
        <f t="shared" si="20"/>
        <v>0</v>
      </c>
      <c r="S55" s="316">
        <f t="shared" ref="S55:S77" si="21">ROUND(R55*B55/10000,0)</f>
        <v>0</v>
      </c>
    </row>
    <row r="56" spans="1:19">
      <c r="A56" s="150"/>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0</v>
      </c>
      <c r="R56" s="662">
        <f t="shared" si="20"/>
        <v>0</v>
      </c>
      <c r="S56" s="316">
        <f t="shared" si="21"/>
        <v>0</v>
      </c>
    </row>
    <row r="57" spans="1:19">
      <c r="A57" s="150"/>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0</v>
      </c>
      <c r="R57" s="662">
        <f t="shared" si="20"/>
        <v>0</v>
      </c>
      <c r="S57" s="316">
        <f t="shared" si="21"/>
        <v>0</v>
      </c>
    </row>
    <row r="58" spans="1:19">
      <c r="A58" s="150"/>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0</v>
      </c>
      <c r="R58" s="662">
        <f t="shared" si="20"/>
        <v>0</v>
      </c>
      <c r="S58" s="316">
        <f t="shared" si="21"/>
        <v>0</v>
      </c>
    </row>
    <row r="59" spans="1:19">
      <c r="A59" s="150"/>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0</v>
      </c>
      <c r="R59" s="662">
        <f t="shared" si="20"/>
        <v>0</v>
      </c>
      <c r="S59" s="316">
        <f t="shared" si="21"/>
        <v>0</v>
      </c>
    </row>
    <row r="60" spans="1:19">
      <c r="A60" s="150"/>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0</v>
      </c>
      <c r="R60" s="662">
        <f t="shared" si="20"/>
        <v>0</v>
      </c>
      <c r="S60" s="316">
        <f t="shared" si="21"/>
        <v>0</v>
      </c>
    </row>
    <row r="61" spans="1:19">
      <c r="A61" s="150"/>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0</v>
      </c>
      <c r="R61" s="662">
        <f t="shared" si="20"/>
        <v>0</v>
      </c>
      <c r="S61" s="316">
        <f t="shared" si="21"/>
        <v>0</v>
      </c>
    </row>
    <row r="62" spans="1:19">
      <c r="A62" s="150"/>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0</v>
      </c>
      <c r="R62" s="662">
        <f t="shared" si="20"/>
        <v>0</v>
      </c>
      <c r="S62" s="316">
        <f t="shared" si="21"/>
        <v>0</v>
      </c>
    </row>
    <row r="63" spans="1:19">
      <c r="A63" s="150"/>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0</v>
      </c>
      <c r="R63" s="662">
        <f t="shared" si="20"/>
        <v>0</v>
      </c>
      <c r="S63" s="316">
        <f t="shared" si="21"/>
        <v>0</v>
      </c>
    </row>
    <row r="64" spans="1:19">
      <c r="A64" s="150"/>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0</v>
      </c>
      <c r="R64" s="662">
        <f t="shared" si="20"/>
        <v>0</v>
      </c>
      <c r="S64" s="316">
        <f t="shared" si="21"/>
        <v>0</v>
      </c>
    </row>
    <row r="65" spans="1:19">
      <c r="A65" s="150"/>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0</v>
      </c>
      <c r="R65" s="662">
        <f t="shared" si="20"/>
        <v>0</v>
      </c>
      <c r="S65" s="316">
        <f t="shared" si="21"/>
        <v>0</v>
      </c>
    </row>
    <row r="66" spans="1:19">
      <c r="A66" s="150"/>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0</v>
      </c>
      <c r="R66" s="662">
        <f t="shared" si="20"/>
        <v>0</v>
      </c>
      <c r="S66" s="316">
        <f t="shared" si="21"/>
        <v>0</v>
      </c>
    </row>
    <row r="67" spans="1:19">
      <c r="A67" s="150"/>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0</v>
      </c>
      <c r="R67" s="662">
        <f t="shared" si="20"/>
        <v>0</v>
      </c>
      <c r="S67" s="316">
        <f t="shared" si="21"/>
        <v>0</v>
      </c>
    </row>
    <row r="68" spans="1:19">
      <c r="A68" s="150"/>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0</v>
      </c>
      <c r="R68" s="662">
        <f t="shared" si="20"/>
        <v>0</v>
      </c>
      <c r="S68" s="316">
        <f t="shared" si="21"/>
        <v>0</v>
      </c>
    </row>
    <row r="69" spans="1:19">
      <c r="A69" s="150"/>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0</v>
      </c>
      <c r="R69" s="662">
        <f t="shared" si="20"/>
        <v>0</v>
      </c>
      <c r="S69" s="316">
        <f t="shared" si="21"/>
        <v>0</v>
      </c>
    </row>
    <row r="70" spans="1:19">
      <c r="A70" s="150"/>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0</v>
      </c>
      <c r="R70" s="662">
        <f t="shared" si="20"/>
        <v>0</v>
      </c>
      <c r="S70" s="316">
        <f t="shared" si="21"/>
        <v>0</v>
      </c>
    </row>
    <row r="71" spans="1:19">
      <c r="A71" s="150"/>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0</v>
      </c>
      <c r="R71" s="662">
        <f t="shared" si="20"/>
        <v>0</v>
      </c>
      <c r="S71" s="316">
        <f t="shared" si="21"/>
        <v>0</v>
      </c>
    </row>
    <row r="72" spans="1:19">
      <c r="A72" s="150"/>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0</v>
      </c>
      <c r="R72" s="662">
        <f t="shared" si="20"/>
        <v>0</v>
      </c>
      <c r="S72" s="316">
        <f t="shared" si="21"/>
        <v>0</v>
      </c>
    </row>
    <row r="73" spans="1:19">
      <c r="A73" s="150"/>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0</v>
      </c>
      <c r="R73" s="662">
        <f t="shared" si="20"/>
        <v>0</v>
      </c>
      <c r="S73" s="316">
        <f t="shared" si="21"/>
        <v>0</v>
      </c>
    </row>
    <row r="74" spans="1:19">
      <c r="A74" s="150"/>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0</v>
      </c>
      <c r="R74" s="662">
        <f t="shared" si="20"/>
        <v>0</v>
      </c>
      <c r="S74" s="316">
        <f t="shared" si="21"/>
        <v>0</v>
      </c>
    </row>
    <row r="75" spans="1:19">
      <c r="A75" s="150"/>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0</v>
      </c>
      <c r="R75" s="662">
        <f t="shared" si="20"/>
        <v>0</v>
      </c>
      <c r="S75" s="316">
        <f t="shared" si="21"/>
        <v>0</v>
      </c>
    </row>
    <row r="76" spans="1:19">
      <c r="A76" s="150"/>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0</v>
      </c>
      <c r="R76" s="662">
        <f t="shared" si="20"/>
        <v>0</v>
      </c>
      <c r="S76" s="316">
        <f t="shared" si="21"/>
        <v>0</v>
      </c>
    </row>
    <row r="77" spans="1:19">
      <c r="A77" s="150"/>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0</v>
      </c>
      <c r="R77" s="662">
        <f t="shared" si="20"/>
        <v>0</v>
      </c>
      <c r="S77" s="316">
        <f t="shared" si="21"/>
        <v>0</v>
      </c>
    </row>
    <row r="78" spans="1:19">
      <c r="A78" s="150"/>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0</v>
      </c>
      <c r="R78" s="662">
        <f t="shared" si="20"/>
        <v>0</v>
      </c>
      <c r="S78" s="316">
        <f t="shared" ref="S78:S122" si="22">ROUND(R78*B78/10000,0)</f>
        <v>0</v>
      </c>
    </row>
    <row r="79" spans="1:19">
      <c r="A79" s="150"/>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0</v>
      </c>
      <c r="R79" s="662">
        <f t="shared" si="20"/>
        <v>0</v>
      </c>
      <c r="S79" s="316">
        <f t="shared" si="22"/>
        <v>0</v>
      </c>
    </row>
    <row r="80" spans="1:19">
      <c r="A80" s="150"/>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0</v>
      </c>
      <c r="R80" s="662">
        <f t="shared" si="20"/>
        <v>0</v>
      </c>
      <c r="S80" s="316">
        <f t="shared" si="22"/>
        <v>0</v>
      </c>
    </row>
    <row r="81" spans="1:19">
      <c r="A81" s="150"/>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0</v>
      </c>
      <c r="R81" s="662">
        <f t="shared" si="20"/>
        <v>0</v>
      </c>
      <c r="S81" s="316">
        <f t="shared" si="22"/>
        <v>0</v>
      </c>
    </row>
    <row r="82" spans="1:19">
      <c r="A82" s="150"/>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0</v>
      </c>
      <c r="R82" s="662">
        <f t="shared" si="20"/>
        <v>0</v>
      </c>
      <c r="S82" s="316">
        <f t="shared" si="22"/>
        <v>0</v>
      </c>
    </row>
    <row r="83" spans="1:19">
      <c r="A83" s="150"/>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0</v>
      </c>
      <c r="R83" s="662">
        <f t="shared" si="20"/>
        <v>0</v>
      </c>
      <c r="S83" s="316">
        <f t="shared" si="22"/>
        <v>0</v>
      </c>
    </row>
    <row r="84" spans="1:19">
      <c r="A84" s="150"/>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0</v>
      </c>
      <c r="R84" s="662">
        <f t="shared" si="20"/>
        <v>0</v>
      </c>
      <c r="S84" s="316">
        <f t="shared" si="22"/>
        <v>0</v>
      </c>
    </row>
    <row r="85" spans="1:19">
      <c r="A85" s="150"/>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0</v>
      </c>
      <c r="R85" s="662">
        <f t="shared" si="20"/>
        <v>0</v>
      </c>
      <c r="S85" s="316">
        <f t="shared" si="22"/>
        <v>0</v>
      </c>
    </row>
    <row r="86" spans="1:19">
      <c r="A86" s="150"/>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0</v>
      </c>
      <c r="R86" s="662">
        <f t="shared" si="20"/>
        <v>0</v>
      </c>
      <c r="S86" s="316">
        <f t="shared" si="22"/>
        <v>0</v>
      </c>
    </row>
    <row r="87" spans="1:19">
      <c r="A87" s="150"/>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0</v>
      </c>
      <c r="R87" s="662">
        <f t="shared" si="20"/>
        <v>0</v>
      </c>
      <c r="S87" s="316">
        <f t="shared" si="22"/>
        <v>0</v>
      </c>
    </row>
    <row r="88" spans="1:19">
      <c r="A88" s="150"/>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0</v>
      </c>
      <c r="R88" s="662">
        <f t="shared" si="20"/>
        <v>0</v>
      </c>
      <c r="S88" s="316">
        <f t="shared" si="22"/>
        <v>0</v>
      </c>
    </row>
    <row r="89" spans="1:19">
      <c r="A89" s="150"/>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0</v>
      </c>
      <c r="R89" s="662">
        <f t="shared" si="20"/>
        <v>0</v>
      </c>
      <c r="S89" s="316">
        <f t="shared" si="22"/>
        <v>0</v>
      </c>
    </row>
    <row r="90" spans="1:19">
      <c r="A90" s="150"/>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0</v>
      </c>
      <c r="R90" s="662">
        <f t="shared" ref="R90:R153" si="31">IF(B90="",0,ROUND($R$24*C90*E90*G90*I90*K90*M90*O90*Q90,0))</f>
        <v>0</v>
      </c>
      <c r="S90" s="316">
        <f t="shared" si="22"/>
        <v>0</v>
      </c>
    </row>
    <row r="91" spans="1:19">
      <c r="A91" s="150"/>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0</v>
      </c>
      <c r="R91" s="662">
        <f t="shared" si="31"/>
        <v>0</v>
      </c>
      <c r="S91" s="316">
        <f t="shared" si="22"/>
        <v>0</v>
      </c>
    </row>
    <row r="92" spans="1:19">
      <c r="A92" s="150"/>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0</v>
      </c>
      <c r="R92" s="662">
        <f t="shared" si="31"/>
        <v>0</v>
      </c>
      <c r="S92" s="316">
        <f t="shared" si="22"/>
        <v>0</v>
      </c>
    </row>
    <row r="93" spans="1:19">
      <c r="A93" s="150"/>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0</v>
      </c>
      <c r="R93" s="662">
        <f t="shared" si="31"/>
        <v>0</v>
      </c>
      <c r="S93" s="316">
        <f t="shared" si="22"/>
        <v>0</v>
      </c>
    </row>
    <row r="94" spans="1:19">
      <c r="A94" s="150"/>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0</v>
      </c>
      <c r="R94" s="662">
        <f t="shared" si="31"/>
        <v>0</v>
      </c>
      <c r="S94" s="316">
        <f t="shared" si="22"/>
        <v>0</v>
      </c>
    </row>
    <row r="95" spans="1:19">
      <c r="A95" s="150"/>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0</v>
      </c>
      <c r="R95" s="662">
        <f t="shared" si="31"/>
        <v>0</v>
      </c>
      <c r="S95" s="316">
        <f t="shared" si="22"/>
        <v>0</v>
      </c>
    </row>
    <row r="96" spans="1:19">
      <c r="A96" s="150"/>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0</v>
      </c>
      <c r="R96" s="662">
        <f t="shared" si="31"/>
        <v>0</v>
      </c>
      <c r="S96" s="316">
        <f t="shared" si="22"/>
        <v>0</v>
      </c>
    </row>
    <row r="97" spans="1:19">
      <c r="A97" s="150"/>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0</v>
      </c>
      <c r="R97" s="662">
        <f t="shared" si="31"/>
        <v>0</v>
      </c>
      <c r="S97" s="316">
        <f t="shared" si="22"/>
        <v>0</v>
      </c>
    </row>
    <row r="98" spans="1:19">
      <c r="A98" s="150"/>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0</v>
      </c>
      <c r="R98" s="662">
        <f t="shared" si="31"/>
        <v>0</v>
      </c>
      <c r="S98" s="316">
        <f t="shared" si="22"/>
        <v>0</v>
      </c>
    </row>
    <row r="99" spans="1:19">
      <c r="A99" s="150"/>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0</v>
      </c>
      <c r="R99" s="662">
        <f t="shared" si="31"/>
        <v>0</v>
      </c>
      <c r="S99" s="316">
        <f t="shared" si="22"/>
        <v>0</v>
      </c>
    </row>
    <row r="100" spans="1:19">
      <c r="A100" s="150"/>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0</v>
      </c>
      <c r="R100" s="662">
        <f t="shared" si="31"/>
        <v>0</v>
      </c>
      <c r="S100" s="316">
        <f t="shared" si="22"/>
        <v>0</v>
      </c>
    </row>
    <row r="101" spans="1:19">
      <c r="A101" s="150"/>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0</v>
      </c>
      <c r="R101" s="662">
        <f t="shared" si="31"/>
        <v>0</v>
      </c>
      <c r="S101" s="316">
        <f t="shared" si="22"/>
        <v>0</v>
      </c>
    </row>
    <row r="102" spans="1:19">
      <c r="A102" s="150"/>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0</v>
      </c>
      <c r="R102" s="662">
        <f t="shared" si="31"/>
        <v>0</v>
      </c>
      <c r="S102" s="316">
        <f t="shared" si="22"/>
        <v>0</v>
      </c>
    </row>
    <row r="103" spans="1:19">
      <c r="A103" s="150"/>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0</v>
      </c>
      <c r="R103" s="662">
        <f t="shared" si="31"/>
        <v>0</v>
      </c>
      <c r="S103" s="316">
        <f t="shared" si="22"/>
        <v>0</v>
      </c>
    </row>
    <row r="104" spans="1:19">
      <c r="A104" s="150"/>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0</v>
      </c>
      <c r="R104" s="662">
        <f t="shared" si="31"/>
        <v>0</v>
      </c>
      <c r="S104" s="316">
        <f t="shared" si="22"/>
        <v>0</v>
      </c>
    </row>
    <row r="105" spans="1:19">
      <c r="A105" s="150"/>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0</v>
      </c>
      <c r="R105" s="662">
        <f t="shared" si="31"/>
        <v>0</v>
      </c>
      <c r="S105" s="316">
        <f t="shared" si="22"/>
        <v>0</v>
      </c>
    </row>
    <row r="106" spans="1:19">
      <c r="A106" s="150"/>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0</v>
      </c>
      <c r="R106" s="662">
        <f t="shared" si="31"/>
        <v>0</v>
      </c>
      <c r="S106" s="316">
        <f t="shared" si="22"/>
        <v>0</v>
      </c>
    </row>
    <row r="107" spans="1:19">
      <c r="A107" s="150"/>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0</v>
      </c>
      <c r="R107" s="662">
        <f t="shared" si="31"/>
        <v>0</v>
      </c>
      <c r="S107" s="316">
        <f t="shared" si="22"/>
        <v>0</v>
      </c>
    </row>
    <row r="108" spans="1:19">
      <c r="A108" s="150"/>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0</v>
      </c>
      <c r="R108" s="662">
        <f t="shared" si="31"/>
        <v>0</v>
      </c>
      <c r="S108" s="316">
        <f t="shared" si="22"/>
        <v>0</v>
      </c>
    </row>
    <row r="109" spans="1:19">
      <c r="A109" s="150"/>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0</v>
      </c>
      <c r="R109" s="662">
        <f t="shared" si="31"/>
        <v>0</v>
      </c>
      <c r="S109" s="316">
        <f t="shared" si="22"/>
        <v>0</v>
      </c>
    </row>
    <row r="110" spans="1:19">
      <c r="A110" s="150"/>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0</v>
      </c>
      <c r="R110" s="662">
        <f t="shared" si="31"/>
        <v>0</v>
      </c>
      <c r="S110" s="316">
        <f t="shared" si="22"/>
        <v>0</v>
      </c>
    </row>
    <row r="111" spans="1:19">
      <c r="A111" s="150"/>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0</v>
      </c>
      <c r="R111" s="662">
        <f t="shared" si="31"/>
        <v>0</v>
      </c>
      <c r="S111" s="316">
        <f t="shared" si="22"/>
        <v>0</v>
      </c>
    </row>
    <row r="112" spans="1:19">
      <c r="A112" s="150"/>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0</v>
      </c>
      <c r="R112" s="662">
        <f t="shared" si="31"/>
        <v>0</v>
      </c>
      <c r="S112" s="316">
        <f t="shared" si="22"/>
        <v>0</v>
      </c>
    </row>
    <row r="113" spans="1:19">
      <c r="A113" s="150"/>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0</v>
      </c>
      <c r="R113" s="662">
        <f t="shared" si="31"/>
        <v>0</v>
      </c>
      <c r="S113" s="316">
        <f t="shared" si="22"/>
        <v>0</v>
      </c>
    </row>
    <row r="114" spans="1:19">
      <c r="A114" s="150"/>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0</v>
      </c>
      <c r="R114" s="662">
        <f t="shared" si="31"/>
        <v>0</v>
      </c>
      <c r="S114" s="316">
        <f t="shared" si="22"/>
        <v>0</v>
      </c>
    </row>
    <row r="115" spans="1:19">
      <c r="A115" s="150"/>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0</v>
      </c>
      <c r="R115" s="662">
        <f t="shared" si="31"/>
        <v>0</v>
      </c>
      <c r="S115" s="316">
        <f t="shared" si="22"/>
        <v>0</v>
      </c>
    </row>
    <row r="116" spans="1:19">
      <c r="A116" s="150"/>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0</v>
      </c>
      <c r="R116" s="662">
        <f t="shared" si="31"/>
        <v>0</v>
      </c>
      <c r="S116" s="316">
        <f t="shared" si="22"/>
        <v>0</v>
      </c>
    </row>
    <row r="117" spans="1:19">
      <c r="A117" s="150"/>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0</v>
      </c>
      <c r="R117" s="662">
        <f t="shared" si="31"/>
        <v>0</v>
      </c>
      <c r="S117" s="316">
        <f t="shared" si="22"/>
        <v>0</v>
      </c>
    </row>
    <row r="118" spans="1:19">
      <c r="A118" s="150"/>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0</v>
      </c>
      <c r="R118" s="662">
        <f t="shared" si="31"/>
        <v>0</v>
      </c>
      <c r="S118" s="316">
        <f t="shared" si="22"/>
        <v>0</v>
      </c>
    </row>
    <row r="119" spans="1:19">
      <c r="A119" s="150"/>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0</v>
      </c>
      <c r="R119" s="662">
        <f t="shared" si="31"/>
        <v>0</v>
      </c>
      <c r="S119" s="316">
        <f t="shared" si="22"/>
        <v>0</v>
      </c>
    </row>
    <row r="120" spans="1:19">
      <c r="A120" s="150"/>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0</v>
      </c>
      <c r="R120" s="662">
        <f t="shared" si="31"/>
        <v>0</v>
      </c>
      <c r="S120" s="316">
        <f t="shared" si="22"/>
        <v>0</v>
      </c>
    </row>
    <row r="121" spans="1:19">
      <c r="A121" s="150"/>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0</v>
      </c>
      <c r="R121" s="662">
        <f t="shared" si="31"/>
        <v>0</v>
      </c>
      <c r="S121" s="316">
        <f t="shared" si="22"/>
        <v>0</v>
      </c>
    </row>
    <row r="122" spans="1:19">
      <c r="A122" s="150"/>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0</v>
      </c>
      <c r="R122" s="662">
        <f t="shared" si="31"/>
        <v>0</v>
      </c>
      <c r="S122" s="316">
        <f t="shared" si="22"/>
        <v>0</v>
      </c>
    </row>
    <row r="123" spans="1:19">
      <c r="A123" s="150"/>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0</v>
      </c>
      <c r="R123" s="662">
        <f t="shared" si="31"/>
        <v>0</v>
      </c>
      <c r="S123" s="316">
        <f t="shared" ref="S123:S186" si="32">ROUND(R123*B123/10000,0)</f>
        <v>0</v>
      </c>
    </row>
    <row r="124" spans="1:19">
      <c r="A124" s="150"/>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0</v>
      </c>
      <c r="R124" s="662">
        <f t="shared" si="31"/>
        <v>0</v>
      </c>
      <c r="S124" s="316">
        <f t="shared" si="32"/>
        <v>0</v>
      </c>
    </row>
    <row r="125" spans="1:19">
      <c r="A125" s="150"/>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0</v>
      </c>
      <c r="R125" s="662">
        <f t="shared" si="31"/>
        <v>0</v>
      </c>
      <c r="S125" s="316">
        <f t="shared" si="32"/>
        <v>0</v>
      </c>
    </row>
    <row r="126" spans="1:19">
      <c r="A126" s="150"/>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0</v>
      </c>
      <c r="R126" s="662">
        <f t="shared" si="31"/>
        <v>0</v>
      </c>
      <c r="S126" s="316">
        <f t="shared" si="32"/>
        <v>0</v>
      </c>
    </row>
    <row r="127" spans="1:19">
      <c r="A127" s="150"/>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0</v>
      </c>
      <c r="R127" s="662">
        <f t="shared" si="31"/>
        <v>0</v>
      </c>
      <c r="S127" s="316">
        <f t="shared" si="32"/>
        <v>0</v>
      </c>
    </row>
    <row r="128" spans="1:19">
      <c r="A128" s="150"/>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0</v>
      </c>
      <c r="R128" s="662">
        <f t="shared" si="31"/>
        <v>0</v>
      </c>
      <c r="S128" s="316">
        <f t="shared" si="32"/>
        <v>0</v>
      </c>
    </row>
    <row r="129" spans="1:19">
      <c r="A129" s="150"/>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0</v>
      </c>
      <c r="R129" s="662">
        <f t="shared" si="31"/>
        <v>0</v>
      </c>
      <c r="S129" s="316">
        <f t="shared" si="32"/>
        <v>0</v>
      </c>
    </row>
    <row r="130" spans="1:19">
      <c r="A130" s="150"/>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0</v>
      </c>
      <c r="R130" s="662">
        <f t="shared" si="31"/>
        <v>0</v>
      </c>
      <c r="S130" s="316">
        <f t="shared" si="32"/>
        <v>0</v>
      </c>
    </row>
    <row r="131" spans="1:19">
      <c r="A131" s="150"/>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0</v>
      </c>
      <c r="R131" s="662">
        <f t="shared" si="31"/>
        <v>0</v>
      </c>
      <c r="S131" s="316">
        <f t="shared" si="32"/>
        <v>0</v>
      </c>
    </row>
    <row r="132" spans="1:19">
      <c r="A132" s="150"/>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0</v>
      </c>
      <c r="R132" s="662">
        <f t="shared" si="31"/>
        <v>0</v>
      </c>
      <c r="S132" s="316">
        <f t="shared" si="32"/>
        <v>0</v>
      </c>
    </row>
    <row r="133" spans="1:19">
      <c r="A133" s="150"/>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0</v>
      </c>
      <c r="R133" s="662">
        <f t="shared" si="31"/>
        <v>0</v>
      </c>
      <c r="S133" s="316">
        <f t="shared" si="32"/>
        <v>0</v>
      </c>
    </row>
    <row r="134" spans="1:19">
      <c r="A134" s="150"/>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0</v>
      </c>
      <c r="R134" s="662">
        <f t="shared" si="31"/>
        <v>0</v>
      </c>
      <c r="S134" s="316">
        <f t="shared" si="32"/>
        <v>0</v>
      </c>
    </row>
    <row r="135" spans="1:19">
      <c r="A135" s="150"/>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0</v>
      </c>
      <c r="R135" s="662">
        <f t="shared" si="31"/>
        <v>0</v>
      </c>
      <c r="S135" s="316">
        <f t="shared" si="32"/>
        <v>0</v>
      </c>
    </row>
    <row r="136" spans="1:19">
      <c r="A136" s="150"/>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0</v>
      </c>
      <c r="R136" s="662">
        <f t="shared" si="31"/>
        <v>0</v>
      </c>
      <c r="S136" s="316">
        <f t="shared" si="32"/>
        <v>0</v>
      </c>
    </row>
    <row r="137" spans="1:19">
      <c r="A137" s="150"/>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0</v>
      </c>
      <c r="R137" s="662">
        <f t="shared" si="31"/>
        <v>0</v>
      </c>
      <c r="S137" s="316">
        <f t="shared" si="32"/>
        <v>0</v>
      </c>
    </row>
    <row r="138" spans="1:19">
      <c r="A138" s="150"/>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0</v>
      </c>
      <c r="R138" s="662">
        <f t="shared" si="31"/>
        <v>0</v>
      </c>
      <c r="S138" s="316">
        <f t="shared" si="32"/>
        <v>0</v>
      </c>
    </row>
    <row r="139" spans="1:19">
      <c r="A139" s="150"/>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0</v>
      </c>
      <c r="R139" s="662">
        <f t="shared" si="31"/>
        <v>0</v>
      </c>
      <c r="S139" s="316">
        <f t="shared" si="32"/>
        <v>0</v>
      </c>
    </row>
    <row r="140" spans="1:19">
      <c r="A140" s="150"/>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0</v>
      </c>
      <c r="R140" s="662">
        <f t="shared" si="31"/>
        <v>0</v>
      </c>
      <c r="S140" s="316">
        <f t="shared" si="32"/>
        <v>0</v>
      </c>
    </row>
    <row r="141" spans="1:19">
      <c r="A141" s="150"/>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0</v>
      </c>
      <c r="R141" s="662">
        <f t="shared" si="31"/>
        <v>0</v>
      </c>
      <c r="S141" s="316">
        <f t="shared" si="32"/>
        <v>0</v>
      </c>
    </row>
    <row r="142" spans="1:19">
      <c r="A142" s="150"/>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0</v>
      </c>
      <c r="R142" s="662">
        <f t="shared" si="31"/>
        <v>0</v>
      </c>
      <c r="S142" s="316">
        <f t="shared" si="32"/>
        <v>0</v>
      </c>
    </row>
    <row r="143" spans="1:19">
      <c r="A143" s="150"/>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0</v>
      </c>
      <c r="R143" s="662">
        <f t="shared" si="31"/>
        <v>0</v>
      </c>
      <c r="S143" s="316">
        <f t="shared" si="32"/>
        <v>0</v>
      </c>
    </row>
    <row r="144" spans="1:19">
      <c r="A144" s="150"/>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0</v>
      </c>
      <c r="R144" s="662">
        <f t="shared" si="31"/>
        <v>0</v>
      </c>
      <c r="S144" s="316">
        <f t="shared" si="32"/>
        <v>0</v>
      </c>
    </row>
    <row r="145" spans="1:19">
      <c r="A145" s="150"/>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0</v>
      </c>
      <c r="R145" s="662">
        <f t="shared" si="31"/>
        <v>0</v>
      </c>
      <c r="S145" s="316">
        <f t="shared" si="32"/>
        <v>0</v>
      </c>
    </row>
    <row r="146" spans="1:19">
      <c r="A146" s="150"/>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0</v>
      </c>
      <c r="R146" s="662">
        <f t="shared" si="31"/>
        <v>0</v>
      </c>
      <c r="S146" s="316">
        <f t="shared" si="32"/>
        <v>0</v>
      </c>
    </row>
    <row r="147" spans="1:19">
      <c r="A147" s="150"/>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0</v>
      </c>
      <c r="R147" s="662">
        <f t="shared" si="31"/>
        <v>0</v>
      </c>
      <c r="S147" s="316">
        <f t="shared" si="32"/>
        <v>0</v>
      </c>
    </row>
    <row r="148" spans="1:19">
      <c r="A148" s="150"/>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0</v>
      </c>
      <c r="R148" s="662">
        <f t="shared" si="31"/>
        <v>0</v>
      </c>
      <c r="S148" s="316">
        <f t="shared" si="32"/>
        <v>0</v>
      </c>
    </row>
    <row r="149" spans="1:19">
      <c r="A149" s="150"/>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0</v>
      </c>
      <c r="R149" s="662">
        <f t="shared" si="31"/>
        <v>0</v>
      </c>
      <c r="S149" s="316">
        <f t="shared" si="32"/>
        <v>0</v>
      </c>
    </row>
    <row r="150" spans="1:19">
      <c r="A150" s="150"/>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0</v>
      </c>
      <c r="R150" s="662">
        <f t="shared" si="31"/>
        <v>0</v>
      </c>
      <c r="S150" s="316">
        <f t="shared" si="32"/>
        <v>0</v>
      </c>
    </row>
    <row r="151" spans="1:19">
      <c r="A151" s="150"/>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0</v>
      </c>
      <c r="R151" s="662">
        <f t="shared" si="31"/>
        <v>0</v>
      </c>
      <c r="S151" s="316">
        <f t="shared" si="32"/>
        <v>0</v>
      </c>
    </row>
    <row r="152" spans="1:19">
      <c r="A152" s="150"/>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0</v>
      </c>
      <c r="R152" s="662">
        <f t="shared" si="31"/>
        <v>0</v>
      </c>
      <c r="S152" s="316">
        <f t="shared" si="32"/>
        <v>0</v>
      </c>
    </row>
    <row r="153" spans="1:19">
      <c r="A153" s="150"/>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0</v>
      </c>
      <c r="R153" s="662">
        <f t="shared" si="31"/>
        <v>0</v>
      </c>
      <c r="S153" s="316">
        <f t="shared" si="32"/>
        <v>0</v>
      </c>
    </row>
    <row r="154" spans="1:19">
      <c r="A154" s="150"/>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0</v>
      </c>
      <c r="R154" s="662">
        <f t="shared" ref="R154:R217" si="41">IF(B154="",0,ROUND($R$24*C154*E154*G154*I154*K154*M154*O154*Q154,0))</f>
        <v>0</v>
      </c>
      <c r="S154" s="316">
        <f t="shared" si="32"/>
        <v>0</v>
      </c>
    </row>
    <row r="155" spans="1:19">
      <c r="A155" s="150"/>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0</v>
      </c>
      <c r="R155" s="662">
        <f t="shared" si="41"/>
        <v>0</v>
      </c>
      <c r="S155" s="316">
        <f t="shared" si="32"/>
        <v>0</v>
      </c>
    </row>
    <row r="156" spans="1:19">
      <c r="A156" s="150"/>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0</v>
      </c>
      <c r="R156" s="662">
        <f t="shared" si="41"/>
        <v>0</v>
      </c>
      <c r="S156" s="316">
        <f t="shared" si="32"/>
        <v>0</v>
      </c>
    </row>
    <row r="157" spans="1:19">
      <c r="A157" s="150"/>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0</v>
      </c>
      <c r="R157" s="662">
        <f t="shared" si="41"/>
        <v>0</v>
      </c>
      <c r="S157" s="316">
        <f t="shared" si="32"/>
        <v>0</v>
      </c>
    </row>
    <row r="158" spans="1:19">
      <c r="A158" s="150"/>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0</v>
      </c>
      <c r="R158" s="662">
        <f t="shared" si="41"/>
        <v>0</v>
      </c>
      <c r="S158" s="316">
        <f t="shared" si="32"/>
        <v>0</v>
      </c>
    </row>
    <row r="159" spans="1:19">
      <c r="A159" s="150"/>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0</v>
      </c>
      <c r="R159" s="662">
        <f t="shared" si="41"/>
        <v>0</v>
      </c>
      <c r="S159" s="316">
        <f t="shared" si="32"/>
        <v>0</v>
      </c>
    </row>
    <row r="160" spans="1:19">
      <c r="A160" s="150"/>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0</v>
      </c>
      <c r="R160" s="662">
        <f t="shared" si="41"/>
        <v>0</v>
      </c>
      <c r="S160" s="316">
        <f t="shared" si="32"/>
        <v>0</v>
      </c>
    </row>
    <row r="161" spans="1:19">
      <c r="A161" s="150"/>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0</v>
      </c>
      <c r="R161" s="662">
        <f t="shared" si="41"/>
        <v>0</v>
      </c>
      <c r="S161" s="316">
        <f t="shared" si="32"/>
        <v>0</v>
      </c>
    </row>
    <row r="162" spans="1:19">
      <c r="A162" s="150"/>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0</v>
      </c>
      <c r="R162" s="662">
        <f t="shared" si="41"/>
        <v>0</v>
      </c>
      <c r="S162" s="316">
        <f t="shared" si="32"/>
        <v>0</v>
      </c>
    </row>
    <row r="163" spans="1:19">
      <c r="A163" s="150"/>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0</v>
      </c>
      <c r="R163" s="662">
        <f t="shared" si="41"/>
        <v>0</v>
      </c>
      <c r="S163" s="316">
        <f t="shared" si="32"/>
        <v>0</v>
      </c>
    </row>
    <row r="164" spans="1:19">
      <c r="A164" s="150"/>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0</v>
      </c>
      <c r="R164" s="662">
        <f t="shared" si="41"/>
        <v>0</v>
      </c>
      <c r="S164" s="316">
        <f t="shared" si="32"/>
        <v>0</v>
      </c>
    </row>
    <row r="165" spans="1:19">
      <c r="A165" s="150"/>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0</v>
      </c>
      <c r="R165" s="662">
        <f t="shared" si="41"/>
        <v>0</v>
      </c>
      <c r="S165" s="316">
        <f t="shared" si="32"/>
        <v>0</v>
      </c>
    </row>
    <row r="166" spans="1:19">
      <c r="A166" s="150"/>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0</v>
      </c>
      <c r="R166" s="662">
        <f t="shared" si="41"/>
        <v>0</v>
      </c>
      <c r="S166" s="316">
        <f t="shared" si="32"/>
        <v>0</v>
      </c>
    </row>
    <row r="167" spans="1:19">
      <c r="A167" s="150"/>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0</v>
      </c>
      <c r="R167" s="662">
        <f t="shared" si="41"/>
        <v>0</v>
      </c>
      <c r="S167" s="316">
        <f t="shared" si="32"/>
        <v>0</v>
      </c>
    </row>
    <row r="168" spans="1:19">
      <c r="A168" s="150"/>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0</v>
      </c>
      <c r="R168" s="662">
        <f t="shared" si="41"/>
        <v>0</v>
      </c>
      <c r="S168" s="316">
        <f t="shared" si="32"/>
        <v>0</v>
      </c>
    </row>
    <row r="169" spans="1:19">
      <c r="A169" s="150"/>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0</v>
      </c>
      <c r="R169" s="662">
        <f t="shared" si="41"/>
        <v>0</v>
      </c>
      <c r="S169" s="316">
        <f t="shared" si="32"/>
        <v>0</v>
      </c>
    </row>
    <row r="170" spans="1:19">
      <c r="A170" s="150"/>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0</v>
      </c>
      <c r="R170" s="662">
        <f t="shared" si="41"/>
        <v>0</v>
      </c>
      <c r="S170" s="316">
        <f t="shared" si="32"/>
        <v>0</v>
      </c>
    </row>
    <row r="171" spans="1:19">
      <c r="A171" s="150"/>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0</v>
      </c>
      <c r="R171" s="662">
        <f t="shared" si="41"/>
        <v>0</v>
      </c>
      <c r="S171" s="316">
        <f t="shared" si="32"/>
        <v>0</v>
      </c>
    </row>
    <row r="172" spans="1:19">
      <c r="A172" s="150"/>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0</v>
      </c>
      <c r="R172" s="662">
        <f t="shared" si="41"/>
        <v>0</v>
      </c>
      <c r="S172" s="316">
        <f t="shared" si="32"/>
        <v>0</v>
      </c>
    </row>
    <row r="173" spans="1:19">
      <c r="A173" s="150"/>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0</v>
      </c>
      <c r="R173" s="662">
        <f t="shared" si="41"/>
        <v>0</v>
      </c>
      <c r="S173" s="316">
        <f t="shared" si="32"/>
        <v>0</v>
      </c>
    </row>
    <row r="174" spans="1:19">
      <c r="A174" s="150"/>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0</v>
      </c>
      <c r="R174" s="662">
        <f t="shared" si="41"/>
        <v>0</v>
      </c>
      <c r="S174" s="316">
        <f t="shared" si="32"/>
        <v>0</v>
      </c>
    </row>
    <row r="175" spans="1:19">
      <c r="A175" s="150"/>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0</v>
      </c>
      <c r="R175" s="662">
        <f t="shared" si="41"/>
        <v>0</v>
      </c>
      <c r="S175" s="316">
        <f t="shared" si="32"/>
        <v>0</v>
      </c>
    </row>
    <row r="176" spans="1:19">
      <c r="A176" s="150"/>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0</v>
      </c>
      <c r="R176" s="662">
        <f t="shared" si="41"/>
        <v>0</v>
      </c>
      <c r="S176" s="316">
        <f t="shared" si="32"/>
        <v>0</v>
      </c>
    </row>
    <row r="177" spans="1:19">
      <c r="A177" s="150"/>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0</v>
      </c>
      <c r="R177" s="662">
        <f t="shared" si="41"/>
        <v>0</v>
      </c>
      <c r="S177" s="316">
        <f t="shared" si="32"/>
        <v>0</v>
      </c>
    </row>
    <row r="178" spans="1:19">
      <c r="A178" s="150"/>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0</v>
      </c>
      <c r="R178" s="662">
        <f t="shared" si="41"/>
        <v>0</v>
      </c>
      <c r="S178" s="316">
        <f t="shared" si="32"/>
        <v>0</v>
      </c>
    </row>
    <row r="179" spans="1:19">
      <c r="A179" s="150"/>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0</v>
      </c>
      <c r="R179" s="662">
        <f t="shared" si="41"/>
        <v>0</v>
      </c>
      <c r="S179" s="316">
        <f t="shared" si="32"/>
        <v>0</v>
      </c>
    </row>
    <row r="180" spans="1:19">
      <c r="A180" s="150"/>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0</v>
      </c>
      <c r="R180" s="662">
        <f t="shared" si="41"/>
        <v>0</v>
      </c>
      <c r="S180" s="316">
        <f t="shared" si="32"/>
        <v>0</v>
      </c>
    </row>
    <row r="181" spans="1:19">
      <c r="A181" s="150"/>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0</v>
      </c>
      <c r="R181" s="662">
        <f t="shared" si="41"/>
        <v>0</v>
      </c>
      <c r="S181" s="316">
        <f t="shared" si="32"/>
        <v>0</v>
      </c>
    </row>
    <row r="182" spans="1:19">
      <c r="A182" s="150"/>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0</v>
      </c>
      <c r="R182" s="662">
        <f t="shared" si="41"/>
        <v>0</v>
      </c>
      <c r="S182" s="316">
        <f t="shared" si="32"/>
        <v>0</v>
      </c>
    </row>
    <row r="183" spans="1:19">
      <c r="A183" s="150"/>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0</v>
      </c>
      <c r="R183" s="662">
        <f t="shared" si="41"/>
        <v>0</v>
      </c>
      <c r="S183" s="316">
        <f t="shared" si="32"/>
        <v>0</v>
      </c>
    </row>
    <row r="184" spans="1:19">
      <c r="A184" s="150"/>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0</v>
      </c>
      <c r="R184" s="662">
        <f t="shared" si="41"/>
        <v>0</v>
      </c>
      <c r="S184" s="316">
        <f t="shared" si="32"/>
        <v>0</v>
      </c>
    </row>
    <row r="185" spans="1:19">
      <c r="A185" s="150"/>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0</v>
      </c>
      <c r="R185" s="662">
        <f t="shared" si="41"/>
        <v>0</v>
      </c>
      <c r="S185" s="316">
        <f t="shared" si="32"/>
        <v>0</v>
      </c>
    </row>
    <row r="186" spans="1:19">
      <c r="A186" s="150"/>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0</v>
      </c>
      <c r="R186" s="662">
        <f t="shared" si="41"/>
        <v>0</v>
      </c>
      <c r="S186" s="316">
        <f t="shared" si="32"/>
        <v>0</v>
      </c>
    </row>
    <row r="187" spans="1:19">
      <c r="A187" s="150"/>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0</v>
      </c>
      <c r="R187" s="662">
        <f t="shared" si="41"/>
        <v>0</v>
      </c>
      <c r="S187" s="316">
        <f t="shared" ref="S187:S222" si="42">ROUND(R187*B187/10000,0)</f>
        <v>0</v>
      </c>
    </row>
    <row r="188" spans="1:19">
      <c r="A188" s="150"/>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0</v>
      </c>
      <c r="R188" s="662">
        <f t="shared" si="41"/>
        <v>0</v>
      </c>
      <c r="S188" s="316">
        <f t="shared" si="42"/>
        <v>0</v>
      </c>
    </row>
    <row r="189" spans="1:19">
      <c r="A189" s="150"/>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0</v>
      </c>
      <c r="R189" s="662">
        <f t="shared" si="41"/>
        <v>0</v>
      </c>
      <c r="S189" s="316">
        <f t="shared" si="42"/>
        <v>0</v>
      </c>
    </row>
    <row r="190" spans="1:19">
      <c r="A190" s="150"/>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0</v>
      </c>
      <c r="R190" s="662">
        <f t="shared" si="41"/>
        <v>0</v>
      </c>
      <c r="S190" s="316">
        <f t="shared" si="42"/>
        <v>0</v>
      </c>
    </row>
    <row r="191" spans="1:19">
      <c r="A191" s="150"/>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0</v>
      </c>
      <c r="R191" s="662">
        <f t="shared" si="41"/>
        <v>0</v>
      </c>
      <c r="S191" s="316">
        <f t="shared" si="42"/>
        <v>0</v>
      </c>
    </row>
    <row r="192" spans="1:19">
      <c r="A192" s="150"/>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0</v>
      </c>
      <c r="R192" s="662">
        <f t="shared" si="41"/>
        <v>0</v>
      </c>
      <c r="S192" s="316">
        <f t="shared" si="42"/>
        <v>0</v>
      </c>
    </row>
    <row r="193" spans="1:19">
      <c r="A193" s="150"/>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0</v>
      </c>
      <c r="R193" s="662">
        <f t="shared" si="41"/>
        <v>0</v>
      </c>
      <c r="S193" s="316">
        <f t="shared" si="42"/>
        <v>0</v>
      </c>
    </row>
    <row r="194" spans="1:19">
      <c r="A194" s="150"/>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0</v>
      </c>
      <c r="R194" s="662">
        <f t="shared" si="41"/>
        <v>0</v>
      </c>
      <c r="S194" s="316">
        <f t="shared" si="42"/>
        <v>0</v>
      </c>
    </row>
    <row r="195" spans="1:19">
      <c r="A195" s="150"/>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0</v>
      </c>
      <c r="R195" s="662">
        <f t="shared" si="41"/>
        <v>0</v>
      </c>
      <c r="S195" s="316">
        <f t="shared" si="42"/>
        <v>0</v>
      </c>
    </row>
    <row r="196" spans="1:19">
      <c r="A196" s="150"/>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0</v>
      </c>
      <c r="R196" s="662">
        <f t="shared" si="41"/>
        <v>0</v>
      </c>
      <c r="S196" s="316">
        <f t="shared" si="42"/>
        <v>0</v>
      </c>
    </row>
    <row r="197" spans="1:19">
      <c r="A197" s="150"/>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0</v>
      </c>
      <c r="R197" s="662">
        <f t="shared" si="41"/>
        <v>0</v>
      </c>
      <c r="S197" s="316">
        <f t="shared" si="42"/>
        <v>0</v>
      </c>
    </row>
    <row r="198" spans="1:19">
      <c r="A198" s="150"/>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0</v>
      </c>
      <c r="R198" s="662">
        <f t="shared" si="41"/>
        <v>0</v>
      </c>
      <c r="S198" s="316">
        <f t="shared" si="42"/>
        <v>0</v>
      </c>
    </row>
    <row r="199" spans="1:19">
      <c r="A199" s="150"/>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0</v>
      </c>
      <c r="R199" s="662">
        <f t="shared" si="41"/>
        <v>0</v>
      </c>
      <c r="S199" s="316">
        <f t="shared" si="42"/>
        <v>0</v>
      </c>
    </row>
    <row r="200" spans="1:19">
      <c r="A200" s="150"/>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0</v>
      </c>
      <c r="R200" s="662">
        <f t="shared" si="41"/>
        <v>0</v>
      </c>
      <c r="S200" s="316">
        <f t="shared" si="42"/>
        <v>0</v>
      </c>
    </row>
    <row r="201" spans="1:19">
      <c r="A201" s="150"/>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0</v>
      </c>
      <c r="R201" s="662">
        <f t="shared" si="41"/>
        <v>0</v>
      </c>
      <c r="S201" s="316">
        <f t="shared" si="42"/>
        <v>0</v>
      </c>
    </row>
    <row r="202" spans="1:19">
      <c r="A202" s="150"/>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0</v>
      </c>
      <c r="R202" s="662">
        <f t="shared" si="41"/>
        <v>0</v>
      </c>
      <c r="S202" s="316">
        <f t="shared" si="42"/>
        <v>0</v>
      </c>
    </row>
    <row r="203" spans="1:19">
      <c r="A203" s="150"/>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0</v>
      </c>
      <c r="R203" s="662">
        <f t="shared" si="41"/>
        <v>0</v>
      </c>
      <c r="S203" s="316">
        <f t="shared" si="42"/>
        <v>0</v>
      </c>
    </row>
    <row r="204" spans="1:19">
      <c r="A204" s="150"/>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0</v>
      </c>
      <c r="R204" s="662">
        <f t="shared" si="41"/>
        <v>0</v>
      </c>
      <c r="S204" s="316">
        <f t="shared" si="42"/>
        <v>0</v>
      </c>
    </row>
    <row r="205" spans="1:19">
      <c r="A205" s="150"/>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0</v>
      </c>
      <c r="R205" s="662">
        <f t="shared" si="41"/>
        <v>0</v>
      </c>
      <c r="S205" s="316">
        <f t="shared" si="42"/>
        <v>0</v>
      </c>
    </row>
    <row r="206" spans="1:19">
      <c r="A206" s="150"/>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0</v>
      </c>
      <c r="R206" s="662">
        <f t="shared" si="41"/>
        <v>0</v>
      </c>
      <c r="S206" s="316">
        <f t="shared" si="42"/>
        <v>0</v>
      </c>
    </row>
    <row r="207" spans="1:19">
      <c r="A207" s="150"/>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0</v>
      </c>
      <c r="R207" s="662">
        <f t="shared" si="41"/>
        <v>0</v>
      </c>
      <c r="S207" s="316">
        <f t="shared" si="42"/>
        <v>0</v>
      </c>
    </row>
    <row r="208" spans="1:19">
      <c r="A208" s="150"/>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0</v>
      </c>
      <c r="R208" s="662">
        <f t="shared" si="41"/>
        <v>0</v>
      </c>
      <c r="S208" s="316">
        <f t="shared" si="42"/>
        <v>0</v>
      </c>
    </row>
    <row r="209" spans="1:19">
      <c r="A209" s="150"/>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0</v>
      </c>
      <c r="R209" s="662">
        <f t="shared" si="41"/>
        <v>0</v>
      </c>
      <c r="S209" s="316">
        <f t="shared" si="42"/>
        <v>0</v>
      </c>
    </row>
    <row r="210" spans="1:19">
      <c r="A210" s="150"/>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0</v>
      </c>
      <c r="R210" s="662">
        <f t="shared" si="41"/>
        <v>0</v>
      </c>
      <c r="S210" s="316">
        <f t="shared" si="42"/>
        <v>0</v>
      </c>
    </row>
    <row r="211" spans="1:19">
      <c r="A211" s="150"/>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0</v>
      </c>
      <c r="R211" s="662">
        <f t="shared" si="41"/>
        <v>0</v>
      </c>
      <c r="S211" s="316">
        <f t="shared" si="42"/>
        <v>0</v>
      </c>
    </row>
    <row r="212" spans="1:19">
      <c r="A212" s="150"/>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0</v>
      </c>
      <c r="R212" s="662">
        <f t="shared" si="41"/>
        <v>0</v>
      </c>
      <c r="S212" s="316">
        <f t="shared" si="42"/>
        <v>0</v>
      </c>
    </row>
    <row r="213" spans="1:19">
      <c r="A213" s="150"/>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0</v>
      </c>
      <c r="R213" s="662">
        <f t="shared" si="41"/>
        <v>0</v>
      </c>
      <c r="S213" s="316">
        <f t="shared" si="42"/>
        <v>0</v>
      </c>
    </row>
    <row r="214" spans="1:19">
      <c r="A214" s="150"/>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0</v>
      </c>
      <c r="R214" s="662">
        <f t="shared" si="41"/>
        <v>0</v>
      </c>
      <c r="S214" s="316">
        <f t="shared" si="42"/>
        <v>0</v>
      </c>
    </row>
    <row r="215" spans="1:19">
      <c r="A215" s="150"/>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0</v>
      </c>
      <c r="R215" s="662">
        <f t="shared" si="41"/>
        <v>0</v>
      </c>
      <c r="S215" s="316">
        <f t="shared" si="42"/>
        <v>0</v>
      </c>
    </row>
    <row r="216" spans="1:19">
      <c r="A216" s="150"/>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0</v>
      </c>
      <c r="R216" s="662">
        <f t="shared" si="41"/>
        <v>0</v>
      </c>
      <c r="S216" s="316">
        <f t="shared" si="42"/>
        <v>0</v>
      </c>
    </row>
    <row r="217" spans="1:19">
      <c r="A217" s="150"/>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0</v>
      </c>
      <c r="R217" s="662">
        <f t="shared" si="41"/>
        <v>0</v>
      </c>
      <c r="S217" s="316">
        <f t="shared" si="42"/>
        <v>0</v>
      </c>
    </row>
    <row r="218" spans="1:19">
      <c r="A218" s="150"/>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0</v>
      </c>
      <c r="R218" s="662">
        <f t="shared" ref="R218:R281" si="51">IF(B218="",0,ROUND($R$24*C218*E218*G218*I218*K218*M218*O218*Q218,0))</f>
        <v>0</v>
      </c>
      <c r="S218" s="316">
        <f t="shared" si="42"/>
        <v>0</v>
      </c>
    </row>
    <row r="219" spans="1:19">
      <c r="A219" s="150"/>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0</v>
      </c>
      <c r="R219" s="662">
        <f t="shared" si="51"/>
        <v>0</v>
      </c>
      <c r="S219" s="316">
        <f t="shared" si="42"/>
        <v>0</v>
      </c>
    </row>
    <row r="220" spans="1:19">
      <c r="A220" s="150"/>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0</v>
      </c>
      <c r="R220" s="662">
        <f t="shared" si="51"/>
        <v>0</v>
      </c>
      <c r="S220" s="316">
        <f t="shared" si="42"/>
        <v>0</v>
      </c>
    </row>
    <row r="221" spans="1:19">
      <c r="A221" s="150"/>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0</v>
      </c>
      <c r="R221" s="662">
        <f t="shared" si="51"/>
        <v>0</v>
      </c>
      <c r="S221" s="316">
        <f t="shared" si="42"/>
        <v>0</v>
      </c>
    </row>
    <row r="222" spans="1:19">
      <c r="A222" s="150"/>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0</v>
      </c>
      <c r="R222" s="662">
        <f t="shared" si="51"/>
        <v>0</v>
      </c>
      <c r="S222" s="316">
        <f t="shared" si="42"/>
        <v>0</v>
      </c>
    </row>
    <row r="223" spans="1:19">
      <c r="A223" s="150"/>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0</v>
      </c>
      <c r="R223" s="662">
        <f t="shared" si="51"/>
        <v>0</v>
      </c>
      <c r="S223" s="316">
        <f t="shared" ref="S223:S286" si="52">ROUND(R223*B223/10000,0)</f>
        <v>0</v>
      </c>
    </row>
    <row r="224" spans="1:19">
      <c r="A224" s="150"/>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0</v>
      </c>
      <c r="R224" s="662">
        <f t="shared" si="51"/>
        <v>0</v>
      </c>
      <c r="S224" s="316">
        <f t="shared" si="52"/>
        <v>0</v>
      </c>
    </row>
    <row r="225" spans="1:19">
      <c r="A225" s="150"/>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0</v>
      </c>
      <c r="R225" s="662">
        <f t="shared" si="51"/>
        <v>0</v>
      </c>
      <c r="S225" s="316">
        <f t="shared" si="52"/>
        <v>0</v>
      </c>
    </row>
    <row r="226" spans="1:19">
      <c r="A226" s="150"/>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0</v>
      </c>
      <c r="R226" s="662">
        <f t="shared" si="51"/>
        <v>0</v>
      </c>
      <c r="S226" s="316">
        <f t="shared" si="52"/>
        <v>0</v>
      </c>
    </row>
    <row r="227" spans="1:19">
      <c r="A227" s="150"/>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0</v>
      </c>
      <c r="R227" s="662">
        <f t="shared" si="51"/>
        <v>0</v>
      </c>
      <c r="S227" s="316">
        <f t="shared" si="52"/>
        <v>0</v>
      </c>
    </row>
    <row r="228" spans="1:19">
      <c r="A228" s="150"/>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0</v>
      </c>
      <c r="R228" s="662">
        <f t="shared" si="51"/>
        <v>0</v>
      </c>
      <c r="S228" s="316">
        <f t="shared" si="52"/>
        <v>0</v>
      </c>
    </row>
    <row r="229" spans="1:19">
      <c r="A229" s="150"/>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0</v>
      </c>
      <c r="R229" s="662">
        <f t="shared" si="51"/>
        <v>0</v>
      </c>
      <c r="S229" s="316">
        <f t="shared" si="52"/>
        <v>0</v>
      </c>
    </row>
    <row r="230" spans="1:19">
      <c r="A230" s="150"/>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0</v>
      </c>
      <c r="R230" s="662">
        <f t="shared" si="51"/>
        <v>0</v>
      </c>
      <c r="S230" s="316">
        <f t="shared" si="52"/>
        <v>0</v>
      </c>
    </row>
    <row r="231" spans="1:19">
      <c r="A231" s="150"/>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0</v>
      </c>
      <c r="R231" s="662">
        <f t="shared" si="51"/>
        <v>0</v>
      </c>
      <c r="S231" s="316">
        <f t="shared" si="52"/>
        <v>0</v>
      </c>
    </row>
    <row r="232" spans="1:19">
      <c r="A232" s="150"/>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0</v>
      </c>
      <c r="R232" s="662">
        <f t="shared" si="51"/>
        <v>0</v>
      </c>
      <c r="S232" s="316">
        <f t="shared" si="52"/>
        <v>0</v>
      </c>
    </row>
    <row r="233" spans="1:19">
      <c r="A233" s="150"/>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0</v>
      </c>
      <c r="R233" s="662">
        <f t="shared" si="51"/>
        <v>0</v>
      </c>
      <c r="S233" s="316">
        <f t="shared" si="52"/>
        <v>0</v>
      </c>
    </row>
    <row r="234" spans="1:19">
      <c r="A234" s="150"/>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0</v>
      </c>
      <c r="R234" s="662">
        <f t="shared" si="51"/>
        <v>0</v>
      </c>
      <c r="S234" s="316">
        <f t="shared" si="52"/>
        <v>0</v>
      </c>
    </row>
    <row r="235" spans="1:19">
      <c r="A235" s="150"/>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0</v>
      </c>
      <c r="R235" s="662">
        <f t="shared" si="51"/>
        <v>0</v>
      </c>
      <c r="S235" s="316">
        <f t="shared" si="52"/>
        <v>0</v>
      </c>
    </row>
    <row r="236" spans="1:19">
      <c r="A236" s="150"/>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0</v>
      </c>
      <c r="R236" s="662">
        <f t="shared" si="51"/>
        <v>0</v>
      </c>
      <c r="S236" s="316">
        <f t="shared" si="52"/>
        <v>0</v>
      </c>
    </row>
    <row r="237" spans="1:19">
      <c r="A237" s="150"/>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0</v>
      </c>
      <c r="R237" s="662">
        <f t="shared" si="51"/>
        <v>0</v>
      </c>
      <c r="S237" s="316">
        <f t="shared" si="52"/>
        <v>0</v>
      </c>
    </row>
    <row r="238" spans="1:19">
      <c r="A238" s="150"/>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0</v>
      </c>
      <c r="R238" s="662">
        <f t="shared" si="51"/>
        <v>0</v>
      </c>
      <c r="S238" s="316">
        <f t="shared" si="52"/>
        <v>0</v>
      </c>
    </row>
    <row r="239" spans="1:19">
      <c r="A239" s="150"/>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0</v>
      </c>
      <c r="R239" s="662">
        <f t="shared" si="51"/>
        <v>0</v>
      </c>
      <c r="S239" s="316">
        <f t="shared" si="52"/>
        <v>0</v>
      </c>
    </row>
    <row r="240" spans="1:19">
      <c r="A240" s="150"/>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0</v>
      </c>
      <c r="R240" s="662">
        <f t="shared" si="51"/>
        <v>0</v>
      </c>
      <c r="S240" s="316">
        <f t="shared" si="52"/>
        <v>0</v>
      </c>
    </row>
    <row r="241" spans="1:19">
      <c r="A241" s="150"/>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0</v>
      </c>
      <c r="R241" s="662">
        <f t="shared" si="51"/>
        <v>0</v>
      </c>
      <c r="S241" s="316">
        <f t="shared" si="52"/>
        <v>0</v>
      </c>
    </row>
    <row r="242" spans="1:19">
      <c r="A242" s="150"/>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0</v>
      </c>
      <c r="R242" s="662">
        <f t="shared" si="51"/>
        <v>0</v>
      </c>
      <c r="S242" s="316">
        <f t="shared" si="52"/>
        <v>0</v>
      </c>
    </row>
    <row r="243" spans="1:19">
      <c r="A243" s="150"/>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0</v>
      </c>
      <c r="R243" s="662">
        <f t="shared" si="51"/>
        <v>0</v>
      </c>
      <c r="S243" s="316">
        <f t="shared" si="52"/>
        <v>0</v>
      </c>
    </row>
    <row r="244" spans="1:19">
      <c r="A244" s="150"/>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0</v>
      </c>
      <c r="R244" s="662">
        <f t="shared" si="51"/>
        <v>0</v>
      </c>
      <c r="S244" s="316">
        <f t="shared" si="52"/>
        <v>0</v>
      </c>
    </row>
    <row r="245" spans="1:19">
      <c r="A245" s="150"/>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0</v>
      </c>
      <c r="R245" s="662">
        <f t="shared" si="51"/>
        <v>0</v>
      </c>
      <c r="S245" s="316">
        <f t="shared" si="52"/>
        <v>0</v>
      </c>
    </row>
    <row r="246" spans="1:19">
      <c r="A246" s="150"/>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0</v>
      </c>
      <c r="R246" s="662">
        <f t="shared" si="51"/>
        <v>0</v>
      </c>
      <c r="S246" s="316">
        <f t="shared" si="52"/>
        <v>0</v>
      </c>
    </row>
    <row r="247" spans="1:19">
      <c r="A247" s="150"/>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0</v>
      </c>
      <c r="R247" s="662">
        <f t="shared" si="51"/>
        <v>0</v>
      </c>
      <c r="S247" s="316">
        <f t="shared" si="52"/>
        <v>0</v>
      </c>
    </row>
    <row r="248" spans="1:19">
      <c r="A248" s="150"/>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0</v>
      </c>
      <c r="R248" s="662">
        <f t="shared" si="51"/>
        <v>0</v>
      </c>
      <c r="S248" s="316">
        <f t="shared" si="52"/>
        <v>0</v>
      </c>
    </row>
    <row r="249" spans="1:19">
      <c r="A249" s="150"/>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0</v>
      </c>
      <c r="R249" s="662">
        <f t="shared" si="51"/>
        <v>0</v>
      </c>
      <c r="S249" s="316">
        <f t="shared" si="52"/>
        <v>0</v>
      </c>
    </row>
    <row r="250" spans="1:19">
      <c r="A250" s="150"/>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0</v>
      </c>
      <c r="R250" s="662">
        <f t="shared" si="51"/>
        <v>0</v>
      </c>
      <c r="S250" s="316">
        <f t="shared" si="52"/>
        <v>0</v>
      </c>
    </row>
    <row r="251" spans="1:19">
      <c r="A251" s="150"/>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0</v>
      </c>
      <c r="R251" s="662">
        <f t="shared" si="51"/>
        <v>0</v>
      </c>
      <c r="S251" s="316">
        <f t="shared" si="52"/>
        <v>0</v>
      </c>
    </row>
    <row r="252" spans="1:19">
      <c r="A252" s="150"/>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0</v>
      </c>
      <c r="R252" s="662">
        <f t="shared" si="51"/>
        <v>0</v>
      </c>
      <c r="S252" s="316">
        <f t="shared" si="52"/>
        <v>0</v>
      </c>
    </row>
    <row r="253" spans="1:19">
      <c r="A253" s="150"/>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0</v>
      </c>
      <c r="R253" s="662">
        <f t="shared" si="51"/>
        <v>0</v>
      </c>
      <c r="S253" s="316">
        <f t="shared" si="52"/>
        <v>0</v>
      </c>
    </row>
    <row r="254" spans="1:19">
      <c r="A254" s="150"/>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0</v>
      </c>
      <c r="R254" s="662">
        <f t="shared" si="51"/>
        <v>0</v>
      </c>
      <c r="S254" s="316">
        <f t="shared" si="52"/>
        <v>0</v>
      </c>
    </row>
    <row r="255" spans="1:19">
      <c r="A255" s="150"/>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0</v>
      </c>
      <c r="R255" s="662">
        <f t="shared" si="51"/>
        <v>0</v>
      </c>
      <c r="S255" s="316">
        <f t="shared" si="52"/>
        <v>0</v>
      </c>
    </row>
    <row r="256" spans="1:19">
      <c r="A256" s="150"/>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0</v>
      </c>
      <c r="R256" s="662">
        <f t="shared" si="51"/>
        <v>0</v>
      </c>
      <c r="S256" s="316">
        <f t="shared" si="52"/>
        <v>0</v>
      </c>
    </row>
    <row r="257" spans="1:19">
      <c r="A257" s="150"/>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0</v>
      </c>
      <c r="R257" s="662">
        <f t="shared" si="51"/>
        <v>0</v>
      </c>
      <c r="S257" s="316">
        <f t="shared" si="52"/>
        <v>0</v>
      </c>
    </row>
    <row r="258" spans="1:19">
      <c r="A258" s="150"/>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0</v>
      </c>
      <c r="R258" s="662">
        <f t="shared" si="51"/>
        <v>0</v>
      </c>
      <c r="S258" s="316">
        <f t="shared" si="52"/>
        <v>0</v>
      </c>
    </row>
    <row r="259" spans="1:19">
      <c r="A259" s="150"/>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0</v>
      </c>
      <c r="R259" s="662">
        <f t="shared" si="51"/>
        <v>0</v>
      </c>
      <c r="S259" s="316">
        <f t="shared" si="52"/>
        <v>0</v>
      </c>
    </row>
    <row r="260" spans="1:19">
      <c r="A260" s="150"/>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0</v>
      </c>
      <c r="R260" s="662">
        <f t="shared" si="51"/>
        <v>0</v>
      </c>
      <c r="S260" s="316">
        <f t="shared" si="52"/>
        <v>0</v>
      </c>
    </row>
    <row r="261" spans="1:19">
      <c r="A261" s="150"/>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0</v>
      </c>
      <c r="R261" s="662">
        <f t="shared" si="51"/>
        <v>0</v>
      </c>
      <c r="S261" s="316">
        <f t="shared" si="52"/>
        <v>0</v>
      </c>
    </row>
    <row r="262" spans="1:19">
      <c r="A262" s="150"/>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0</v>
      </c>
      <c r="R262" s="662">
        <f t="shared" si="51"/>
        <v>0</v>
      </c>
      <c r="S262" s="316">
        <f t="shared" si="52"/>
        <v>0</v>
      </c>
    </row>
    <row r="263" spans="1:19">
      <c r="A263" s="150"/>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0</v>
      </c>
      <c r="R263" s="662">
        <f t="shared" si="51"/>
        <v>0</v>
      </c>
      <c r="S263" s="316">
        <f t="shared" si="52"/>
        <v>0</v>
      </c>
    </row>
    <row r="264" spans="1:19">
      <c r="A264" s="150"/>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0</v>
      </c>
      <c r="R264" s="662">
        <f t="shared" si="51"/>
        <v>0</v>
      </c>
      <c r="S264" s="316">
        <f t="shared" si="52"/>
        <v>0</v>
      </c>
    </row>
    <row r="265" spans="1:19">
      <c r="A265" s="150"/>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0</v>
      </c>
      <c r="R265" s="662">
        <f t="shared" si="51"/>
        <v>0</v>
      </c>
      <c r="S265" s="316">
        <f t="shared" si="52"/>
        <v>0</v>
      </c>
    </row>
    <row r="266" spans="1:19">
      <c r="A266" s="150"/>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0</v>
      </c>
      <c r="R266" s="662">
        <f t="shared" si="51"/>
        <v>0</v>
      </c>
      <c r="S266" s="316">
        <f t="shared" si="52"/>
        <v>0</v>
      </c>
    </row>
    <row r="267" spans="1:19">
      <c r="A267" s="150"/>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0</v>
      </c>
      <c r="R267" s="662">
        <f t="shared" si="51"/>
        <v>0</v>
      </c>
      <c r="S267" s="316">
        <f t="shared" si="52"/>
        <v>0</v>
      </c>
    </row>
    <row r="268" spans="1:19">
      <c r="A268" s="150"/>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0</v>
      </c>
      <c r="R268" s="662">
        <f t="shared" si="51"/>
        <v>0</v>
      </c>
      <c r="S268" s="316">
        <f t="shared" si="52"/>
        <v>0</v>
      </c>
    </row>
    <row r="269" spans="1:19">
      <c r="A269" s="150"/>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0</v>
      </c>
      <c r="R269" s="662">
        <f t="shared" si="51"/>
        <v>0</v>
      </c>
      <c r="S269" s="316">
        <f t="shared" si="52"/>
        <v>0</v>
      </c>
    </row>
    <row r="270" spans="1:19">
      <c r="A270" s="150"/>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0</v>
      </c>
      <c r="R270" s="662">
        <f t="shared" si="51"/>
        <v>0</v>
      </c>
      <c r="S270" s="316">
        <f t="shared" si="52"/>
        <v>0</v>
      </c>
    </row>
    <row r="271" spans="1:19">
      <c r="A271" s="150"/>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0</v>
      </c>
      <c r="R271" s="662">
        <f t="shared" si="51"/>
        <v>0</v>
      </c>
      <c r="S271" s="316">
        <f t="shared" si="52"/>
        <v>0</v>
      </c>
    </row>
    <row r="272" spans="1:19">
      <c r="A272" s="150"/>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0</v>
      </c>
      <c r="R272" s="662">
        <f t="shared" si="51"/>
        <v>0</v>
      </c>
      <c r="S272" s="316">
        <f t="shared" si="52"/>
        <v>0</v>
      </c>
    </row>
    <row r="273" spans="1:19">
      <c r="A273" s="150"/>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0</v>
      </c>
      <c r="R273" s="662">
        <f t="shared" si="51"/>
        <v>0</v>
      </c>
      <c r="S273" s="316">
        <f t="shared" si="52"/>
        <v>0</v>
      </c>
    </row>
    <row r="274" spans="1:19">
      <c r="A274" s="150"/>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0</v>
      </c>
      <c r="R274" s="662">
        <f t="shared" si="51"/>
        <v>0</v>
      </c>
      <c r="S274" s="316">
        <f t="shared" si="52"/>
        <v>0</v>
      </c>
    </row>
    <row r="275" spans="1:19">
      <c r="A275" s="150"/>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0</v>
      </c>
      <c r="R275" s="662">
        <f t="shared" si="51"/>
        <v>0</v>
      </c>
      <c r="S275" s="316">
        <f t="shared" si="52"/>
        <v>0</v>
      </c>
    </row>
    <row r="276" spans="1:19">
      <c r="A276" s="150"/>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0</v>
      </c>
      <c r="R276" s="662">
        <f t="shared" si="51"/>
        <v>0</v>
      </c>
      <c r="S276" s="316">
        <f t="shared" si="52"/>
        <v>0</v>
      </c>
    </row>
    <row r="277" spans="1:19">
      <c r="A277" s="150"/>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0</v>
      </c>
      <c r="R277" s="662">
        <f t="shared" si="51"/>
        <v>0</v>
      </c>
      <c r="S277" s="316">
        <f t="shared" si="52"/>
        <v>0</v>
      </c>
    </row>
    <row r="278" spans="1:19">
      <c r="A278" s="150"/>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0</v>
      </c>
      <c r="R278" s="662">
        <f t="shared" si="51"/>
        <v>0</v>
      </c>
      <c r="S278" s="316">
        <f t="shared" si="52"/>
        <v>0</v>
      </c>
    </row>
    <row r="279" spans="1:19">
      <c r="A279" s="150"/>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0</v>
      </c>
      <c r="R279" s="662">
        <f t="shared" si="51"/>
        <v>0</v>
      </c>
      <c r="S279" s="316">
        <f t="shared" si="52"/>
        <v>0</v>
      </c>
    </row>
    <row r="280" spans="1:19">
      <c r="A280" s="150"/>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0</v>
      </c>
      <c r="R280" s="662">
        <f t="shared" si="51"/>
        <v>0</v>
      </c>
      <c r="S280" s="316">
        <f t="shared" si="52"/>
        <v>0</v>
      </c>
    </row>
    <row r="281" spans="1:19">
      <c r="A281" s="150"/>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0</v>
      </c>
      <c r="R281" s="662">
        <f t="shared" si="51"/>
        <v>0</v>
      </c>
      <c r="S281" s="316">
        <f t="shared" si="52"/>
        <v>0</v>
      </c>
    </row>
    <row r="282" spans="1:19">
      <c r="A282" s="150"/>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0</v>
      </c>
      <c r="R282" s="662">
        <f t="shared" ref="R282:R345" si="61">IF(B282="",0,ROUND($R$24*C282*E282*G282*I282*K282*M282*O282*Q282,0))</f>
        <v>0</v>
      </c>
      <c r="S282" s="316">
        <f t="shared" si="52"/>
        <v>0</v>
      </c>
    </row>
    <row r="283" spans="1:19">
      <c r="A283" s="150"/>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0</v>
      </c>
      <c r="R283" s="662">
        <f t="shared" si="61"/>
        <v>0</v>
      </c>
      <c r="S283" s="316">
        <f t="shared" si="52"/>
        <v>0</v>
      </c>
    </row>
    <row r="284" spans="1:19">
      <c r="A284" s="150"/>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0</v>
      </c>
      <c r="R284" s="662">
        <f t="shared" si="61"/>
        <v>0</v>
      </c>
      <c r="S284" s="316">
        <f t="shared" si="52"/>
        <v>0</v>
      </c>
    </row>
    <row r="285" spans="1:19">
      <c r="A285" s="150"/>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0</v>
      </c>
      <c r="R285" s="662">
        <f t="shared" si="61"/>
        <v>0</v>
      </c>
      <c r="S285" s="316">
        <f t="shared" si="52"/>
        <v>0</v>
      </c>
    </row>
    <row r="286" spans="1:19">
      <c r="A286" s="150"/>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0</v>
      </c>
      <c r="R286" s="662">
        <f t="shared" si="61"/>
        <v>0</v>
      </c>
      <c r="S286" s="316">
        <f t="shared" si="52"/>
        <v>0</v>
      </c>
    </row>
    <row r="287" spans="1:19">
      <c r="A287" s="150"/>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0</v>
      </c>
      <c r="R287" s="662">
        <f t="shared" si="61"/>
        <v>0</v>
      </c>
      <c r="S287" s="316">
        <f t="shared" ref="S287:S320" si="62">ROUND(R287*B287/10000,0)</f>
        <v>0</v>
      </c>
    </row>
    <row r="288" spans="1:19">
      <c r="A288" s="150"/>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0</v>
      </c>
      <c r="R288" s="662">
        <f t="shared" si="61"/>
        <v>0</v>
      </c>
      <c r="S288" s="316">
        <f t="shared" si="62"/>
        <v>0</v>
      </c>
    </row>
    <row r="289" spans="1:19">
      <c r="A289" s="150"/>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0</v>
      </c>
      <c r="R289" s="662">
        <f t="shared" si="61"/>
        <v>0</v>
      </c>
      <c r="S289" s="316">
        <f t="shared" si="62"/>
        <v>0</v>
      </c>
    </row>
    <row r="290" spans="1:19">
      <c r="A290" s="150"/>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0</v>
      </c>
      <c r="R290" s="662">
        <f t="shared" si="61"/>
        <v>0</v>
      </c>
      <c r="S290" s="316">
        <f t="shared" si="62"/>
        <v>0</v>
      </c>
    </row>
    <row r="291" spans="1:19">
      <c r="A291" s="150"/>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0</v>
      </c>
      <c r="R291" s="662">
        <f t="shared" si="61"/>
        <v>0</v>
      </c>
      <c r="S291" s="316">
        <f t="shared" si="62"/>
        <v>0</v>
      </c>
    </row>
    <row r="292" spans="1:19">
      <c r="A292" s="150"/>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0</v>
      </c>
      <c r="R292" s="662">
        <f t="shared" si="61"/>
        <v>0</v>
      </c>
      <c r="S292" s="316">
        <f t="shared" si="62"/>
        <v>0</v>
      </c>
    </row>
    <row r="293" spans="1:19">
      <c r="A293" s="150"/>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0</v>
      </c>
      <c r="R293" s="662">
        <f t="shared" si="61"/>
        <v>0</v>
      </c>
      <c r="S293" s="316">
        <f t="shared" si="62"/>
        <v>0</v>
      </c>
    </row>
    <row r="294" spans="1:19">
      <c r="A294" s="150"/>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0</v>
      </c>
      <c r="R294" s="662">
        <f t="shared" si="61"/>
        <v>0</v>
      </c>
      <c r="S294" s="316">
        <f t="shared" si="62"/>
        <v>0</v>
      </c>
    </row>
    <row r="295" spans="1:19">
      <c r="A295" s="150"/>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0</v>
      </c>
      <c r="R295" s="662">
        <f t="shared" si="61"/>
        <v>0</v>
      </c>
      <c r="S295" s="316">
        <f t="shared" si="62"/>
        <v>0</v>
      </c>
    </row>
    <row r="296" spans="1:19">
      <c r="A296" s="150"/>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0</v>
      </c>
      <c r="R296" s="662">
        <f t="shared" si="61"/>
        <v>0</v>
      </c>
      <c r="S296" s="316">
        <f t="shared" si="62"/>
        <v>0</v>
      </c>
    </row>
    <row r="297" spans="1:19">
      <c r="A297" s="150"/>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0</v>
      </c>
      <c r="R297" s="662">
        <f t="shared" si="61"/>
        <v>0</v>
      </c>
      <c r="S297" s="316">
        <f t="shared" si="62"/>
        <v>0</v>
      </c>
    </row>
    <row r="298" spans="1:19">
      <c r="A298" s="150"/>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0</v>
      </c>
      <c r="R298" s="662">
        <f t="shared" si="61"/>
        <v>0</v>
      </c>
      <c r="S298" s="316">
        <f t="shared" si="62"/>
        <v>0</v>
      </c>
    </row>
    <row r="299" spans="1:19">
      <c r="A299" s="150"/>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0</v>
      </c>
      <c r="R299" s="662">
        <f t="shared" si="61"/>
        <v>0</v>
      </c>
      <c r="S299" s="316">
        <f t="shared" si="62"/>
        <v>0</v>
      </c>
    </row>
    <row r="300" spans="1:19">
      <c r="A300" s="150"/>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0</v>
      </c>
      <c r="R300" s="662">
        <f t="shared" si="61"/>
        <v>0</v>
      </c>
      <c r="S300" s="316">
        <f t="shared" si="62"/>
        <v>0</v>
      </c>
    </row>
    <row r="301" spans="1:19">
      <c r="A301" s="150"/>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0</v>
      </c>
      <c r="R301" s="662">
        <f t="shared" si="61"/>
        <v>0</v>
      </c>
      <c r="S301" s="316">
        <f t="shared" si="62"/>
        <v>0</v>
      </c>
    </row>
    <row r="302" spans="1:19">
      <c r="A302" s="150"/>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0</v>
      </c>
      <c r="R302" s="662">
        <f t="shared" si="61"/>
        <v>0</v>
      </c>
      <c r="S302" s="316">
        <f t="shared" si="62"/>
        <v>0</v>
      </c>
    </row>
    <row r="303" spans="1:19">
      <c r="A303" s="150"/>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0</v>
      </c>
      <c r="R303" s="662">
        <f t="shared" si="61"/>
        <v>0</v>
      </c>
      <c r="S303" s="316">
        <f t="shared" si="62"/>
        <v>0</v>
      </c>
    </row>
    <row r="304" spans="1:19">
      <c r="A304" s="150"/>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0</v>
      </c>
      <c r="R304" s="662">
        <f t="shared" si="61"/>
        <v>0</v>
      </c>
      <c r="S304" s="316">
        <f t="shared" si="62"/>
        <v>0</v>
      </c>
    </row>
    <row r="305" spans="1:19">
      <c r="A305" s="150"/>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0</v>
      </c>
      <c r="R305" s="662">
        <f t="shared" si="61"/>
        <v>0</v>
      </c>
      <c r="S305" s="316">
        <f t="shared" si="62"/>
        <v>0</v>
      </c>
    </row>
    <row r="306" spans="1:19">
      <c r="A306" s="150"/>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0</v>
      </c>
      <c r="R306" s="662">
        <f t="shared" si="61"/>
        <v>0</v>
      </c>
      <c r="S306" s="316">
        <f t="shared" si="62"/>
        <v>0</v>
      </c>
    </row>
    <row r="307" spans="1:19">
      <c r="A307" s="150"/>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0</v>
      </c>
      <c r="R307" s="662">
        <f t="shared" si="61"/>
        <v>0</v>
      </c>
      <c r="S307" s="316">
        <f t="shared" si="62"/>
        <v>0</v>
      </c>
    </row>
    <row r="308" spans="1:19">
      <c r="A308" s="150"/>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0</v>
      </c>
      <c r="R308" s="662">
        <f t="shared" si="61"/>
        <v>0</v>
      </c>
      <c r="S308" s="316">
        <f t="shared" si="62"/>
        <v>0</v>
      </c>
    </row>
    <row r="309" spans="1:19">
      <c r="A309" s="150"/>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0</v>
      </c>
      <c r="R309" s="662">
        <f t="shared" si="61"/>
        <v>0</v>
      </c>
      <c r="S309" s="316">
        <f t="shared" si="62"/>
        <v>0</v>
      </c>
    </row>
    <row r="310" spans="1:19">
      <c r="A310" s="150"/>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0</v>
      </c>
      <c r="R310" s="662">
        <f t="shared" si="61"/>
        <v>0</v>
      </c>
      <c r="S310" s="316">
        <f t="shared" si="62"/>
        <v>0</v>
      </c>
    </row>
    <row r="311" spans="1:19">
      <c r="A311" s="150"/>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0</v>
      </c>
      <c r="R311" s="662">
        <f t="shared" si="61"/>
        <v>0</v>
      </c>
      <c r="S311" s="316">
        <f t="shared" si="62"/>
        <v>0</v>
      </c>
    </row>
    <row r="312" spans="1:19">
      <c r="A312" s="150"/>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0</v>
      </c>
      <c r="R312" s="662">
        <f t="shared" si="61"/>
        <v>0</v>
      </c>
      <c r="S312" s="316">
        <f t="shared" si="62"/>
        <v>0</v>
      </c>
    </row>
    <row r="313" spans="1:19">
      <c r="A313" s="150"/>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0</v>
      </c>
      <c r="R313" s="662">
        <f t="shared" si="61"/>
        <v>0</v>
      </c>
      <c r="S313" s="316">
        <f t="shared" si="62"/>
        <v>0</v>
      </c>
    </row>
    <row r="314" spans="1:19">
      <c r="A314" s="150"/>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0</v>
      </c>
      <c r="R314" s="662">
        <f t="shared" si="61"/>
        <v>0</v>
      </c>
      <c r="S314" s="316">
        <f t="shared" si="62"/>
        <v>0</v>
      </c>
    </row>
    <row r="315" spans="1:19">
      <c r="A315" s="150"/>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0</v>
      </c>
      <c r="R315" s="662">
        <f t="shared" si="61"/>
        <v>0</v>
      </c>
      <c r="S315" s="316">
        <f t="shared" si="62"/>
        <v>0</v>
      </c>
    </row>
    <row r="316" spans="1:19">
      <c r="A316" s="150"/>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0</v>
      </c>
      <c r="R316" s="662">
        <f t="shared" si="61"/>
        <v>0</v>
      </c>
      <c r="S316" s="316">
        <f t="shared" si="62"/>
        <v>0</v>
      </c>
    </row>
    <row r="317" spans="1:19">
      <c r="A317" s="150"/>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0</v>
      </c>
      <c r="R317" s="662">
        <f t="shared" si="61"/>
        <v>0</v>
      </c>
      <c r="S317" s="316">
        <f t="shared" si="62"/>
        <v>0</v>
      </c>
    </row>
    <row r="318" spans="1:19">
      <c r="A318" s="150"/>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0</v>
      </c>
      <c r="R318" s="662">
        <f t="shared" si="61"/>
        <v>0</v>
      </c>
      <c r="S318" s="316">
        <f t="shared" si="62"/>
        <v>0</v>
      </c>
    </row>
    <row r="319" spans="1:19">
      <c r="A319" s="150"/>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0</v>
      </c>
      <c r="R319" s="662">
        <f t="shared" si="61"/>
        <v>0</v>
      </c>
      <c r="S319" s="316">
        <f t="shared" si="62"/>
        <v>0</v>
      </c>
    </row>
    <row r="320" spans="1:19">
      <c r="A320" s="150"/>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0</v>
      </c>
      <c r="R320" s="662">
        <f t="shared" si="61"/>
        <v>0</v>
      </c>
      <c r="S320" s="316">
        <f t="shared" si="62"/>
        <v>0</v>
      </c>
    </row>
    <row r="321" spans="1:19">
      <c r="A321" s="150"/>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0</v>
      </c>
      <c r="R321" s="662">
        <f t="shared" si="61"/>
        <v>0</v>
      </c>
      <c r="S321" s="316">
        <f t="shared" ref="S321:S384" si="63">ROUND(R321*B321/10000,0)</f>
        <v>0</v>
      </c>
    </row>
    <row r="322" spans="1:19">
      <c r="A322" s="150"/>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0</v>
      </c>
      <c r="R322" s="662">
        <f t="shared" si="61"/>
        <v>0</v>
      </c>
      <c r="S322" s="316">
        <f t="shared" si="63"/>
        <v>0</v>
      </c>
    </row>
    <row r="323" spans="1:19">
      <c r="A323" s="150"/>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0</v>
      </c>
      <c r="R323" s="662">
        <f t="shared" si="61"/>
        <v>0</v>
      </c>
      <c r="S323" s="316">
        <f t="shared" si="63"/>
        <v>0</v>
      </c>
    </row>
    <row r="324" spans="1:19">
      <c r="A324" s="150"/>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0</v>
      </c>
      <c r="R324" s="662">
        <f t="shared" si="61"/>
        <v>0</v>
      </c>
      <c r="S324" s="316">
        <f t="shared" si="63"/>
        <v>0</v>
      </c>
    </row>
    <row r="325" spans="1:19">
      <c r="A325" s="150"/>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0</v>
      </c>
      <c r="R325" s="662">
        <f t="shared" si="61"/>
        <v>0</v>
      </c>
      <c r="S325" s="316">
        <f t="shared" si="63"/>
        <v>0</v>
      </c>
    </row>
    <row r="326" spans="1:19">
      <c r="A326" s="150"/>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0</v>
      </c>
      <c r="R326" s="662">
        <f t="shared" si="61"/>
        <v>0</v>
      </c>
      <c r="S326" s="316">
        <f t="shared" si="63"/>
        <v>0</v>
      </c>
    </row>
    <row r="327" spans="1:19">
      <c r="A327" s="150"/>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0</v>
      </c>
      <c r="R327" s="662">
        <f t="shared" si="61"/>
        <v>0</v>
      </c>
      <c r="S327" s="316">
        <f t="shared" si="63"/>
        <v>0</v>
      </c>
    </row>
    <row r="328" spans="1:19">
      <c r="A328" s="150"/>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0</v>
      </c>
      <c r="R328" s="662">
        <f t="shared" si="61"/>
        <v>0</v>
      </c>
      <c r="S328" s="316">
        <f t="shared" si="63"/>
        <v>0</v>
      </c>
    </row>
    <row r="329" spans="1:19">
      <c r="A329" s="150"/>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0</v>
      </c>
      <c r="R329" s="662">
        <f t="shared" si="61"/>
        <v>0</v>
      </c>
      <c r="S329" s="316">
        <f t="shared" si="63"/>
        <v>0</v>
      </c>
    </row>
    <row r="330" spans="1:19">
      <c r="A330" s="150"/>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0</v>
      </c>
      <c r="R330" s="662">
        <f t="shared" si="61"/>
        <v>0</v>
      </c>
      <c r="S330" s="316">
        <f t="shared" si="63"/>
        <v>0</v>
      </c>
    </row>
    <row r="331" spans="1:19">
      <c r="A331" s="150"/>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0</v>
      </c>
      <c r="R331" s="662">
        <f t="shared" si="61"/>
        <v>0</v>
      </c>
      <c r="S331" s="316">
        <f t="shared" si="63"/>
        <v>0</v>
      </c>
    </row>
    <row r="332" spans="1:19">
      <c r="A332" s="150"/>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0</v>
      </c>
      <c r="R332" s="662">
        <f t="shared" si="61"/>
        <v>0</v>
      </c>
      <c r="S332" s="316">
        <f t="shared" si="63"/>
        <v>0</v>
      </c>
    </row>
    <row r="333" spans="1:19">
      <c r="A333" s="150"/>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0</v>
      </c>
      <c r="R333" s="662">
        <f t="shared" si="61"/>
        <v>0</v>
      </c>
      <c r="S333" s="316">
        <f t="shared" si="63"/>
        <v>0</v>
      </c>
    </row>
    <row r="334" spans="1:19">
      <c r="A334" s="150"/>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0</v>
      </c>
      <c r="R334" s="662">
        <f t="shared" si="61"/>
        <v>0</v>
      </c>
      <c r="S334" s="316">
        <f t="shared" si="63"/>
        <v>0</v>
      </c>
    </row>
    <row r="335" spans="1:19">
      <c r="A335" s="150"/>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0</v>
      </c>
      <c r="R335" s="662">
        <f t="shared" si="61"/>
        <v>0</v>
      </c>
      <c r="S335" s="316">
        <f t="shared" si="63"/>
        <v>0</v>
      </c>
    </row>
    <row r="336" spans="1:19">
      <c r="A336" s="150"/>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0</v>
      </c>
      <c r="R336" s="662">
        <f t="shared" si="61"/>
        <v>0</v>
      </c>
      <c r="S336" s="316">
        <f t="shared" si="63"/>
        <v>0</v>
      </c>
    </row>
    <row r="337" spans="1:19">
      <c r="A337" s="150"/>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0</v>
      </c>
      <c r="R337" s="662">
        <f t="shared" si="61"/>
        <v>0</v>
      </c>
      <c r="S337" s="316">
        <f t="shared" si="63"/>
        <v>0</v>
      </c>
    </row>
    <row r="338" spans="1:19">
      <c r="A338" s="150"/>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0</v>
      </c>
      <c r="R338" s="662">
        <f t="shared" si="61"/>
        <v>0</v>
      </c>
      <c r="S338" s="316">
        <f t="shared" si="63"/>
        <v>0</v>
      </c>
    </row>
    <row r="339" spans="1:19">
      <c r="A339" s="150"/>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0</v>
      </c>
      <c r="R339" s="662">
        <f t="shared" si="61"/>
        <v>0</v>
      </c>
      <c r="S339" s="316">
        <f t="shared" si="63"/>
        <v>0</v>
      </c>
    </row>
    <row r="340" spans="1:19">
      <c r="A340" s="150"/>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0</v>
      </c>
      <c r="R340" s="662">
        <f t="shared" si="61"/>
        <v>0</v>
      </c>
      <c r="S340" s="316">
        <f t="shared" si="63"/>
        <v>0</v>
      </c>
    </row>
    <row r="341" spans="1:19">
      <c r="A341" s="150"/>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0</v>
      </c>
      <c r="R341" s="662">
        <f t="shared" si="61"/>
        <v>0</v>
      </c>
      <c r="S341" s="316">
        <f t="shared" si="63"/>
        <v>0</v>
      </c>
    </row>
    <row r="342" spans="1:19">
      <c r="A342" s="150"/>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0</v>
      </c>
      <c r="R342" s="662">
        <f t="shared" si="61"/>
        <v>0</v>
      </c>
      <c r="S342" s="316">
        <f t="shared" si="63"/>
        <v>0</v>
      </c>
    </row>
    <row r="343" spans="1:19">
      <c r="A343" s="150"/>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0</v>
      </c>
      <c r="R343" s="662">
        <f t="shared" si="61"/>
        <v>0</v>
      </c>
      <c r="S343" s="316">
        <f t="shared" si="63"/>
        <v>0</v>
      </c>
    </row>
    <row r="344" spans="1:19">
      <c r="A344" s="150"/>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0</v>
      </c>
      <c r="R344" s="662">
        <f t="shared" si="61"/>
        <v>0</v>
      </c>
      <c r="S344" s="316">
        <f t="shared" si="63"/>
        <v>0</v>
      </c>
    </row>
    <row r="345" spans="1:19">
      <c r="A345" s="150"/>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0</v>
      </c>
      <c r="R345" s="662">
        <f t="shared" si="61"/>
        <v>0</v>
      </c>
      <c r="S345" s="316">
        <f t="shared" si="63"/>
        <v>0</v>
      </c>
    </row>
    <row r="346" spans="1:19">
      <c r="A346" s="150"/>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0</v>
      </c>
      <c r="R346" s="662">
        <f t="shared" ref="R346:R409" si="72">IF(B346="",0,ROUND($R$24*C346*E346*G346*I346*K346*M346*O346*Q346,0))</f>
        <v>0</v>
      </c>
      <c r="S346" s="316">
        <f t="shared" si="63"/>
        <v>0</v>
      </c>
    </row>
    <row r="347" spans="1:19">
      <c r="A347" s="150"/>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0</v>
      </c>
      <c r="R347" s="662">
        <f t="shared" si="72"/>
        <v>0</v>
      </c>
      <c r="S347" s="316">
        <f t="shared" si="63"/>
        <v>0</v>
      </c>
    </row>
    <row r="348" spans="1:19">
      <c r="A348" s="150"/>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0</v>
      </c>
      <c r="R348" s="662">
        <f t="shared" si="72"/>
        <v>0</v>
      </c>
      <c r="S348" s="316">
        <f t="shared" si="63"/>
        <v>0</v>
      </c>
    </row>
    <row r="349" spans="1:19">
      <c r="A349" s="150"/>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0</v>
      </c>
      <c r="R349" s="662">
        <f t="shared" si="72"/>
        <v>0</v>
      </c>
      <c r="S349" s="316">
        <f t="shared" si="63"/>
        <v>0</v>
      </c>
    </row>
    <row r="350" spans="1:19">
      <c r="A350" s="150"/>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0</v>
      </c>
      <c r="R350" s="662">
        <f t="shared" si="72"/>
        <v>0</v>
      </c>
      <c r="S350" s="316">
        <f t="shared" si="63"/>
        <v>0</v>
      </c>
    </row>
    <row r="351" spans="1:19">
      <c r="A351" s="150"/>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0</v>
      </c>
      <c r="R351" s="662">
        <f t="shared" si="72"/>
        <v>0</v>
      </c>
      <c r="S351" s="316">
        <f t="shared" si="63"/>
        <v>0</v>
      </c>
    </row>
    <row r="352" spans="1:19">
      <c r="A352" s="150"/>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0</v>
      </c>
      <c r="R352" s="662">
        <f t="shared" si="72"/>
        <v>0</v>
      </c>
      <c r="S352" s="316">
        <f t="shared" si="63"/>
        <v>0</v>
      </c>
    </row>
    <row r="353" spans="1:19">
      <c r="A353" s="150"/>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0</v>
      </c>
      <c r="R353" s="662">
        <f t="shared" si="72"/>
        <v>0</v>
      </c>
      <c r="S353" s="316">
        <f t="shared" si="63"/>
        <v>0</v>
      </c>
    </row>
    <row r="354" spans="1:19">
      <c r="A354" s="150"/>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0</v>
      </c>
      <c r="R354" s="662">
        <f t="shared" si="72"/>
        <v>0</v>
      </c>
      <c r="S354" s="316">
        <f t="shared" si="63"/>
        <v>0</v>
      </c>
    </row>
    <row r="355" spans="1:19">
      <c r="A355" s="150"/>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0</v>
      </c>
      <c r="R355" s="662">
        <f t="shared" si="72"/>
        <v>0</v>
      </c>
      <c r="S355" s="316">
        <f t="shared" si="63"/>
        <v>0</v>
      </c>
    </row>
    <row r="356" spans="1:19">
      <c r="A356" s="150"/>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0</v>
      </c>
      <c r="R356" s="662">
        <f t="shared" si="72"/>
        <v>0</v>
      </c>
      <c r="S356" s="316">
        <f t="shared" si="63"/>
        <v>0</v>
      </c>
    </row>
    <row r="357" spans="1:19">
      <c r="A357" s="150"/>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0</v>
      </c>
      <c r="R357" s="662">
        <f t="shared" si="72"/>
        <v>0</v>
      </c>
      <c r="S357" s="316">
        <f t="shared" si="63"/>
        <v>0</v>
      </c>
    </row>
    <row r="358" spans="1:19">
      <c r="A358" s="150"/>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0</v>
      </c>
      <c r="R358" s="662">
        <f t="shared" si="72"/>
        <v>0</v>
      </c>
      <c r="S358" s="316">
        <f t="shared" si="63"/>
        <v>0</v>
      </c>
    </row>
    <row r="359" spans="1:19">
      <c r="A359" s="150"/>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0</v>
      </c>
      <c r="R359" s="662">
        <f t="shared" si="72"/>
        <v>0</v>
      </c>
      <c r="S359" s="316">
        <f t="shared" si="63"/>
        <v>0</v>
      </c>
    </row>
    <row r="360" spans="1:19">
      <c r="A360" s="150"/>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0</v>
      </c>
      <c r="R360" s="662">
        <f t="shared" si="72"/>
        <v>0</v>
      </c>
      <c r="S360" s="316">
        <f t="shared" si="63"/>
        <v>0</v>
      </c>
    </row>
    <row r="361" spans="1:19">
      <c r="A361" s="150"/>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0</v>
      </c>
      <c r="R361" s="662">
        <f t="shared" si="72"/>
        <v>0</v>
      </c>
      <c r="S361" s="316">
        <f t="shared" si="63"/>
        <v>0</v>
      </c>
    </row>
    <row r="362" spans="1:19">
      <c r="A362" s="150"/>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0</v>
      </c>
      <c r="R362" s="662">
        <f t="shared" si="72"/>
        <v>0</v>
      </c>
      <c r="S362" s="316">
        <f t="shared" si="63"/>
        <v>0</v>
      </c>
    </row>
    <row r="363" spans="1:19">
      <c r="A363" s="150"/>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0</v>
      </c>
      <c r="R363" s="662">
        <f t="shared" si="72"/>
        <v>0</v>
      </c>
      <c r="S363" s="316">
        <f t="shared" si="63"/>
        <v>0</v>
      </c>
    </row>
    <row r="364" spans="1:19">
      <c r="A364" s="150"/>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0</v>
      </c>
      <c r="R364" s="662">
        <f t="shared" si="72"/>
        <v>0</v>
      </c>
      <c r="S364" s="316">
        <f t="shared" si="63"/>
        <v>0</v>
      </c>
    </row>
    <row r="365" spans="1:19">
      <c r="A365" s="150"/>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0</v>
      </c>
      <c r="R365" s="662">
        <f t="shared" si="72"/>
        <v>0</v>
      </c>
      <c r="S365" s="316">
        <f t="shared" si="63"/>
        <v>0</v>
      </c>
    </row>
    <row r="366" spans="1:19">
      <c r="A366" s="150"/>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0</v>
      </c>
      <c r="R366" s="662">
        <f t="shared" si="72"/>
        <v>0</v>
      </c>
      <c r="S366" s="316">
        <f t="shared" si="63"/>
        <v>0</v>
      </c>
    </row>
    <row r="367" spans="1:19">
      <c r="A367" s="150"/>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0</v>
      </c>
      <c r="R367" s="662">
        <f t="shared" si="72"/>
        <v>0</v>
      </c>
      <c r="S367" s="316">
        <f t="shared" si="63"/>
        <v>0</v>
      </c>
    </row>
    <row r="368" spans="1:19">
      <c r="A368" s="150"/>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0</v>
      </c>
      <c r="R368" s="662">
        <f t="shared" si="72"/>
        <v>0</v>
      </c>
      <c r="S368" s="316">
        <f t="shared" si="63"/>
        <v>0</v>
      </c>
    </row>
    <row r="369" spans="1:19">
      <c r="A369" s="150"/>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0</v>
      </c>
      <c r="R369" s="662">
        <f t="shared" si="72"/>
        <v>0</v>
      </c>
      <c r="S369" s="316">
        <f t="shared" si="63"/>
        <v>0</v>
      </c>
    </row>
    <row r="370" spans="1:19">
      <c r="A370" s="150"/>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0</v>
      </c>
      <c r="R370" s="662">
        <f t="shared" si="72"/>
        <v>0</v>
      </c>
      <c r="S370" s="316">
        <f t="shared" si="63"/>
        <v>0</v>
      </c>
    </row>
    <row r="371" spans="1:19">
      <c r="A371" s="150"/>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0</v>
      </c>
      <c r="R371" s="662">
        <f t="shared" si="72"/>
        <v>0</v>
      </c>
      <c r="S371" s="316">
        <f t="shared" si="63"/>
        <v>0</v>
      </c>
    </row>
    <row r="372" spans="1:19">
      <c r="A372" s="150"/>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0</v>
      </c>
      <c r="R372" s="662">
        <f t="shared" si="72"/>
        <v>0</v>
      </c>
      <c r="S372" s="316">
        <f t="shared" si="63"/>
        <v>0</v>
      </c>
    </row>
    <row r="373" spans="1:19">
      <c r="A373" s="150"/>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0</v>
      </c>
      <c r="R373" s="662">
        <f t="shared" si="72"/>
        <v>0</v>
      </c>
      <c r="S373" s="316">
        <f t="shared" si="63"/>
        <v>0</v>
      </c>
    </row>
    <row r="374" spans="1:19">
      <c r="A374" s="150"/>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0</v>
      </c>
      <c r="R374" s="662">
        <f t="shared" si="72"/>
        <v>0</v>
      </c>
      <c r="S374" s="316">
        <f t="shared" si="63"/>
        <v>0</v>
      </c>
    </row>
    <row r="375" spans="1:19">
      <c r="A375" s="150"/>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0</v>
      </c>
      <c r="R375" s="662">
        <f t="shared" si="72"/>
        <v>0</v>
      </c>
      <c r="S375" s="316">
        <f t="shared" si="63"/>
        <v>0</v>
      </c>
    </row>
    <row r="376" spans="1:19">
      <c r="A376" s="150"/>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0</v>
      </c>
      <c r="R376" s="662">
        <f t="shared" si="72"/>
        <v>0</v>
      </c>
      <c r="S376" s="316">
        <f t="shared" si="63"/>
        <v>0</v>
      </c>
    </row>
    <row r="377" spans="1:19">
      <c r="A377" s="150"/>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0</v>
      </c>
      <c r="R377" s="662">
        <f t="shared" si="72"/>
        <v>0</v>
      </c>
      <c r="S377" s="316">
        <f t="shared" si="63"/>
        <v>0</v>
      </c>
    </row>
    <row r="378" spans="1:19">
      <c r="A378" s="150"/>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0</v>
      </c>
      <c r="R378" s="662">
        <f t="shared" si="72"/>
        <v>0</v>
      </c>
      <c r="S378" s="316">
        <f t="shared" si="63"/>
        <v>0</v>
      </c>
    </row>
    <row r="379" spans="1:19">
      <c r="A379" s="150"/>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0</v>
      </c>
      <c r="R379" s="662">
        <f t="shared" si="72"/>
        <v>0</v>
      </c>
      <c r="S379" s="316">
        <f t="shared" si="63"/>
        <v>0</v>
      </c>
    </row>
    <row r="380" spans="1:19">
      <c r="A380" s="150"/>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0</v>
      </c>
      <c r="R380" s="662">
        <f t="shared" si="72"/>
        <v>0</v>
      </c>
      <c r="S380" s="316">
        <f t="shared" si="63"/>
        <v>0</v>
      </c>
    </row>
    <row r="381" spans="1:19">
      <c r="A381" s="150"/>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0</v>
      </c>
      <c r="R381" s="662">
        <f t="shared" si="72"/>
        <v>0</v>
      </c>
      <c r="S381" s="316">
        <f t="shared" si="63"/>
        <v>0</v>
      </c>
    </row>
    <row r="382" spans="1:19">
      <c r="A382" s="150"/>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0</v>
      </c>
      <c r="R382" s="662">
        <f t="shared" si="72"/>
        <v>0</v>
      </c>
      <c r="S382" s="316">
        <f t="shared" si="63"/>
        <v>0</v>
      </c>
    </row>
    <row r="383" spans="1:19">
      <c r="A383" s="150"/>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0</v>
      </c>
      <c r="R383" s="662">
        <f t="shared" si="72"/>
        <v>0</v>
      </c>
      <c r="S383" s="316">
        <f t="shared" si="63"/>
        <v>0</v>
      </c>
    </row>
    <row r="384" spans="1:19">
      <c r="A384" s="150"/>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0</v>
      </c>
      <c r="R384" s="662">
        <f t="shared" si="72"/>
        <v>0</v>
      </c>
      <c r="S384" s="316">
        <f t="shared" si="63"/>
        <v>0</v>
      </c>
    </row>
    <row r="385" spans="1:19">
      <c r="A385" s="150"/>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0</v>
      </c>
      <c r="R385" s="662">
        <f t="shared" si="72"/>
        <v>0</v>
      </c>
      <c r="S385" s="316">
        <f t="shared" ref="S385:S422" si="73">ROUND(R385*B385/10000,0)</f>
        <v>0</v>
      </c>
    </row>
    <row r="386" spans="1:19">
      <c r="A386" s="150"/>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0</v>
      </c>
      <c r="R386" s="662">
        <f t="shared" si="72"/>
        <v>0</v>
      </c>
      <c r="S386" s="316">
        <f t="shared" si="73"/>
        <v>0</v>
      </c>
    </row>
    <row r="387" spans="1:19">
      <c r="A387" s="150"/>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0</v>
      </c>
      <c r="R387" s="662">
        <f t="shared" si="72"/>
        <v>0</v>
      </c>
      <c r="S387" s="316">
        <f t="shared" si="73"/>
        <v>0</v>
      </c>
    </row>
    <row r="388" spans="1:19">
      <c r="A388" s="150"/>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0</v>
      </c>
      <c r="R388" s="662">
        <f t="shared" si="72"/>
        <v>0</v>
      </c>
      <c r="S388" s="316">
        <f t="shared" si="73"/>
        <v>0</v>
      </c>
    </row>
    <row r="389" spans="1:19">
      <c r="A389" s="150"/>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0</v>
      </c>
      <c r="R389" s="662">
        <f t="shared" si="72"/>
        <v>0</v>
      </c>
      <c r="S389" s="316">
        <f t="shared" si="73"/>
        <v>0</v>
      </c>
    </row>
    <row r="390" spans="1:19">
      <c r="A390" s="150"/>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0</v>
      </c>
      <c r="R390" s="662">
        <f t="shared" si="72"/>
        <v>0</v>
      </c>
      <c r="S390" s="316">
        <f t="shared" si="73"/>
        <v>0</v>
      </c>
    </row>
    <row r="391" spans="1:19">
      <c r="A391" s="150"/>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0</v>
      </c>
      <c r="R391" s="662">
        <f t="shared" si="72"/>
        <v>0</v>
      </c>
      <c r="S391" s="316">
        <f t="shared" si="73"/>
        <v>0</v>
      </c>
    </row>
    <row r="392" spans="1:19">
      <c r="A392" s="150"/>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0</v>
      </c>
      <c r="R392" s="662">
        <f t="shared" si="72"/>
        <v>0</v>
      </c>
      <c r="S392" s="316">
        <f t="shared" si="73"/>
        <v>0</v>
      </c>
    </row>
    <row r="393" spans="1:19">
      <c r="A393" s="150"/>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0</v>
      </c>
      <c r="R393" s="662">
        <f t="shared" si="72"/>
        <v>0</v>
      </c>
      <c r="S393" s="316">
        <f t="shared" si="73"/>
        <v>0</v>
      </c>
    </row>
    <row r="394" spans="1:19">
      <c r="A394" s="150"/>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0</v>
      </c>
      <c r="R394" s="662">
        <f t="shared" si="72"/>
        <v>0</v>
      </c>
      <c r="S394" s="316">
        <f t="shared" si="73"/>
        <v>0</v>
      </c>
    </row>
    <row r="395" spans="1:19">
      <c r="A395" s="150"/>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0</v>
      </c>
      <c r="R395" s="662">
        <f t="shared" si="72"/>
        <v>0</v>
      </c>
      <c r="S395" s="316">
        <f t="shared" si="73"/>
        <v>0</v>
      </c>
    </row>
    <row r="396" spans="1:19">
      <c r="A396" s="150"/>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0</v>
      </c>
      <c r="R396" s="662">
        <f t="shared" si="72"/>
        <v>0</v>
      </c>
      <c r="S396" s="316">
        <f t="shared" si="73"/>
        <v>0</v>
      </c>
    </row>
    <row r="397" spans="1:19">
      <c r="A397" s="150"/>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0</v>
      </c>
      <c r="R397" s="662">
        <f t="shared" si="72"/>
        <v>0</v>
      </c>
      <c r="S397" s="316">
        <f t="shared" si="73"/>
        <v>0</v>
      </c>
    </row>
    <row r="398" spans="1:19">
      <c r="A398" s="150"/>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0</v>
      </c>
      <c r="R398" s="662">
        <f t="shared" si="72"/>
        <v>0</v>
      </c>
      <c r="S398" s="316">
        <f t="shared" si="73"/>
        <v>0</v>
      </c>
    </row>
    <row r="399" spans="1:19">
      <c r="A399" s="150"/>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0</v>
      </c>
      <c r="R399" s="662">
        <f t="shared" si="72"/>
        <v>0</v>
      </c>
      <c r="S399" s="316">
        <f t="shared" si="73"/>
        <v>0</v>
      </c>
    </row>
    <row r="400" spans="1:19">
      <c r="A400" s="150"/>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0</v>
      </c>
      <c r="R400" s="662">
        <f t="shared" si="72"/>
        <v>0</v>
      </c>
      <c r="S400" s="316">
        <f t="shared" si="73"/>
        <v>0</v>
      </c>
    </row>
    <row r="401" spans="1:19">
      <c r="A401" s="150"/>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0</v>
      </c>
      <c r="R401" s="662">
        <f t="shared" si="72"/>
        <v>0</v>
      </c>
      <c r="S401" s="316">
        <f t="shared" si="73"/>
        <v>0</v>
      </c>
    </row>
    <row r="402" spans="1:19">
      <c r="A402" s="150"/>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0</v>
      </c>
      <c r="R402" s="662">
        <f t="shared" si="72"/>
        <v>0</v>
      </c>
      <c r="S402" s="316">
        <f t="shared" si="73"/>
        <v>0</v>
      </c>
    </row>
    <row r="403" spans="1:19">
      <c r="A403" s="150"/>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0</v>
      </c>
      <c r="R403" s="662">
        <f t="shared" si="72"/>
        <v>0</v>
      </c>
      <c r="S403" s="316">
        <f t="shared" si="73"/>
        <v>0</v>
      </c>
    </row>
    <row r="404" spans="1:19">
      <c r="A404" s="150"/>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0</v>
      </c>
      <c r="R404" s="662">
        <f t="shared" si="72"/>
        <v>0</v>
      </c>
      <c r="S404" s="316">
        <f t="shared" si="73"/>
        <v>0</v>
      </c>
    </row>
    <row r="405" spans="1:19">
      <c r="A405" s="150"/>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0</v>
      </c>
      <c r="R405" s="662">
        <f t="shared" si="72"/>
        <v>0</v>
      </c>
      <c r="S405" s="316">
        <f t="shared" si="73"/>
        <v>0</v>
      </c>
    </row>
    <row r="406" spans="1:19">
      <c r="A406" s="150"/>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0</v>
      </c>
      <c r="R406" s="662">
        <f t="shared" si="72"/>
        <v>0</v>
      </c>
      <c r="S406" s="316">
        <f t="shared" si="73"/>
        <v>0</v>
      </c>
    </row>
    <row r="407" spans="1:19">
      <c r="A407" s="150"/>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0</v>
      </c>
      <c r="R407" s="662">
        <f t="shared" si="72"/>
        <v>0</v>
      </c>
      <c r="S407" s="316">
        <f t="shared" si="73"/>
        <v>0</v>
      </c>
    </row>
    <row r="408" spans="1:19">
      <c r="A408" s="150"/>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0</v>
      </c>
      <c r="R408" s="662">
        <f t="shared" si="72"/>
        <v>0</v>
      </c>
      <c r="S408" s="316">
        <f t="shared" si="73"/>
        <v>0</v>
      </c>
    </row>
    <row r="409" spans="1:19">
      <c r="A409" s="150"/>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0</v>
      </c>
      <c r="R409" s="662">
        <f t="shared" si="72"/>
        <v>0</v>
      </c>
      <c r="S409" s="316">
        <f t="shared" si="73"/>
        <v>0</v>
      </c>
    </row>
    <row r="410" spans="1:19">
      <c r="A410" s="150"/>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0</v>
      </c>
      <c r="R410" s="662">
        <f t="shared" ref="R410:R473" si="82">IF(B410="",0,ROUND($R$24*C410*E410*G410*I410*K410*M410*O410*Q410,0))</f>
        <v>0</v>
      </c>
      <c r="S410" s="316">
        <f t="shared" si="73"/>
        <v>0</v>
      </c>
    </row>
    <row r="411" spans="1:19">
      <c r="A411" s="150"/>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0</v>
      </c>
      <c r="R411" s="662">
        <f t="shared" si="82"/>
        <v>0</v>
      </c>
      <c r="S411" s="316">
        <f t="shared" si="73"/>
        <v>0</v>
      </c>
    </row>
    <row r="412" spans="1:19">
      <c r="A412" s="150"/>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0</v>
      </c>
      <c r="R412" s="662">
        <f t="shared" si="82"/>
        <v>0</v>
      </c>
      <c r="S412" s="316">
        <f t="shared" si="73"/>
        <v>0</v>
      </c>
    </row>
    <row r="413" spans="1:19">
      <c r="A413" s="150"/>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0</v>
      </c>
      <c r="R413" s="662">
        <f t="shared" si="82"/>
        <v>0</v>
      </c>
      <c r="S413" s="316">
        <f t="shared" si="73"/>
        <v>0</v>
      </c>
    </row>
    <row r="414" spans="1:19">
      <c r="A414" s="150"/>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0</v>
      </c>
      <c r="R414" s="662">
        <f t="shared" si="82"/>
        <v>0</v>
      </c>
      <c r="S414" s="316">
        <f t="shared" si="73"/>
        <v>0</v>
      </c>
    </row>
    <row r="415" spans="1:19">
      <c r="A415" s="150"/>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0</v>
      </c>
      <c r="R415" s="662">
        <f t="shared" si="82"/>
        <v>0</v>
      </c>
      <c r="S415" s="316">
        <f t="shared" si="73"/>
        <v>0</v>
      </c>
    </row>
    <row r="416" spans="1:19">
      <c r="A416" s="150"/>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0</v>
      </c>
      <c r="R416" s="662">
        <f t="shared" si="82"/>
        <v>0</v>
      </c>
      <c r="S416" s="316">
        <f t="shared" si="73"/>
        <v>0</v>
      </c>
    </row>
    <row r="417" spans="1:19">
      <c r="A417" s="150"/>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0</v>
      </c>
      <c r="R417" s="662">
        <f t="shared" si="82"/>
        <v>0</v>
      </c>
      <c r="S417" s="316">
        <f t="shared" si="73"/>
        <v>0</v>
      </c>
    </row>
    <row r="418" spans="1:19">
      <c r="A418" s="150"/>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0</v>
      </c>
      <c r="R418" s="662">
        <f t="shared" si="82"/>
        <v>0</v>
      </c>
      <c r="S418" s="316">
        <f t="shared" si="73"/>
        <v>0</v>
      </c>
    </row>
    <row r="419" spans="1:19">
      <c r="A419" s="150"/>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0</v>
      </c>
      <c r="R419" s="662">
        <f t="shared" si="82"/>
        <v>0</v>
      </c>
      <c r="S419" s="316">
        <f t="shared" si="73"/>
        <v>0</v>
      </c>
    </row>
    <row r="420" spans="1:19">
      <c r="A420" s="150"/>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0</v>
      </c>
      <c r="R420" s="662">
        <f t="shared" si="82"/>
        <v>0</v>
      </c>
      <c r="S420" s="316">
        <f t="shared" si="73"/>
        <v>0</v>
      </c>
    </row>
    <row r="421" spans="1:19">
      <c r="A421" s="150"/>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0</v>
      </c>
      <c r="R421" s="662">
        <f t="shared" si="82"/>
        <v>0</v>
      </c>
      <c r="S421" s="316">
        <f t="shared" si="73"/>
        <v>0</v>
      </c>
    </row>
    <row r="422" spans="1:19">
      <c r="A422" s="150"/>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0</v>
      </c>
      <c r="R422" s="662">
        <f t="shared" si="82"/>
        <v>0</v>
      </c>
      <c r="S422" s="316">
        <f t="shared" si="73"/>
        <v>0</v>
      </c>
    </row>
    <row r="423" spans="1:19">
      <c r="A423" s="150"/>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0</v>
      </c>
      <c r="R423" s="662">
        <f t="shared" si="82"/>
        <v>0</v>
      </c>
      <c r="S423" s="316">
        <f t="shared" ref="S423:S467" si="83">ROUND(R423*B423/10000,0)</f>
        <v>0</v>
      </c>
    </row>
    <row r="424" spans="1:19">
      <c r="A424" s="150"/>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0</v>
      </c>
      <c r="R424" s="662">
        <f t="shared" si="82"/>
        <v>0</v>
      </c>
      <c r="S424" s="316">
        <f t="shared" si="83"/>
        <v>0</v>
      </c>
    </row>
    <row r="425" spans="1:19">
      <c r="A425" s="150"/>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0</v>
      </c>
      <c r="R425" s="662">
        <f t="shared" si="82"/>
        <v>0</v>
      </c>
      <c r="S425" s="316">
        <f t="shared" si="83"/>
        <v>0</v>
      </c>
    </row>
    <row r="426" spans="1:19">
      <c r="A426" s="150"/>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0</v>
      </c>
      <c r="R426" s="662">
        <f t="shared" si="82"/>
        <v>0</v>
      </c>
      <c r="S426" s="316">
        <f t="shared" si="83"/>
        <v>0</v>
      </c>
    </row>
    <row r="427" spans="1:19">
      <c r="A427" s="150"/>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0</v>
      </c>
      <c r="R427" s="662">
        <f t="shared" si="82"/>
        <v>0</v>
      </c>
      <c r="S427" s="316">
        <f t="shared" si="83"/>
        <v>0</v>
      </c>
    </row>
    <row r="428" spans="1:19">
      <c r="A428" s="150"/>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0</v>
      </c>
      <c r="R428" s="662">
        <f t="shared" si="82"/>
        <v>0</v>
      </c>
      <c r="S428" s="316">
        <f t="shared" si="83"/>
        <v>0</v>
      </c>
    </row>
    <row r="429" spans="1:19">
      <c r="A429" s="150"/>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0</v>
      </c>
      <c r="R429" s="662">
        <f t="shared" si="82"/>
        <v>0</v>
      </c>
      <c r="S429" s="316">
        <f t="shared" si="83"/>
        <v>0</v>
      </c>
    </row>
    <row r="430" spans="1:19">
      <c r="A430" s="150"/>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0</v>
      </c>
      <c r="R430" s="662">
        <f t="shared" si="82"/>
        <v>0</v>
      </c>
      <c r="S430" s="316">
        <f t="shared" si="83"/>
        <v>0</v>
      </c>
    </row>
    <row r="431" spans="1:19">
      <c r="A431" s="150"/>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0</v>
      </c>
      <c r="R431" s="662">
        <f t="shared" si="82"/>
        <v>0</v>
      </c>
      <c r="S431" s="316">
        <f t="shared" si="83"/>
        <v>0</v>
      </c>
    </row>
    <row r="432" spans="1:19">
      <c r="A432" s="150"/>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0</v>
      </c>
      <c r="R432" s="662">
        <f t="shared" si="82"/>
        <v>0</v>
      </c>
      <c r="S432" s="316">
        <f t="shared" si="83"/>
        <v>0</v>
      </c>
    </row>
    <row r="433" spans="1:19">
      <c r="A433" s="150"/>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0</v>
      </c>
      <c r="R433" s="662">
        <f t="shared" si="82"/>
        <v>0</v>
      </c>
      <c r="S433" s="316">
        <f t="shared" si="83"/>
        <v>0</v>
      </c>
    </row>
    <row r="434" spans="1:19">
      <c r="A434" s="150"/>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0</v>
      </c>
      <c r="R434" s="662">
        <f t="shared" si="82"/>
        <v>0</v>
      </c>
      <c r="S434" s="316">
        <f t="shared" si="83"/>
        <v>0</v>
      </c>
    </row>
    <row r="435" spans="1:19">
      <c r="A435" s="150"/>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0</v>
      </c>
      <c r="R435" s="662">
        <f t="shared" si="82"/>
        <v>0</v>
      </c>
      <c r="S435" s="316">
        <f t="shared" si="83"/>
        <v>0</v>
      </c>
    </row>
    <row r="436" spans="1:19">
      <c r="A436" s="150"/>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0</v>
      </c>
      <c r="R436" s="662">
        <f t="shared" si="82"/>
        <v>0</v>
      </c>
      <c r="S436" s="316">
        <f t="shared" si="83"/>
        <v>0</v>
      </c>
    </row>
    <row r="437" spans="1:19">
      <c r="A437" s="150"/>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0</v>
      </c>
      <c r="R437" s="662">
        <f t="shared" si="82"/>
        <v>0</v>
      </c>
      <c r="S437" s="316">
        <f t="shared" si="83"/>
        <v>0</v>
      </c>
    </row>
    <row r="438" spans="1:19">
      <c r="A438" s="150"/>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0</v>
      </c>
      <c r="R438" s="662">
        <f t="shared" si="82"/>
        <v>0</v>
      </c>
      <c r="S438" s="316">
        <f t="shared" si="83"/>
        <v>0</v>
      </c>
    </row>
    <row r="439" spans="1:19">
      <c r="A439" s="150"/>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0</v>
      </c>
      <c r="R439" s="662">
        <f t="shared" si="82"/>
        <v>0</v>
      </c>
      <c r="S439" s="316">
        <f t="shared" si="83"/>
        <v>0</v>
      </c>
    </row>
    <row r="440" spans="1:19">
      <c r="A440" s="150"/>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0</v>
      </c>
      <c r="R440" s="662">
        <f t="shared" si="82"/>
        <v>0</v>
      </c>
      <c r="S440" s="316">
        <f t="shared" si="83"/>
        <v>0</v>
      </c>
    </row>
    <row r="441" spans="1:19">
      <c r="A441" s="150"/>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0</v>
      </c>
      <c r="R441" s="662">
        <f t="shared" si="82"/>
        <v>0</v>
      </c>
      <c r="S441" s="316">
        <f t="shared" si="83"/>
        <v>0</v>
      </c>
    </row>
    <row r="442" spans="1:19">
      <c r="A442" s="150"/>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0</v>
      </c>
      <c r="R442" s="662">
        <f t="shared" si="82"/>
        <v>0</v>
      </c>
      <c r="S442" s="316">
        <f t="shared" si="83"/>
        <v>0</v>
      </c>
    </row>
    <row r="443" spans="1:19">
      <c r="A443" s="150"/>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0</v>
      </c>
      <c r="R443" s="662">
        <f t="shared" si="82"/>
        <v>0</v>
      </c>
      <c r="S443" s="316">
        <f t="shared" si="83"/>
        <v>0</v>
      </c>
    </row>
    <row r="444" spans="1:19">
      <c r="A444" s="150"/>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0</v>
      </c>
      <c r="R444" s="662">
        <f t="shared" si="82"/>
        <v>0</v>
      </c>
      <c r="S444" s="316">
        <f t="shared" si="83"/>
        <v>0</v>
      </c>
    </row>
    <row r="445" spans="1:19">
      <c r="A445" s="150"/>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0</v>
      </c>
      <c r="R445" s="662">
        <f t="shared" si="82"/>
        <v>0</v>
      </c>
      <c r="S445" s="316">
        <f t="shared" si="83"/>
        <v>0</v>
      </c>
    </row>
    <row r="446" spans="1:19">
      <c r="A446" s="150"/>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0</v>
      </c>
      <c r="R446" s="662">
        <f t="shared" si="82"/>
        <v>0</v>
      </c>
      <c r="S446" s="316">
        <f t="shared" si="83"/>
        <v>0</v>
      </c>
    </row>
    <row r="447" spans="1:19">
      <c r="A447" s="150"/>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0</v>
      </c>
      <c r="R447" s="662">
        <f t="shared" si="82"/>
        <v>0</v>
      </c>
      <c r="S447" s="316">
        <f t="shared" si="83"/>
        <v>0</v>
      </c>
    </row>
    <row r="448" spans="1:19">
      <c r="A448" s="150"/>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0</v>
      </c>
      <c r="R448" s="662">
        <f t="shared" si="82"/>
        <v>0</v>
      </c>
      <c r="S448" s="316">
        <f t="shared" si="83"/>
        <v>0</v>
      </c>
    </row>
    <row r="449" spans="1:19">
      <c r="A449" s="150"/>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0</v>
      </c>
      <c r="R449" s="662">
        <f t="shared" si="82"/>
        <v>0</v>
      </c>
      <c r="S449" s="316">
        <f t="shared" si="83"/>
        <v>0</v>
      </c>
    </row>
    <row r="450" spans="1:19">
      <c r="A450" s="150"/>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0</v>
      </c>
      <c r="R450" s="662">
        <f t="shared" si="82"/>
        <v>0</v>
      </c>
      <c r="S450" s="316">
        <f t="shared" si="83"/>
        <v>0</v>
      </c>
    </row>
    <row r="451" spans="1:19">
      <c r="A451" s="150"/>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0</v>
      </c>
      <c r="R451" s="662">
        <f t="shared" si="82"/>
        <v>0</v>
      </c>
      <c r="S451" s="316">
        <f t="shared" si="83"/>
        <v>0</v>
      </c>
    </row>
    <row r="452" spans="1:19">
      <c r="A452" s="150"/>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0</v>
      </c>
      <c r="R452" s="662">
        <f t="shared" si="82"/>
        <v>0</v>
      </c>
      <c r="S452" s="316">
        <f t="shared" si="83"/>
        <v>0</v>
      </c>
    </row>
    <row r="453" spans="1:19">
      <c r="A453" s="150"/>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0</v>
      </c>
      <c r="R453" s="662">
        <f t="shared" si="82"/>
        <v>0</v>
      </c>
      <c r="S453" s="316">
        <f t="shared" si="83"/>
        <v>0</v>
      </c>
    </row>
    <row r="454" spans="1:19">
      <c r="A454" s="150"/>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0</v>
      </c>
      <c r="R454" s="662">
        <f t="shared" si="82"/>
        <v>0</v>
      </c>
      <c r="S454" s="316">
        <f t="shared" si="83"/>
        <v>0</v>
      </c>
    </row>
    <row r="455" spans="1:19">
      <c r="A455" s="150"/>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0</v>
      </c>
      <c r="R455" s="662">
        <f t="shared" si="82"/>
        <v>0</v>
      </c>
      <c r="S455" s="316">
        <f t="shared" si="83"/>
        <v>0</v>
      </c>
    </row>
    <row r="456" spans="1:19">
      <c r="A456" s="150"/>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0</v>
      </c>
      <c r="R456" s="662">
        <f t="shared" si="82"/>
        <v>0</v>
      </c>
      <c r="S456" s="316">
        <f t="shared" si="83"/>
        <v>0</v>
      </c>
    </row>
    <row r="457" spans="1:19">
      <c r="A457" s="150"/>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0</v>
      </c>
      <c r="R457" s="662">
        <f t="shared" si="82"/>
        <v>0</v>
      </c>
      <c r="S457" s="316">
        <f t="shared" si="83"/>
        <v>0</v>
      </c>
    </row>
    <row r="458" spans="1:19">
      <c r="A458" s="150"/>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0</v>
      </c>
      <c r="R458" s="662">
        <f t="shared" si="82"/>
        <v>0</v>
      </c>
      <c r="S458" s="316">
        <f t="shared" si="83"/>
        <v>0</v>
      </c>
    </row>
    <row r="459" spans="1:19">
      <c r="A459" s="150"/>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0</v>
      </c>
      <c r="R459" s="662">
        <f t="shared" si="82"/>
        <v>0</v>
      </c>
      <c r="S459" s="316">
        <f t="shared" si="83"/>
        <v>0</v>
      </c>
    </row>
    <row r="460" spans="1:19">
      <c r="A460" s="150"/>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0</v>
      </c>
      <c r="R460" s="662">
        <f t="shared" si="82"/>
        <v>0</v>
      </c>
      <c r="S460" s="316">
        <f t="shared" si="83"/>
        <v>0</v>
      </c>
    </row>
    <row r="461" spans="1:19">
      <c r="A461" s="150"/>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0</v>
      </c>
      <c r="R461" s="662">
        <f t="shared" si="82"/>
        <v>0</v>
      </c>
      <c r="S461" s="316">
        <f t="shared" si="83"/>
        <v>0</v>
      </c>
    </row>
    <row r="462" spans="1:19">
      <c r="A462" s="150"/>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0</v>
      </c>
      <c r="R462" s="662">
        <f t="shared" si="82"/>
        <v>0</v>
      </c>
      <c r="S462" s="316">
        <f t="shared" si="83"/>
        <v>0</v>
      </c>
    </row>
    <row r="463" spans="1:19">
      <c r="A463" s="150"/>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0</v>
      </c>
      <c r="R463" s="662">
        <f t="shared" si="82"/>
        <v>0</v>
      </c>
      <c r="S463" s="316">
        <f t="shared" si="83"/>
        <v>0</v>
      </c>
    </row>
    <row r="464" spans="1:19">
      <c r="A464" s="150"/>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0</v>
      </c>
      <c r="R464" s="662">
        <f t="shared" si="82"/>
        <v>0</v>
      </c>
      <c r="S464" s="316">
        <f t="shared" si="83"/>
        <v>0</v>
      </c>
    </row>
    <row r="465" spans="1:19">
      <c r="A465" s="150"/>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0</v>
      </c>
      <c r="R465" s="662">
        <f t="shared" si="82"/>
        <v>0</v>
      </c>
      <c r="S465" s="316">
        <f t="shared" si="83"/>
        <v>0</v>
      </c>
    </row>
    <row r="466" spans="1:19">
      <c r="A466" s="150"/>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0</v>
      </c>
      <c r="R466" s="662">
        <f t="shared" si="82"/>
        <v>0</v>
      </c>
      <c r="S466" s="316">
        <f t="shared" si="83"/>
        <v>0</v>
      </c>
    </row>
    <row r="467" spans="1:19">
      <c r="A467" s="150"/>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0</v>
      </c>
      <c r="R467" s="662">
        <f t="shared" si="82"/>
        <v>0</v>
      </c>
      <c r="S467" s="316">
        <f t="shared" si="83"/>
        <v>0</v>
      </c>
    </row>
    <row r="468" spans="1:19">
      <c r="A468" s="150"/>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0</v>
      </c>
      <c r="R468" s="662">
        <f t="shared" si="82"/>
        <v>0</v>
      </c>
      <c r="S468" s="316">
        <f t="shared" ref="S468:S497" si="84">ROUND(R468*B468/10000,0)</f>
        <v>0</v>
      </c>
    </row>
    <row r="469" spans="1:19">
      <c r="A469" s="150"/>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0</v>
      </c>
      <c r="R469" s="662">
        <f t="shared" si="82"/>
        <v>0</v>
      </c>
      <c r="S469" s="316">
        <f t="shared" si="84"/>
        <v>0</v>
      </c>
    </row>
    <row r="470" spans="1:19">
      <c r="A470" s="150"/>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0</v>
      </c>
      <c r="R470" s="662">
        <f t="shared" si="82"/>
        <v>0</v>
      </c>
      <c r="S470" s="316">
        <f t="shared" si="84"/>
        <v>0</v>
      </c>
    </row>
    <row r="471" spans="1:19">
      <c r="A471" s="150"/>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0</v>
      </c>
      <c r="R471" s="662">
        <f t="shared" si="82"/>
        <v>0</v>
      </c>
      <c r="S471" s="316">
        <f t="shared" si="84"/>
        <v>0</v>
      </c>
    </row>
    <row r="472" spans="1:19">
      <c r="A472" s="150"/>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0</v>
      </c>
      <c r="R472" s="662">
        <f t="shared" si="82"/>
        <v>0</v>
      </c>
      <c r="S472" s="316">
        <f t="shared" si="84"/>
        <v>0</v>
      </c>
    </row>
    <row r="473" spans="1:19">
      <c r="A473" s="150"/>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0</v>
      </c>
      <c r="R473" s="662">
        <f t="shared" si="82"/>
        <v>0</v>
      </c>
      <c r="S473" s="316">
        <f t="shared" si="84"/>
        <v>0</v>
      </c>
    </row>
    <row r="474" spans="1:19">
      <c r="A474" s="150"/>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0</v>
      </c>
      <c r="R474" s="662">
        <f t="shared" ref="R474:R524" si="93">IF(B474="",0,ROUND($R$24*C474*E474*G474*I474*K474*M474*O474*Q474,0))</f>
        <v>0</v>
      </c>
      <c r="S474" s="316">
        <f t="shared" si="84"/>
        <v>0</v>
      </c>
    </row>
    <row r="475" spans="1:19">
      <c r="A475" s="150"/>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0</v>
      </c>
      <c r="R475" s="662">
        <f t="shared" si="93"/>
        <v>0</v>
      </c>
      <c r="S475" s="316">
        <f t="shared" si="84"/>
        <v>0</v>
      </c>
    </row>
    <row r="476" spans="1:19">
      <c r="A476" s="150"/>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0</v>
      </c>
      <c r="R476" s="662">
        <f t="shared" si="93"/>
        <v>0</v>
      </c>
      <c r="S476" s="316">
        <f t="shared" si="84"/>
        <v>0</v>
      </c>
    </row>
    <row r="477" spans="1:19">
      <c r="A477" s="150"/>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0</v>
      </c>
      <c r="R477" s="662">
        <f t="shared" si="93"/>
        <v>0</v>
      </c>
      <c r="S477" s="316">
        <f t="shared" si="84"/>
        <v>0</v>
      </c>
    </row>
    <row r="478" spans="1:19">
      <c r="A478" s="150"/>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0</v>
      </c>
      <c r="R478" s="662">
        <f t="shared" si="93"/>
        <v>0</v>
      </c>
      <c r="S478" s="316">
        <f t="shared" si="84"/>
        <v>0</v>
      </c>
    </row>
    <row r="479" spans="1:19">
      <c r="A479" s="150"/>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0</v>
      </c>
      <c r="R479" s="662">
        <f t="shared" si="93"/>
        <v>0</v>
      </c>
      <c r="S479" s="316">
        <f t="shared" si="84"/>
        <v>0</v>
      </c>
    </row>
    <row r="480" spans="1:19">
      <c r="A480" s="150"/>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0</v>
      </c>
      <c r="R480" s="662">
        <f t="shared" si="93"/>
        <v>0</v>
      </c>
      <c r="S480" s="316">
        <f t="shared" si="84"/>
        <v>0</v>
      </c>
    </row>
    <row r="481" spans="1:19">
      <c r="A481" s="150"/>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0</v>
      </c>
      <c r="R481" s="662">
        <f t="shared" si="93"/>
        <v>0</v>
      </c>
      <c r="S481" s="316">
        <f t="shared" si="84"/>
        <v>0</v>
      </c>
    </row>
    <row r="482" spans="1:19">
      <c r="A482" s="150"/>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0</v>
      </c>
      <c r="R482" s="662">
        <f t="shared" si="93"/>
        <v>0</v>
      </c>
      <c r="S482" s="316">
        <f t="shared" si="84"/>
        <v>0</v>
      </c>
    </row>
    <row r="483" spans="1:19">
      <c r="A483" s="150"/>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0</v>
      </c>
      <c r="R483" s="662">
        <f t="shared" si="93"/>
        <v>0</v>
      </c>
      <c r="S483" s="316">
        <f t="shared" si="84"/>
        <v>0</v>
      </c>
    </row>
    <row r="484" spans="1:19">
      <c r="A484" s="150"/>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0</v>
      </c>
      <c r="R484" s="662">
        <f t="shared" si="93"/>
        <v>0</v>
      </c>
      <c r="S484" s="316">
        <f t="shared" si="84"/>
        <v>0</v>
      </c>
    </row>
    <row r="485" spans="1:19">
      <c r="A485" s="150"/>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0</v>
      </c>
      <c r="R485" s="662">
        <f t="shared" si="93"/>
        <v>0</v>
      </c>
      <c r="S485" s="316">
        <f t="shared" si="84"/>
        <v>0</v>
      </c>
    </row>
    <row r="486" spans="1:19">
      <c r="A486" s="150"/>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0</v>
      </c>
      <c r="R486" s="662">
        <f t="shared" si="93"/>
        <v>0</v>
      </c>
      <c r="S486" s="316">
        <f t="shared" si="84"/>
        <v>0</v>
      </c>
    </row>
    <row r="487" spans="1:19">
      <c r="A487" s="150"/>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0</v>
      </c>
      <c r="R487" s="662">
        <f t="shared" si="93"/>
        <v>0</v>
      </c>
      <c r="S487" s="316">
        <f t="shared" si="84"/>
        <v>0</v>
      </c>
    </row>
    <row r="488" spans="1:19">
      <c r="A488" s="150"/>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0</v>
      </c>
      <c r="R488" s="662">
        <f t="shared" si="93"/>
        <v>0</v>
      </c>
      <c r="S488" s="316">
        <f t="shared" si="84"/>
        <v>0</v>
      </c>
    </row>
    <row r="489" spans="1:19">
      <c r="A489" s="150"/>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0</v>
      </c>
      <c r="R489" s="662">
        <f t="shared" si="93"/>
        <v>0</v>
      </c>
      <c r="S489" s="316">
        <f t="shared" si="84"/>
        <v>0</v>
      </c>
    </row>
    <row r="490" spans="1:19">
      <c r="A490" s="150"/>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0</v>
      </c>
      <c r="R490" s="662">
        <f t="shared" si="93"/>
        <v>0</v>
      </c>
      <c r="S490" s="316">
        <f t="shared" si="84"/>
        <v>0</v>
      </c>
    </row>
    <row r="491" spans="1:19">
      <c r="A491" s="150"/>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0</v>
      </c>
      <c r="R491" s="662">
        <f t="shared" si="93"/>
        <v>0</v>
      </c>
      <c r="S491" s="316">
        <f t="shared" si="84"/>
        <v>0</v>
      </c>
    </row>
    <row r="492" spans="1:19">
      <c r="A492" s="150"/>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0</v>
      </c>
      <c r="R492" s="662">
        <f t="shared" si="93"/>
        <v>0</v>
      </c>
      <c r="S492" s="316">
        <f t="shared" si="84"/>
        <v>0</v>
      </c>
    </row>
    <row r="493" spans="1:19">
      <c r="A493" s="150"/>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0</v>
      </c>
      <c r="R493" s="662">
        <f t="shared" si="93"/>
        <v>0</v>
      </c>
      <c r="S493" s="316">
        <f t="shared" si="84"/>
        <v>0</v>
      </c>
    </row>
    <row r="494" spans="1:19">
      <c r="A494" s="150"/>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0</v>
      </c>
      <c r="R494" s="662">
        <f t="shared" si="93"/>
        <v>0</v>
      </c>
      <c r="S494" s="316">
        <f t="shared" si="84"/>
        <v>0</v>
      </c>
    </row>
    <row r="495" spans="1:19">
      <c r="A495" s="150"/>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0</v>
      </c>
      <c r="R495" s="662">
        <f t="shared" si="93"/>
        <v>0</v>
      </c>
      <c r="S495" s="316">
        <f t="shared" si="84"/>
        <v>0</v>
      </c>
    </row>
    <row r="496" spans="1:19">
      <c r="A496" s="150"/>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0</v>
      </c>
      <c r="R496" s="662">
        <f t="shared" si="93"/>
        <v>0</v>
      </c>
      <c r="S496" s="316">
        <f t="shared" si="84"/>
        <v>0</v>
      </c>
    </row>
    <row r="497" spans="1:19">
      <c r="A497" s="150"/>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0</v>
      </c>
      <c r="R497" s="662">
        <f t="shared" si="93"/>
        <v>0</v>
      </c>
      <c r="S497" s="316">
        <f t="shared" si="84"/>
        <v>0</v>
      </c>
    </row>
    <row r="498" spans="1:19">
      <c r="A498" s="150"/>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0</v>
      </c>
      <c r="R498" s="662">
        <f t="shared" si="93"/>
        <v>0</v>
      </c>
      <c r="S498" s="316">
        <f t="shared" ref="S498:S524" si="94">ROUND(R498*B498/10000,0)</f>
        <v>0</v>
      </c>
    </row>
    <row r="499" spans="1:19">
      <c r="A499" s="150"/>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0</v>
      </c>
      <c r="R499" s="662">
        <f t="shared" si="93"/>
        <v>0</v>
      </c>
      <c r="S499" s="316">
        <f t="shared" si="94"/>
        <v>0</v>
      </c>
    </row>
    <row r="500" spans="1:19">
      <c r="A500" s="150"/>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0</v>
      </c>
      <c r="R500" s="662">
        <f t="shared" si="93"/>
        <v>0</v>
      </c>
      <c r="S500" s="316">
        <f t="shared" si="94"/>
        <v>0</v>
      </c>
    </row>
    <row r="501" spans="1:19">
      <c r="A501" s="150"/>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0</v>
      </c>
      <c r="R501" s="662">
        <f t="shared" si="93"/>
        <v>0</v>
      </c>
      <c r="S501" s="316">
        <f t="shared" si="94"/>
        <v>0</v>
      </c>
    </row>
    <row r="502" spans="1:19">
      <c r="A502" s="150"/>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0</v>
      </c>
      <c r="R502" s="662">
        <f t="shared" si="93"/>
        <v>0</v>
      </c>
      <c r="S502" s="316">
        <f t="shared" si="94"/>
        <v>0</v>
      </c>
    </row>
    <row r="503" spans="1:19">
      <c r="A503" s="150"/>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0</v>
      </c>
      <c r="R503" s="662">
        <f t="shared" si="93"/>
        <v>0</v>
      </c>
      <c r="S503" s="316">
        <f t="shared" si="94"/>
        <v>0</v>
      </c>
    </row>
    <row r="504" spans="1:19">
      <c r="A504" s="150"/>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0</v>
      </c>
      <c r="R504" s="662">
        <f t="shared" si="93"/>
        <v>0</v>
      </c>
      <c r="S504" s="316">
        <f t="shared" si="94"/>
        <v>0</v>
      </c>
    </row>
    <row r="505" spans="1:19">
      <c r="A505" s="150"/>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0</v>
      </c>
      <c r="R505" s="662">
        <f t="shared" si="93"/>
        <v>0</v>
      </c>
      <c r="S505" s="316">
        <f t="shared" si="94"/>
        <v>0</v>
      </c>
    </row>
    <row r="506" spans="1:19">
      <c r="A506" s="150"/>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0</v>
      </c>
      <c r="R506" s="662">
        <f t="shared" si="93"/>
        <v>0</v>
      </c>
      <c r="S506" s="316">
        <f t="shared" si="94"/>
        <v>0</v>
      </c>
    </row>
    <row r="507" spans="1:19">
      <c r="A507" s="150"/>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0</v>
      </c>
      <c r="R507" s="662">
        <f t="shared" si="93"/>
        <v>0</v>
      </c>
      <c r="S507" s="316">
        <f t="shared" si="94"/>
        <v>0</v>
      </c>
    </row>
    <row r="508" spans="1:19">
      <c r="A508" s="150"/>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0</v>
      </c>
      <c r="R508" s="662">
        <f t="shared" si="93"/>
        <v>0</v>
      </c>
      <c r="S508" s="316">
        <f t="shared" si="94"/>
        <v>0</v>
      </c>
    </row>
    <row r="509" spans="1:19">
      <c r="A509" s="150"/>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0</v>
      </c>
      <c r="R509" s="662">
        <f t="shared" si="93"/>
        <v>0</v>
      </c>
      <c r="S509" s="316">
        <f t="shared" si="94"/>
        <v>0</v>
      </c>
    </row>
    <row r="510" spans="1:19">
      <c r="A510" s="150"/>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0</v>
      </c>
      <c r="R510" s="662">
        <f t="shared" si="93"/>
        <v>0</v>
      </c>
      <c r="S510" s="316">
        <f t="shared" si="94"/>
        <v>0</v>
      </c>
    </row>
    <row r="511" spans="1:19">
      <c r="A511" s="150"/>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0</v>
      </c>
      <c r="R511" s="662">
        <f t="shared" si="93"/>
        <v>0</v>
      </c>
      <c r="S511" s="316">
        <f t="shared" si="94"/>
        <v>0</v>
      </c>
    </row>
    <row r="512" spans="1:19">
      <c r="A512" s="150"/>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0</v>
      </c>
      <c r="R512" s="662">
        <f t="shared" si="93"/>
        <v>0</v>
      </c>
      <c r="S512" s="316">
        <f t="shared" si="94"/>
        <v>0</v>
      </c>
    </row>
    <row r="513" spans="1:19">
      <c r="A513" s="150"/>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0</v>
      </c>
      <c r="R513" s="662">
        <f t="shared" si="93"/>
        <v>0</v>
      </c>
      <c r="S513" s="316">
        <f t="shared" si="94"/>
        <v>0</v>
      </c>
    </row>
    <row r="514" spans="1:19">
      <c r="A514" s="150"/>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0</v>
      </c>
      <c r="R514" s="662">
        <f t="shared" si="93"/>
        <v>0</v>
      </c>
      <c r="S514" s="316">
        <f t="shared" si="94"/>
        <v>0</v>
      </c>
    </row>
    <row r="515" spans="1:19">
      <c r="A515" s="150"/>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0</v>
      </c>
      <c r="R515" s="662">
        <f t="shared" si="93"/>
        <v>0</v>
      </c>
      <c r="S515" s="316">
        <f t="shared" si="94"/>
        <v>0</v>
      </c>
    </row>
    <row r="516" spans="1:19">
      <c r="A516" s="150"/>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0</v>
      </c>
      <c r="R516" s="662">
        <f t="shared" si="93"/>
        <v>0</v>
      </c>
      <c r="S516" s="316">
        <f t="shared" si="94"/>
        <v>0</v>
      </c>
    </row>
    <row r="517" spans="1:19">
      <c r="A517" s="150"/>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0</v>
      </c>
      <c r="R517" s="662">
        <f t="shared" si="93"/>
        <v>0</v>
      </c>
      <c r="S517" s="316">
        <f t="shared" si="94"/>
        <v>0</v>
      </c>
    </row>
    <row r="518" spans="1:19">
      <c r="A518" s="150"/>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0</v>
      </c>
      <c r="R518" s="662">
        <f t="shared" si="93"/>
        <v>0</v>
      </c>
      <c r="S518" s="316">
        <f t="shared" si="94"/>
        <v>0</v>
      </c>
    </row>
    <row r="519" spans="1:19">
      <c r="A519" s="150"/>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0</v>
      </c>
      <c r="R519" s="662">
        <f t="shared" si="93"/>
        <v>0</v>
      </c>
      <c r="S519" s="316">
        <f t="shared" si="94"/>
        <v>0</v>
      </c>
    </row>
    <row r="520" spans="1:19">
      <c r="A520" s="150"/>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0</v>
      </c>
      <c r="R520" s="662">
        <f t="shared" si="93"/>
        <v>0</v>
      </c>
      <c r="S520" s="316">
        <f t="shared" si="94"/>
        <v>0</v>
      </c>
    </row>
    <row r="521" spans="1:19">
      <c r="A521" s="150"/>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0</v>
      </c>
      <c r="R521" s="662">
        <f t="shared" si="93"/>
        <v>0</v>
      </c>
      <c r="S521" s="316">
        <f t="shared" si="94"/>
        <v>0</v>
      </c>
    </row>
    <row r="522" spans="1:19">
      <c r="A522" s="150"/>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0</v>
      </c>
      <c r="R522" s="662">
        <f t="shared" si="93"/>
        <v>0</v>
      </c>
      <c r="S522" s="316">
        <f t="shared" si="94"/>
        <v>0</v>
      </c>
    </row>
    <row r="523" spans="1:19">
      <c r="A523" s="150"/>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0</v>
      </c>
      <c r="R523" s="662">
        <f t="shared" si="93"/>
        <v>0</v>
      </c>
      <c r="S523" s="316">
        <f t="shared" si="94"/>
        <v>0</v>
      </c>
    </row>
    <row r="524" spans="1:19">
      <c r="A524" s="150"/>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0</v>
      </c>
      <c r="R524" s="662">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93"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Normal="100" zoomScaleSheetLayoutView="100" zoomScalePageLayoutView="80" workbookViewId="0">
      <selection activeCell="K36" sqref="K36"/>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1260</v>
      </c>
      <c r="B1" s="1746"/>
      <c r="C1" s="1747" t="s">
        <v>3510</v>
      </c>
      <c r="D1" s="1746"/>
      <c r="E1" s="1746"/>
      <c r="F1" s="1748" t="s">
        <v>1261</v>
      </c>
      <c r="G1" s="1560"/>
      <c r="H1" s="1749" t="str">
        <f>IF(G1="现房","——","估价对象范围")</f>
        <v>估价对象范围</v>
      </c>
      <c r="I1" s="1750"/>
    </row>
    <row r="2" spans="1:12" ht="21.75" customHeight="1" thickBot="1">
      <c r="A2" s="4049" t="str">
        <f>项目基本情况!S2</f>
        <v>北京市海淀区中关村大街1号部分综合用房及全部车库用房房地产</v>
      </c>
      <c r="B2" s="4050"/>
      <c r="C2" s="4050"/>
      <c r="D2" s="4050"/>
      <c r="E2" s="4050"/>
      <c r="F2" s="4050"/>
      <c r="G2" s="4050"/>
      <c r="H2" s="4050"/>
      <c r="I2" s="4051"/>
    </row>
    <row r="3" spans="1:12" ht="12.75">
      <c r="A3" s="4053" t="s">
        <v>1262</v>
      </c>
      <c r="B3" s="4054"/>
      <c r="C3" s="4054"/>
      <c r="D3" s="4054"/>
      <c r="E3" s="4054"/>
      <c r="F3" s="4054"/>
      <c r="G3" s="4054"/>
      <c r="H3" s="4054"/>
      <c r="I3" s="4054"/>
    </row>
    <row r="4" spans="1:12" ht="14.25">
      <c r="A4" s="1753" t="s">
        <v>1263</v>
      </c>
      <c r="B4" s="1754" t="s">
        <v>1264</v>
      </c>
      <c r="C4" s="1755" t="s">
        <v>3521</v>
      </c>
      <c r="D4" s="1755" t="s">
        <v>5100</v>
      </c>
      <c r="E4" s="4058" t="s">
        <v>1265</v>
      </c>
      <c r="F4" s="4059"/>
      <c r="G4" s="4059"/>
      <c r="H4" s="4059"/>
      <c r="I4" s="4060"/>
      <c r="K4" s="146" t="str">
        <f>IF(ISNUMBER(FIND("比较法",'结果表-车位'!C4)),"比较法",IF(ISNUMBER(FIND("成本法",'结果表-车位'!C4)),"成本法",IF(ISNUMBER(FIND("假设开发法",'结果表-车位'!C4)),"假设开发法",IF(ISNUMBER(FIND("收益法",'结果表-车位'!C4)),"收益法","基准地价系数修正法"))))</f>
        <v>成本法</v>
      </c>
      <c r="L4" s="146" t="str">
        <f>IF(ISNUMBER(FIND("比较法",'结果表-车位'!D4)),"比较法",IF(ISNUMBER(FIND("成本法",'结果表-车位'!D4)),"成本法",IF(ISNUMBER(FIND("假设开发法",'结果表-车位'!D4)),"假设开发法",IF(ISNUMBER(FIND("收益法",'结果表-车位'!D4)),"收益法","基准地价系数修正法"))))</f>
        <v>收益法</v>
      </c>
    </row>
    <row r="5" spans="1:12" ht="12.75">
      <c r="A5" s="3997" t="s">
        <v>1266</v>
      </c>
      <c r="B5" s="4052">
        <v>25</v>
      </c>
      <c r="C5" s="4055"/>
      <c r="D5" s="4043"/>
      <c r="E5" s="131" t="s">
        <v>1267</v>
      </c>
      <c r="F5" s="1756"/>
      <c r="G5" s="1756"/>
      <c r="H5" s="1756"/>
      <c r="I5" s="1372"/>
    </row>
    <row r="6" spans="1:12" ht="12.75">
      <c r="A6" s="3997"/>
      <c r="B6" s="4052"/>
      <c r="C6" s="4057"/>
      <c r="D6" s="4043"/>
      <c r="E6" s="131" t="s">
        <v>1268</v>
      </c>
      <c r="F6" s="1756"/>
      <c r="G6" s="1756"/>
      <c r="H6" s="1756"/>
      <c r="I6" s="1372"/>
    </row>
    <row r="7" spans="1:12" ht="12.75">
      <c r="A7" s="3997"/>
      <c r="B7" s="4052"/>
      <c r="C7" s="4056"/>
      <c r="D7" s="4043"/>
      <c r="E7" s="131" t="s">
        <v>1269</v>
      </c>
      <c r="F7" s="1756"/>
      <c r="G7" s="1756"/>
      <c r="H7" s="1756"/>
      <c r="I7" s="1372"/>
    </row>
    <row r="8" spans="1:12" ht="12.75">
      <c r="A8" s="3997" t="s">
        <v>1270</v>
      </c>
      <c r="B8" s="4052">
        <v>15</v>
      </c>
      <c r="C8" s="4055"/>
      <c r="D8" s="4043"/>
      <c r="E8" s="131" t="s">
        <v>1271</v>
      </c>
      <c r="F8" s="1756"/>
      <c r="G8" s="1756"/>
      <c r="H8" s="1756"/>
      <c r="I8" s="1372"/>
    </row>
    <row r="9" spans="1:12" ht="12.75">
      <c r="A9" s="3997"/>
      <c r="B9" s="4052"/>
      <c r="C9" s="4056"/>
      <c r="D9" s="4043"/>
      <c r="E9" s="131" t="s">
        <v>1272</v>
      </c>
      <c r="F9" s="1756"/>
      <c r="G9" s="1756"/>
      <c r="H9" s="1756"/>
      <c r="I9" s="1372"/>
    </row>
    <row r="10" spans="1:12" ht="12.75">
      <c r="A10" s="3997" t="s">
        <v>1273</v>
      </c>
      <c r="B10" s="4052">
        <v>15</v>
      </c>
      <c r="C10" s="4055"/>
      <c r="D10" s="4043"/>
      <c r="E10" s="131" t="s">
        <v>1274</v>
      </c>
      <c r="F10" s="1756"/>
      <c r="G10" s="1756"/>
      <c r="H10" s="1756"/>
      <c r="I10" s="1372"/>
    </row>
    <row r="11" spans="1:12" ht="12.75">
      <c r="A11" s="3997"/>
      <c r="B11" s="4052"/>
      <c r="C11" s="4056"/>
      <c r="D11" s="4043"/>
      <c r="E11" s="131" t="s">
        <v>1275</v>
      </c>
      <c r="F11" s="1756"/>
      <c r="G11" s="1756"/>
      <c r="H11" s="1756"/>
      <c r="I11" s="1372"/>
    </row>
    <row r="12" spans="1:12" ht="12.75">
      <c r="A12" s="3997" t="s">
        <v>1276</v>
      </c>
      <c r="B12" s="4052">
        <v>15</v>
      </c>
      <c r="C12" s="4055"/>
      <c r="D12" s="4043"/>
      <c r="E12" s="131" t="s">
        <v>1277</v>
      </c>
      <c r="F12" s="1756"/>
      <c r="G12" s="1756"/>
      <c r="H12" s="1756"/>
      <c r="I12" s="1372"/>
    </row>
    <row r="13" spans="1:12" ht="12.75">
      <c r="A13" s="3997"/>
      <c r="B13" s="4052"/>
      <c r="C13" s="4056"/>
      <c r="D13" s="4043"/>
      <c r="E13" s="131" t="s">
        <v>1278</v>
      </c>
      <c r="F13" s="1756"/>
      <c r="G13" s="1756"/>
      <c r="H13" s="1756"/>
      <c r="I13" s="1372"/>
    </row>
    <row r="14" spans="1:12" ht="12.75">
      <c r="A14" s="3997" t="s">
        <v>1279</v>
      </c>
      <c r="B14" s="4052">
        <v>30</v>
      </c>
      <c r="C14" s="4055">
        <v>7</v>
      </c>
      <c r="D14" s="4043">
        <v>3</v>
      </c>
      <c r="E14" s="131" t="s">
        <v>1280</v>
      </c>
      <c r="F14" s="1756"/>
      <c r="G14" s="1756"/>
      <c r="H14" s="1756"/>
      <c r="I14" s="1372"/>
    </row>
    <row r="15" spans="1:12" ht="12.75">
      <c r="A15" s="3997"/>
      <c r="B15" s="4052"/>
      <c r="C15" s="4057"/>
      <c r="D15" s="4043"/>
      <c r="E15" s="131" t="s">
        <v>1281</v>
      </c>
      <c r="F15" s="1756"/>
      <c r="G15" s="1756"/>
      <c r="H15" s="1756"/>
      <c r="I15" s="1372"/>
    </row>
    <row r="16" spans="1:12" ht="12.75">
      <c r="A16" s="3997"/>
      <c r="B16" s="4052"/>
      <c r="C16" s="4056"/>
      <c r="D16" s="4043"/>
      <c r="E16" s="131" t="s">
        <v>1282</v>
      </c>
      <c r="F16" s="1756"/>
      <c r="G16" s="1756"/>
      <c r="H16" s="1756"/>
      <c r="I16" s="1372"/>
    </row>
    <row r="17" spans="1:36" ht="15">
      <c r="A17" s="1757" t="s">
        <v>1283</v>
      </c>
      <c r="B17" s="56"/>
      <c r="C17" s="132">
        <f>SUM(C5:C16)</f>
        <v>7</v>
      </c>
      <c r="D17" s="132">
        <f>SUM(D5:D16)</f>
        <v>3</v>
      </c>
      <c r="E17" s="129"/>
      <c r="F17" s="129"/>
      <c r="G17" s="129"/>
      <c r="H17" s="129"/>
      <c r="I17" s="129"/>
      <c r="K17" s="302"/>
      <c r="L17" s="302" t="s">
        <v>1284</v>
      </c>
      <c r="M17" s="302" t="s">
        <v>1285</v>
      </c>
    </row>
    <row r="18" spans="1:36" ht="31.9" customHeight="1" thickBot="1">
      <c r="A18" s="1758" t="s">
        <v>1286</v>
      </c>
      <c r="B18" s="1759"/>
      <c r="C18" s="133">
        <f>ROUND(C17/SUM(C17:D17),2)</f>
        <v>0.7</v>
      </c>
      <c r="D18" s="133">
        <f>1-C18</f>
        <v>0.30000000000000004</v>
      </c>
      <c r="E18" s="4074" t="s">
        <v>2128</v>
      </c>
      <c r="F18" s="4075"/>
      <c r="G18" s="4075"/>
      <c r="H18" s="4075"/>
      <c r="I18" s="4075"/>
      <c r="K18" s="302" t="s">
        <v>1287</v>
      </c>
      <c r="L18" s="302">
        <f>IF(C1="",'数据-汇总表'!E3,SUMIF(项目类型,C1,'数据-汇总表'!E17:E26)+SUMIF(项目类型,C1,'数据-汇总表'!I17:I26))</f>
        <v>0</v>
      </c>
      <c r="M18" s="302">
        <f>IF(C1="",'数据-汇总表'!E3,SUMIF(项目类型,C1,'数据-汇总表'!E17:E26))</f>
        <v>0</v>
      </c>
    </row>
    <row r="19" spans="1:36" ht="15">
      <c r="A19" s="1760" t="s">
        <v>1288</v>
      </c>
      <c r="B19" s="1761" t="s">
        <v>1289</v>
      </c>
      <c r="C19" s="134">
        <f ca="1">SUMIF(INDIRECT("'"&amp;C4&amp;"'"&amp;"!A:A"),'结果表-车位'!B19,INDIRECT("'"&amp;C4&amp;"'"&amp;"!B:B"))</f>
        <v>3684</v>
      </c>
      <c r="D19" s="135">
        <f ca="1">SUMIF(INDIRECT("'"&amp;D4&amp;"'"&amp;"!A:A"),'结果表-车位'!B19,INDIRECT("'"&amp;D4&amp;"'"&amp;"!B:B"))</f>
        <v>942</v>
      </c>
      <c r="E19" s="1760" t="s">
        <v>1290</v>
      </c>
      <c r="F19" s="1761" t="s">
        <v>1289</v>
      </c>
      <c r="G19" s="136">
        <f ca="1">ROUND(C19*$C$18+D19*$D$18,0)</f>
        <v>2861</v>
      </c>
      <c r="H19" s="1762" t="s">
        <v>1291</v>
      </c>
      <c r="I19" s="129"/>
      <c r="K19" s="302" t="s">
        <v>1292</v>
      </c>
      <c r="L19" s="302">
        <f>IF(C1="",'数据-汇总表'!D3,SUMIF(项目类型,C1,'数据-汇总表'!D17:D26)+SUMIF(项目类型,C1,'数据-汇总表'!H17:H27))</f>
        <v>0</v>
      </c>
      <c r="M19" s="302">
        <f>IF(C1="",'数据-汇总表'!D3,SUMIF(项目类型,C1,'数据-汇总表'!D17:D26))</f>
        <v>0</v>
      </c>
    </row>
    <row r="20" spans="1:36" ht="15">
      <c r="A20" s="1763"/>
      <c r="B20" s="1025" t="s">
        <v>1293</v>
      </c>
      <c r="C20" s="137">
        <f ca="1">SUMIF(INDIRECT("'"&amp;C4&amp;"'"&amp;"!A:A"),'结果表-车位'!B20,INDIRECT("'"&amp;C4&amp;"'"&amp;"!B:B"))</f>
        <v>6395</v>
      </c>
      <c r="D20" s="138">
        <f ca="1">SUMIF(INDIRECT("'"&amp;D4&amp;"'"&amp;"!A:A"),'结果表-车位'!B20,INDIRECT("'"&amp;D4&amp;"'"&amp;"!B:B"))</f>
        <v>1635</v>
      </c>
      <c r="E20" s="1763"/>
      <c r="F20" s="1025" t="s">
        <v>1293</v>
      </c>
      <c r="G20" s="139">
        <f ca="1">ROUND(C20*$C$18+D20*$D$18,0)</f>
        <v>4967</v>
      </c>
      <c r="H20" s="807" t="s">
        <v>1294</v>
      </c>
      <c r="I20" s="129"/>
    </row>
    <row r="21" spans="1:36" ht="15" customHeight="1" thickBot="1">
      <c r="A21" s="827"/>
      <c r="B21" s="1764" t="s">
        <v>1295</v>
      </c>
      <c r="C21" s="718" t="e">
        <f ca="1">ROUND(C19*10000/L19,0)</f>
        <v>#DIV/0!</v>
      </c>
      <c r="D21" s="719" t="e">
        <f ca="1">ROUND(D19*10000/L19,0)</f>
        <v>#DIV/0!</v>
      </c>
      <c r="E21" s="827"/>
      <c r="F21" s="1764" t="s">
        <v>1295</v>
      </c>
      <c r="G21" s="140" t="e">
        <f ca="1">ROUND(G19*10000/L19,0)</f>
        <v>#DIV/0!</v>
      </c>
      <c r="H21" s="1765" t="s">
        <v>1294</v>
      </c>
      <c r="I21" s="129"/>
      <c r="K21" s="724">
        <f ca="1">G19/65</f>
        <v>44.015384615384619</v>
      </c>
    </row>
    <row r="22" spans="1:36" ht="15" thickBot="1">
      <c r="A22" s="1687" t="s">
        <v>1296</v>
      </c>
      <c r="B22" s="1766"/>
      <c r="C22" s="1767"/>
      <c r="D22" s="720">
        <f ca="1">IF(C19&lt;D19,D19/C19-1,C19/D19-1)</f>
        <v>2.910828025477707</v>
      </c>
      <c r="E22" s="129"/>
      <c r="F22" s="129"/>
      <c r="G22" s="129"/>
      <c r="H22" s="129"/>
      <c r="I22" s="129"/>
    </row>
    <row r="23" spans="1:36" ht="13.5" thickBot="1">
      <c r="A23" s="1746"/>
      <c r="B23" s="1746"/>
      <c r="C23" s="1746"/>
      <c r="D23" s="1746"/>
      <c r="E23" s="129"/>
      <c r="F23" s="129"/>
      <c r="G23" s="129"/>
      <c r="H23" s="129"/>
      <c r="I23" s="129"/>
    </row>
    <row r="24" spans="1:36" ht="14.25">
      <c r="A24" s="4067" t="s">
        <v>1297</v>
      </c>
      <c r="B24" s="1761" t="s">
        <v>1289</v>
      </c>
      <c r="C24" s="136">
        <f>IF(B30=0,0,D30)</f>
        <v>0</v>
      </c>
      <c r="D24" s="1768"/>
      <c r="E24" s="129"/>
      <c r="F24" s="129"/>
      <c r="G24" s="129"/>
      <c r="H24" s="129"/>
      <c r="I24" s="129"/>
    </row>
    <row r="25" spans="1:36" ht="14.25">
      <c r="A25" s="4068"/>
      <c r="B25" s="1025" t="s">
        <v>1293</v>
      </c>
      <c r="C25" s="141">
        <f>IF(B30=0,0,C30)</f>
        <v>0</v>
      </c>
      <c r="D25" s="1769"/>
      <c r="E25" s="129"/>
      <c r="F25" s="129"/>
      <c r="G25" s="129"/>
      <c r="H25" s="129"/>
      <c r="I25" s="129"/>
    </row>
    <row r="26" spans="1:36" ht="13.5" customHeight="1">
      <c r="A26" s="1770" t="s">
        <v>1298</v>
      </c>
      <c r="B26" s="142" t="s">
        <v>1299</v>
      </c>
      <c r="C26" s="142" t="s">
        <v>1300</v>
      </c>
      <c r="D26" s="143" t="s">
        <v>1301</v>
      </c>
      <c r="E26" s="129"/>
      <c r="F26" s="129"/>
      <c r="G26" s="129"/>
      <c r="H26" s="129"/>
      <c r="I26" s="129"/>
    </row>
    <row r="27" spans="1:36" ht="14.25">
      <c r="A27" s="1770"/>
      <c r="B27" s="142">
        <v>0</v>
      </c>
      <c r="C27" s="142">
        <v>0</v>
      </c>
      <c r="D27" s="143">
        <f>ROUND(C27*B27/10000,0)</f>
        <v>0</v>
      </c>
      <c r="E27" s="129"/>
      <c r="F27" s="129"/>
      <c r="G27" s="129"/>
      <c r="H27" s="129"/>
      <c r="I27" s="129"/>
    </row>
    <row r="28" spans="1:36" ht="14.25">
      <c r="A28" s="1770"/>
      <c r="B28" s="142"/>
      <c r="C28" s="142"/>
      <c r="D28" s="143"/>
      <c r="E28" s="129"/>
      <c r="F28" s="129"/>
      <c r="G28" s="129"/>
      <c r="H28" s="129"/>
      <c r="I28" s="129"/>
    </row>
    <row r="29" spans="1:36" ht="14.25">
      <c r="A29" s="1770"/>
      <c r="B29" s="142"/>
      <c r="C29" s="142"/>
      <c r="D29" s="143"/>
      <c r="E29" s="129"/>
      <c r="F29" s="129"/>
      <c r="G29" s="129"/>
      <c r="H29" s="129"/>
      <c r="I29" s="129"/>
    </row>
    <row r="30" spans="1:36" ht="15" thickBot="1">
      <c r="A30" s="142" t="s">
        <v>1302</v>
      </c>
      <c r="B30" s="142"/>
      <c r="C30" s="142"/>
      <c r="D30" s="142"/>
      <c r="E30" s="2302" t="s">
        <v>2129</v>
      </c>
      <c r="F30" s="129"/>
      <c r="G30" s="129"/>
      <c r="H30" s="129"/>
      <c r="I30" s="129"/>
    </row>
    <row r="31" spans="1:36" s="2308" customFormat="1" ht="26.45" customHeight="1" thickTop="1" thickBot="1">
      <c r="A31" s="2303"/>
      <c r="B31" s="2304"/>
      <c r="C31" s="2304"/>
      <c r="D31" s="2304"/>
      <c r="E31" s="2304"/>
      <c r="F31" s="2304"/>
      <c r="G31" s="2304"/>
      <c r="H31" s="2304"/>
      <c r="I31" s="2305" t="s">
        <v>2130</v>
      </c>
      <c r="J31" s="2687"/>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4967</v>
      </c>
      <c r="D32" s="1774" t="s">
        <v>3508</v>
      </c>
      <c r="E32" s="129"/>
      <c r="F32" s="129"/>
      <c r="G32" s="129"/>
      <c r="H32" s="129"/>
      <c r="I32" s="129"/>
    </row>
    <row r="33" spans="1:15" ht="15">
      <c r="A33" s="785" t="s">
        <v>1304</v>
      </c>
      <c r="B33" s="1775"/>
      <c r="C33" s="1776" t="s">
        <v>3509</v>
      </c>
      <c r="D33" s="1777" t="s">
        <v>3511</v>
      </c>
      <c r="E33" s="1778" t="s">
        <v>1305</v>
      </c>
      <c r="F33" s="1779" t="str">
        <f>IF(D32="楼面单价","取值（单价）","取值（总价）")</f>
        <v>取值（单价）</v>
      </c>
      <c r="G33" s="129"/>
      <c r="H33" s="129"/>
      <c r="I33" s="129"/>
    </row>
    <row r="34" spans="1:15" ht="15">
      <c r="A34" s="1780"/>
      <c r="B34" s="1781" t="s">
        <v>1306</v>
      </c>
      <c r="C34" s="148" t="e">
        <f ca="1">IF(C33="自定义",F34,C32-C35)</f>
        <v>#REF!</v>
      </c>
      <c r="D34" s="860" t="e">
        <f ca="1">IF(C33="自定义",ROUND(C34/C32,3),IF(C33="收益比率",SUMIF(INDIRECT("'"&amp;D33&amp;"'"&amp;"!b:b"),"土地收益比率",INDIRECT("'"&amp;D33&amp;"'"&amp;"!c:c")),SUMIF(INDIRECT("'"&amp;D33&amp;"'"&amp;"!b:b"),"土地成本比率",INDIRECT("'"&amp;D33&amp;"'"&amp;"!c:c"))))</f>
        <v>#REF!</v>
      </c>
      <c r="E34" s="1782" t="s">
        <v>1307</v>
      </c>
      <c r="F34" s="1329"/>
      <c r="G34" s="129"/>
      <c r="H34" s="129"/>
      <c r="I34" s="129"/>
    </row>
    <row r="35" spans="1:15" ht="15.75" thickBot="1">
      <c r="A35" s="1783"/>
      <c r="B35" s="1784" t="s">
        <v>1308</v>
      </c>
      <c r="C35" s="1169" t="e">
        <f ca="1">IF(C33="自定义",F35,ROUND(C32*D35,0))</f>
        <v>#REF!</v>
      </c>
      <c r="D35" s="1170" t="e">
        <f ca="1">IF(C33="自定义",ROUND(C35/C32,3),IF(C33="收益比率",SUMIF(INDIRECT("'"&amp;D33&amp;"'"&amp;"!b:b"),"建筑物收益比率",INDIRECT("'"&amp;D33&amp;"'"&amp;"!c:c")),SUMIF(INDIRECT("'"&amp;D33&amp;"'"&amp;"!b:b"),"建筑物成本比率",INDIRECT("'"&amp;D33&amp;"'"&amp;"!c:c"))))</f>
        <v>#REF!</v>
      </c>
      <c r="E35" s="1785" t="s">
        <v>1309</v>
      </c>
      <c r="F35" s="154"/>
      <c r="G35" s="129"/>
      <c r="H35" s="129"/>
      <c r="I35" s="129"/>
    </row>
    <row r="36" spans="1:15" ht="15.75" thickBot="1">
      <c r="A36" s="4044" t="s">
        <v>1310</v>
      </c>
      <c r="B36" s="1786" t="s">
        <v>1311</v>
      </c>
      <c r="C36" s="145"/>
      <c r="D36" s="1787"/>
      <c r="E36" s="1788"/>
      <c r="F36" s="1789"/>
      <c r="G36" s="129"/>
      <c r="H36" s="129"/>
      <c r="I36" s="129"/>
    </row>
    <row r="37" spans="1:15" ht="15.75" thickBot="1">
      <c r="A37" s="4045"/>
      <c r="B37" s="1673" t="s">
        <v>1312</v>
      </c>
      <c r="C37" s="147"/>
      <c r="D37" s="1138"/>
      <c r="E37" s="1138"/>
      <c r="F37" s="1789"/>
      <c r="G37" s="129"/>
      <c r="H37" s="129"/>
      <c r="I37" s="129"/>
    </row>
    <row r="38" spans="1:15" ht="15.75" thickBot="1">
      <c r="A38" s="4046"/>
      <c r="B38" s="1790" t="s">
        <v>1313</v>
      </c>
      <c r="C38" s="673"/>
      <c r="D38" s="1791" t="s">
        <v>1314</v>
      </c>
      <c r="E38" s="1138"/>
      <c r="F38" s="1789"/>
      <c r="G38" s="129"/>
      <c r="H38" s="129"/>
      <c r="I38" s="129"/>
    </row>
    <row r="39" spans="1:15" ht="15">
      <c r="A39" s="1763" t="s">
        <v>1315</v>
      </c>
      <c r="B39" s="1792" t="s">
        <v>1299</v>
      </c>
      <c r="C39" s="1793" t="s">
        <v>1300</v>
      </c>
      <c r="D39" s="1793" t="s">
        <v>1318</v>
      </c>
      <c r="E39" s="1794" t="s">
        <v>1301</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4064" t="s">
        <v>1324</v>
      </c>
      <c r="B45" s="4065"/>
      <c r="C45" s="4066"/>
      <c r="D45" s="155">
        <f ca="1">ROUND(H101*F45,0)</f>
        <v>0</v>
      </c>
      <c r="E45" s="156" t="s">
        <v>1325</v>
      </c>
      <c r="F45" s="157">
        <v>1</v>
      </c>
      <c r="G45" s="158" t="s">
        <v>1326</v>
      </c>
      <c r="H45" s="129"/>
      <c r="I45" s="129"/>
      <c r="J45" s="3984" t="s">
        <v>1327</v>
      </c>
      <c r="K45" s="3984"/>
      <c r="L45" s="3984"/>
      <c r="M45" s="3984"/>
      <c r="N45" s="3984"/>
      <c r="O45" s="3984"/>
    </row>
    <row r="46" spans="1:15" ht="14.25" customHeight="1">
      <c r="A46" s="4061" t="s">
        <v>1328</v>
      </c>
      <c r="B46" s="4062"/>
      <c r="C46" s="4062"/>
      <c r="D46" s="4062"/>
      <c r="E46" s="4062"/>
      <c r="F46" s="4062"/>
      <c r="G46" s="4063"/>
      <c r="H46" s="1805"/>
      <c r="I46" s="159"/>
      <c r="J46" s="3466">
        <v>1</v>
      </c>
      <c r="K46" s="3985" t="s">
        <v>1329</v>
      </c>
      <c r="L46" s="3985"/>
      <c r="M46" s="3986"/>
      <c r="N46" s="3986"/>
      <c r="O46" s="3986"/>
    </row>
    <row r="47" spans="1:15" ht="12" customHeight="1">
      <c r="A47" s="160" t="s">
        <v>1330</v>
      </c>
      <c r="B47" s="161"/>
      <c r="C47" s="162"/>
      <c r="D47" s="1086" t="s">
        <v>1331</v>
      </c>
      <c r="E47" s="302" t="s">
        <v>1332</v>
      </c>
      <c r="F47" s="163" t="s">
        <v>1333</v>
      </c>
      <c r="G47" s="2544" t="s">
        <v>1334</v>
      </c>
      <c r="H47" s="2545"/>
      <c r="I47" s="159"/>
      <c r="J47" s="3466">
        <v>2</v>
      </c>
      <c r="K47" s="3985" t="s">
        <v>1335</v>
      </c>
      <c r="L47" s="3985"/>
      <c r="M47" s="3987">
        <f>'数据-取费表'!B2</f>
        <v>45575</v>
      </c>
      <c r="N47" s="3987"/>
      <c r="O47" s="3987"/>
    </row>
    <row r="48" spans="1:15" ht="25.5">
      <c r="A48" s="4047" t="s">
        <v>1336</v>
      </c>
      <c r="B48" s="4048"/>
      <c r="C48" s="4048"/>
      <c r="D48" s="3468" t="b">
        <f>IF(H48="情况1",0,IF(H48="情况2",D52,IF(H48="情况3",D53,IF(H48="情况4",D54))))</f>
        <v>0</v>
      </c>
      <c r="E48" s="3457" t="str">
        <f>IF(H48="情况4","(销售额-原购置价)×税（费）率","销售额×税（费）率")</f>
        <v>销售额×税（费）率</v>
      </c>
      <c r="F48" s="2546">
        <f>IF(H48="情况1","免征",'数据-取费表'!B41)</f>
        <v>5.6000000000000001E-2</v>
      </c>
      <c r="G48" s="2547" t="s">
        <v>1337</v>
      </c>
      <c r="H48" s="2548"/>
      <c r="I48" s="1805"/>
      <c r="J48" s="3466">
        <v>3</v>
      </c>
      <c r="K48" s="3985" t="s">
        <v>1338</v>
      </c>
      <c r="L48" s="3985"/>
      <c r="M48" s="3988">
        <f ca="1">H101</f>
        <v>0</v>
      </c>
      <c r="N48" s="3988"/>
      <c r="O48" s="3988"/>
    </row>
    <row r="49" spans="1:35" ht="25.5" customHeight="1">
      <c r="A49" s="3461" t="s">
        <v>1339</v>
      </c>
      <c r="B49" s="4033" t="s">
        <v>1340</v>
      </c>
      <c r="C49" s="4033"/>
      <c r="D49" s="1589">
        <v>0</v>
      </c>
      <c r="E49" s="324" t="s">
        <v>1341</v>
      </c>
      <c r="F49" s="3449" t="s">
        <v>28</v>
      </c>
      <c r="G49" s="4016"/>
      <c r="H49" s="2309" t="s">
        <v>2131</v>
      </c>
      <c r="I49" s="2310"/>
      <c r="J49" s="3466">
        <v>4</v>
      </c>
      <c r="K49" s="3985" t="str">
        <f>IF(项目基本情况!E8="房地产抵押价值","房地产抵押价值","抵押担保权已注销时的房地产抵押价值")</f>
        <v>房地产抵押价值</v>
      </c>
      <c r="L49" s="3985"/>
      <c r="M49" s="3988">
        <f ca="1">IF(项目基本情况!E8="房地产抵押价值",H107,H109)</f>
        <v>0</v>
      </c>
      <c r="N49" s="3988"/>
      <c r="O49" s="3988"/>
    </row>
    <row r="50" spans="1:35" ht="25.5" customHeight="1">
      <c r="A50" s="2549"/>
      <c r="B50" s="4033" t="s">
        <v>1342</v>
      </c>
      <c r="C50" s="4033"/>
      <c r="D50" s="2550"/>
      <c r="E50" s="332"/>
      <c r="F50" s="3449"/>
      <c r="G50" s="4017"/>
      <c r="H50" s="2311" t="s">
        <v>2132</v>
      </c>
      <c r="I50" s="2310"/>
      <c r="J50" s="3984" t="s">
        <v>1343</v>
      </c>
      <c r="K50" s="3984"/>
      <c r="L50" s="3984"/>
      <c r="M50" s="3984"/>
      <c r="N50" s="3984"/>
      <c r="O50" s="3984"/>
    </row>
    <row r="51" spans="1:35" ht="20.45" customHeight="1">
      <c r="A51" s="2551"/>
      <c r="B51" s="4033" t="s">
        <v>1344</v>
      </c>
      <c r="C51" s="4033"/>
      <c r="D51" s="1086"/>
      <c r="E51" s="327"/>
      <c r="F51" s="3449"/>
      <c r="G51" s="4018"/>
      <c r="H51" s="2311" t="s">
        <v>2133</v>
      </c>
      <c r="I51" s="2310"/>
      <c r="J51" s="3465" t="s">
        <v>1345</v>
      </c>
      <c r="K51" s="3985" t="s">
        <v>1346</v>
      </c>
      <c r="L51" s="3985"/>
      <c r="M51" s="3465" t="s">
        <v>1347</v>
      </c>
      <c r="N51" s="3465" t="s">
        <v>1348</v>
      </c>
      <c r="O51" s="3465" t="s">
        <v>1349</v>
      </c>
    </row>
    <row r="52" spans="1:35" ht="24" customHeight="1">
      <c r="A52" s="3456" t="s">
        <v>1350</v>
      </c>
      <c r="B52" s="4033" t="s">
        <v>1351</v>
      </c>
      <c r="C52" s="4033"/>
      <c r="D52" s="1086">
        <f ca="1">ROUND(D45*'数据-取费表'!B41/(1+'数据-取费表'!C42),0)</f>
        <v>0</v>
      </c>
      <c r="E52" s="3457" t="s">
        <v>1352</v>
      </c>
      <c r="F52" s="2552">
        <f>'数据-取费表'!B41</f>
        <v>5.6000000000000001E-2</v>
      </c>
      <c r="G52" s="2553"/>
      <c r="H52" s="2542"/>
      <c r="I52" s="1806"/>
      <c r="J52" s="3466">
        <v>1</v>
      </c>
      <c r="K52" s="4010" t="s">
        <v>1353</v>
      </c>
      <c r="L52" s="4010"/>
      <c r="M52" s="2523" t="b">
        <f>D48</f>
        <v>0</v>
      </c>
      <c r="N52" s="3466" t="str">
        <f>E48</f>
        <v>销售额×税（费）率</v>
      </c>
      <c r="O52" s="2524">
        <f>F48</f>
        <v>5.6000000000000001E-2</v>
      </c>
    </row>
    <row r="53" spans="1:35" ht="12" customHeight="1">
      <c r="A53" s="3456" t="s">
        <v>1354</v>
      </c>
      <c r="B53" s="4034" t="s">
        <v>2288</v>
      </c>
      <c r="C53" s="4035"/>
      <c r="D53" s="1086">
        <f ca="1">ROUND(D45*'数据-取费表'!B41/(1+'数据-取费表'!C42),0)</f>
        <v>0</v>
      </c>
      <c r="E53" s="3457" t="s">
        <v>1352</v>
      </c>
      <c r="F53" s="2552">
        <f>'数据-取费表'!B41</f>
        <v>5.6000000000000001E-2</v>
      </c>
      <c r="G53" s="2553"/>
      <c r="H53" s="2542"/>
      <c r="I53" s="1806"/>
      <c r="J53" s="3466">
        <v>2</v>
      </c>
      <c r="K53" s="4010" t="s">
        <v>1355</v>
      </c>
      <c r="L53" s="4010"/>
      <c r="M53" s="2523">
        <f t="shared" ref="M53:O54" ca="1" si="0">D55</f>
        <v>0</v>
      </c>
      <c r="N53" s="3466" t="str">
        <f t="shared" si="0"/>
        <v>销售额×税（费）率</v>
      </c>
      <c r="O53" s="2524" t="str">
        <f t="shared" si="0"/>
        <v>免征</v>
      </c>
    </row>
    <row r="54" spans="1:35" ht="12" customHeight="1">
      <c r="A54" s="3456" t="s">
        <v>1356</v>
      </c>
      <c r="B54" s="4034" t="s">
        <v>2289</v>
      </c>
      <c r="C54" s="4035"/>
      <c r="D54" s="1086">
        <f ca="1">C68</f>
        <v>0</v>
      </c>
      <c r="E54" s="327" t="s">
        <v>1357</v>
      </c>
      <c r="F54" s="2552">
        <f>'数据-取费表'!B41</f>
        <v>5.6000000000000001E-2</v>
      </c>
      <c r="G54" s="2553"/>
      <c r="H54" s="2554"/>
      <c r="I54" s="1806"/>
      <c r="J54" s="3466">
        <v>3</v>
      </c>
      <c r="K54" s="4010" t="s">
        <v>1358</v>
      </c>
      <c r="L54" s="4010"/>
      <c r="M54" s="2523">
        <f t="shared" ca="1" si="0"/>
        <v>0</v>
      </c>
      <c r="N54" s="3466" t="str">
        <f t="shared" si="0"/>
        <v>增值额×税（费）率</v>
      </c>
      <c r="O54" s="2525" t="str">
        <f t="shared" si="0"/>
        <v>免征</v>
      </c>
    </row>
    <row r="55" spans="1:35" ht="24" customHeight="1">
      <c r="A55" s="4070" t="s">
        <v>1359</v>
      </c>
      <c r="B55" s="4048"/>
      <c r="C55" s="4048"/>
      <c r="D55" s="3468">
        <f ca="1">IF(H55="个人住宅",0,ROUND(D45*I55,0))</f>
        <v>0</v>
      </c>
      <c r="E55" s="3457" t="s">
        <v>1360</v>
      </c>
      <c r="F55" s="2552" t="str">
        <f>IF(H55="正常",I55,"免征")</f>
        <v>免征</v>
      </c>
      <c r="G55" s="2553"/>
      <c r="H55" s="2548"/>
      <c r="I55" s="165">
        <f>'数据-取费表'!B49</f>
        <v>0</v>
      </c>
      <c r="J55" s="3466">
        <f>IF(H59="非个人房产","",4)</f>
        <v>4</v>
      </c>
      <c r="K55" s="4010" t="str">
        <f>IF(H59="非个人房产","——","个人所得税")</f>
        <v>个人所得税</v>
      </c>
      <c r="L55" s="4010"/>
      <c r="M55" s="2526">
        <f ca="1">D59</f>
        <v>0</v>
      </c>
      <c r="N55" s="3467" t="str">
        <f>E59</f>
        <v>差额计税</v>
      </c>
      <c r="O55" s="2527">
        <f>F59</f>
        <v>0.01</v>
      </c>
    </row>
    <row r="56" spans="1:35" ht="24.75">
      <c r="A56" s="4070" t="s">
        <v>1361</v>
      </c>
      <c r="B56" s="4048"/>
      <c r="C56" s="4048"/>
      <c r="D56" s="3468">
        <f ca="1">IF(H56="个人住宅",D57,D58)</f>
        <v>0</v>
      </c>
      <c r="E56" s="3457" t="s">
        <v>1362</v>
      </c>
      <c r="F56" s="2552" t="str">
        <f>IF(H56="正常",F58,"免征")</f>
        <v>免征</v>
      </c>
      <c r="G56" s="2555" t="s">
        <v>1363</v>
      </c>
      <c r="H56" s="2556"/>
      <c r="I56" s="1807"/>
      <c r="J56" s="3466" t="str">
        <f>IF(项目基本情况!K6="上海银行",IF(J55="",4,J55+1),"")</f>
        <v/>
      </c>
      <c r="K56" s="3991" t="str">
        <f>IF(项目基本情况!K6="上海银行","其他处置费用","")</f>
        <v/>
      </c>
      <c r="L56" s="3992"/>
      <c r="M56" s="2523" t="str">
        <f>IF(项目基本情况!K6="上海银行",M69,"")</f>
        <v/>
      </c>
      <c r="N56" s="3991" t="str">
        <f>IF(项目基本情况!K6="上海银行","包含处置中涉及的律师、诉讼、拍卖、评估等费用","")</f>
        <v/>
      </c>
      <c r="O56" s="3994"/>
    </row>
    <row r="57" spans="1:35" ht="12.75">
      <c r="A57" s="3456" t="s">
        <v>1339</v>
      </c>
      <c r="B57" s="4034" t="s">
        <v>1364</v>
      </c>
      <c r="C57" s="4035"/>
      <c r="D57" s="1589">
        <v>0</v>
      </c>
      <c r="E57" s="324" t="s">
        <v>1341</v>
      </c>
      <c r="F57" s="302"/>
      <c r="G57" s="2553"/>
      <c r="H57" s="2557"/>
      <c r="I57" s="1807"/>
      <c r="J57" s="4010">
        <f>IF(AND(J55="",J56=""),4,IF(项目基本情况!K6="上海银行",'结果表-车位'!J56+1,'结果表-车位'!J55+1))</f>
        <v>5</v>
      </c>
      <c r="K57" s="4010" t="s">
        <v>1365</v>
      </c>
      <c r="L57" s="2528" t="s">
        <v>1366</v>
      </c>
      <c r="M57" s="2529"/>
      <c r="N57" s="2530">
        <f ca="1">SUMIF(M52:M56,"&lt;9e307")</f>
        <v>0</v>
      </c>
      <c r="O57" s="2531"/>
      <c r="P57" s="2688" t="e">
        <f ca="1">N57/M49</f>
        <v>#DIV/0!</v>
      </c>
    </row>
    <row r="58" spans="1:35" ht="24.75">
      <c r="A58" s="3456" t="s">
        <v>1350</v>
      </c>
      <c r="B58" s="4034" t="s">
        <v>1367</v>
      </c>
      <c r="C58" s="4033"/>
      <c r="D58" s="3468">
        <f ca="1">IF(H58="转让取得",C81,C97)</f>
        <v>0</v>
      </c>
      <c r="E58" s="3457" t="s">
        <v>1362</v>
      </c>
      <c r="F58" s="302" t="s">
        <v>28</v>
      </c>
      <c r="G58" s="2553"/>
      <c r="H58" s="2556"/>
      <c r="I58" s="1807"/>
      <c r="J58" s="4010"/>
      <c r="K58" s="4010"/>
      <c r="L58" s="2528" t="s">
        <v>1368</v>
      </c>
      <c r="M58" s="2532"/>
      <c r="N58" s="2533" t="str">
        <f ca="1">NUMBERSTRING(INT(N57*10000),2)&amp;"元整"</f>
        <v>零元整</v>
      </c>
      <c r="O58" s="2534"/>
    </row>
    <row r="59" spans="1:35" ht="24.75" thickBot="1">
      <c r="A59" s="4014" t="s">
        <v>1369</v>
      </c>
      <c r="B59" s="4015"/>
      <c r="C59" s="4015"/>
      <c r="D59" s="2558">
        <f ca="1">IF(H59="非个人房产","——",IF(H59="个人住宅（满五唯一有凭证）",0,IF(H59="个人其他（无凭证）",ROUND(D45*F59,0),ROUND(C67*F59,0))))</f>
        <v>0</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1363</v>
      </c>
      <c r="H59" s="2313"/>
      <c r="I59" s="2312" t="s">
        <v>2134</v>
      </c>
      <c r="J59" s="4012">
        <f>J57+1</f>
        <v>6</v>
      </c>
      <c r="K59" s="4010" t="s">
        <v>1370</v>
      </c>
      <c r="L59" s="3466" t="s">
        <v>1366</v>
      </c>
      <c r="M59" s="2535"/>
      <c r="N59" s="2536">
        <f ca="1">M49-N57</f>
        <v>0</v>
      </c>
      <c r="O59" s="2537"/>
    </row>
    <row r="60" spans="1:35" ht="12" customHeight="1">
      <c r="A60" s="1808"/>
      <c r="B60" s="1746"/>
      <c r="C60" s="1746"/>
      <c r="D60" s="1746"/>
      <c r="E60" s="1577"/>
      <c r="F60" s="1807"/>
      <c r="G60" s="1807"/>
      <c r="H60" s="1809"/>
      <c r="I60" s="129"/>
      <c r="J60" s="4013"/>
      <c r="K60" s="4010"/>
      <c r="L60" s="2528" t="s">
        <v>1368</v>
      </c>
      <c r="M60" s="2532"/>
      <c r="N60" s="2533" t="str">
        <f ca="1">NUMBERSTRING(INT(N59*10000),2)&amp;"元整"</f>
        <v>零元整</v>
      </c>
      <c r="O60" s="2534"/>
    </row>
    <row r="61" spans="1:35" ht="13.5" thickBot="1">
      <c r="A61" s="4069" t="s">
        <v>1371</v>
      </c>
      <c r="B61" s="4069"/>
      <c r="C61" s="4069"/>
      <c r="D61" s="4069"/>
      <c r="E61" s="4069"/>
      <c r="F61" s="1807"/>
      <c r="G61" s="1807"/>
      <c r="H61" s="1809"/>
      <c r="I61" s="129"/>
      <c r="J61" s="3466">
        <f>J59+1</f>
        <v>7</v>
      </c>
      <c r="K61" s="4010" t="s">
        <v>1372</v>
      </c>
      <c r="L61" s="4010"/>
      <c r="M61" s="2538"/>
      <c r="N61" s="2539">
        <f ca="1">ROUND(N59*10000/'数据-汇总表'!E3,0)</f>
        <v>0</v>
      </c>
      <c r="O61" s="2540"/>
    </row>
    <row r="62" spans="1:35" ht="12.75">
      <c r="A62" s="4029" t="s">
        <v>1373</v>
      </c>
      <c r="B62" s="4030"/>
      <c r="C62" s="3460"/>
      <c r="D62" s="3460" t="s">
        <v>1374</v>
      </c>
      <c r="E62" s="166" t="s">
        <v>1375</v>
      </c>
      <c r="F62" s="1807"/>
      <c r="G62" s="1807"/>
      <c r="H62" s="1809"/>
      <c r="I62" s="129"/>
    </row>
    <row r="63" spans="1:35" ht="12.75">
      <c r="A63" s="173" t="s">
        <v>330</v>
      </c>
      <c r="B63" s="167" t="s">
        <v>1376</v>
      </c>
      <c r="C63" s="2562">
        <f ca="1">ROUND((C64+C65)/(1+'数据-取费表'!C42),0)</f>
        <v>0</v>
      </c>
      <c r="D63" s="167"/>
      <c r="E63" s="168"/>
      <c r="F63" s="1807"/>
      <c r="G63" s="1807"/>
      <c r="H63" s="1809"/>
      <c r="I63" s="129"/>
      <c r="J63" s="3993" t="s">
        <v>1377</v>
      </c>
      <c r="K63" s="3469" t="s">
        <v>1378</v>
      </c>
      <c r="L63" s="3469">
        <f ca="1">IF(M49&gt;10000,M49*0.5%,IF(AND(M49&gt;1000,M49&lt;=10000),M49*1%,IF(AND(M49&gt;100,M49&lt;=1000),M49*3%,IF(AND(M49&gt;10,M49&lt;=100),M49*5%,M49*8%))))</f>
        <v>0</v>
      </c>
      <c r="M63" s="302">
        <f ca="1">ROUND(L63,1)</f>
        <v>0</v>
      </c>
      <c r="N63" s="2541"/>
      <c r="Z63" s="1751"/>
      <c r="AI63" s="1752"/>
    </row>
    <row r="64" spans="1:35" ht="14.25" customHeight="1">
      <c r="A64" s="169" t="s">
        <v>325</v>
      </c>
      <c r="B64" s="170" t="s">
        <v>1379</v>
      </c>
      <c r="C64" s="2563">
        <f ca="1">D45</f>
        <v>0</v>
      </c>
      <c r="D64" s="170" t="s">
        <v>26</v>
      </c>
      <c r="E64" s="172"/>
      <c r="F64" s="1807"/>
      <c r="G64" s="1807"/>
      <c r="H64" s="1809"/>
      <c r="I64" s="129"/>
      <c r="J64" s="3993"/>
      <c r="K64" s="3469" t="s">
        <v>1380</v>
      </c>
      <c r="L64" s="3469" t="b">
        <f ca="1">IF(M49&gt;2000,M49*0.5%,IF(AND(M49&gt;1000,M49&lt;=2000),M49*0.6%,IF(AND(M49&gt;500,M49&lt;=1000),M49*0.7%,IF(AND(M49&gt;200,M49&lt;=500),M49*0.8%,IF(AND(M49&gt;100,M49&lt;=200),M49*0.9%,IF(AND(M49&gt;50,M49&lt;=100),M49*1%,IF(AND(M49&gt;20,M49&lt;=50),M49*1.5%,IF(AND(M49&gt;10,M49&lt;=20),M49*2%,IF(AND(M49&gt;1,M49&lt;=10),M49*2.5%)))))))))</f>
        <v>0</v>
      </c>
      <c r="M64" s="302">
        <f t="shared" ref="M64:M65" ca="1" si="1">ROUND(L64,1)</f>
        <v>0</v>
      </c>
      <c r="N64" s="2542" t="s">
        <v>1381</v>
      </c>
      <c r="Z64" s="1751"/>
      <c r="AI64" s="1752"/>
    </row>
    <row r="65" spans="1:35" ht="14.25" customHeight="1">
      <c r="A65" s="169" t="s">
        <v>326</v>
      </c>
      <c r="B65" s="170" t="s">
        <v>1382</v>
      </c>
      <c r="C65" s="2564"/>
      <c r="D65" s="170"/>
      <c r="E65" s="172"/>
      <c r="F65" s="1807"/>
      <c r="G65" s="1807"/>
      <c r="H65" s="1809"/>
      <c r="I65" s="129"/>
      <c r="J65" s="3993"/>
      <c r="K65" s="3469" t="s">
        <v>1383</v>
      </c>
      <c r="L65" s="3469" t="b">
        <f ca="1">IF(M49&gt;1000,M49*0.1%,IF(AND(M49&gt;500,M49&lt;=1000),M49*0.5%,IF(AND(M49&gt;50,M49&lt;=500),M49*1%,IF(AND(M49&gt;1,M49&lt;=50),M49*1.5%))))</f>
        <v>0</v>
      </c>
      <c r="M65" s="302">
        <f t="shared" ca="1" si="1"/>
        <v>0</v>
      </c>
      <c r="N65" s="2542" t="s">
        <v>1381</v>
      </c>
      <c r="Z65" s="1751"/>
      <c r="AI65" s="1752"/>
    </row>
    <row r="66" spans="1:35" ht="14.25" customHeight="1">
      <c r="A66" s="173" t="s">
        <v>327</v>
      </c>
      <c r="B66" s="174" t="s">
        <v>1384</v>
      </c>
      <c r="C66" s="2565"/>
      <c r="D66" s="174" t="s">
        <v>26</v>
      </c>
      <c r="E66" s="1337" t="s">
        <v>669</v>
      </c>
      <c r="F66" s="1807"/>
      <c r="G66" s="1807"/>
      <c r="H66" s="1809"/>
      <c r="I66" s="129"/>
      <c r="J66" s="3993"/>
      <c r="K66" s="3469" t="s">
        <v>1385</v>
      </c>
      <c r="L66" s="3469">
        <f ca="1">M49*0.5%</f>
        <v>0</v>
      </c>
      <c r="M66" s="302">
        <f ca="1">IF(L66&gt;0.5,0.5,ROUND(L66,0))</f>
        <v>0</v>
      </c>
      <c r="N66" s="2542" t="s">
        <v>1386</v>
      </c>
      <c r="Z66" s="1751"/>
      <c r="AI66" s="1752"/>
    </row>
    <row r="67" spans="1:35" ht="14.25" customHeight="1">
      <c r="A67" s="173" t="s">
        <v>328</v>
      </c>
      <c r="B67" s="174" t="s">
        <v>1387</v>
      </c>
      <c r="C67" s="2566">
        <f ca="1">C63-C66</f>
        <v>0</v>
      </c>
      <c r="D67" s="170" t="s">
        <v>26</v>
      </c>
      <c r="E67" s="172"/>
      <c r="F67" s="1807"/>
      <c r="G67" s="1807"/>
      <c r="H67" s="1809"/>
      <c r="I67" s="129"/>
      <c r="J67" s="3993"/>
      <c r="K67" s="3469" t="s">
        <v>1388</v>
      </c>
      <c r="L67" s="3469" t="b">
        <f ca="1">IF(M49&gt;=10000,(8.25+(M49-10000)*0.01%),IF(AND(M49&gt;=8000,M49&lt;10000),(7.85+(M49-8000)*0.02%),IF(AND(M49&gt;=5000,M49&lt;8000),(6.65+(M49-5000)*0.04%),IF(AND(M49&gt;=2000,M49&lt;5000),(4.25+(PM49-2000)*0.08%),IF(AND(M49&gt;=1000,M49&lt;2000),(2.75+(M49-1000)*0.15%),IF(AND(M49&gt;=100,M49&lt;1000),(0.5+(M49-100)*0.25%),IF(AND(M49&gt;0,M49&lt;100),M49*0.5%)))))))</f>
        <v>0</v>
      </c>
      <c r="M67" s="302">
        <f ca="1">ROUND(L67*0.9,1)</f>
        <v>0</v>
      </c>
      <c r="N67" s="2541"/>
      <c r="Z67" s="1751"/>
      <c r="AI67" s="1752"/>
    </row>
    <row r="68" spans="1:35" ht="14.25" customHeight="1" thickBot="1">
      <c r="A68" s="176" t="s">
        <v>329</v>
      </c>
      <c r="B68" s="177" t="s">
        <v>1389</v>
      </c>
      <c r="C68" s="2567">
        <f ca="1">IF(C67&lt;=0,0,ROUND(C67*D68,0))</f>
        <v>0</v>
      </c>
      <c r="D68" s="2568">
        <f>'数据-取费表'!B41</f>
        <v>5.6000000000000001E-2</v>
      </c>
      <c r="E68" s="178"/>
      <c r="F68" s="1807"/>
      <c r="G68" s="1807"/>
      <c r="H68" s="1809"/>
      <c r="I68" s="129"/>
      <c r="J68" s="3993"/>
      <c r="K68" s="3469" t="s">
        <v>1390</v>
      </c>
      <c r="L68" s="3469">
        <f ca="1">IF(M49&gt;10000,M49*0.5%,IF(AND(M49&gt;5000,M49&lt;=10000),M49*1%,IF(AND(M49&gt;1000,M49&lt;=5000),M49*2%,IF(AND(M49&gt;200,M49&lt;=1000),M49*3%,M49*5%))))</f>
        <v>0</v>
      </c>
      <c r="M68" s="302">
        <f ca="1">ROUND(L68,1)</f>
        <v>0</v>
      </c>
      <c r="N68" s="2541"/>
      <c r="Z68" s="1751"/>
      <c r="AI68" s="1752"/>
    </row>
    <row r="69" spans="1:35" s="1771" customFormat="1" ht="16.5" customHeight="1">
      <c r="A69" s="1810"/>
      <c r="B69" s="1811"/>
      <c r="C69" s="1812"/>
      <c r="D69" s="1813"/>
      <c r="E69" s="1814"/>
      <c r="F69" s="1577"/>
      <c r="G69" s="1577"/>
      <c r="H69" s="1576"/>
      <c r="I69" s="1746"/>
      <c r="J69" s="3993"/>
      <c r="K69" s="3469" t="s">
        <v>1391</v>
      </c>
      <c r="L69" s="3469"/>
      <c r="M69" s="302">
        <f ca="1">ROUND(SUM(M63:M68),0)</f>
        <v>0</v>
      </c>
      <c r="N69" s="2543" t="e">
        <f ca="1">M69/M49</f>
        <v>#DIV/0!</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4037" t="s">
        <v>1392</v>
      </c>
      <c r="B70" s="4038"/>
      <c r="C70" s="4038"/>
      <c r="D70" s="4038"/>
      <c r="E70" s="4038"/>
      <c r="F70" s="4038"/>
      <c r="G70" s="4038"/>
      <c r="H70" s="4038"/>
      <c r="I70" s="1815"/>
      <c r="J70" s="2689"/>
      <c r="K70" s="2689"/>
      <c r="L70" s="2689"/>
      <c r="M70" s="2689"/>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4029" t="s">
        <v>1373</v>
      </c>
      <c r="B71" s="4030"/>
      <c r="C71" s="3460"/>
      <c r="D71" s="3460" t="s">
        <v>1374</v>
      </c>
      <c r="E71" s="179" t="s">
        <v>1375</v>
      </c>
      <c r="F71" s="180"/>
      <c r="G71" s="180"/>
      <c r="H71" s="181"/>
      <c r="I71" s="1819"/>
      <c r="J71" s="2689"/>
      <c r="K71" s="2689"/>
      <c r="L71" s="2689"/>
      <c r="M71" s="2689"/>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3" t="s">
        <v>330</v>
      </c>
      <c r="B72" s="174" t="s">
        <v>1393</v>
      </c>
      <c r="C72" s="2566">
        <f ca="1">ROUND(D45/(1+'数据-取费表'!C42),0)</f>
        <v>0</v>
      </c>
      <c r="D72" s="170" t="s">
        <v>26</v>
      </c>
      <c r="E72" s="3459"/>
      <c r="F72" s="3451"/>
      <c r="G72" s="3451"/>
      <c r="H72" s="182"/>
      <c r="I72" s="1819"/>
      <c r="J72" s="2689"/>
      <c r="K72" s="2689"/>
      <c r="L72" s="2689"/>
      <c r="M72" s="2689"/>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3" t="s">
        <v>327</v>
      </c>
      <c r="B73" s="163" t="s">
        <v>1394</v>
      </c>
      <c r="C73" s="2566">
        <f ca="1">C74+C78</f>
        <v>0</v>
      </c>
      <c r="D73" s="170" t="s">
        <v>26</v>
      </c>
      <c r="E73" s="3459"/>
      <c r="F73" s="3451"/>
      <c r="G73" s="3451"/>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9" t="s">
        <v>325</v>
      </c>
      <c r="B74" s="170" t="s">
        <v>1395</v>
      </c>
      <c r="C74" s="170">
        <f>ROUND(IF(G77="2016年5月1日后购买",C75/(1+'数据-取费表'!C42)+C76+C77,C75+C76+C77),0)</f>
        <v>0</v>
      </c>
      <c r="D74" s="170" t="s">
        <v>26</v>
      </c>
      <c r="E74" s="3459"/>
      <c r="F74" s="3451"/>
      <c r="G74" s="3451"/>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9" t="s">
        <v>331</v>
      </c>
      <c r="B75" s="170" t="s">
        <v>1396</v>
      </c>
      <c r="C75" s="2569"/>
      <c r="D75" s="170" t="s">
        <v>26</v>
      </c>
      <c r="E75" s="184" t="s">
        <v>1397</v>
      </c>
      <c r="F75" s="2570"/>
      <c r="G75" s="184" t="s">
        <v>1398</v>
      </c>
      <c r="H75" s="2571"/>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9" t="s">
        <v>332</v>
      </c>
      <c r="B76" s="185" t="s">
        <v>1399</v>
      </c>
      <c r="C76" s="170">
        <f>IF(F75="购房发票",ROUND(C75*H75*D76,0),0)</f>
        <v>0</v>
      </c>
      <c r="D76" s="2572">
        <v>0.05</v>
      </c>
      <c r="E76" s="4034" t="s">
        <v>1400</v>
      </c>
      <c r="F76" s="4033"/>
      <c r="G76" s="4033"/>
      <c r="H76" s="4036"/>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9" t="s">
        <v>333</v>
      </c>
      <c r="B77" s="170" t="s">
        <v>1401</v>
      </c>
      <c r="C77" s="170">
        <f>ROUND(IF(G77="个人住宅",0,IF(G77="2016年5月1日前购买",C75*D77,C75*D77/(1+'数据-取费表'!C42))),0)</f>
        <v>0</v>
      </c>
      <c r="D77" s="2573">
        <f>'数据-取费表'!B48+'数据-取费表'!B49</f>
        <v>0.03</v>
      </c>
      <c r="E77" s="3468" t="s">
        <v>1402</v>
      </c>
      <c r="F77" s="186"/>
      <c r="G77" s="1821"/>
      <c r="H77" s="3463"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9" t="s">
        <v>326</v>
      </c>
      <c r="B78" s="170" t="s">
        <v>1403</v>
      </c>
      <c r="C78" s="2574">
        <f ca="1">ROUND(D45*D78/(1+'数据-取费表'!C42),0)</f>
        <v>0</v>
      </c>
      <c r="D78" s="2575">
        <f>'数据-取费表'!B43</f>
        <v>6.000000000000001E-3</v>
      </c>
      <c r="E78" s="4026" t="s">
        <v>1404</v>
      </c>
      <c r="F78" s="4027"/>
      <c r="G78" s="4027"/>
      <c r="H78" s="4028"/>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3" t="s">
        <v>334</v>
      </c>
      <c r="B79" s="174" t="s">
        <v>1405</v>
      </c>
      <c r="C79" s="2566">
        <f ca="1">C72-C73</f>
        <v>0</v>
      </c>
      <c r="D79" s="170" t="s">
        <v>26</v>
      </c>
      <c r="E79" s="3459"/>
      <c r="F79" s="3451"/>
      <c r="G79" s="3451"/>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3" t="s">
        <v>335</v>
      </c>
      <c r="B80" s="174" t="s">
        <v>1406</v>
      </c>
      <c r="C80" s="2576">
        <f ca="1">IF(C79&lt;=0,0,C79/C73)</f>
        <v>0</v>
      </c>
      <c r="D80" s="170" t="s">
        <v>26</v>
      </c>
      <c r="E80" s="3468" t="str">
        <f ca="1">IF(C80&gt;=200%,"增值额超过扣除项目金额200%",IF(C80&gt;=100%,"增值额超过扣除项目金额100%，未超过200%",IF(C80&gt;=50%,"增值额超过扣除项目金额50%，未超过100%",IF(C80&lt;50%,"增值额未超过扣除项目金额50%"))))</f>
        <v>增值额未超过扣除项目金额50%</v>
      </c>
      <c r="F80" s="3451"/>
      <c r="G80" s="3451"/>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6" t="s">
        <v>336</v>
      </c>
      <c r="B81" s="177" t="s">
        <v>1407</v>
      </c>
      <c r="C81" s="2577">
        <f ca="1">ROUND(IF(C79&lt;=0,0,IF(C80&gt;=200%,C79*60%-C73*35%,IF(C80&gt;=100%,C79*50%-C73*15%,IF(C80&gt;=50%,C79*40%-C73*5%,IF(C80&lt;50%,C79*30%,0))))),0)</f>
        <v>0</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4037" t="s">
        <v>1408</v>
      </c>
      <c r="B83" s="4038"/>
      <c r="C83" s="4038"/>
      <c r="D83" s="4038"/>
      <c r="E83" s="4038"/>
      <c r="F83" s="4038"/>
      <c r="G83" s="4038"/>
      <c r="H83" s="4038"/>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4029" t="s">
        <v>1373</v>
      </c>
      <c r="B84" s="4030"/>
      <c r="C84" s="3460"/>
      <c r="D84" s="3460" t="s">
        <v>1374</v>
      </c>
      <c r="E84" s="179" t="s">
        <v>1375</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3" t="s">
        <v>330</v>
      </c>
      <c r="B85" s="174" t="s">
        <v>1393</v>
      </c>
      <c r="C85" s="2566">
        <f ca="1">ROUND(D45/(1+'数据-取费表'!C42),0)</f>
        <v>0</v>
      </c>
      <c r="D85" s="170" t="s">
        <v>26</v>
      </c>
      <c r="E85" s="3459"/>
      <c r="F85" s="3451"/>
      <c r="G85" s="3451"/>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3" t="s">
        <v>327</v>
      </c>
      <c r="B86" s="163" t="s">
        <v>1394</v>
      </c>
      <c r="C86" s="2566">
        <f ca="1">IF(H88="仅含出让金",C87+C90+C91+C92+C93+C94,C87+C91+C92+C93+C94)</f>
        <v>0</v>
      </c>
      <c r="D86" s="2579"/>
      <c r="E86" s="3459"/>
      <c r="F86" s="3451"/>
      <c r="G86" s="3451"/>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9" t="s">
        <v>325</v>
      </c>
      <c r="B87" s="170" t="s">
        <v>1409</v>
      </c>
      <c r="C87" s="2574">
        <f>C88+C89</f>
        <v>0</v>
      </c>
      <c r="D87" s="2575"/>
      <c r="E87" s="3453"/>
      <c r="F87" s="3454"/>
      <c r="G87" s="3454"/>
      <c r="H87" s="3458"/>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9" t="s">
        <v>331</v>
      </c>
      <c r="B88" s="170" t="s">
        <v>1410</v>
      </c>
      <c r="C88" s="2580"/>
      <c r="D88" s="2575"/>
      <c r="E88" s="193" t="s">
        <v>1411</v>
      </c>
      <c r="F88" s="3454"/>
      <c r="G88" s="194" t="s">
        <v>1412</v>
      </c>
      <c r="H88" s="1823"/>
      <c r="I88" s="1820"/>
      <c r="J88" s="2519" t="s">
        <v>2285</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9" t="s">
        <v>332</v>
      </c>
      <c r="B89" s="170" t="s">
        <v>1401</v>
      </c>
      <c r="C89" s="2574">
        <f>ROUND(C88*D89,0)</f>
        <v>0</v>
      </c>
      <c r="D89" s="2575">
        <f>'数据-取费表'!B48+'数据-取费表'!B49</f>
        <v>0.03</v>
      </c>
      <c r="E89" s="193" t="s">
        <v>1413</v>
      </c>
      <c r="F89" s="3454"/>
      <c r="G89" s="3454"/>
      <c r="H89" s="3458"/>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9" t="s">
        <v>326</v>
      </c>
      <c r="B90" s="170" t="s">
        <v>1414</v>
      </c>
      <c r="C90" s="2580"/>
      <c r="D90" s="2575"/>
      <c r="E90" s="193" t="str">
        <f>IF(H88="-","土地取得成本中已包含该笔费用"," ")</f>
        <v xml:space="preserve"> </v>
      </c>
      <c r="F90" s="3454"/>
      <c r="G90" s="3995" t="s">
        <v>2126</v>
      </c>
      <c r="H90" s="3996"/>
      <c r="I90" s="1820"/>
      <c r="J90" s="2519" t="s">
        <v>2286</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9" t="s">
        <v>1415</v>
      </c>
      <c r="B91" s="170" t="s">
        <v>1416</v>
      </c>
      <c r="C91" s="2574">
        <f>IF(H91="——",成本法!C33,I91)</f>
        <v>0</v>
      </c>
      <c r="D91" s="2575"/>
      <c r="E91" s="4026" t="s">
        <v>1417</v>
      </c>
      <c r="F91" s="4027"/>
      <c r="G91" s="4027"/>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9" t="s">
        <v>1418</v>
      </c>
      <c r="B92" s="170" t="s">
        <v>1419</v>
      </c>
      <c r="C92" s="2574">
        <f>ROUND((C87+C90+C91)*D92,0)</f>
        <v>0</v>
      </c>
      <c r="D92" s="2581"/>
      <c r="E92" s="4026" t="s">
        <v>1420</v>
      </c>
      <c r="F92" s="4027"/>
      <c r="G92" s="4027"/>
      <c r="H92" s="4028"/>
      <c r="I92" s="1820"/>
      <c r="J92" s="2520" t="s">
        <v>2287</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9" t="s">
        <v>1421</v>
      </c>
      <c r="B93" s="170" t="s">
        <v>1403</v>
      </c>
      <c r="C93" s="2574">
        <f ca="1">ROUND(D45*D93/(1+'数据-取费表'!C42),0)</f>
        <v>0</v>
      </c>
      <c r="D93" s="2575">
        <f>'数据-取费表'!B43</f>
        <v>6.000000000000001E-3</v>
      </c>
      <c r="E93" s="4026" t="s">
        <v>1404</v>
      </c>
      <c r="F93" s="4027"/>
      <c r="G93" s="4027"/>
      <c r="H93" s="4028"/>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9" t="s">
        <v>1422</v>
      </c>
      <c r="B94" s="170" t="s">
        <v>1423</v>
      </c>
      <c r="C94" s="2580">
        <f>ROUND((C87+C90+C91)*D94,0)</f>
        <v>0</v>
      </c>
      <c r="D94" s="2575">
        <v>0.2</v>
      </c>
      <c r="E94" s="4071" t="s">
        <v>1424</v>
      </c>
      <c r="F94" s="4072"/>
      <c r="G94" s="4072"/>
      <c r="H94" s="4073"/>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3" t="s">
        <v>334</v>
      </c>
      <c r="B95" s="174" t="s">
        <v>1405</v>
      </c>
      <c r="C95" s="2566">
        <f ca="1">ROUND(C85-C86,0)</f>
        <v>0</v>
      </c>
      <c r="D95" s="170" t="s">
        <v>26</v>
      </c>
      <c r="E95" s="3459"/>
      <c r="F95" s="3451"/>
      <c r="G95" s="3451"/>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3" t="s">
        <v>335</v>
      </c>
      <c r="B96" s="174" t="s">
        <v>1406</v>
      </c>
      <c r="C96" s="2576">
        <f ca="1">IF(C95&lt;=0,0,C95/C86)</f>
        <v>0</v>
      </c>
      <c r="D96" s="170" t="s">
        <v>26</v>
      </c>
      <c r="E96" s="3468" t="str">
        <f ca="1">IF(C96&gt;=200%,"增值额超过扣除项目金额200%",IF(C96&gt;=100%,"增值额超过扣除项目金额100%，未超过200%",IF(C96&gt;=50%,"增值额超过扣除项目金额50%，未超过100%",IF(C96&lt;50%,"增值额未超过扣除项目金额50%"))))</f>
        <v>增值额未超过扣除项目金额50%</v>
      </c>
      <c r="F96" s="3451"/>
      <c r="G96" s="3451"/>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6" t="s">
        <v>336</v>
      </c>
      <c r="B97" s="177" t="s">
        <v>1407</v>
      </c>
      <c r="C97" s="2577">
        <f ca="1">ROUND(IF(C95&lt;=0,0,IF(C96&gt;=200%,C95*60%-C86*35%,IF(C96&gt;=100%,C95*50%-C86*15%,IF(C96&gt;=50%,C95*40%-C86*5%,IF(C96&lt;50%,C95*30%,0))))),0)</f>
        <v>0</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9"/>
    </row>
    <row r="99" spans="1:35" ht="21.75" customHeight="1" thickBot="1">
      <c r="A99" s="1799" t="s">
        <v>1425</v>
      </c>
      <c r="B99" s="1746"/>
      <c r="C99" s="1746"/>
      <c r="D99" s="1746"/>
      <c r="E99" s="1577"/>
      <c r="F99" s="1577"/>
      <c r="G99" s="1577"/>
      <c r="H99" s="1576"/>
      <c r="I99" s="129"/>
    </row>
    <row r="100" spans="1:35" ht="18.75" customHeight="1">
      <c r="A100" s="3934" t="s">
        <v>1426</v>
      </c>
      <c r="B100" s="3935"/>
      <c r="C100" s="3935"/>
      <c r="D100" s="4011"/>
      <c r="E100" s="3935" t="s">
        <v>1427</v>
      </c>
      <c r="F100" s="3935"/>
      <c r="G100" s="3935"/>
      <c r="H100" s="4011"/>
      <c r="I100" s="129"/>
    </row>
    <row r="101" spans="1:35" ht="18.75" customHeight="1">
      <c r="A101" s="4019" t="s">
        <v>1428</v>
      </c>
      <c r="B101" s="4020"/>
      <c r="C101" s="2583" t="str">
        <f>C4</f>
        <v>成本法</v>
      </c>
      <c r="D101" s="2584" t="str">
        <f>D4</f>
        <v>收益法-地下</v>
      </c>
      <c r="E101" s="3989" t="s">
        <v>1429</v>
      </c>
      <c r="F101" s="3990"/>
      <c r="G101" s="1826" t="s">
        <v>1430</v>
      </c>
      <c r="H101" s="2593">
        <f ca="1">H118</f>
        <v>0</v>
      </c>
      <c r="I101" s="129"/>
    </row>
    <row r="102" spans="1:35" ht="18.75" customHeight="1">
      <c r="A102" s="4021" t="s">
        <v>1431</v>
      </c>
      <c r="B102" s="2582" t="s">
        <v>1430</v>
      </c>
      <c r="C102" s="2583">
        <f ca="1">IF(D32="楼面单价",ROUND(C19,0),C19)</f>
        <v>3684</v>
      </c>
      <c r="D102" s="2584">
        <f ca="1">IF(D32="楼面单价",ROUND(D19,0),D19)</f>
        <v>942</v>
      </c>
      <c r="E102" s="3989"/>
      <c r="F102" s="3990"/>
      <c r="G102" s="1826" t="s">
        <v>1432</v>
      </c>
      <c r="H102" s="2553">
        <f ca="1">I118</f>
        <v>4967</v>
      </c>
      <c r="I102" s="129"/>
    </row>
    <row r="103" spans="1:35" ht="42.75" customHeight="1">
      <c r="A103" s="4021"/>
      <c r="B103" s="2582" t="s">
        <v>1432</v>
      </c>
      <c r="C103" s="2585">
        <f ca="1">C20</f>
        <v>6395</v>
      </c>
      <c r="D103" s="2586">
        <f ca="1">D20</f>
        <v>1635</v>
      </c>
      <c r="E103" s="3982" t="s">
        <v>1433</v>
      </c>
      <c r="F103" s="3983"/>
      <c r="G103" s="1827" t="s">
        <v>1434</v>
      </c>
      <c r="H103" s="2593">
        <f>IF(D36="正常操作",H104+H105+H106,H105+H106)</f>
        <v>0</v>
      </c>
      <c r="I103" s="129"/>
    </row>
    <row r="104" spans="1:35" ht="18.75" customHeight="1">
      <c r="A104" s="4021" t="s">
        <v>1435</v>
      </c>
      <c r="B104" s="2587" t="s">
        <v>1430</v>
      </c>
      <c r="C104" s="2588">
        <f ca="1">H118</f>
        <v>0</v>
      </c>
      <c r="D104" s="2589"/>
      <c r="E104" s="1673" t="s">
        <v>1436</v>
      </c>
      <c r="F104" s="1665"/>
      <c r="G104" s="1827" t="s">
        <v>1434</v>
      </c>
      <c r="H104" s="2594">
        <f>IF(D36="同一抵押权人同一抵押物续贷",C36&amp;"（续贷，未扣减，详见特别提示）",C36)</f>
        <v>0</v>
      </c>
      <c r="I104" s="129"/>
    </row>
    <row r="105" spans="1:35" ht="18.75" customHeight="1" thickBot="1">
      <c r="A105" s="4031"/>
      <c r="B105" s="2590" t="s">
        <v>1432</v>
      </c>
      <c r="C105" s="2591">
        <f ca="1">I118</f>
        <v>4967</v>
      </c>
      <c r="D105" s="2592"/>
      <c r="E105" s="1673" t="s">
        <v>1437</v>
      </c>
      <c r="F105" s="1665"/>
      <c r="G105" s="1827" t="s">
        <v>1434</v>
      </c>
      <c r="H105" s="2595">
        <f>C37</f>
        <v>0</v>
      </c>
      <c r="I105" s="129"/>
    </row>
    <row r="106" spans="1:35" ht="18.75" customHeight="1">
      <c r="A106" s="1746" t="s">
        <v>1438</v>
      </c>
      <c r="B106" s="1746"/>
      <c r="C106" s="1746"/>
      <c r="D106" s="1746"/>
      <c r="E106" s="1828" t="s">
        <v>1439</v>
      </c>
      <c r="F106" s="1665"/>
      <c r="G106" s="1827" t="s">
        <v>1434</v>
      </c>
      <c r="H106" s="2595">
        <f>C38</f>
        <v>0</v>
      </c>
      <c r="I106" s="129"/>
    </row>
    <row r="107" spans="1:35" ht="18.75" customHeight="1">
      <c r="A107" s="129"/>
      <c r="B107" s="129"/>
      <c r="C107" s="129"/>
      <c r="D107" s="129"/>
      <c r="E107" s="4022" t="str">
        <f>IF(项目基本情况!E8="已注销","——","3.房地产抵押价值")</f>
        <v>3.房地产抵押价值</v>
      </c>
      <c r="F107" s="3990"/>
      <c r="G107" s="1826" t="s">
        <v>1430</v>
      </c>
      <c r="H107" s="2593">
        <f ca="1">IF(E107="——","——",H101-H103)</f>
        <v>0</v>
      </c>
      <c r="I107" s="129"/>
    </row>
    <row r="108" spans="1:35" ht="18.75" customHeight="1">
      <c r="A108" s="129"/>
      <c r="B108" s="129"/>
      <c r="C108" s="129"/>
      <c r="D108" s="129"/>
      <c r="E108" s="4022"/>
      <c r="F108" s="3990"/>
      <c r="G108" s="1826" t="s">
        <v>1432</v>
      </c>
      <c r="H108" s="2553">
        <f ca="1">IF(H107=H101,H102,ROUND(H107*10000/'数据-汇总表'!E3,0))</f>
        <v>4967</v>
      </c>
      <c r="I108" s="129"/>
    </row>
    <row r="109" spans="1:35" ht="18.75" customHeight="1">
      <c r="A109" s="129"/>
      <c r="B109" s="129"/>
      <c r="C109" s="129"/>
      <c r="D109" s="129"/>
      <c r="E109" s="4022" t="str">
        <f>IF(项目基本情况!E8="已注销及未注销","4.抵押担保权已注销时的房地产抵押价值",IF(项目基本情况!E8="已注销","3.抵押担保权已注销时的房地产抵押价值","——"))</f>
        <v>——</v>
      </c>
      <c r="F109" s="3990"/>
      <c r="G109" s="1826" t="s">
        <v>1430</v>
      </c>
      <c r="H109" s="2596" t="str">
        <f>IF(E109="——","——",H101-H105-H106)</f>
        <v>——</v>
      </c>
      <c r="I109" s="129"/>
    </row>
    <row r="110" spans="1:35" ht="18.75" customHeight="1">
      <c r="A110" s="129"/>
      <c r="B110" s="129"/>
      <c r="C110" s="129"/>
      <c r="D110" s="129"/>
      <c r="E110" s="4022"/>
      <c r="F110" s="3990"/>
      <c r="G110" s="1826" t="s">
        <v>1432</v>
      </c>
      <c r="H110" s="2553" t="str">
        <f>IF(H109="——","——",ROUND(H109*10000/'数据-汇总表'!E3,0))</f>
        <v>——</v>
      </c>
      <c r="I110" s="129"/>
    </row>
    <row r="111" spans="1:35" ht="18.75" customHeight="1">
      <c r="A111" s="129"/>
      <c r="B111" s="129"/>
      <c r="C111" s="129"/>
      <c r="D111" s="129"/>
      <c r="E111" s="4023" t="str">
        <f>IF(项目基本情况!E9="抵押净值",IF(OR(项目基本情况!E8="已注销",项目基本情况!E8="房地产抵押价值"),"4.抵押净值","5.抵押净值"),"——")</f>
        <v>——</v>
      </c>
      <c r="F111" s="4009"/>
      <c r="G111" s="1826" t="s">
        <v>1430</v>
      </c>
      <c r="H111" s="2593" t="str">
        <f>IF(E111="——","——",N59)</f>
        <v>——</v>
      </c>
      <c r="I111" s="129"/>
    </row>
    <row r="112" spans="1:35" ht="18.75" customHeight="1" thickBot="1">
      <c r="A112" s="129"/>
      <c r="B112" s="129"/>
      <c r="C112" s="129"/>
      <c r="D112" s="129"/>
      <c r="E112" s="4024"/>
      <c r="F112" s="4025"/>
      <c r="G112" s="1829" t="s">
        <v>1432</v>
      </c>
      <c r="H112" s="2597" t="str">
        <f>IF(E111="——","——",N61)</f>
        <v>——</v>
      </c>
      <c r="I112" s="129"/>
    </row>
    <row r="113" spans="1:27" ht="18.75" customHeight="1">
      <c r="A113" s="129"/>
      <c r="B113" s="129"/>
      <c r="C113" s="129"/>
      <c r="D113" s="129"/>
      <c r="E113" s="4032" t="s">
        <v>1438</v>
      </c>
      <c r="F113" s="4032"/>
      <c r="G113" s="4032"/>
      <c r="H113" s="4032"/>
      <c r="I113" s="129"/>
    </row>
    <row r="114" spans="1:27" ht="3.75" customHeight="1">
      <c r="A114" s="1746"/>
      <c r="B114" s="1746"/>
      <c r="C114" s="1746"/>
      <c r="D114" s="1746"/>
      <c r="E114" s="1808"/>
      <c r="F114" s="1808"/>
      <c r="G114" s="1808"/>
      <c r="H114" s="1808"/>
      <c r="I114" s="1746"/>
    </row>
    <row r="115" spans="1:27" ht="18.75" customHeight="1">
      <c r="A115" s="4040" t="s">
        <v>1440</v>
      </c>
      <c r="B115" s="4041"/>
      <c r="C115" s="4041"/>
      <c r="D115" s="4041"/>
      <c r="E115" s="4041"/>
      <c r="F115" s="4041"/>
      <c r="G115" s="4041"/>
      <c r="H115" s="4041"/>
      <c r="I115" s="4042"/>
    </row>
    <row r="116" spans="1:27" ht="27" customHeight="1">
      <c r="A116" s="3997" t="s">
        <v>1441</v>
      </c>
      <c r="B116" s="4001" t="s">
        <v>1442</v>
      </c>
      <c r="C116" s="4001" t="s">
        <v>1443</v>
      </c>
      <c r="D116" s="4007" t="s">
        <v>1444</v>
      </c>
      <c r="E116" s="4008"/>
      <c r="F116" s="4039" t="s">
        <v>1445</v>
      </c>
      <c r="G116" s="4039"/>
      <c r="H116" s="3997" t="s">
        <v>1446</v>
      </c>
      <c r="I116" s="3997"/>
    </row>
    <row r="117" spans="1:27" ht="18.75" customHeight="1">
      <c r="A117" s="3997"/>
      <c r="B117" s="4002"/>
      <c r="C117" s="4002"/>
      <c r="D117" s="3455" t="s">
        <v>1447</v>
      </c>
      <c r="E117" s="3455" t="s">
        <v>1448</v>
      </c>
      <c r="F117" s="3455" t="s">
        <v>1447</v>
      </c>
      <c r="G117" s="3455" t="s">
        <v>1449</v>
      </c>
      <c r="H117" s="3455" t="s">
        <v>1447</v>
      </c>
      <c r="I117" s="3455" t="s">
        <v>1449</v>
      </c>
    </row>
    <row r="118" spans="1:27" ht="24.75" customHeight="1">
      <c r="A118" s="2598" t="str">
        <f>项目基本情况!S2</f>
        <v>北京市海淀区中关村大街1号部分综合用房及全部车库用房房地产</v>
      </c>
      <c r="B118" s="3455">
        <f>M18</f>
        <v>0</v>
      </c>
      <c r="C118" s="3455">
        <f>M19</f>
        <v>0</v>
      </c>
      <c r="D118" s="3455" t="e">
        <f ca="1">ROUND(IF(D32="总价",C34,E118*B118/10000),0)</f>
        <v>#REF!</v>
      </c>
      <c r="E118" s="3455" t="e">
        <f ca="1">ROUND(IF(C33="自定义",IF(D32="楼面单价",C34,D118*10000/B118),I118-G118),0)</f>
        <v>#REF!</v>
      </c>
      <c r="F118" s="3455" t="e">
        <f ca="1">ROUND(IF(D32="总价",C35,G118*B118/10000),0)</f>
        <v>#REF!</v>
      </c>
      <c r="G118" s="3455" t="e">
        <f ca="1">ROUND(IF(D32="楼面单价",C35,F118*10000/B118),0)</f>
        <v>#REF!</v>
      </c>
      <c r="H118" s="3455">
        <f ca="1">ROUND(IF(D32="总价",C32,I118*B118/10000),0)</f>
        <v>0</v>
      </c>
      <c r="I118" s="3455">
        <f ca="1">ROUND(IF(D32="楼面单价",C32,H118*10000/B118),0)</f>
        <v>4967</v>
      </c>
    </row>
    <row r="119" spans="1:27" ht="18.75" customHeight="1">
      <c r="A119" s="3997" t="s">
        <v>1450</v>
      </c>
      <c r="B119" s="3997"/>
      <c r="C119" s="3997"/>
      <c r="D119" s="4003" t="e">
        <f ca="1">NUMBERSTRING(INT(D118*10000),2)&amp;"元整"</f>
        <v>#REF!</v>
      </c>
      <c r="E119" s="4004"/>
      <c r="F119" s="4003" t="e">
        <f ca="1">NUMBERSTRING(INT(F118*10000),2)&amp;"元整"</f>
        <v>#REF!</v>
      </c>
      <c r="G119" s="4004"/>
      <c r="H119" s="4003" t="str">
        <f ca="1">NUMBERSTRING(INT(H118*10000),2)&amp;"元整"</f>
        <v>零元整</v>
      </c>
      <c r="I119" s="4004"/>
    </row>
    <row r="120" spans="1:27" ht="18.75" customHeight="1">
      <c r="A120" s="3998" t="str">
        <f>IF(项目基本情况!B9="房地产市场价值","",MID(E103,3,LEN(E103)-2))</f>
        <v>估价师知悉的法定优先受偿款</v>
      </c>
      <c r="B120" s="3999"/>
      <c r="C120" s="4000"/>
      <c r="D120" s="3998">
        <f>H103</f>
        <v>0</v>
      </c>
      <c r="E120" s="3999"/>
      <c r="F120" s="3999"/>
      <c r="G120" s="3999"/>
      <c r="H120" s="3999"/>
      <c r="I120" s="4000"/>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4003" t="s">
        <v>1450</v>
      </c>
      <c r="B121" s="4005"/>
      <c r="C121" s="4004"/>
      <c r="D121" s="4003" t="str">
        <f>IF(D120=0,"零元整",NUMBERSTRING(INT(D120*10000),2)&amp;"元整")</f>
        <v>零元整</v>
      </c>
      <c r="E121" s="4005"/>
      <c r="F121" s="4005"/>
      <c r="G121" s="4005"/>
      <c r="H121" s="4005"/>
      <c r="I121" s="4004"/>
      <c r="AA121" s="724"/>
    </row>
    <row r="122" spans="1:27" ht="18.75" customHeight="1">
      <c r="A122" s="4009" t="str">
        <f>IF(项目基本情况!B9="房地产市场价值","",MID(E107,3,LEN(E107)-2))</f>
        <v>房地产抵押价值</v>
      </c>
      <c r="B122" s="4009"/>
      <c r="C122" s="4009"/>
      <c r="D122" s="3998">
        <f ca="1">H107</f>
        <v>0</v>
      </c>
      <c r="E122" s="3999"/>
      <c r="F122" s="3999"/>
      <c r="G122" s="3999"/>
      <c r="H122" s="3999"/>
      <c r="I122" s="4000"/>
      <c r="AA122" s="724"/>
    </row>
    <row r="123" spans="1:27" ht="18.75" customHeight="1">
      <c r="A123" s="3997" t="s">
        <v>1450</v>
      </c>
      <c r="B123" s="3997"/>
      <c r="C123" s="3997"/>
      <c r="D123" s="4003" t="str">
        <f ca="1">NUMBERSTRING(INT(D122*10000),2)&amp;"元整"</f>
        <v>零元整</v>
      </c>
      <c r="E123" s="4005"/>
      <c r="F123" s="4005"/>
      <c r="G123" s="4005"/>
      <c r="H123" s="4005"/>
      <c r="I123" s="4004"/>
      <c r="AA123" s="724"/>
    </row>
    <row r="124" spans="1:27" ht="18.75" customHeight="1">
      <c r="A124" s="4009" t="str">
        <f>IF(项目基本情况!B9="房地产市场价值","",MID(E109,3,LEN(E109)-2))</f>
        <v/>
      </c>
      <c r="B124" s="4009"/>
      <c r="C124" s="4009"/>
      <c r="D124" s="3998" t="str">
        <f>H109</f>
        <v>——</v>
      </c>
      <c r="E124" s="3999"/>
      <c r="F124" s="3999"/>
      <c r="G124" s="3999"/>
      <c r="H124" s="3999"/>
      <c r="I124" s="4000"/>
      <c r="AA124" s="724"/>
    </row>
    <row r="125" spans="1:27" ht="18.75" customHeight="1">
      <c r="A125" s="3997" t="s">
        <v>1450</v>
      </c>
      <c r="B125" s="3997"/>
      <c r="C125" s="3997"/>
      <c r="D125" s="4003" t="e">
        <f>NUMBERSTRING(INT(D124*10000),2)&amp;"元整"</f>
        <v>#VALUE!</v>
      </c>
      <c r="E125" s="4005"/>
      <c r="F125" s="4005"/>
      <c r="G125" s="4005"/>
      <c r="H125" s="4005"/>
      <c r="I125" s="4004"/>
      <c r="AA125" s="724"/>
    </row>
    <row r="126" spans="1:27" ht="18.75" customHeight="1">
      <c r="A126" s="4009" t="str">
        <f>IF(项目基本情况!B9="房地产市场价值","",MID(E111,3,LEN(E111)-2))</f>
        <v/>
      </c>
      <c r="B126" s="4009"/>
      <c r="C126" s="4009"/>
      <c r="D126" s="3998" t="str">
        <f>H111</f>
        <v>——</v>
      </c>
      <c r="E126" s="3999"/>
      <c r="F126" s="3999"/>
      <c r="G126" s="3999"/>
      <c r="H126" s="3999"/>
      <c r="I126" s="4000"/>
      <c r="AA126" s="724"/>
    </row>
    <row r="127" spans="1:27" ht="18.75" customHeight="1">
      <c r="A127" s="3997" t="s">
        <v>1450</v>
      </c>
      <c r="B127" s="3997"/>
      <c r="C127" s="3997"/>
      <c r="D127" s="4003" t="e">
        <f>NUMBERSTRING(INT(D126*10000),2)&amp;"元整"</f>
        <v>#VALUE!</v>
      </c>
      <c r="E127" s="4005"/>
      <c r="F127" s="4005"/>
      <c r="G127" s="4005"/>
      <c r="H127" s="4005"/>
      <c r="I127" s="4004"/>
      <c r="AA127" s="724"/>
    </row>
    <row r="128" spans="1:27" ht="21.75" customHeight="1">
      <c r="A128" s="4006" t="s">
        <v>1451</v>
      </c>
      <c r="B128" s="4006"/>
      <c r="C128" s="4006"/>
      <c r="D128" s="4006"/>
      <c r="E128" s="4006"/>
      <c r="F128" s="4006"/>
      <c r="G128" s="4006"/>
      <c r="H128" s="4006"/>
      <c r="I128" s="4006"/>
      <c r="AA128" s="724"/>
    </row>
    <row r="129" spans="1:35" ht="21.75" customHeight="1">
      <c r="A129" s="1830" t="s">
        <v>1452</v>
      </c>
      <c r="B129" s="1831"/>
      <c r="C129" s="1832" t="s">
        <v>1453</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1454</v>
      </c>
      <c r="G135" s="1847"/>
      <c r="H135" s="1847"/>
      <c r="I135" s="1848" t="s">
        <v>1455</v>
      </c>
    </row>
    <row r="136" spans="1:35" ht="21.75" customHeight="1">
      <c r="A136" s="724"/>
      <c r="B136" s="1849" t="s">
        <v>1456</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1457</v>
      </c>
    </row>
    <row r="139" spans="1:35" ht="21.75" customHeight="1">
      <c r="A139" s="724"/>
      <c r="B139" s="1849" t="s">
        <v>1458</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1457</v>
      </c>
    </row>
    <row r="142" spans="1:35" ht="21.75" customHeight="1">
      <c r="A142" s="724"/>
      <c r="B142" s="1849"/>
      <c r="C142" s="1850"/>
      <c r="D142" s="1851"/>
      <c r="E142" s="1851"/>
      <c r="F142" s="1740"/>
      <c r="G142" s="724"/>
      <c r="H142" s="724"/>
      <c r="I142" s="724"/>
    </row>
    <row r="143" spans="1:35" s="130"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30"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30"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92" priority="10" stopIfTrue="1" operator="equal">
      <formula>25</formula>
    </cfRule>
  </conditionalFormatting>
  <conditionalFormatting sqref="C8:C9">
    <cfRule type="cellIs" dxfId="91" priority="9" stopIfTrue="1" operator="equal">
      <formula>15</formula>
    </cfRule>
  </conditionalFormatting>
  <conditionalFormatting sqref="C14:C16">
    <cfRule type="cellIs" dxfId="90" priority="8" stopIfTrue="1" operator="equal">
      <formula>30</formula>
    </cfRule>
  </conditionalFormatting>
  <conditionalFormatting sqref="D5:D7">
    <cfRule type="cellIs" dxfId="89" priority="7" stopIfTrue="1" operator="equal">
      <formula>25</formula>
    </cfRule>
  </conditionalFormatting>
  <conditionalFormatting sqref="D8:D9">
    <cfRule type="cellIs" dxfId="88" priority="6" stopIfTrue="1" operator="equal">
      <formula>15</formula>
    </cfRule>
  </conditionalFormatting>
  <conditionalFormatting sqref="C10:D13">
    <cfRule type="cellIs" dxfId="87" priority="5" stopIfTrue="1" operator="equal">
      <formula>15</formula>
    </cfRule>
  </conditionalFormatting>
  <conditionalFormatting sqref="D14:D16">
    <cfRule type="cellIs" dxfId="86" priority="4" stopIfTrue="1" operator="equal">
      <formula>30</formula>
    </cfRule>
  </conditionalFormatting>
  <conditionalFormatting sqref="C90">
    <cfRule type="expression" dxfId="85" priority="3" stopIfTrue="1">
      <formula>$H$88&lt;&gt;"仅含出让金"</formula>
    </cfRule>
  </conditionalFormatting>
  <conditionalFormatting sqref="C91">
    <cfRule type="expression" dxfId="84" priority="2" stopIfTrue="1">
      <formula>$H$91="由企业提供"</formula>
    </cfRule>
  </conditionalFormatting>
  <conditionalFormatting sqref="E36">
    <cfRule type="expression" dxfId="83"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1459</v>
      </c>
      <c r="B1" s="1469" t="s">
        <v>3397</v>
      </c>
      <c r="C1" s="198"/>
      <c r="D1" s="198"/>
      <c r="E1" s="198"/>
      <c r="F1" s="198"/>
      <c r="G1" s="1125">
        <f>MATCH(B1,'数据-取费表'!A6:A16,0)+5</f>
        <v>7</v>
      </c>
    </row>
    <row r="2" spans="1:9" s="200" customFormat="1" ht="18" customHeight="1">
      <c r="A2" s="201" t="s">
        <v>1460</v>
      </c>
      <c r="B2" s="202">
        <f ca="1">IF(D2="——",C52,C52-E2)</f>
        <v>3684</v>
      </c>
      <c r="C2" s="199" t="s">
        <v>1461</v>
      </c>
      <c r="D2" s="1852" t="s">
        <v>43</v>
      </c>
      <c r="E2" s="1168" t="e">
        <f ca="1">SUMIF(INDIRECT("'"&amp;G2&amp;"'"&amp;"!A:A"),"承租人权益价值",INDIRECT("'"&amp;G2&amp;"'"&amp;"!c:c"))</f>
        <v>#REF!</v>
      </c>
      <c r="F2" s="1853" t="s">
        <v>1461</v>
      </c>
      <c r="G2" s="1854"/>
    </row>
    <row r="3" spans="1:9" s="200" customFormat="1" ht="18" customHeight="1" thickBot="1">
      <c r="A3" s="203" t="s">
        <v>1462</v>
      </c>
      <c r="B3" s="204">
        <f ca="1">ROUND(B2*10000/(IF(B1="",'数据-汇总表'!E3,INDIRECT("'数据-取费表'!k"&amp;$G$1))),0)</f>
        <v>6395</v>
      </c>
      <c r="C3" s="199" t="s">
        <v>1463</v>
      </c>
      <c r="D3" s="199"/>
      <c r="E3" s="199"/>
      <c r="F3" s="199"/>
      <c r="G3" s="199"/>
    </row>
    <row r="4" spans="1:9" s="208" customFormat="1" ht="15.75">
      <c r="A4" s="205" t="s">
        <v>1464</v>
      </c>
      <c r="B4" s="206"/>
      <c r="C4" s="206"/>
      <c r="D4" s="206"/>
      <c r="E4" s="206"/>
      <c r="F4" s="206"/>
      <c r="G4" s="207"/>
    </row>
    <row r="5" spans="1:9" s="214" customFormat="1" ht="13.5" customHeight="1">
      <c r="A5" s="255" t="s">
        <v>1465</v>
      </c>
      <c r="B5" s="210" t="s">
        <v>1466</v>
      </c>
      <c r="C5" s="211">
        <f>C6+C7+C8</f>
        <v>942</v>
      </c>
      <c r="D5" s="211" t="s">
        <v>1467</v>
      </c>
      <c r="E5" s="212" t="s">
        <v>1468</v>
      </c>
      <c r="F5" s="212" t="s">
        <v>1469</v>
      </c>
      <c r="G5" s="213"/>
    </row>
    <row r="6" spans="1:9" s="214" customFormat="1" ht="13.5" customHeight="1">
      <c r="A6" s="777" t="s">
        <v>1470</v>
      </c>
      <c r="B6" s="215" t="s">
        <v>1471</v>
      </c>
      <c r="C6" s="216">
        <f>基准地价修正!E41+基准地价修正!E42</f>
        <v>915</v>
      </c>
      <c r="D6" s="217"/>
      <c r="E6" s="218"/>
      <c r="F6" s="218"/>
      <c r="G6" s="219"/>
    </row>
    <row r="7" spans="1:9" s="214" customFormat="1" ht="13.5" customHeight="1">
      <c r="A7" s="777" t="s">
        <v>1472</v>
      </c>
      <c r="B7" s="215" t="s">
        <v>1473</v>
      </c>
      <c r="C7" s="220">
        <f>ROUND(C6*F7,0)</f>
        <v>27</v>
      </c>
      <c r="D7" s="220"/>
      <c r="E7" s="218"/>
      <c r="F7" s="221">
        <f>IF(项目基本情况!B8="出让",0,'数据-取费表'!B48+'数据-取费表'!B49)</f>
        <v>0.03</v>
      </c>
      <c r="G7" s="219"/>
    </row>
    <row r="8" spans="1:9" s="223" customFormat="1">
      <c r="A8" s="777" t="s">
        <v>1474</v>
      </c>
      <c r="B8" s="215" t="s">
        <v>1475</v>
      </c>
      <c r="C8" s="220" t="str">
        <f>IF(G8="已包含在土地购买价格中","0",IF(B1="",'数据-取费表'!B29,IF(G9="全部缴纳",C9+C10,H9)))</f>
        <v>0</v>
      </c>
      <c r="D8" s="222"/>
      <c r="E8" s="220"/>
      <c r="F8" s="221"/>
      <c r="G8" s="1855" t="s">
        <v>451</v>
      </c>
    </row>
    <row r="9" spans="1:9" s="214" customFormat="1" ht="13.5" customHeight="1">
      <c r="A9" s="778" t="s">
        <v>355</v>
      </c>
      <c r="B9" s="224" t="s">
        <v>1476</v>
      </c>
      <c r="C9" s="225">
        <f ca="1">ROUND(D9*E9/10000,0)</f>
        <v>0</v>
      </c>
      <c r="D9" s="844">
        <f ca="1">IF(B1="",'数据-汇总表'!E5,IF(INDIRECT("'数据-取费表'!c"&amp;$G$1)="住宅",INDIRECT("'数据-取费表'!k"&amp;$G$1),0))</f>
        <v>0</v>
      </c>
      <c r="E9" s="225">
        <f>'数据-取费表'!B27</f>
        <v>160</v>
      </c>
      <c r="F9" s="221"/>
      <c r="G9" s="1856" t="s">
        <v>3519</v>
      </c>
      <c r="H9" s="1136"/>
      <c r="I9" s="1857" t="s">
        <v>1477</v>
      </c>
    </row>
    <row r="10" spans="1:9" s="214" customFormat="1" ht="13.5" customHeight="1">
      <c r="A10" s="778" t="s">
        <v>356</v>
      </c>
      <c r="B10" s="224" t="s">
        <v>1478</v>
      </c>
      <c r="C10" s="225">
        <f ca="1">ROUND(D10*E10/10000,0)</f>
        <v>115</v>
      </c>
      <c r="D10" s="844">
        <f ca="1">IF(B1="",'数据-汇总表'!E6,IF(INDIRECT("'数据-取费表'!c"&amp;$G$1)="住宅",INDIRECT("'数据-取费表'!s"&amp;$G$1),INDIRECT("'数据-取费表'!k"&amp;$G$1)+INDIRECT("'数据-取费表'!s"&amp;$G$1)))</f>
        <v>5760.93</v>
      </c>
      <c r="E10" s="225">
        <f>'数据-取费表'!B28</f>
        <v>200</v>
      </c>
      <c r="F10" s="221"/>
      <c r="G10" s="226"/>
    </row>
    <row r="11" spans="1:9" s="214" customFormat="1" ht="13.5" hidden="1" customHeight="1">
      <c r="A11" s="227" t="s">
        <v>4</v>
      </c>
      <c r="B11" s="215" t="s">
        <v>1479</v>
      </c>
      <c r="C11" s="211"/>
      <c r="D11" s="846"/>
      <c r="E11" s="218"/>
      <c r="F11" s="218"/>
      <c r="G11" s="219"/>
    </row>
    <row r="12" spans="1:9" s="214" customFormat="1" ht="13.5" hidden="1" customHeight="1">
      <c r="A12" s="227" t="s">
        <v>5</v>
      </c>
      <c r="B12" s="215" t="s">
        <v>1480</v>
      </c>
      <c r="C12" s="211">
        <v>0</v>
      </c>
      <c r="D12" s="846"/>
      <c r="E12" s="228"/>
      <c r="F12" s="221">
        <v>3.0499999999999999E-2</v>
      </c>
      <c r="G12" s="219"/>
    </row>
    <row r="13" spans="1:9" s="214" customFormat="1" ht="13.5" hidden="1" customHeight="1">
      <c r="A13" s="227" t="s">
        <v>6</v>
      </c>
      <c r="B13" s="215" t="s">
        <v>1481</v>
      </c>
      <c r="C13" s="211"/>
      <c r="D13" s="846"/>
      <c r="E13" s="218"/>
      <c r="F13" s="218"/>
      <c r="G13" s="219"/>
    </row>
    <row r="14" spans="1:9" s="214" customFormat="1" ht="13.5" hidden="1" customHeight="1">
      <c r="A14" s="227" t="s">
        <v>7</v>
      </c>
      <c r="B14" s="215" t="s">
        <v>1482</v>
      </c>
      <c r="C14" s="211"/>
      <c r="D14" s="846"/>
      <c r="E14" s="218"/>
      <c r="F14" s="218"/>
      <c r="G14" s="219" t="s">
        <v>1483</v>
      </c>
    </row>
    <row r="15" spans="1:9" s="214" customFormat="1" ht="13.5" hidden="1" customHeight="1">
      <c r="A15" s="227" t="s">
        <v>8</v>
      </c>
      <c r="B15" s="215" t="s">
        <v>1484</v>
      </c>
      <c r="C15" s="220"/>
      <c r="D15" s="846"/>
      <c r="E15" s="218"/>
      <c r="F15" s="218"/>
      <c r="G15" s="219" t="s">
        <v>1485</v>
      </c>
    </row>
    <row r="16" spans="1:9" s="214" customFormat="1" ht="13.5" hidden="1" customHeight="1">
      <c r="A16" s="227" t="s">
        <v>9</v>
      </c>
      <c r="B16" s="215" t="s">
        <v>1482</v>
      </c>
      <c r="C16" s="220"/>
      <c r="D16" s="846"/>
      <c r="E16" s="218"/>
      <c r="F16" s="218"/>
      <c r="G16" s="219"/>
    </row>
    <row r="17" spans="1:7" s="214" customFormat="1" ht="13.5" hidden="1" customHeight="1">
      <c r="A17" s="227" t="s">
        <v>10</v>
      </c>
      <c r="B17" s="215" t="s">
        <v>1486</v>
      </c>
      <c r="C17" s="229"/>
      <c r="D17" s="847"/>
      <c r="E17" s="229"/>
      <c r="F17" s="229"/>
      <c r="G17" s="219" t="s">
        <v>1485</v>
      </c>
    </row>
    <row r="18" spans="1:7" s="214" customFormat="1" ht="13.5" hidden="1" customHeight="1">
      <c r="A18" s="227" t="s">
        <v>11</v>
      </c>
      <c r="B18" s="215" t="s">
        <v>1487</v>
      </c>
      <c r="C18" s="220">
        <v>0</v>
      </c>
      <c r="D18" s="846"/>
      <c r="E18" s="218"/>
      <c r="F18" s="221">
        <v>3.0499999999999999E-2</v>
      </c>
      <c r="G18" s="219" t="s">
        <v>1488</v>
      </c>
    </row>
    <row r="19" spans="1:7" s="223" customFormat="1" ht="13.5" customHeight="1">
      <c r="A19" s="255" t="s">
        <v>1489</v>
      </c>
      <c r="B19" s="210" t="s">
        <v>1490</v>
      </c>
      <c r="C19" s="211" t="str">
        <f>IF(G19="已包含在土地取得成本中","0",ROUND(D19*E19/10000,0))</f>
        <v>0</v>
      </c>
      <c r="D19" s="848">
        <f ca="1">D9+D10</f>
        <v>5760.93</v>
      </c>
      <c r="E19" s="211">
        <f>'数据-取费表'!B31</f>
        <v>200</v>
      </c>
      <c r="F19" s="231"/>
      <c r="G19" s="1855" t="s">
        <v>3520</v>
      </c>
    </row>
    <row r="20" spans="1:7" s="214" customFormat="1" ht="13.5" customHeight="1">
      <c r="A20" s="255" t="s">
        <v>1491</v>
      </c>
      <c r="B20" s="210" t="s">
        <v>1492</v>
      </c>
      <c r="C20" s="232">
        <f>ROUND((C5+C19)*F20,0)</f>
        <v>19</v>
      </c>
      <c r="D20" s="232"/>
      <c r="E20" s="232"/>
      <c r="F20" s="233">
        <f>'数据-取费表'!B37</f>
        <v>0.02</v>
      </c>
      <c r="G20" s="234" t="s">
        <v>1493</v>
      </c>
    </row>
    <row r="21" spans="1:7" s="214" customFormat="1" ht="13.5" customHeight="1">
      <c r="A21" s="255" t="s">
        <v>1494</v>
      </c>
      <c r="B21" s="210" t="s">
        <v>1495</v>
      </c>
      <c r="C21" s="235">
        <f>F21</f>
        <v>0.02</v>
      </c>
      <c r="D21" s="236" t="s">
        <v>1496</v>
      </c>
      <c r="E21" s="232"/>
      <c r="F21" s="233">
        <f>'数据-取费表'!B38</f>
        <v>0.02</v>
      </c>
      <c r="G21" s="234" t="s">
        <v>1497</v>
      </c>
    </row>
    <row r="22" spans="1:7" s="214" customFormat="1" ht="13.5" customHeight="1">
      <c r="A22" s="255" t="s">
        <v>1498</v>
      </c>
      <c r="B22" s="210" t="s">
        <v>1499</v>
      </c>
      <c r="C22" s="1103">
        <f ca="1">ROUND(SUM(C23:C25),0)</f>
        <v>65</v>
      </c>
      <c r="D22" s="235">
        <f ca="1">C26</f>
        <v>6.9999999999999999E-4</v>
      </c>
      <c r="E22" s="236" t="s">
        <v>1496</v>
      </c>
      <c r="F22" s="237">
        <f ca="1">'数据-取费表'!B40</f>
        <v>3.3500000000000002E-2</v>
      </c>
      <c r="G22" s="234" t="str">
        <f>IF('数据-取费表'!B22&lt;=1,"单利计息","复利计息")</f>
        <v>复利计息</v>
      </c>
    </row>
    <row r="23" spans="1:7" s="214" customFormat="1" ht="13.5" customHeight="1">
      <c r="A23" s="779" t="s">
        <v>1500</v>
      </c>
      <c r="B23" s="215" t="s">
        <v>1501</v>
      </c>
      <c r="C23" s="1104">
        <f ca="1">ROUND(IF('数据-取费表'!B22&lt;=1,C5*F22*'数据-取费表'!B23,C5*(POWER((1+F22),'数据-取费表'!B23)-1)),0)</f>
        <v>64</v>
      </c>
      <c r="D23" s="238"/>
      <c r="E23" s="238"/>
      <c r="F23" s="239"/>
      <c r="G23" s="240" t="s">
        <v>1502</v>
      </c>
    </row>
    <row r="24" spans="1:7" s="214" customFormat="1" ht="13.5" customHeight="1">
      <c r="A24" s="779" t="s">
        <v>1503</v>
      </c>
      <c r="B24" s="215" t="s">
        <v>1504</v>
      </c>
      <c r="C24" s="1104">
        <f ca="1">ROUND(IF('数据-取费表'!B22&lt;=1,C19*F22*('数据-取费表'!B19/2+'数据-取费表'!B21),C19*(POWER((1+F22),('数据-取费表'!B19/2+'数据-取费表'!B21))-1)),0)</f>
        <v>0</v>
      </c>
      <c r="D24" s="238"/>
      <c r="E24" s="238"/>
      <c r="F24" s="239"/>
      <c r="G24" s="240" t="s">
        <v>1505</v>
      </c>
    </row>
    <row r="25" spans="1:7" s="214" customFormat="1" ht="24">
      <c r="A25" s="779" t="s">
        <v>1506</v>
      </c>
      <c r="B25" s="215" t="s">
        <v>1507</v>
      </c>
      <c r="C25" s="1104">
        <f ca="1">ROUND(IF('数据-取费表'!B22&lt;=1,C20*F22*'数据-取费表'!B23/2,C20*(POWER((1+F22),'数据-取费表'!B23/2)-1)),0)</f>
        <v>1</v>
      </c>
      <c r="D25" s="238"/>
      <c r="E25" s="241"/>
      <c r="F25" s="239"/>
      <c r="G25" s="242" t="s">
        <v>1508</v>
      </c>
    </row>
    <row r="26" spans="1:7" s="214" customFormat="1">
      <c r="A26" s="779" t="s">
        <v>350</v>
      </c>
      <c r="B26" s="215" t="s">
        <v>1509</v>
      </c>
      <c r="C26" s="238">
        <f ca="1">ROUND(IF('数据-取费表'!B22&lt;=1,F21*F22*'数据-取费表'!B23/2,F21*(POWER((1+F22),'数据-取费表'!B23/2)-1)),4)</f>
        <v>6.9999999999999999E-4</v>
      </c>
      <c r="D26" s="238"/>
      <c r="E26" s="241"/>
      <c r="F26" s="239"/>
      <c r="G26" s="243"/>
    </row>
    <row r="27" spans="1:7" s="214" customFormat="1" ht="24.75">
      <c r="A27" s="255" t="s">
        <v>1510</v>
      </c>
      <c r="B27" s="244" t="s">
        <v>1511</v>
      </c>
      <c r="C27" s="245">
        <f ca="1">C28</f>
        <v>48</v>
      </c>
      <c r="D27" s="235">
        <f ca="1">C29</f>
        <v>1E-3</v>
      </c>
      <c r="E27" s="236" t="s">
        <v>1512</v>
      </c>
      <c r="F27" s="246">
        <f ca="1">IF(B1="",'数据-取费表'!Q16,INDIRECT("'数据-取费表'!q"&amp;$G$1))</f>
        <v>0.05</v>
      </c>
      <c r="G27" s="247" t="s">
        <v>1513</v>
      </c>
    </row>
    <row r="28" spans="1:7" s="214" customFormat="1" ht="13.5" customHeight="1">
      <c r="A28" s="779" t="s">
        <v>346</v>
      </c>
      <c r="B28" s="248" t="s">
        <v>1514</v>
      </c>
      <c r="C28" s="249">
        <f ca="1">ROUND((C5+C19+C20)*F27*'数据-取费表'!B21/'数据-取费表'!B20,0)</f>
        <v>48</v>
      </c>
      <c r="D28" s="235"/>
      <c r="E28" s="236"/>
      <c r="F28" s="246"/>
      <c r="G28" s="247"/>
    </row>
    <row r="29" spans="1:7" s="214" customFormat="1" ht="13.5" customHeight="1">
      <c r="A29" s="779" t="s">
        <v>347</v>
      </c>
      <c r="B29" s="248" t="s">
        <v>1515</v>
      </c>
      <c r="C29" s="238">
        <f ca="1">ROUND(C21*F27*'数据-取费表'!B21/'数据-取费表'!B20,4)</f>
        <v>1E-3</v>
      </c>
      <c r="D29" s="235"/>
      <c r="E29" s="236"/>
      <c r="F29" s="246"/>
      <c r="G29" s="247"/>
    </row>
    <row r="30" spans="1:7" s="214" customFormat="1" ht="13.5" customHeight="1">
      <c r="A30" s="255" t="s">
        <v>1516</v>
      </c>
      <c r="B30" s="210" t="s">
        <v>1517</v>
      </c>
      <c r="C30" s="235">
        <f>ROUND(F30/(1+'数据-取费表'!C42),4)</f>
        <v>5.33E-2</v>
      </c>
      <c r="D30" s="236" t="s">
        <v>1512</v>
      </c>
      <c r="E30" s="241"/>
      <c r="F30" s="237">
        <f>'数据-取费表'!B41</f>
        <v>5.6000000000000001E-2</v>
      </c>
      <c r="G30" s="234" t="s">
        <v>1518</v>
      </c>
    </row>
    <row r="31" spans="1:7" ht="16.5" customHeight="1">
      <c r="A31" s="209">
        <v>1</v>
      </c>
      <c r="B31" s="210" t="s">
        <v>1519</v>
      </c>
      <c r="C31" s="211">
        <f ca="1">ROUND((C5+C19+C20+C22+C27)/(1-C21-D22-D27-C30),0)</f>
        <v>1161</v>
      </c>
      <c r="D31" s="230"/>
      <c r="E31" s="211"/>
      <c r="F31" s="250"/>
      <c r="G31" s="234" t="s">
        <v>1520</v>
      </c>
    </row>
    <row r="32" spans="1:7" s="208" customFormat="1" ht="15.75">
      <c r="A32" s="252" t="s">
        <v>1521</v>
      </c>
      <c r="B32" s="253"/>
      <c r="C32" s="253"/>
      <c r="D32" s="253"/>
      <c r="E32" s="253"/>
      <c r="F32" s="253"/>
      <c r="G32" s="254"/>
    </row>
    <row r="33" spans="1:7" s="214" customFormat="1" ht="13.5" customHeight="1">
      <c r="A33" s="255" t="s">
        <v>337</v>
      </c>
      <c r="B33" s="210" t="s">
        <v>1522</v>
      </c>
      <c r="C33" s="256">
        <f ca="1">SUM(C34:C38)</f>
        <v>2889</v>
      </c>
      <c r="D33" s="232"/>
      <c r="E33" s="212"/>
      <c r="F33" s="241"/>
      <c r="G33" s="234"/>
    </row>
    <row r="34" spans="1:7" s="258" customFormat="1" ht="13.5" customHeight="1">
      <c r="A34" s="779" t="s">
        <v>346</v>
      </c>
      <c r="B34" s="215" t="s">
        <v>1523</v>
      </c>
      <c r="C34" s="220">
        <f ca="1">IF(B1="",IF(F34=100%,'数据-取费表'!M16,'数据-取费表'!O16),IF(F34=100%,INDIRECT("'数据-取费表'!m"&amp;$G$1)+INDIRECT("'数据-取费表'!t"&amp;$G$1),INDIRECT("'数据-取费表'!o"&amp;$G$1)+INDIRECT("'数据-取费表'!aq"&amp;$G$1)))</f>
        <v>2592</v>
      </c>
      <c r="D34" s="217"/>
      <c r="E34" s="220"/>
      <c r="F34" s="257">
        <f ca="1">IF('数据-取费表'!B24=0,1,IF(B1="",'数据-取费表'!N16,INDIRECT("'数据-取费表'!n"&amp;$G$1)))</f>
        <v>1</v>
      </c>
      <c r="G34" s="219" t="s">
        <v>1524</v>
      </c>
    </row>
    <row r="35" spans="1:7" ht="13.5" customHeight="1">
      <c r="A35" s="779" t="s">
        <v>351</v>
      </c>
      <c r="B35" s="215" t="s">
        <v>1525</v>
      </c>
      <c r="C35" s="220">
        <f ca="1">ROUND(C34*F35,0)</f>
        <v>130</v>
      </c>
      <c r="D35" s="220"/>
      <c r="E35" s="220"/>
      <c r="F35" s="259">
        <f>'数据-取费表'!B33</f>
        <v>0.05</v>
      </c>
      <c r="G35" s="219" t="s">
        <v>1526</v>
      </c>
    </row>
    <row r="36" spans="1:7" ht="24">
      <c r="A36" s="779" t="s">
        <v>352</v>
      </c>
      <c r="B36" s="215" t="s">
        <v>1527</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1528</v>
      </c>
    </row>
    <row r="37" spans="1:7" s="258" customFormat="1" ht="13.5" customHeight="1">
      <c r="A37" s="779" t="s">
        <v>353</v>
      </c>
      <c r="B37" s="215" t="s">
        <v>1529</v>
      </c>
      <c r="C37" s="249">
        <f ca="1">ROUND(E37*D37*F34/10000,0)</f>
        <v>115</v>
      </c>
      <c r="D37" s="217">
        <f ca="1">D19</f>
        <v>5760.93</v>
      </c>
      <c r="E37" s="249">
        <f>'数据-取费表'!B35</f>
        <v>200</v>
      </c>
      <c r="F37" s="259"/>
      <c r="G37" s="261" t="s">
        <v>1530</v>
      </c>
    </row>
    <row r="38" spans="1:7" ht="13.5" customHeight="1">
      <c r="A38" s="779" t="s">
        <v>354</v>
      </c>
      <c r="B38" s="215" t="s">
        <v>1531</v>
      </c>
      <c r="C38" s="220">
        <f ca="1">ROUND(C34*F38,0)</f>
        <v>52</v>
      </c>
      <c r="D38" s="220"/>
      <c r="E38" s="220"/>
      <c r="F38" s="259">
        <f>'数据-取费表'!B36</f>
        <v>0.02</v>
      </c>
      <c r="G38" s="219" t="s">
        <v>1526</v>
      </c>
    </row>
    <row r="39" spans="1:7" s="214" customFormat="1" ht="13.5" customHeight="1">
      <c r="A39" s="255" t="s">
        <v>1532</v>
      </c>
      <c r="B39" s="210" t="s">
        <v>1533</v>
      </c>
      <c r="C39" s="232">
        <f ca="1">ROUND(C33*F20,0)</f>
        <v>58</v>
      </c>
      <c r="D39" s="232"/>
      <c r="E39" s="232"/>
      <c r="F39" s="233">
        <f>F20</f>
        <v>0.02</v>
      </c>
      <c r="G39" s="234" t="s">
        <v>1534</v>
      </c>
    </row>
    <row r="40" spans="1:7" s="214" customFormat="1" ht="13.5" customHeight="1">
      <c r="A40" s="255" t="s">
        <v>1535</v>
      </c>
      <c r="B40" s="210" t="s">
        <v>1536</v>
      </c>
      <c r="C40" s="1326">
        <f>F21</f>
        <v>0.02</v>
      </c>
      <c r="D40" s="236" t="s">
        <v>1537</v>
      </c>
      <c r="E40" s="232"/>
      <c r="F40" s="233">
        <f>F21</f>
        <v>0.02</v>
      </c>
      <c r="G40" s="234" t="s">
        <v>1538</v>
      </c>
    </row>
    <row r="41" spans="1:7" s="214" customFormat="1" ht="13.5" customHeight="1">
      <c r="A41" s="255" t="s">
        <v>1539</v>
      </c>
      <c r="B41" s="210" t="s">
        <v>1540</v>
      </c>
      <c r="C41" s="232">
        <f ca="1">ROUND(SUM(C42:C43),0)</f>
        <v>99</v>
      </c>
      <c r="D41" s="235">
        <f ca="1">C44</f>
        <v>6.9999999999999999E-4</v>
      </c>
      <c r="E41" s="236" t="s">
        <v>1537</v>
      </c>
      <c r="F41" s="237">
        <f ca="1">F22</f>
        <v>3.3500000000000002E-2</v>
      </c>
      <c r="G41" s="234" t="str">
        <f>IF('数据-取费表'!B22&lt;=1,"单利计息","复利计息")</f>
        <v>复利计息</v>
      </c>
    </row>
    <row r="42" spans="1:7" ht="13.5" customHeight="1">
      <c r="A42" s="779" t="s">
        <v>346</v>
      </c>
      <c r="B42" s="215" t="s">
        <v>1541</v>
      </c>
      <c r="C42" s="238">
        <f ca="1">ROUND(IF('数据-取费表'!B22&lt;=1,C33*F22*'数据-取费表'!B21/2,C33*(POWER((1+F22),'数据-取费表'!B21/2)-1)),0)</f>
        <v>97</v>
      </c>
      <c r="D42" s="238"/>
      <c r="E42" s="238"/>
      <c r="F42" s="239"/>
      <c r="G42" s="4076" t="s">
        <v>1542</v>
      </c>
    </row>
    <row r="43" spans="1:7" ht="13.5" customHeight="1">
      <c r="A43" s="779" t="s">
        <v>347</v>
      </c>
      <c r="B43" s="215" t="s">
        <v>1543</v>
      </c>
      <c r="C43" s="238">
        <f ca="1">ROUND(IF('数据-取费表'!B22&lt;=1,C39*F22*'数据-取费表'!B21/2,C39*(POWER((1+F22),'数据-取费表'!B21/2)-1)),0)</f>
        <v>2</v>
      </c>
      <c r="D43" s="238"/>
      <c r="E43" s="238"/>
      <c r="F43" s="239"/>
      <c r="G43" s="4077"/>
    </row>
    <row r="44" spans="1:7" ht="13.5" customHeight="1">
      <c r="A44" s="779" t="s">
        <v>348</v>
      </c>
      <c r="B44" s="215" t="s">
        <v>1544</v>
      </c>
      <c r="C44" s="238">
        <f ca="1">ROUND(IF('数据-取费表'!B22&lt;=1,C40*F22*'数据-取费表'!B21/2,C40*(POWER((1+F22),'数据-取费表'!B21/2)-1)),4)</f>
        <v>6.9999999999999999E-4</v>
      </c>
      <c r="D44" s="238"/>
      <c r="E44" s="238"/>
      <c r="F44" s="239"/>
      <c r="G44" s="4078"/>
    </row>
    <row r="45" spans="1:7" s="214" customFormat="1" ht="13.5" customHeight="1">
      <c r="A45" s="255" t="s">
        <v>1545</v>
      </c>
      <c r="B45" s="244" t="s">
        <v>1511</v>
      </c>
      <c r="C45" s="245">
        <f ca="1">C46</f>
        <v>147</v>
      </c>
      <c r="D45" s="235">
        <f ca="1">C47</f>
        <v>1E-3</v>
      </c>
      <c r="E45" s="236" t="s">
        <v>1537</v>
      </c>
      <c r="F45" s="246">
        <f ca="1">F27</f>
        <v>0.05</v>
      </c>
      <c r="G45" s="247" t="s">
        <v>1546</v>
      </c>
    </row>
    <row r="46" spans="1:7" s="214" customFormat="1" ht="13.5" customHeight="1">
      <c r="A46" s="779" t="s">
        <v>346</v>
      </c>
      <c r="B46" s="248" t="s">
        <v>1547</v>
      </c>
      <c r="C46" s="249">
        <f ca="1">ROUND((C33+C39)*F27,0)</f>
        <v>147</v>
      </c>
      <c r="D46" s="263"/>
      <c r="E46" s="236"/>
      <c r="F46" s="246"/>
      <c r="G46" s="247"/>
    </row>
    <row r="47" spans="1:7" s="214" customFormat="1" ht="13.5" customHeight="1">
      <c r="A47" s="779" t="s">
        <v>347</v>
      </c>
      <c r="B47" s="248" t="s">
        <v>1548</v>
      </c>
      <c r="C47" s="238">
        <f ca="1">ROUND(C40*F27,4)</f>
        <v>1E-3</v>
      </c>
      <c r="D47" s="263"/>
      <c r="E47" s="236"/>
      <c r="F47" s="246"/>
      <c r="G47" s="247"/>
    </row>
    <row r="48" spans="1:7" s="214" customFormat="1" ht="13.5" customHeight="1">
      <c r="A48" s="255" t="s">
        <v>1510</v>
      </c>
      <c r="B48" s="210" t="s">
        <v>1549</v>
      </c>
      <c r="C48" s="1326">
        <f>ROUND(F30/(1+'数据-取费表'!C42),4)</f>
        <v>5.33E-2</v>
      </c>
      <c r="D48" s="236" t="s">
        <v>1537</v>
      </c>
      <c r="E48" s="232"/>
      <c r="F48" s="237">
        <f>F30</f>
        <v>5.6000000000000001E-2</v>
      </c>
      <c r="G48" s="234" t="s">
        <v>1550</v>
      </c>
    </row>
    <row r="49" spans="1:7" ht="16.5" customHeight="1">
      <c r="A49" s="255" t="s">
        <v>1516</v>
      </c>
      <c r="B49" s="210" t="s">
        <v>1551</v>
      </c>
      <c r="C49" s="232">
        <f ca="1">ROUND((C33+C39+C41+C45)/(1-C40-D41-D45-C48),0)</f>
        <v>3452</v>
      </c>
      <c r="D49" s="232"/>
      <c r="E49" s="232"/>
      <c r="F49" s="264"/>
      <c r="G49" s="234" t="s">
        <v>1552</v>
      </c>
    </row>
    <row r="50" spans="1:7" s="258" customFormat="1" ht="24">
      <c r="A50" s="255" t="s">
        <v>1553</v>
      </c>
      <c r="B50" s="210" t="s">
        <v>1554</v>
      </c>
      <c r="C50" s="232"/>
      <c r="D50" s="232"/>
      <c r="E50" s="232"/>
      <c r="F50" s="264">
        <f>IF('数据-取费表'!B24=0,'数据-取费表'!N16,1)</f>
        <v>0.73099999999999998</v>
      </c>
      <c r="G50" s="247" t="s">
        <v>1555</v>
      </c>
    </row>
    <row r="51" spans="1:7" ht="16.5" customHeight="1">
      <c r="A51" s="255" t="s">
        <v>1556</v>
      </c>
      <c r="B51" s="210" t="s">
        <v>1557</v>
      </c>
      <c r="C51" s="232">
        <f ca="1">ROUND(C49*F50,0)</f>
        <v>2523</v>
      </c>
      <c r="D51" s="232"/>
      <c r="E51" s="232"/>
      <c r="F51" s="264"/>
      <c r="G51" s="234" t="s">
        <v>1558</v>
      </c>
    </row>
    <row r="52" spans="1:7" s="208" customFormat="1" ht="16.5" thickBot="1">
      <c r="A52" s="265" t="s">
        <v>1559</v>
      </c>
      <c r="B52" s="266"/>
      <c r="C52" s="267">
        <f ca="1">C31+C51</f>
        <v>3684</v>
      </c>
      <c r="D52" s="266"/>
      <c r="E52" s="266"/>
      <c r="F52" s="266"/>
      <c r="G52" s="268"/>
    </row>
    <row r="55" spans="1:7" ht="15">
      <c r="B55" s="270" t="s">
        <v>1560</v>
      </c>
      <c r="C55" s="271"/>
    </row>
    <row r="56" spans="1:7">
      <c r="B56" s="273" t="s">
        <v>800</v>
      </c>
      <c r="C56" s="275">
        <f ca="1">1-C57</f>
        <v>0.31499999999999995</v>
      </c>
    </row>
    <row r="57" spans="1:7">
      <c r="B57" s="273" t="s">
        <v>801</v>
      </c>
      <c r="C57" s="274">
        <f ca="1">ROUND(C51/C52,3)</f>
        <v>0.68500000000000005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2" zoomScaleNormal="80" zoomScaleSheetLayoutView="100" workbookViewId="0">
      <selection activeCell="G44" sqref="G44"/>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6" t="s">
        <v>1924</v>
      </c>
      <c r="B1" s="197"/>
      <c r="C1" s="201" t="s">
        <v>1925</v>
      </c>
      <c r="D1" s="342">
        <f>SUM(D33:D34,D37:D42)</f>
        <v>1899.58</v>
      </c>
      <c r="E1" s="1994"/>
      <c r="F1" s="1994"/>
      <c r="G1" s="1994"/>
      <c r="H1" s="1994"/>
      <c r="I1" s="1994"/>
      <c r="J1" s="1994"/>
      <c r="K1" s="1118"/>
      <c r="L1" s="1995" t="s">
        <v>1926</v>
      </c>
      <c r="M1" s="862">
        <f>SUMPRODUCT((区片价!B5:B9=I2)*(区片价!C3:G3=E2)*(区片价!C5:G9))</f>
        <v>0</v>
      </c>
      <c r="N1" s="865">
        <f>SUMPRODUCT((因素修正幅度!B5:B9=I2)*(因素修正幅度!C3:G3=E2)*(因素修正幅度!C5:G9))</f>
        <v>0</v>
      </c>
      <c r="O1" s="1996"/>
      <c r="P1" s="1996"/>
      <c r="Q1" s="1118"/>
      <c r="R1" s="1211" t="s">
        <v>1927</v>
      </c>
      <c r="S1" s="1211" t="s">
        <v>1928</v>
      </c>
      <c r="T1" s="1211" t="s">
        <v>1929</v>
      </c>
      <c r="U1" s="1211" t="s">
        <v>1930</v>
      </c>
      <c r="V1" s="1211" t="s">
        <v>1931</v>
      </c>
      <c r="W1" s="1215"/>
      <c r="X1" s="1215"/>
      <c r="Y1" s="1215"/>
      <c r="Z1" s="1215"/>
      <c r="AA1" s="1215"/>
      <c r="AB1" s="1215"/>
      <c r="AC1" s="1216"/>
      <c r="AD1" s="1217"/>
      <c r="AE1" s="1217"/>
      <c r="AF1" s="1217"/>
      <c r="AG1" s="1217"/>
      <c r="AH1" s="1217"/>
      <c r="AI1" s="1217"/>
      <c r="AJ1" s="1218"/>
    </row>
    <row r="2" spans="1:36" ht="15.75">
      <c r="A2" s="201" t="s">
        <v>1932</v>
      </c>
      <c r="B2" s="204">
        <f>C30</f>
        <v>915</v>
      </c>
      <c r="C2" s="1998" t="s">
        <v>1933</v>
      </c>
      <c r="D2" s="1999" t="s">
        <v>1934</v>
      </c>
      <c r="E2" s="3420" t="s">
        <v>21</v>
      </c>
      <c r="F2" s="1999" t="s">
        <v>1935</v>
      </c>
      <c r="G2" s="2000" t="str">
        <f>IF(E2="商业",项目基本情况!B37,IF(E2="办公",项目基本情况!C37,IF(E2="住宅",项目基本情况!D37,IF(E2="工业",项目基本情况!E37,项目基本情况!F37))))</f>
        <v>二级</v>
      </c>
      <c r="H2" s="1999" t="s">
        <v>1936</v>
      </c>
      <c r="I2" s="2000" t="str">
        <f>IF(E2="商业",项目基本情况!B38,IF(E2="办公",项目基本情况!C38,IF(E2="住宅",项目基本情况!D38,IF(E2="工业",项目基本情况!E38,项目基本情况!F38))))</f>
        <v>Ⅱ—04</v>
      </c>
      <c r="J2" s="2001"/>
      <c r="K2" s="1118"/>
      <c r="L2" s="2002" t="s">
        <v>1937</v>
      </c>
      <c r="M2" s="863">
        <f>SUMPRODUCT((区片价!B10:B29=I2)*(区片价!C3:G3=E2)*(区片价!C10:G29))</f>
        <v>27660</v>
      </c>
      <c r="N2" s="865">
        <f>SUMPRODUCT((因素修正幅度!B10:B29=I2)*(因素修正幅度!C3:G3=E2)*(因素修正幅度!C10:G29))</f>
        <v>9.1999999999999998E-2</v>
      </c>
      <c r="O2" s="1118"/>
      <c r="P2" s="1118"/>
      <c r="Q2" s="1118"/>
      <c r="R2" s="1211">
        <v>1</v>
      </c>
      <c r="S2" s="3359">
        <f>ROUND(SUMPRODUCT((B106:B110=R2)*(C105:N105=G2)*(C106:N110)),4)</f>
        <v>1.5206</v>
      </c>
      <c r="T2" s="3359">
        <f t="shared" ref="T2:T16" si="0">ROUND($C$5*$C$22*$C$23*$C$24*S2*$C$28,0)</f>
        <v>34135</v>
      </c>
      <c r="U2" s="1212"/>
      <c r="V2" s="3359">
        <f>ROUND(T2*U2/10000,0)</f>
        <v>0</v>
      </c>
      <c r="W2" s="1215"/>
      <c r="X2" s="1215"/>
      <c r="Y2" s="1215"/>
      <c r="Z2" s="1215"/>
      <c r="AA2" s="1215"/>
      <c r="AB2" s="1215"/>
      <c r="AC2" s="1216"/>
      <c r="AD2" s="1217"/>
      <c r="AE2" s="1217"/>
      <c r="AF2" s="1217"/>
      <c r="AG2" s="1217"/>
      <c r="AH2" s="1217"/>
      <c r="AI2" s="1217"/>
      <c r="AJ2" s="1218"/>
    </row>
    <row r="3" spans="1:36" ht="15.75">
      <c r="A3" s="203" t="s">
        <v>1938</v>
      </c>
      <c r="B3" s="204">
        <f>ROUND(B2*10000/D1,0)</f>
        <v>4817</v>
      </c>
      <c r="C3" s="1998" t="s">
        <v>1939</v>
      </c>
      <c r="D3" s="1999" t="s">
        <v>1940</v>
      </c>
      <c r="E3" s="3418" t="s">
        <v>3495</v>
      </c>
      <c r="F3" s="2003" t="s">
        <v>3496</v>
      </c>
      <c r="G3" s="751">
        <f>IF(F3="宗地容积率",'数据-汇总表'!I4,IF(F3="估价对象容积率",'数据-汇总表'!I6,'数据-汇总表'!I7))</f>
        <v>3.5</v>
      </c>
      <c r="H3" s="170" t="s">
        <v>1941</v>
      </c>
      <c r="I3" s="774"/>
      <c r="J3" s="2001" t="s">
        <v>1942</v>
      </c>
      <c r="K3" s="1118"/>
      <c r="L3" s="2002" t="s">
        <v>1943</v>
      </c>
      <c r="M3" s="863">
        <f>SUMPRODUCT((区片价!B30:B54=I2)*(区片价!C3:G3=E2)*(区片价!C30:G54))</f>
        <v>0</v>
      </c>
      <c r="N3" s="865">
        <f>SUMPRODUCT((因素修正幅度!B30:B54=I2)*(因素修正幅度!C3:G3=E2)*(因素修正幅度!C30:G54))</f>
        <v>0</v>
      </c>
      <c r="O3" s="1118"/>
      <c r="P3" s="1118"/>
      <c r="Q3" s="1118"/>
      <c r="R3" s="1211">
        <v>2</v>
      </c>
      <c r="S3" s="3359">
        <f>ROUND(SUMPRODUCT((B106:B110=R3)*(C105:N105=G2)*(C106:N110)),4)</f>
        <v>1.2072000000000001</v>
      </c>
      <c r="T3" s="3359">
        <f t="shared" si="0"/>
        <v>27099</v>
      </c>
      <c r="U3" s="1212"/>
      <c r="V3" s="3359">
        <f t="shared" ref="V3:V16" si="1">ROUND(T3*U3/10000,0)</f>
        <v>0</v>
      </c>
      <c r="W3" s="1215"/>
      <c r="X3" s="1215"/>
      <c r="Y3" s="1215"/>
      <c r="Z3" s="1215"/>
      <c r="AA3" s="1215"/>
      <c r="AB3" s="1215"/>
      <c r="AC3" s="1216"/>
      <c r="AD3" s="1217"/>
      <c r="AE3" s="1217"/>
      <c r="AF3" s="1217"/>
      <c r="AG3" s="1217"/>
      <c r="AH3" s="1217"/>
      <c r="AI3" s="1217"/>
      <c r="AJ3" s="1218"/>
    </row>
    <row r="4" spans="1:36" ht="15.75">
      <c r="A4" s="4182"/>
      <c r="B4" s="4183"/>
      <c r="C4" s="4183"/>
      <c r="D4" s="4184"/>
      <c r="E4" s="4184"/>
      <c r="F4" s="4184"/>
      <c r="G4" s="4184"/>
      <c r="H4" s="4184"/>
      <c r="I4" s="4184"/>
      <c r="J4" s="4185"/>
      <c r="K4" s="1118"/>
      <c r="L4" s="2002" t="s">
        <v>1944</v>
      </c>
      <c r="M4" s="863">
        <f>SUMPRODUCT((区片价!B55:B86=I2)*(区片价!C3:G3=E2)*(区片价!C55:G86))</f>
        <v>0</v>
      </c>
      <c r="N4" s="865">
        <f>SUMPRODUCT((因素修正幅度!B55:B86=I2)*(因素修正幅度!C3:G3=E2)*(因素修正幅度!C55:G86))</f>
        <v>0</v>
      </c>
      <c r="O4" s="1118"/>
      <c r="P4" s="1118"/>
      <c r="Q4" s="1118"/>
      <c r="R4" s="1211">
        <v>3</v>
      </c>
      <c r="S4" s="3359">
        <f>ROUND(SUMPRODUCT((B106:B110=R4)*(C105:N105=G2)*(C106:N110)),4)</f>
        <v>1.0430999999999999</v>
      </c>
      <c r="T4" s="3359">
        <f t="shared" si="0"/>
        <v>23416</v>
      </c>
      <c r="U4" s="1212"/>
      <c r="V4" s="3359">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1945</v>
      </c>
      <c r="C5" s="752">
        <f>ROUND(IF(E2="商业",C6*C7*C17+C20,(IF(E2="住宅",C6*C13*C17+C20,IF(E2="办公",C6*C12*C17+C20,C6+C20)))),0)</f>
        <v>27646</v>
      </c>
      <c r="D5" s="1338">
        <f>ROUND(C6*C17+C20,0)</f>
        <v>27646</v>
      </c>
      <c r="E5" s="1338"/>
      <c r="F5" s="2006"/>
      <c r="G5" s="2007"/>
      <c r="H5" s="2007"/>
      <c r="I5" s="2007"/>
      <c r="J5" s="2008"/>
      <c r="K5" s="2009"/>
      <c r="L5" s="2002" t="s">
        <v>1946</v>
      </c>
      <c r="M5" s="863">
        <f>SUMPRODUCT((区片价!B87:B126=I2)*(区片价!C3:G3=E2)*(区片价!C87:G126))</f>
        <v>0</v>
      </c>
      <c r="N5" s="865">
        <f>SUMPRODUCT((因素修正幅度!B87:B126=I2)*(因素修正幅度!C3:G3=E2)*(因素修正幅度!C87:G126))</f>
        <v>0</v>
      </c>
      <c r="O5" s="1118"/>
      <c r="P5" s="1118"/>
      <c r="Q5" s="1118"/>
      <c r="R5" s="1211">
        <v>4</v>
      </c>
      <c r="S5" s="3359">
        <f>ROUND(SUMPRODUCT((B106:B110=R5)*(C105:N105=G2)*(C106:N110)),4)</f>
        <v>0.94389999999999996</v>
      </c>
      <c r="T5" s="3359">
        <f t="shared" si="0"/>
        <v>21189</v>
      </c>
      <c r="U5" s="1212"/>
      <c r="V5" s="3359">
        <f t="shared" si="1"/>
        <v>0</v>
      </c>
      <c r="W5" s="1215"/>
      <c r="X5" s="1215"/>
      <c r="Y5" s="1215"/>
      <c r="Z5" s="1215"/>
      <c r="AA5" s="1215"/>
      <c r="AB5" s="1215"/>
      <c r="AC5" s="2010"/>
      <c r="AD5" s="2011"/>
      <c r="AE5" s="2011"/>
      <c r="AF5" s="2011"/>
      <c r="AG5" s="2011"/>
      <c r="AH5" s="2011"/>
      <c r="AI5" s="2011"/>
      <c r="AJ5" s="2012"/>
    </row>
    <row r="6" spans="1:36" ht="15.75" thickBot="1">
      <c r="A6" s="2014" t="s">
        <v>1947</v>
      </c>
      <c r="B6" s="2015" t="s">
        <v>1948</v>
      </c>
      <c r="C6" s="753">
        <f>SUMIF(L1:L12,G2,M1:M12)</f>
        <v>27660</v>
      </c>
      <c r="D6" s="2016"/>
      <c r="E6" s="2017"/>
      <c r="F6" s="2017"/>
      <c r="G6" s="2018"/>
      <c r="H6" s="2018"/>
      <c r="I6" s="2018"/>
      <c r="J6" s="2019"/>
      <c r="K6" s="1383"/>
      <c r="L6" s="2002" t="s">
        <v>1949</v>
      </c>
      <c r="M6" s="863">
        <f>SUMPRODUCT((区片价!B127:B189=I2)*(区片价!C3:G3=E2)*(区片价!C127:G189))</f>
        <v>0</v>
      </c>
      <c r="N6" s="865">
        <f>SUMPRODUCT((因素修正幅度!B127:B189=I2)*(因素修正幅度!C3:G3=E2)*(因素修正幅度!C127:G189))</f>
        <v>0</v>
      </c>
      <c r="O6" s="1118"/>
      <c r="P6" s="1118"/>
      <c r="Q6" s="1118"/>
      <c r="R6" s="1211">
        <v>5</v>
      </c>
      <c r="S6" s="3359">
        <f>ROUND(SUMPRODUCT((B106:B110=R6)*(C105:N105=G2)*(C106:N110)),4)</f>
        <v>0.89959999999999996</v>
      </c>
      <c r="T6" s="3359">
        <f t="shared" si="0"/>
        <v>20194</v>
      </c>
      <c r="U6" s="1212"/>
      <c r="V6" s="3359">
        <f t="shared" si="1"/>
        <v>0</v>
      </c>
      <c r="W6" s="1215"/>
      <c r="X6" s="1215"/>
      <c r="Y6" s="1215"/>
      <c r="Z6" s="1215"/>
      <c r="AA6" s="1215"/>
      <c r="AB6" s="1215"/>
      <c r="AC6" s="2010"/>
      <c r="AD6" s="2011"/>
      <c r="AE6" s="2011"/>
      <c r="AF6" s="2011"/>
      <c r="AG6" s="2011"/>
      <c r="AH6" s="2011"/>
      <c r="AI6" s="2011"/>
      <c r="AJ6" s="2012"/>
    </row>
    <row r="7" spans="1:36" ht="24.75" thickBot="1">
      <c r="A7" s="3302" t="s">
        <v>3236</v>
      </c>
      <c r="B7" s="2020" t="s">
        <v>1950</v>
      </c>
      <c r="C7" s="754">
        <f>IF(C8="不临65条商业街",1,ROUND(1+(1.6*E8+1.2*E9+0.8*E10+0.4*E11)*C9,4))</f>
        <v>1</v>
      </c>
      <c r="D7" s="2021" t="s">
        <v>1951</v>
      </c>
      <c r="E7" s="775"/>
      <c r="F7" s="2022"/>
      <c r="G7" s="2023"/>
      <c r="H7" s="2023"/>
      <c r="I7" s="2023"/>
      <c r="J7" s="2024"/>
      <c r="K7" s="1383"/>
      <c r="L7" s="2002" t="s">
        <v>1952</v>
      </c>
      <c r="M7" s="863">
        <f>SUMPRODUCT((区片价!B190:B233=I2)*(区片价!C3:G3=E2)*(区片价!C190:G233))</f>
        <v>0</v>
      </c>
      <c r="N7" s="865">
        <f>SUMPRODUCT((因素修正幅度!B190:B233=I2)*(因素修正幅度!C3:G3=E2)*(因素修正幅度!C190:G233))</f>
        <v>0</v>
      </c>
      <c r="O7" s="1118"/>
      <c r="P7" s="1118"/>
      <c r="Q7" s="1118"/>
      <c r="R7" s="1211">
        <v>6</v>
      </c>
      <c r="S7" s="3417"/>
      <c r="T7" s="3359">
        <f t="shared" si="0"/>
        <v>0</v>
      </c>
      <c r="U7" s="1212"/>
      <c r="V7" s="3359">
        <f t="shared" si="1"/>
        <v>0</v>
      </c>
      <c r="W7" s="1357" t="s">
        <v>1953</v>
      </c>
      <c r="X7" s="1213" t="str">
        <f>G2</f>
        <v>二级</v>
      </c>
      <c r="Y7" s="1213" t="s">
        <v>1954</v>
      </c>
      <c r="Z7" s="1214">
        <f>G3</f>
        <v>3.5</v>
      </c>
      <c r="AA7" s="1215"/>
      <c r="AB7" s="1215"/>
      <c r="AC7" s="1216"/>
      <c r="AD7" s="1217"/>
      <c r="AE7" s="1217"/>
      <c r="AF7" s="1217"/>
      <c r="AG7" s="1217"/>
      <c r="AH7" s="1217"/>
      <c r="AI7" s="1217"/>
      <c r="AJ7" s="1218"/>
    </row>
    <row r="8" spans="1:36" ht="25.5">
      <c r="A8" s="3297"/>
      <c r="B8" s="170" t="s">
        <v>1955</v>
      </c>
      <c r="C8" s="2025" t="s">
        <v>3497</v>
      </c>
      <c r="D8" s="755" t="s">
        <v>112</v>
      </c>
      <c r="E8" s="756" t="e">
        <f>ROUND(C11/E7,4)</f>
        <v>#DIV/0!</v>
      </c>
      <c r="F8" s="2026" t="s">
        <v>1956</v>
      </c>
      <c r="G8" s="2027"/>
      <c r="H8" s="2027"/>
      <c r="I8" s="2027"/>
      <c r="J8" s="2028"/>
      <c r="K8" s="1118"/>
      <c r="L8" s="2002" t="s">
        <v>1957</v>
      </c>
      <c r="M8" s="863">
        <f>SUMPRODUCT((区片价!B234:B276=I2)*(区片价!C3:G3=E2)*(区片价!C234:G276))</f>
        <v>0</v>
      </c>
      <c r="N8" s="865">
        <f>SUMPRODUCT((因素修正幅度!B234:B276=I2)*(因素修正幅度!C3:G3=E2)*(因素修正幅度!C234:G276))</f>
        <v>0</v>
      </c>
      <c r="O8" s="1118"/>
      <c r="P8" s="1118"/>
      <c r="Q8" s="1118"/>
      <c r="R8" s="1211">
        <v>7</v>
      </c>
      <c r="S8" s="1212"/>
      <c r="T8" s="3359">
        <f t="shared" si="0"/>
        <v>0</v>
      </c>
      <c r="U8" s="1212"/>
      <c r="V8" s="3359">
        <f t="shared" si="1"/>
        <v>0</v>
      </c>
      <c r="W8" s="4179" t="s">
        <v>1958</v>
      </c>
      <c r="X8" s="4180"/>
      <c r="Y8" s="1219" t="s">
        <v>1959</v>
      </c>
      <c r="Z8" s="1219" t="s">
        <v>1960</v>
      </c>
      <c r="AA8" s="1219" t="s">
        <v>1961</v>
      </c>
      <c r="AB8" s="1219" t="s">
        <v>1962</v>
      </c>
      <c r="AC8" s="1219" t="s">
        <v>1963</v>
      </c>
      <c r="AD8" s="1219" t="s">
        <v>1964</v>
      </c>
      <c r="AE8" s="1219" t="s">
        <v>1965</v>
      </c>
      <c r="AF8" s="1219" t="s">
        <v>1966</v>
      </c>
      <c r="AG8" s="1219" t="s">
        <v>1967</v>
      </c>
      <c r="AH8" s="1219" t="s">
        <v>1968</v>
      </c>
      <c r="AI8" s="1219" t="s">
        <v>1969</v>
      </c>
      <c r="AJ8" s="1219" t="s">
        <v>1970</v>
      </c>
    </row>
    <row r="9" spans="1:36" ht="15">
      <c r="A9" s="3297"/>
      <c r="B9" s="170" t="s">
        <v>1971</v>
      </c>
      <c r="C9" s="757">
        <f>SUMIF(修正!C71:C138,C8,修正!E71:E138)</f>
        <v>0</v>
      </c>
      <c r="D9" s="171" t="s">
        <v>113</v>
      </c>
      <c r="E9" s="171" t="e">
        <f>ROUND(C11/E7,4)</f>
        <v>#DIV/0!</v>
      </c>
      <c r="F9" s="2026" t="s">
        <v>1972</v>
      </c>
      <c r="G9" s="2027"/>
      <c r="H9" s="2027"/>
      <c r="I9" s="2027"/>
      <c r="J9" s="2028"/>
      <c r="K9" s="1118"/>
      <c r="L9" s="2002" t="s">
        <v>1973</v>
      </c>
      <c r="M9" s="863">
        <f>SUMPRODUCT((区片价!B277:B326=I2)*(区片价!C3:G3=E2)*(区片价!C277:G326))</f>
        <v>0</v>
      </c>
      <c r="N9" s="865">
        <f>SUMPRODUCT((因素修正幅度!B277:B326=I2)*(因素修正幅度!C3:G3=E2)*(因素修正幅度!C277:G326))</f>
        <v>0</v>
      </c>
      <c r="O9" s="1118"/>
      <c r="P9" s="1118"/>
      <c r="Q9" s="1118"/>
      <c r="R9" s="1211">
        <v>8</v>
      </c>
      <c r="S9" s="1212"/>
      <c r="T9" s="3359">
        <f t="shared" si="0"/>
        <v>0</v>
      </c>
      <c r="U9" s="1212"/>
      <c r="V9" s="3359">
        <f t="shared" si="1"/>
        <v>0</v>
      </c>
      <c r="W9" s="4181"/>
      <c r="X9" s="3360" t="s">
        <v>3267</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70" t="s">
        <v>1974</v>
      </c>
      <c r="C10" s="171">
        <f>SUMIF(修正!C71:C138,C8,修正!F71:F138)</f>
        <v>0</v>
      </c>
      <c r="D10" s="171" t="s">
        <v>114</v>
      </c>
      <c r="E10" s="171" t="e">
        <f>ROUND(C11/E7,4)</f>
        <v>#DIV/0!</v>
      </c>
      <c r="F10" s="2026" t="s">
        <v>1975</v>
      </c>
      <c r="G10" s="2027"/>
      <c r="H10" s="2027"/>
      <c r="I10" s="2027"/>
      <c r="J10" s="2028"/>
      <c r="K10" s="1118"/>
      <c r="L10" s="2002" t="s">
        <v>1976</v>
      </c>
      <c r="M10" s="863">
        <f>SUMPRODUCT((区片价!B327:B357=I2)*(区片价!C3:G3=E2)*(区片价!C327:G357))</f>
        <v>0</v>
      </c>
      <c r="N10" s="865">
        <f>SUMPRODUCT((因素修正幅度!B327:B357=I2)*(因素修正幅度!C3:G3=E2)*(因素修正幅度!C327:G357))</f>
        <v>0</v>
      </c>
      <c r="O10" s="1118"/>
      <c r="P10" s="1118"/>
      <c r="Q10" s="1118"/>
      <c r="R10" s="1211">
        <v>9</v>
      </c>
      <c r="S10" s="1212"/>
      <c r="T10" s="3359">
        <f t="shared" si="0"/>
        <v>0</v>
      </c>
      <c r="U10" s="1212"/>
      <c r="V10" s="3359">
        <f t="shared" si="1"/>
        <v>0</v>
      </c>
      <c r="W10" s="4181"/>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29" t="s">
        <v>1977</v>
      </c>
      <c r="C11" s="758">
        <f>C10/4</f>
        <v>0</v>
      </c>
      <c r="D11" s="758" t="s">
        <v>115</v>
      </c>
      <c r="E11" s="758" t="e">
        <f>ROUND(C11/E7,4)</f>
        <v>#DIV/0!</v>
      </c>
      <c r="F11" s="2030" t="s">
        <v>1978</v>
      </c>
      <c r="G11" s="2031"/>
      <c r="H11" s="2031"/>
      <c r="I11" s="2031"/>
      <c r="J11" s="2032"/>
      <c r="K11" s="1118"/>
      <c r="L11" s="2002" t="s">
        <v>1979</v>
      </c>
      <c r="M11" s="863">
        <f>SUMPRODUCT((区片价!B358:B377=I2)*(区片价!C3:G3=E2)*(区片价!C358:G377))</f>
        <v>0</v>
      </c>
      <c r="N11" s="865">
        <f>SUMPRODUCT((因素修正幅度!B358:B377=I2)*(因素修正幅度!C3:G3=E2)*(因素修正幅度!C358:G377))</f>
        <v>0</v>
      </c>
      <c r="O11" s="1118"/>
      <c r="P11" s="1118"/>
      <c r="Q11" s="1118"/>
      <c r="R11" s="1211">
        <v>10</v>
      </c>
      <c r="S11" s="1212"/>
      <c r="T11" s="3359">
        <f t="shared" si="0"/>
        <v>0</v>
      </c>
      <c r="U11" s="1212"/>
      <c r="V11" s="3359">
        <f t="shared" si="1"/>
        <v>0</v>
      </c>
      <c r="W11" s="1215"/>
      <c r="X11" s="1215"/>
      <c r="Y11" s="1215"/>
      <c r="Z11" s="1215"/>
      <c r="AA11" s="1215"/>
      <c r="AB11" s="1215"/>
      <c r="AC11" s="1216"/>
      <c r="AD11" s="2787"/>
      <c r="AE11" s="2787"/>
      <c r="AF11" s="2787"/>
      <c r="AG11" s="2787"/>
      <c r="AH11" s="2787"/>
      <c r="AI11" s="2787"/>
      <c r="AJ11" s="2788"/>
    </row>
    <row r="12" spans="1:36" ht="25.5" thickBot="1">
      <c r="A12" s="3302" t="s">
        <v>3237</v>
      </c>
      <c r="B12" s="3303" t="s">
        <v>3238</v>
      </c>
      <c r="C12" s="3304">
        <v>1</v>
      </c>
      <c r="D12" s="3305" t="s">
        <v>3239</v>
      </c>
      <c r="E12" s="3306" t="s">
        <v>3240</v>
      </c>
      <c r="F12" s="3307"/>
      <c r="G12" s="3308"/>
      <c r="H12" s="3308"/>
      <c r="I12" s="3308"/>
      <c r="J12" s="3309"/>
      <c r="K12" s="1118"/>
      <c r="L12" s="2038" t="s">
        <v>1982</v>
      </c>
      <c r="M12" s="864">
        <f>SUMPRODUCT((区片价!B378:B384=I2)*(区片价!C3:G3=E2)*(区片价!C378:G384))</f>
        <v>0</v>
      </c>
      <c r="N12" s="865">
        <f>SUMPRODUCT((因素修正幅度!B378:B384=I2)*(因素修正幅度!C3:G3=E2)*(因素修正幅度!C378:G384))</f>
        <v>0</v>
      </c>
      <c r="O12" s="1118"/>
      <c r="P12" s="1118"/>
      <c r="Q12" s="1118"/>
      <c r="R12" s="1211">
        <v>11</v>
      </c>
      <c r="S12" s="1212"/>
      <c r="T12" s="3359">
        <f t="shared" si="0"/>
        <v>0</v>
      </c>
      <c r="U12" s="1212"/>
      <c r="V12" s="3359">
        <f t="shared" si="1"/>
        <v>0</v>
      </c>
      <c r="W12" s="1215"/>
      <c r="X12" s="1215"/>
      <c r="Y12" s="1215"/>
      <c r="Z12" s="1215"/>
      <c r="AA12" s="1215"/>
      <c r="AB12" s="1215"/>
      <c r="AC12" s="1216"/>
      <c r="AD12" s="2787"/>
      <c r="AE12" s="2787"/>
      <c r="AF12" s="2787"/>
      <c r="AG12" s="2787"/>
      <c r="AH12" s="2787"/>
      <c r="AI12" s="2787"/>
      <c r="AJ12" s="2788"/>
    </row>
    <row r="13" spans="1:36" ht="15.75" thickBot="1">
      <c r="A13" s="3302" t="s">
        <v>3241</v>
      </c>
      <c r="B13" s="2033" t="s">
        <v>1980</v>
      </c>
      <c r="C13" s="754">
        <f>ROUND(C16*D16*E16*F16*G16*H16*I16*J16,4)</f>
        <v>0</v>
      </c>
      <c r="D13" s="2034" t="s">
        <v>1981</v>
      </c>
      <c r="E13" s="2035"/>
      <c r="F13" s="2035"/>
      <c r="G13" s="2036"/>
      <c r="H13" s="2036"/>
      <c r="I13" s="2036"/>
      <c r="J13" s="2037"/>
      <c r="K13" s="1118"/>
      <c r="L13" s="3298"/>
      <c r="M13" s="3299"/>
      <c r="N13" s="3300"/>
      <c r="O13" s="1118"/>
      <c r="P13" s="1118"/>
      <c r="Q13" s="1118"/>
      <c r="R13" s="1211">
        <v>12</v>
      </c>
      <c r="S13" s="1212"/>
      <c r="T13" s="3359">
        <f t="shared" si="0"/>
        <v>0</v>
      </c>
      <c r="U13" s="1212"/>
      <c r="V13" s="3359">
        <f t="shared" si="1"/>
        <v>0</v>
      </c>
      <c r="W13" s="1215"/>
      <c r="X13" s="1215"/>
      <c r="Y13" s="1215"/>
      <c r="Z13" s="1215"/>
      <c r="AA13" s="1215"/>
      <c r="AB13" s="1215"/>
      <c r="AC13" s="1216"/>
      <c r="AD13" s="2787"/>
      <c r="AE13" s="2787"/>
      <c r="AF13" s="2787"/>
      <c r="AG13" s="2787"/>
      <c r="AH13" s="2787"/>
      <c r="AI13" s="2787"/>
      <c r="AJ13" s="2788"/>
    </row>
    <row r="14" spans="1:36" ht="15">
      <c r="A14" s="3296"/>
      <c r="B14" s="2039" t="s">
        <v>1983</v>
      </c>
      <c r="C14" s="2040" t="s">
        <v>1984</v>
      </c>
      <c r="D14" s="1349" t="s">
        <v>1985</v>
      </c>
      <c r="E14" s="27" t="s">
        <v>1986</v>
      </c>
      <c r="F14" s="3310" t="s">
        <v>3242</v>
      </c>
      <c r="G14" s="3310" t="s">
        <v>3242</v>
      </c>
      <c r="H14" s="3310" t="s">
        <v>3242</v>
      </c>
      <c r="I14" s="3310" t="s">
        <v>3242</v>
      </c>
      <c r="J14" s="3310" t="s">
        <v>3242</v>
      </c>
      <c r="K14" s="1118"/>
      <c r="L14" s="1118"/>
      <c r="M14" s="1118"/>
      <c r="N14" s="1118"/>
      <c r="O14" s="1118"/>
      <c r="P14" s="1118"/>
      <c r="Q14" s="1118"/>
      <c r="R14" s="1211">
        <v>13</v>
      </c>
      <c r="S14" s="1212"/>
      <c r="T14" s="3359">
        <f t="shared" si="0"/>
        <v>0</v>
      </c>
      <c r="U14" s="1212"/>
      <c r="V14" s="3359">
        <f t="shared" si="1"/>
        <v>0</v>
      </c>
      <c r="W14" s="1215"/>
      <c r="X14" s="1215"/>
      <c r="Y14" s="1215"/>
      <c r="Z14" s="1215"/>
      <c r="AA14" s="1215"/>
      <c r="AB14" s="1215"/>
      <c r="AC14" s="1216"/>
      <c r="AD14" s="2787"/>
      <c r="AE14" s="2787"/>
      <c r="AF14" s="2787"/>
      <c r="AG14" s="2787"/>
      <c r="AH14" s="2787"/>
      <c r="AI14" s="2787"/>
      <c r="AJ14" s="2788"/>
    </row>
    <row r="15" spans="1:36" ht="15">
      <c r="A15" s="3296"/>
      <c r="B15" s="2041"/>
      <c r="C15" s="2042"/>
      <c r="D15" s="2043"/>
      <c r="E15" s="2044"/>
      <c r="F15" s="3311" t="s">
        <v>3243</v>
      </c>
      <c r="G15" s="3312"/>
      <c r="H15" s="3313"/>
      <c r="I15" s="3314"/>
      <c r="J15" s="3315"/>
      <c r="K15" s="1118"/>
      <c r="L15" s="1118"/>
      <c r="M15" s="1118"/>
      <c r="N15" s="1118"/>
      <c r="O15" s="1118"/>
      <c r="P15" s="1118"/>
      <c r="Q15" s="1118"/>
      <c r="R15" s="1211">
        <v>14</v>
      </c>
      <c r="S15" s="1212"/>
      <c r="T15" s="3359">
        <f t="shared" si="0"/>
        <v>0</v>
      </c>
      <c r="U15" s="1212"/>
      <c r="V15" s="3359">
        <f t="shared" si="1"/>
        <v>0</v>
      </c>
      <c r="W15" s="1215"/>
      <c r="X15" s="1215"/>
      <c r="Y15" s="1215"/>
      <c r="Z15" s="1215"/>
      <c r="AA15" s="1215"/>
      <c r="AB15" s="1215"/>
      <c r="AC15" s="1216"/>
      <c r="AD15" s="2787"/>
      <c r="AE15" s="2787"/>
      <c r="AF15" s="2787"/>
      <c r="AG15" s="2787"/>
      <c r="AH15" s="2787"/>
      <c r="AI15" s="2787"/>
      <c r="AJ15" s="2788"/>
    </row>
    <row r="16" spans="1:36" ht="15.75" thickBot="1">
      <c r="A16" s="3296"/>
      <c r="B16" s="3318" t="s">
        <v>1987</v>
      </c>
      <c r="C16" s="3316"/>
      <c r="D16" s="3316"/>
      <c r="E16" s="3316"/>
      <c r="F16" s="3316">
        <v>1</v>
      </c>
      <c r="G16" s="3316">
        <v>1</v>
      </c>
      <c r="H16" s="3316">
        <v>1</v>
      </c>
      <c r="I16" s="3316">
        <v>1</v>
      </c>
      <c r="J16" s="3317">
        <v>1</v>
      </c>
      <c r="K16" s="1118"/>
      <c r="L16" s="1996"/>
      <c r="M16" s="1996"/>
      <c r="N16" s="1996"/>
      <c r="O16" s="1996"/>
      <c r="P16" s="1996"/>
      <c r="Q16" s="1118"/>
      <c r="R16" s="1211">
        <v>15</v>
      </c>
      <c r="S16" s="1212"/>
      <c r="T16" s="3359">
        <f t="shared" si="0"/>
        <v>0</v>
      </c>
      <c r="U16" s="1212"/>
      <c r="V16" s="3359">
        <f t="shared" si="1"/>
        <v>0</v>
      </c>
      <c r="W16" s="1215"/>
      <c r="X16" s="1215"/>
      <c r="Y16" s="1215"/>
      <c r="Z16" s="1215"/>
      <c r="AA16" s="1215"/>
      <c r="AB16" s="1215"/>
      <c r="AC16" s="1216"/>
      <c r="AD16" s="2787"/>
      <c r="AE16" s="2787"/>
      <c r="AF16" s="2787"/>
      <c r="AG16" s="2787"/>
      <c r="AH16" s="2787"/>
      <c r="AI16" s="2787"/>
      <c r="AJ16" s="2788"/>
    </row>
    <row r="17" spans="1:37">
      <c r="A17" s="3328" t="s">
        <v>3244</v>
      </c>
      <c r="B17" s="3319" t="s">
        <v>3245</v>
      </c>
      <c r="C17" s="3329">
        <f>ROUND(IF(OR(E2="工业",E2="公共服务"),1,IF(AND(E18=0,E19=0),1,IF(AND(E18=J24,E19=G19),0.8,IF(E19=0,1+E17*(-0.2),1+E17*G17*(-0.2))))),4)</f>
        <v>1</v>
      </c>
      <c r="D17" s="3320" t="s">
        <v>3246</v>
      </c>
      <c r="E17" s="3329">
        <f>ROUND(G18/I18,2)</f>
        <v>0</v>
      </c>
      <c r="F17" s="3320" t="s">
        <v>3249</v>
      </c>
      <c r="G17" s="3329" t="e">
        <f>ROUND(E19/G19,2)</f>
        <v>#DIV/0!</v>
      </c>
      <c r="H17" s="3329"/>
      <c r="I17" s="3329"/>
      <c r="J17" s="3330"/>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1"/>
      <c r="B18" s="3008"/>
      <c r="C18" s="3326"/>
      <c r="D18" s="3321" t="s">
        <v>3247</v>
      </c>
      <c r="E18" s="3327"/>
      <c r="F18" s="3322" t="s">
        <v>3250</v>
      </c>
      <c r="G18" s="3326">
        <f>ROUND(1-(1/(POWER(1+G24,E18))),4)</f>
        <v>0</v>
      </c>
      <c r="H18" s="3322" t="s">
        <v>3252</v>
      </c>
      <c r="I18" s="3326">
        <f>ROUND(1-(1/(POWER(1+G24,J24))),4)</f>
        <v>0.93120000000000003</v>
      </c>
      <c r="J18" s="3332"/>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6"/>
    </row>
    <row r="19" spans="1:37" s="2013" customFormat="1" ht="15" thickBot="1">
      <c r="A19" s="3333"/>
      <c r="B19" s="3334"/>
      <c r="C19" s="3335"/>
      <c r="D19" s="3335" t="s">
        <v>3248</v>
      </c>
      <c r="E19" s="3336"/>
      <c r="F19" s="3337" t="s">
        <v>3251</v>
      </c>
      <c r="G19" s="3336"/>
      <c r="H19" s="3335"/>
      <c r="I19" s="3335"/>
      <c r="J19" s="3338"/>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89"/>
      <c r="AH19" s="2140"/>
      <c r="AI19" s="2790"/>
      <c r="AJ19" s="2790"/>
      <c r="AK19" s="2056"/>
    </row>
    <row r="20" spans="1:37" s="2013" customFormat="1" ht="14.25">
      <c r="A20" s="4186" t="s">
        <v>3253</v>
      </c>
      <c r="B20" s="167" t="s">
        <v>1992</v>
      </c>
      <c r="C20" s="3323">
        <f>ROUND(IF(F21="与级别开发程度一致",0,(G21-E21)/C21),0)</f>
        <v>-14</v>
      </c>
      <c r="D20" s="3339" t="s">
        <v>1996</v>
      </c>
      <c r="E20" s="3340"/>
      <c r="F20" s="4192" t="s">
        <v>1993</v>
      </c>
      <c r="G20" s="4193"/>
      <c r="H20" s="3324" t="s">
        <v>3499</v>
      </c>
      <c r="I20" s="3324" t="s">
        <v>3500</v>
      </c>
      <c r="J20" s="3325" t="s">
        <v>3501</v>
      </c>
      <c r="K20" s="2046" t="s">
        <v>3502</v>
      </c>
      <c r="L20" s="2046" t="s">
        <v>3503</v>
      </c>
      <c r="M20" s="2046" t="s">
        <v>3504</v>
      </c>
      <c r="N20" s="2046" t="s">
        <v>3505</v>
      </c>
      <c r="O20" s="2047"/>
      <c r="P20" s="1996"/>
      <c r="Q20" s="1123"/>
      <c r="R20" s="1123"/>
      <c r="S20" s="1123"/>
      <c r="T20" s="1119"/>
      <c r="U20" s="1119"/>
      <c r="V20" s="1119"/>
      <c r="W20" s="1118"/>
      <c r="X20" s="1118"/>
      <c r="Y20" s="1118"/>
      <c r="Z20" s="1124"/>
      <c r="AA20" s="1124"/>
      <c r="AB20" s="1124"/>
      <c r="AC20" s="1124"/>
      <c r="AD20" s="1124"/>
      <c r="AE20" s="1124"/>
      <c r="AF20" s="1124"/>
      <c r="AG20" s="2786"/>
      <c r="AH20" s="2786"/>
      <c r="AI20" s="2786"/>
      <c r="AJ20" s="2786"/>
    </row>
    <row r="21" spans="1:37" s="2013" customFormat="1" ht="26.25" thickBot="1">
      <c r="A21" s="4187"/>
      <c r="B21" s="2163" t="s">
        <v>1995</v>
      </c>
      <c r="C21" s="2164">
        <f>IF(E3="M4科研用地",SUMPRODUCT((修正!A2:A7=E3)*(修正!B1:M1=G2)*(修正!B2:M7)),SUMPRODUCT((修正!A2:A7=E2)*(修正!B1:M1=G2)*(修正!B2:M7)))</f>
        <v>3.5</v>
      </c>
      <c r="D21" s="187" t="str">
        <f>IF(OR(G2="八级",G2="九级",G2="十级",G2="十一级",G2="十二级"),"五通一平","七通一平")</f>
        <v>七通一平</v>
      </c>
      <c r="E21" s="2154">
        <f>SUMPRODUCT((修正!B1:M1=G2)*(修正!B17:M17))</f>
        <v>375</v>
      </c>
      <c r="F21" s="2155" t="s">
        <v>3498</v>
      </c>
      <c r="G21" s="2156">
        <f>SUM(H21:O21)</f>
        <v>325</v>
      </c>
      <c r="H21" s="2164">
        <f>SUMPRODUCT((七通一平=H20)*(修正!B1:M1=G2)*(修正!B8:M16))</f>
        <v>80</v>
      </c>
      <c r="I21" s="2164">
        <f>SUMPRODUCT((七通一平=I20)*(修正!B1:M1=G2)*(修正!B8:M16))</f>
        <v>70</v>
      </c>
      <c r="J21" s="2165">
        <f>SUMPRODUCT((七通一平=J20)*(修正!B1:M1=G2)*(修正!B8:M16))</f>
        <v>20</v>
      </c>
      <c r="K21" s="2164">
        <f>SUMPRODUCT((七通一平=K20)*(修正!B1:M1=G2)*(修正!B8:M16))</f>
        <v>30</v>
      </c>
      <c r="L21" s="2164">
        <f>SUMPRODUCT((七通一平=L20)*(修正!B1:M1=G2)*(修正!B8:M16))</f>
        <v>45</v>
      </c>
      <c r="M21" s="2164">
        <f>SUMPRODUCT((七通一平=M20)*(修正!B1:M1=G2)*(修正!B8:M16))</f>
        <v>60</v>
      </c>
      <c r="N21" s="2164">
        <f>SUMPRODUCT((七通一平=N20)*(修正!B1:M1=G2)*(修正!B8:M16))</f>
        <v>20</v>
      </c>
      <c r="O21" s="2166">
        <f>SUMPRODUCT((七通一平=O20)*(修正!B1:M1=G2)*(修正!B8:M16))</f>
        <v>0</v>
      </c>
      <c r="P21" s="1996"/>
      <c r="Q21" s="2786"/>
      <c r="R21" s="1123"/>
      <c r="S21" s="1123"/>
      <c r="T21" s="1119"/>
      <c r="U21" s="1119"/>
      <c r="V21" s="1119"/>
      <c r="W21" s="1118"/>
      <c r="X21" s="1118"/>
      <c r="Y21" s="1118"/>
      <c r="Z21" s="1124"/>
      <c r="AA21" s="1124"/>
      <c r="AB21" s="1124"/>
      <c r="AC21" s="1124"/>
      <c r="AD21" s="1124"/>
      <c r="AE21" s="1124"/>
      <c r="AF21" s="1124"/>
      <c r="AG21" s="2786"/>
      <c r="AH21" s="2786"/>
      <c r="AI21" s="2786"/>
      <c r="AJ21" s="2786"/>
    </row>
    <row r="22" spans="1:37" s="2013" customFormat="1" ht="15.75" thickBot="1">
      <c r="A22" s="2157" t="s">
        <v>363</v>
      </c>
      <c r="B22" s="2158" t="s">
        <v>1998</v>
      </c>
      <c r="C22" s="2159">
        <f>SUMIF(修正!C20:C51,E3,修正!E20:E51)</f>
        <v>1</v>
      </c>
      <c r="D22" s="2160"/>
      <c r="E22" s="2161"/>
      <c r="F22" s="2161"/>
      <c r="G22" s="2161"/>
      <c r="H22" s="2161"/>
      <c r="I22" s="2161"/>
      <c r="J22" s="2162"/>
      <c r="K22" s="1124"/>
      <c r="L22" s="2786"/>
      <c r="M22" s="2786"/>
      <c r="N22" s="2786"/>
      <c r="O22" s="1122"/>
      <c r="P22" s="1122"/>
      <c r="Q22" s="2786"/>
      <c r="R22" s="1123"/>
      <c r="S22" s="1123"/>
      <c r="T22" s="1119"/>
      <c r="U22" s="1119"/>
      <c r="V22" s="1119"/>
      <c r="W22" s="1118"/>
      <c r="X22" s="1118"/>
      <c r="Y22" s="1118"/>
      <c r="Z22" s="1124"/>
      <c r="AA22" s="1124"/>
      <c r="AB22" s="1124"/>
      <c r="AC22" s="1124"/>
      <c r="AD22" s="1124"/>
      <c r="AE22" s="1124"/>
      <c r="AF22" s="1124"/>
      <c r="AG22" s="2786"/>
      <c r="AH22" s="2786"/>
      <c r="AI22" s="2786"/>
      <c r="AJ22" s="2786"/>
    </row>
    <row r="23" spans="1:37" ht="26.25" thickBot="1">
      <c r="A23" s="2049" t="s">
        <v>364</v>
      </c>
      <c r="B23" s="2050" t="s">
        <v>1999</v>
      </c>
      <c r="C23" s="759">
        <f>ROUND(IF(J23="中心城区",SUMPRODUCT(('地价-分区'!A5:A21=YEAR(G23)&amp;"-"&amp;ROUNDUP(MONTH(G23)/3,0))*('地价-分区'!S2:W2=E2)*('地价-分区'!S5:W21)),IF(J23="中心城区以外",SUMPRODUCT(('地价-分区'!A32:A46=YEAR(G23)&amp;"-"&amp;ROUNDUP(MONTH(G23)/3,0))*('地价-分区'!S27:W27=E2)*('地价-分区'!S32:W46)),IF(J23="不用分区数据",IF(H23="按公示增长率计算",SUMPRODUCT((地价!A3:A16=YEAR(G23)&amp;"-"&amp;ROUNDUP(MONTH(G23)/3,0))*(地价!Y2:AD2=E2)*(地价!Y3:AD16)),IF(H23="地价指数",M24/M23,(1+I23)^O23))))),4)</f>
        <v>1.0107999999999999</v>
      </c>
      <c r="D23" s="2053" t="s">
        <v>2000</v>
      </c>
      <c r="E23" s="760">
        <v>44197</v>
      </c>
      <c r="F23" s="2053" t="s">
        <v>2001</v>
      </c>
      <c r="G23" s="761">
        <f>'数据-取费表'!B2</f>
        <v>45575</v>
      </c>
      <c r="H23" s="3341" t="s">
        <v>3255</v>
      </c>
      <c r="I23" s="3342" t="str">
        <f>IF(H23="季度增幅（自定义）",SUMIF(N25:N28,E2,O25:O28),"")</f>
        <v/>
      </c>
      <c r="J23" s="3444" t="s">
        <v>3254</v>
      </c>
      <c r="K23" s="1124"/>
      <c r="L23" s="2054" t="s">
        <v>2002</v>
      </c>
      <c r="M23" s="1327">
        <f>ROUND(SUMIF(地价!B2:G2,E2,地价!B16:G16),0)</f>
        <v>350</v>
      </c>
      <c r="N23" s="2055" t="s">
        <v>2003</v>
      </c>
      <c r="O23" s="762">
        <f>ROUNDDOWN(DATEDIF(E23,G23,"M")/3,0)</f>
        <v>15</v>
      </c>
      <c r="P23" s="1121"/>
      <c r="Q23" s="2786"/>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2004</v>
      </c>
      <c r="C24" s="763">
        <f>ROUND(POWER(1+G24,J24-I24)*(POWER(1+G24,I24)-1)/(POWER(1+G24,J24)-1),4)</f>
        <v>0.76519999999999999</v>
      </c>
      <c r="D24" s="2059" t="s">
        <v>2005</v>
      </c>
      <c r="E24" s="1334">
        <f>存贷款利率!E26/100</f>
        <v>4.3499999999999997E-2</v>
      </c>
      <c r="F24" s="2059" t="s">
        <v>1997</v>
      </c>
      <c r="G24" s="767">
        <f>SUMIF(M30:Q30,E2,M33:Q33)</f>
        <v>5.5E-2</v>
      </c>
      <c r="H24" s="2059" t="s">
        <v>2006</v>
      </c>
      <c r="I24" s="768">
        <f>SUMIF('数据-取费表'!C6:C15,E2,'数据-取费表'!F6:F15)/COUNTIF('数据-取费表'!C6:C15,E2)</f>
        <v>23.29</v>
      </c>
      <c r="J24" s="769">
        <f>IF(E2="住宅",70,IF(E2="商业",40,50))</f>
        <v>50</v>
      </c>
      <c r="K24" s="1124"/>
      <c r="L24" s="2060" t="s">
        <v>2007</v>
      </c>
      <c r="M24" s="1328">
        <f>ROUND(SUMPRODUCT((地价!A4:A16=YEAR(G23)&amp;"-"&amp;ROUNDUP(MONTH(G23)/3,0))*(地价!B2:G2=E2)*(地价!B4:G16)),0)</f>
        <v>0</v>
      </c>
      <c r="N24" s="2061" t="s">
        <v>2008</v>
      </c>
      <c r="O24" s="2062" t="s">
        <v>2009</v>
      </c>
      <c r="P24" s="2063" t="s">
        <v>2010</v>
      </c>
      <c r="Q24" s="1996"/>
      <c r="R24" s="1123"/>
      <c r="S24" s="1123"/>
      <c r="T24" s="1119"/>
      <c r="U24" s="1119"/>
      <c r="V24" s="1119"/>
      <c r="W24" s="1118"/>
      <c r="X24" s="1118"/>
      <c r="Y24" s="1118"/>
      <c r="Z24" s="1124"/>
      <c r="AA24" s="1124"/>
      <c r="AB24" s="1124"/>
      <c r="AC24" s="1124"/>
      <c r="AD24" s="1124"/>
      <c r="AE24" s="1124"/>
      <c r="AF24" s="1124"/>
      <c r="AG24" s="2786"/>
      <c r="AH24" s="2786"/>
      <c r="AI24" s="2786"/>
      <c r="AJ24" s="2786"/>
    </row>
    <row r="25" spans="1:37" ht="15">
      <c r="A25" s="2064" t="s">
        <v>366</v>
      </c>
      <c r="B25" s="2065" t="s">
        <v>3334</v>
      </c>
      <c r="C25" s="770">
        <f>IF(B25="容积率修正",IF(G3&lt;10,D26,J26),C27)</f>
        <v>1</v>
      </c>
      <c r="D25" s="2066"/>
      <c r="E25" s="2066"/>
      <c r="F25" s="2066"/>
      <c r="G25" s="2066"/>
      <c r="H25" s="2066"/>
      <c r="I25" s="2066"/>
      <c r="J25" s="2067"/>
      <c r="K25" s="1124"/>
      <c r="L25" s="2786"/>
      <c r="M25" s="2786"/>
      <c r="N25" s="2068" t="s">
        <v>2011</v>
      </c>
      <c r="O25" s="1172"/>
      <c r="P25" s="1173">
        <f>SUMPRODUCT((地价!A3:A40=YEAR(G23)&amp;"-"&amp;ROUNDUP(MONTH(G23)/3,0))*(地价!AD2:AH2=N25)*(地价!AD3:AH40))</f>
        <v>0</v>
      </c>
      <c r="Q25" s="2786"/>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2012</v>
      </c>
      <c r="B26" s="2069" t="s">
        <v>2013</v>
      </c>
      <c r="C26" s="3343" t="s">
        <v>3256</v>
      </c>
      <c r="D26" s="1351">
        <f>IF(E26=G26,F26,IF(G3&lt;10,ROUND(F26+(H26-F26)*(G3-E26)/(G26-E26),4),"——"))</f>
        <v>1</v>
      </c>
      <c r="E26" s="751">
        <f>ROUNDDOWN(G3,1)</f>
        <v>3.5</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1">
        <f>ROUNDUP(G3,1)</f>
        <v>3.5</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3" t="s">
        <v>3257</v>
      </c>
      <c r="J26" s="771" t="str">
        <f>IF(G3&gt;=10,D115,"——")</f>
        <v>——</v>
      </c>
      <c r="K26" s="1124"/>
      <c r="L26" s="2786"/>
      <c r="M26" s="2786"/>
      <c r="N26" s="2068" t="s">
        <v>2014</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2015</v>
      </c>
      <c r="B27" s="2070" t="s">
        <v>2016</v>
      </c>
      <c r="C27" s="840">
        <f>ROUND(IF(I3&lt;6,SUMPRODUCT((B106:B110=I3)*(C105:N105=G2)*(C106:N110)),SUMIF(C105:N105,G2,C112:N112)),4)</f>
        <v>0</v>
      </c>
      <c r="D27" s="2045"/>
      <c r="E27" s="2045"/>
      <c r="F27" s="2071"/>
      <c r="G27" s="2072"/>
      <c r="H27" s="2073"/>
      <c r="I27" s="2074"/>
      <c r="J27" s="2075"/>
      <c r="K27" s="1118"/>
      <c r="L27" s="1996"/>
      <c r="M27" s="1996"/>
      <c r="N27" s="2068" t="s">
        <v>2017</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2018</v>
      </c>
      <c r="C28" s="759">
        <f>SUMIF(A47:A101,E2,B47:B101)</f>
        <v>1.0498000000000001</v>
      </c>
      <c r="D28" s="2051"/>
      <c r="E28" s="2076"/>
      <c r="F28" s="2076"/>
      <c r="G28" s="2076"/>
      <c r="H28" s="2076"/>
      <c r="I28" s="2076"/>
      <c r="J28" s="2077"/>
      <c r="K28" s="1124"/>
      <c r="L28" s="2786"/>
      <c r="M28" s="2786"/>
      <c r="N28" s="2078" t="s">
        <v>2019</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2020</v>
      </c>
      <c r="C29" s="764"/>
      <c r="D29" s="2023"/>
      <c r="E29" s="2023"/>
      <c r="F29" s="2080"/>
      <c r="G29" s="2023"/>
      <c r="H29" s="2023"/>
      <c r="I29" s="2023"/>
      <c r="J29" s="2024"/>
      <c r="K29" s="1118"/>
      <c r="L29" s="1996"/>
      <c r="M29" s="1996"/>
      <c r="N29" s="2783" t="s">
        <v>2021</v>
      </c>
      <c r="O29" s="2784"/>
      <c r="P29" s="2785">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2022</v>
      </c>
      <c r="C30" s="2320">
        <f>IF(B25="容积率修正",E33+SUM(E37:E42),SUM(V2:V16)+SUM(E37:E42))</f>
        <v>915</v>
      </c>
      <c r="D30" s="2082"/>
      <c r="E30" s="2045"/>
      <c r="F30" s="2083"/>
      <c r="G30" s="2045"/>
      <c r="H30" s="2045"/>
      <c r="I30" s="2045"/>
      <c r="J30" s="2084"/>
      <c r="K30" s="1118"/>
      <c r="L30" s="3349" t="s">
        <v>1934</v>
      </c>
      <c r="M30" s="3350" t="s">
        <v>1988</v>
      </c>
      <c r="N30" s="3350" t="s">
        <v>1989</v>
      </c>
      <c r="O30" s="3350" t="s">
        <v>1990</v>
      </c>
      <c r="P30" s="3350" t="s">
        <v>1991</v>
      </c>
      <c r="Q30" s="3353" t="s">
        <v>3261</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2023</v>
      </c>
      <c r="C31" s="765">
        <f>E34+SUM(I37:I42)</f>
        <v>228</v>
      </c>
      <c r="D31" s="2086"/>
      <c r="E31" s="2087"/>
      <c r="F31" s="2088"/>
      <c r="G31" s="2087"/>
      <c r="H31" s="2087"/>
      <c r="I31" s="2087"/>
      <c r="J31" s="2089"/>
      <c r="K31" s="1118"/>
      <c r="L31" s="3351" t="s">
        <v>1994</v>
      </c>
      <c r="M31" s="1999">
        <v>0.25</v>
      </c>
      <c r="N31" s="1999">
        <v>0.2</v>
      </c>
      <c r="O31" s="1999">
        <v>0.15</v>
      </c>
      <c r="P31" s="1999">
        <v>0.1</v>
      </c>
      <c r="Q31" s="3346">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2024</v>
      </c>
      <c r="C32" s="2092" t="s">
        <v>2025</v>
      </c>
      <c r="D32" s="2092" t="s">
        <v>2026</v>
      </c>
      <c r="E32" s="2093" t="s">
        <v>2027</v>
      </c>
      <c r="F32" s="2094"/>
      <c r="G32" s="2036"/>
      <c r="H32" s="2036"/>
      <c r="I32" s="2036"/>
      <c r="J32" s="2037"/>
      <c r="K32" s="1118"/>
      <c r="L32" s="3352" t="s">
        <v>1997</v>
      </c>
      <c r="M32" s="2568">
        <f>ROUND($E$24*(1+M31),3)</f>
        <v>5.3999999999999999E-2</v>
      </c>
      <c r="N32" s="2568">
        <f>ROUND($E$24*(1+N31),3)</f>
        <v>5.1999999999999998E-2</v>
      </c>
      <c r="O32" s="2568">
        <f>ROUND($E$24*(1+O31),3)</f>
        <v>0.05</v>
      </c>
      <c r="P32" s="2568">
        <f>ROUND($E$24*(1+P31),3)</f>
        <v>4.8000000000000001E-2</v>
      </c>
      <c r="Q32" s="3354">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2028</v>
      </c>
      <c r="C33" s="175">
        <f>ROUND(C5*C22*C23*C24*C25*C28,0)</f>
        <v>22448</v>
      </c>
      <c r="D33" s="2097"/>
      <c r="E33" s="772">
        <f>ROUND(C33*D33/10000,0)</f>
        <v>0</v>
      </c>
      <c r="F33" s="3344" t="s">
        <v>3259</v>
      </c>
      <c r="G33" s="2098"/>
      <c r="H33" s="2098"/>
      <c r="I33" s="2098"/>
      <c r="J33" s="2099"/>
      <c r="K33" s="1118"/>
      <c r="L33" s="3347" t="s">
        <v>3262</v>
      </c>
      <c r="M33" s="3348">
        <v>5.5E-2</v>
      </c>
      <c r="N33" s="3348">
        <v>5.5E-2</v>
      </c>
      <c r="O33" s="3348">
        <v>0.05</v>
      </c>
      <c r="P33" s="3348">
        <v>0.05</v>
      </c>
      <c r="Q33" s="3348">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2029</v>
      </c>
      <c r="C34" s="187">
        <f>ROUND(IF(E2="工业",C33*M42,IF(B25="楼层修正",SUM(V2:V16)*M41*10000/D34,C33*M41)),0)</f>
        <v>5612</v>
      </c>
      <c r="D34" s="2102"/>
      <c r="E34" s="772">
        <f>ROUND(IF(B25="楼层修正",SUM(V2:V16)*M40,C34*D34/10000),0)</f>
        <v>0</v>
      </c>
      <c r="F34" s="2103" t="s">
        <v>2030</v>
      </c>
      <c r="G34" s="2104"/>
      <c r="H34" s="2104"/>
      <c r="I34" s="2104"/>
      <c r="J34" s="2105"/>
      <c r="K34" s="1118"/>
      <c r="L34" s="3347" t="s">
        <v>3263</v>
      </c>
      <c r="M34" s="3348">
        <v>6.5000000000000002E-2</v>
      </c>
      <c r="N34" s="3348">
        <v>6.5000000000000002E-2</v>
      </c>
      <c r="O34" s="3348">
        <v>0.06</v>
      </c>
      <c r="P34" s="3348">
        <v>0.06</v>
      </c>
      <c r="Q34" s="3348">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2031</v>
      </c>
      <c r="C35" s="3345" t="s">
        <v>3260</v>
      </c>
      <c r="D35" s="2036"/>
      <c r="E35" s="2108"/>
      <c r="F35" s="2108"/>
      <c r="G35" s="2034" t="s">
        <v>2032</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50" t="s">
        <v>2025</v>
      </c>
      <c r="D36" s="447" t="s">
        <v>2026</v>
      </c>
      <c r="E36" s="447" t="s">
        <v>2027</v>
      </c>
      <c r="F36" s="342" t="s">
        <v>2033</v>
      </c>
      <c r="G36" s="2111" t="s">
        <v>2025</v>
      </c>
      <c r="H36" s="2111" t="s">
        <v>2026</v>
      </c>
      <c r="I36" s="2111" t="s">
        <v>2027</v>
      </c>
      <c r="J36" s="243"/>
      <c r="K36" s="3355" t="s">
        <v>3264</v>
      </c>
      <c r="L36" s="3445">
        <f ca="1">'数据-取费表'!B40</f>
        <v>3.3500000000000002E-2</v>
      </c>
      <c r="M36" s="3356">
        <f ca="1">ROUND($L$36*(1+M31),3)</f>
        <v>4.2000000000000003E-2</v>
      </c>
      <c r="N36" s="3356">
        <f ca="1">ROUND($L$36*(1+N31),3)</f>
        <v>0.04</v>
      </c>
      <c r="O36" s="3356">
        <f ca="1">ROUND($L$36*(1+O31),3)</f>
        <v>3.9E-2</v>
      </c>
      <c r="P36" s="3356">
        <f ca="1">ROUND($L$36*(1+P31),3)</f>
        <v>3.6999999999999998E-2</v>
      </c>
      <c r="Q36" s="3356">
        <f ca="1">ROUND($L$36*(1+Q31),3)</f>
        <v>3.9E-2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4190"/>
      <c r="B37" s="2112" t="s">
        <v>2034</v>
      </c>
      <c r="C37" s="175">
        <f>ROUND(D5*C22*C23*C24*C28*F37,0)</f>
        <v>15714</v>
      </c>
      <c r="D37" s="2097"/>
      <c r="E37" s="171">
        <f>ROUND(C37*D37/10000,0)</f>
        <v>0</v>
      </c>
      <c r="F37" s="171">
        <f>SUMIF(修正!A57:A68,G2,修正!B57:B68)</f>
        <v>0.7</v>
      </c>
      <c r="G37" s="171">
        <f>ROUND(IF(E2="工业",C37*$M$42,C37*$M$41),0)</f>
        <v>3929</v>
      </c>
      <c r="H37" s="171">
        <f>D37</f>
        <v>0</v>
      </c>
      <c r="I37" s="171">
        <f>ROUND(G37*H37/10000,0)</f>
        <v>0</v>
      </c>
      <c r="J37" s="3010"/>
      <c r="K37" s="3357" t="s">
        <v>3265</v>
      </c>
      <c r="L37" s="3355">
        <f ca="1">L36+K38</f>
        <v>3.85E-2</v>
      </c>
      <c r="M37" s="3356">
        <f ca="1">ROUND($L$37*(1+M31),3)</f>
        <v>4.8000000000000001E-2</v>
      </c>
      <c r="N37" s="3356">
        <f t="shared" ref="N37:Q37" ca="1" si="3">ROUND($L$37*(1+N31),3)</f>
        <v>4.5999999999999999E-2</v>
      </c>
      <c r="O37" s="3356">
        <f t="shared" ca="1" si="3"/>
        <v>4.3999999999999997E-2</v>
      </c>
      <c r="P37" s="3356">
        <f t="shared" ca="1" si="3"/>
        <v>4.2000000000000003E-2</v>
      </c>
      <c r="Q37" s="3356">
        <f t="shared" ca="1" si="3"/>
        <v>4.3999999999999997E-2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4191"/>
      <c r="B38" s="2040" t="s">
        <v>2035</v>
      </c>
      <c r="C38" s="175">
        <f>ROUND(D5*C22*C23*C24*C28*F38,0)</f>
        <v>8979</v>
      </c>
      <c r="D38" s="2097"/>
      <c r="E38" s="171">
        <f t="shared" ref="E38:E42" si="4">ROUND(C38*D38/10000,0)</f>
        <v>0</v>
      </c>
      <c r="F38" s="171">
        <f>SUMIF(修正!A57:A68,G2,修正!C57:C68)</f>
        <v>0.4</v>
      </c>
      <c r="G38" s="171">
        <f>ROUND(IF(E2="工业",C38*$M$42,C38*$M$41),0)</f>
        <v>2245</v>
      </c>
      <c r="H38" s="171">
        <f t="shared" ref="H38:H42" si="5">D38</f>
        <v>0</v>
      </c>
      <c r="I38" s="171">
        <f t="shared" ref="I38:I42" si="6">ROUND(G38*H38/10000,0)</f>
        <v>0</v>
      </c>
      <c r="J38" s="3009"/>
      <c r="K38" s="3355">
        <v>5.0000000000000001E-3</v>
      </c>
      <c r="L38" s="3355"/>
      <c r="M38" s="3355"/>
      <c r="N38" s="3355"/>
      <c r="O38" s="3355"/>
      <c r="P38" s="3355"/>
      <c r="Q38" s="3355"/>
      <c r="R38" s="1118"/>
      <c r="S38" s="1118"/>
      <c r="T38" s="1118"/>
      <c r="U38" s="1118"/>
      <c r="V38" s="1118"/>
      <c r="W38" s="1118"/>
      <c r="X38" s="1118"/>
      <c r="Y38" s="1118"/>
      <c r="Z38" s="1119"/>
      <c r="AA38" s="1119"/>
      <c r="AB38" s="1119"/>
      <c r="AC38" s="1119"/>
      <c r="AD38" s="1119"/>
    </row>
    <row r="39" spans="1:37" ht="13.5" thickBot="1">
      <c r="A39" s="4191"/>
      <c r="B39" s="2040" t="s">
        <v>3258</v>
      </c>
      <c r="C39" s="175">
        <f>ROUND(D5*C22*C23*C24*C28*F39,0)</f>
        <v>6734</v>
      </c>
      <c r="D39" s="2097"/>
      <c r="E39" s="171">
        <f t="shared" si="4"/>
        <v>0</v>
      </c>
      <c r="F39" s="171">
        <f>SUMIF(修正!A57:A68,G2,修正!D57:D68)</f>
        <v>0.3</v>
      </c>
      <c r="G39" s="171">
        <f>ROUND(IF(E2="工业",C39*$M$42,C39*$M$41),0)</f>
        <v>1684</v>
      </c>
      <c r="H39" s="171">
        <f t="shared" si="5"/>
        <v>0</v>
      </c>
      <c r="I39" s="171">
        <f t="shared" si="6"/>
        <v>0</v>
      </c>
      <c r="J39" s="3009"/>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2036</v>
      </c>
      <c r="C40" s="171">
        <f>ROUND(D5*C22*C23*C24*C28*F40,0)</f>
        <v>6734</v>
      </c>
      <c r="D40" s="2097"/>
      <c r="E40" s="171">
        <f t="shared" si="4"/>
        <v>0</v>
      </c>
      <c r="F40" s="175">
        <f>SUMIF(修正!A57:A68,G2,修正!E57:E68)</f>
        <v>0.3</v>
      </c>
      <c r="G40" s="171">
        <f>ROUND(IF(E2="工业",C40*$M$42,C40*$M$41),0)</f>
        <v>1684</v>
      </c>
      <c r="H40" s="171">
        <f t="shared" si="5"/>
        <v>0</v>
      </c>
      <c r="I40" s="171">
        <f t="shared" si="6"/>
        <v>0</v>
      </c>
      <c r="J40" s="2113"/>
      <c r="L40" s="2115" t="s">
        <v>2037</v>
      </c>
      <c r="M40" s="2116"/>
      <c r="Z40" s="1119"/>
      <c r="AA40" s="1119"/>
      <c r="AB40" s="1119"/>
      <c r="AC40" s="1119"/>
      <c r="AD40" s="1119"/>
      <c r="AE40" s="1119"/>
      <c r="AF40" s="1119"/>
      <c r="AG40" s="1119"/>
      <c r="AH40" s="1119"/>
      <c r="AI40" s="1119"/>
      <c r="AJ40" s="1119"/>
    </row>
    <row r="41" spans="1:37" s="1118" customFormat="1">
      <c r="A41" s="2114"/>
      <c r="B41" s="2040" t="s">
        <v>2038</v>
      </c>
      <c r="C41" s="171">
        <f>ROUND(D5*C22*C23*C44*C28*F41,0)</f>
        <v>6734</v>
      </c>
      <c r="D41" s="2097">
        <f>'数据-取费表'!V25</f>
        <v>274.58</v>
      </c>
      <c r="E41" s="171">
        <f t="shared" si="4"/>
        <v>185</v>
      </c>
      <c r="F41" s="175">
        <f>SUMIF(修正!A57:A68,G2,修正!F57:F68)</f>
        <v>0.3</v>
      </c>
      <c r="G41" s="171">
        <f>ROUND(IF(E2="工业",C41*$M$42,C41*$M$41),0)</f>
        <v>1684</v>
      </c>
      <c r="H41" s="171">
        <f t="shared" si="5"/>
        <v>274.58</v>
      </c>
      <c r="I41" s="171">
        <f t="shared" si="6"/>
        <v>46</v>
      </c>
      <c r="J41" s="2113"/>
      <c r="L41" s="3358" t="s">
        <v>3266</v>
      </c>
      <c r="M41" s="2117">
        <v>0.25</v>
      </c>
      <c r="Z41" s="1119"/>
      <c r="AA41" s="1119"/>
      <c r="AB41" s="1119"/>
      <c r="AC41" s="1119"/>
      <c r="AD41" s="1119"/>
      <c r="AE41" s="1119"/>
      <c r="AF41" s="1119"/>
      <c r="AG41" s="1119"/>
      <c r="AH41" s="1119"/>
      <c r="AI41" s="1119"/>
      <c r="AJ41" s="1119"/>
    </row>
    <row r="42" spans="1:37" s="1118" customFormat="1" ht="13.5" thickBot="1">
      <c r="A42" s="2100"/>
      <c r="B42" s="2118" t="s">
        <v>2039</v>
      </c>
      <c r="C42" s="187">
        <f>ROUND(D5*C22*C23*C44*C28*F42,0)</f>
        <v>4490</v>
      </c>
      <c r="D42" s="2102">
        <f>'数据-取费表'!V24</f>
        <v>1625</v>
      </c>
      <c r="E42" s="187">
        <f t="shared" si="4"/>
        <v>730</v>
      </c>
      <c r="F42" s="766">
        <f>SUMIF(修正!A57:A68,G2,修正!G57:G68)</f>
        <v>0.2</v>
      </c>
      <c r="G42" s="187">
        <f>ROUND(IF(E2="工业",C42*$M$42,C42*$M$41),0)</f>
        <v>1123</v>
      </c>
      <c r="H42" s="187">
        <f t="shared" si="5"/>
        <v>1625</v>
      </c>
      <c r="I42" s="187">
        <f t="shared" si="6"/>
        <v>182</v>
      </c>
      <c r="J42" s="2119"/>
      <c r="L42" s="2120" t="s">
        <v>1991</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2119</v>
      </c>
      <c r="C44" s="342">
        <f>ROUND(POWER(1+E44,H44-G44)*(POWER(1+E44,G44)-1)/(POWER(1+E44,H44)-1),4)</f>
        <v>0.76519999999999999</v>
      </c>
      <c r="D44" s="171" t="s">
        <v>1997</v>
      </c>
      <c r="E44" s="2152">
        <f>G24</f>
        <v>5.5E-2</v>
      </c>
      <c r="F44" s="171" t="s">
        <v>2006</v>
      </c>
      <c r="G44" s="183">
        <f>项目基本情况!F15</f>
        <v>23.29</v>
      </c>
      <c r="H44" s="171">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2040</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c r="A48" s="2125" t="s">
        <v>2041</v>
      </c>
      <c r="B48" s="2126">
        <f>1+E50</f>
        <v>1</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c r="A49" s="2129" t="s">
        <v>2042</v>
      </c>
      <c r="B49" s="1350" t="s">
        <v>2043</v>
      </c>
      <c r="C49" s="1350" t="s">
        <v>2044</v>
      </c>
      <c r="D49" s="1350" t="s">
        <v>2045</v>
      </c>
      <c r="E49" s="742" t="s">
        <v>2046</v>
      </c>
      <c r="F49" s="2130" t="s">
        <v>2047</v>
      </c>
      <c r="G49" s="1350" t="s">
        <v>310</v>
      </c>
      <c r="H49" s="2131" t="s">
        <v>2048</v>
      </c>
      <c r="I49" s="1350" t="s">
        <v>2049</v>
      </c>
      <c r="J49" s="552" t="s">
        <v>1719</v>
      </c>
      <c r="K49" s="552" t="s">
        <v>1720</v>
      </c>
      <c r="L49" s="552" t="s">
        <v>1721</v>
      </c>
      <c r="M49" s="552" t="s">
        <v>1722</v>
      </c>
      <c r="N49" s="552" t="s">
        <v>1723</v>
      </c>
      <c r="AA49" s="1119"/>
      <c r="AB49" s="1119"/>
      <c r="AC49" s="1119"/>
      <c r="AD49" s="1119"/>
      <c r="AE49" s="1119"/>
      <c r="AF49" s="1119"/>
      <c r="AG49" s="1119"/>
      <c r="AH49" s="1119"/>
      <c r="AI49" s="1119"/>
      <c r="AJ49" s="1119"/>
      <c r="AK49" s="1119"/>
    </row>
    <row r="50" spans="1:37" s="1118" customFormat="1" ht="38.25">
      <c r="A50" s="2129" t="s">
        <v>2050</v>
      </c>
      <c r="B50" s="2132" t="str">
        <f>估价对象房地状况!C4</f>
        <v>估价对象位于XX商圈，周边商业氛围成熟，人流量大，商业繁华度好</v>
      </c>
      <c r="C50" s="2043"/>
      <c r="D50" s="1064">
        <f t="shared" ref="D50:D58" si="7">SUMIF($J$49:$N$49,C50,J50:N50)</f>
        <v>0</v>
      </c>
      <c r="E50" s="743">
        <f>ROUND(SUM(D50:D58),4)</f>
        <v>0</v>
      </c>
      <c r="F50" s="1813" t="str">
        <f>IF(E2="商业",SUMIF(L1:L12,G2,N1:N12),"——")</f>
        <v>——</v>
      </c>
      <c r="G50" s="1062"/>
      <c r="H50" s="1065" t="str">
        <f t="shared" ref="H50:H58" si="8">IFERROR(ROUNDDOWN($F$50*I50/2,4),"——")</f>
        <v>——</v>
      </c>
      <c r="I50" s="3365">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c r="A51" s="2129" t="s">
        <v>2051</v>
      </c>
      <c r="B51" s="2133" t="str">
        <f>估价对象房地状况!C18</f>
        <v>估价对象周边道路状况、公共交通通达情况、停车便捷程度，综合评价交通便捷度较好</v>
      </c>
      <c r="C51" s="2043"/>
      <c r="D51" s="1064">
        <f t="shared" si="7"/>
        <v>0</v>
      </c>
      <c r="E51" s="744"/>
      <c r="F51" s="1813"/>
      <c r="G51" s="1062"/>
      <c r="H51" s="1065" t="str">
        <f t="shared" si="8"/>
        <v>——</v>
      </c>
      <c r="I51" s="3365">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c r="A52" s="3367" t="s">
        <v>3268</v>
      </c>
      <c r="B52" s="2133">
        <f>估价对象房地状况!C19</f>
        <v>0</v>
      </c>
      <c r="C52" s="2043"/>
      <c r="D52" s="1064">
        <f t="shared" si="7"/>
        <v>0</v>
      </c>
      <c r="E52" s="744"/>
      <c r="F52" s="1813"/>
      <c r="G52" s="1062"/>
      <c r="H52" s="1065" t="str">
        <f t="shared" si="8"/>
        <v>——</v>
      </c>
      <c r="I52" s="3365">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c r="A53" s="2129" t="s">
        <v>2052</v>
      </c>
      <c r="B53" s="2134" t="s">
        <v>2053</v>
      </c>
      <c r="C53" s="2043"/>
      <c r="D53" s="1064">
        <f t="shared" si="7"/>
        <v>0</v>
      </c>
      <c r="E53" s="744"/>
      <c r="F53" s="1813"/>
      <c r="G53" s="1062"/>
      <c r="H53" s="1065" t="str">
        <f t="shared" si="8"/>
        <v>——</v>
      </c>
      <c r="I53" s="3365">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c r="A54" s="2129" t="s">
        <v>2054</v>
      </c>
      <c r="B54" s="2133">
        <f>估价对象房地状况!C24</f>
        <v>0</v>
      </c>
      <c r="C54" s="2043"/>
      <c r="D54" s="1064">
        <f t="shared" si="7"/>
        <v>0</v>
      </c>
      <c r="E54" s="744"/>
      <c r="F54" s="1813"/>
      <c r="G54" s="1062"/>
      <c r="H54" s="1065" t="str">
        <f t="shared" si="8"/>
        <v>——</v>
      </c>
      <c r="I54" s="3365">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c r="A55" s="2129" t="s">
        <v>2055</v>
      </c>
      <c r="B55" s="2135" t="s">
        <v>2056</v>
      </c>
      <c r="C55" s="2043"/>
      <c r="D55" s="1064">
        <f t="shared" si="7"/>
        <v>0</v>
      </c>
      <c r="E55" s="744"/>
      <c r="F55" s="1813"/>
      <c r="G55" s="1062"/>
      <c r="H55" s="1065" t="str">
        <f t="shared" si="8"/>
        <v>——</v>
      </c>
      <c r="I55" s="3365">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c r="A56" s="2136" t="s">
        <v>2057</v>
      </c>
      <c r="B56" s="1325" t="str">
        <f>估价对象房地状况!C21</f>
        <v>估价对象所在区域公共配套设施齐备情况</v>
      </c>
      <c r="C56" s="2043"/>
      <c r="D56" s="1064">
        <f t="shared" si="7"/>
        <v>0</v>
      </c>
      <c r="E56" s="744"/>
      <c r="F56" s="1813"/>
      <c r="G56" s="1062"/>
      <c r="H56" s="1065" t="str">
        <f t="shared" si="8"/>
        <v>——</v>
      </c>
      <c r="I56" s="3365">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c r="A57" s="2136" t="s">
        <v>2058</v>
      </c>
      <c r="B57" s="2133" t="str">
        <f>估价对象房地状况!C22</f>
        <v>估价对象所在区域基础设施水平</v>
      </c>
      <c r="C57" s="2043"/>
      <c r="D57" s="1064">
        <f t="shared" si="7"/>
        <v>0</v>
      </c>
      <c r="E57" s="744"/>
      <c r="F57" s="1813"/>
      <c r="G57" s="1062"/>
      <c r="H57" s="1065" t="str">
        <f t="shared" si="8"/>
        <v>——</v>
      </c>
      <c r="I57" s="3365">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thickBot="1">
      <c r="A58" s="2137" t="s">
        <v>2059</v>
      </c>
      <c r="B58" s="2138" t="str">
        <f>估价对象房地状况!C20</f>
        <v>区域自然环境：；人文环境；综合评价环境状况一般</v>
      </c>
      <c r="C58" s="2043"/>
      <c r="D58" s="1064">
        <f t="shared" si="7"/>
        <v>0</v>
      </c>
      <c r="E58" s="745"/>
      <c r="F58" s="1813"/>
      <c r="G58" s="1062"/>
      <c r="H58" s="1065" t="str">
        <f t="shared" si="8"/>
        <v>——</v>
      </c>
      <c r="I58" s="3366">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c r="A59" s="2125" t="s">
        <v>2060</v>
      </c>
      <c r="B59" s="2126">
        <f>1+E61</f>
        <v>1.0498000000000001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9" t="s">
        <v>2042</v>
      </c>
      <c r="B60" s="1350"/>
      <c r="C60" s="1350" t="s">
        <v>2044</v>
      </c>
      <c r="D60" s="1350" t="s">
        <v>2045</v>
      </c>
      <c r="E60" s="742" t="s">
        <v>2046</v>
      </c>
      <c r="F60" s="2130" t="s">
        <v>2061</v>
      </c>
      <c r="G60" s="1350" t="s">
        <v>310</v>
      </c>
      <c r="H60" s="2131" t="s">
        <v>2048</v>
      </c>
      <c r="I60" s="1350" t="s">
        <v>2049</v>
      </c>
      <c r="J60" s="552" t="s">
        <v>1719</v>
      </c>
      <c r="K60" s="552" t="s">
        <v>1720</v>
      </c>
      <c r="L60" s="552" t="s">
        <v>1721</v>
      </c>
      <c r="M60" s="552" t="s">
        <v>1722</v>
      </c>
      <c r="N60" s="552" t="s">
        <v>1723</v>
      </c>
      <c r="AA60" s="1119"/>
      <c r="AB60" s="1119"/>
      <c r="AC60" s="1119"/>
      <c r="AD60" s="1119"/>
      <c r="AE60" s="1119"/>
      <c r="AF60" s="1119"/>
      <c r="AG60" s="1119"/>
      <c r="AH60" s="1119"/>
      <c r="AI60" s="1119"/>
      <c r="AJ60" s="1119"/>
      <c r="AK60" s="1119"/>
    </row>
    <row r="61" spans="1:37" s="1118" customFormat="1" ht="38.25">
      <c r="A61" s="2129" t="s">
        <v>2062</v>
      </c>
      <c r="B61" s="2132" t="str">
        <f>估价对象房地状况!C17</f>
        <v>估价对象位于XX商圈，周边办公楼项目较多，入驻率高，办公集聚程度较好</v>
      </c>
      <c r="C61" s="2043" t="s">
        <v>3506</v>
      </c>
      <c r="D61" s="1064">
        <f t="shared" ref="D61:D69" si="12">SUMIF($J$60:$N$60,C61,J61:N61)</f>
        <v>1.15E-2</v>
      </c>
      <c r="E61" s="743">
        <f>ROUND(SUM(D61:D69),4)</f>
        <v>4.9799999999999997E-2</v>
      </c>
      <c r="F61" s="1813">
        <f>IF(E2="办公",SUMIF(L1:L12,G2,N1:N12),"——")</f>
        <v>9.1999999999999998E-2</v>
      </c>
      <c r="G61" s="1062">
        <f>H61</f>
        <v>1.15E-2</v>
      </c>
      <c r="H61" s="1065">
        <f t="shared" ref="H61:H69" si="13">IFERROR(ROUNDDOWN($F$61*I61/2,4),"——")</f>
        <v>1.15E-2</v>
      </c>
      <c r="I61" s="3365">
        <v>0.25</v>
      </c>
      <c r="J61" s="1063">
        <f t="shared" ref="J61:J69" si="14">K61+$G61</f>
        <v>2.3E-2</v>
      </c>
      <c r="K61" s="1063">
        <f t="shared" ref="K61:K69" si="15">$L61+$G61</f>
        <v>1.15E-2</v>
      </c>
      <c r="L61" s="1063">
        <v>0</v>
      </c>
      <c r="M61" s="1063">
        <f t="shared" ref="M61:N69" si="16">L61-$G61</f>
        <v>-1.15E-2</v>
      </c>
      <c r="N61" s="1063">
        <f t="shared" si="16"/>
        <v>-2.3E-2</v>
      </c>
      <c r="AA61" s="1119"/>
      <c r="AB61" s="1119"/>
      <c r="AC61" s="1119"/>
      <c r="AD61" s="1119"/>
      <c r="AE61" s="1119"/>
      <c r="AF61" s="1119"/>
      <c r="AG61" s="1119"/>
      <c r="AH61" s="1119"/>
      <c r="AI61" s="1119"/>
      <c r="AJ61" s="1119"/>
      <c r="AK61" s="1119"/>
    </row>
    <row r="62" spans="1:37" s="1118" customFormat="1" ht="38.25">
      <c r="A62" s="2129" t="s">
        <v>2051</v>
      </c>
      <c r="B62" s="2133" t="str">
        <f>估价对象房地状况!C18</f>
        <v>估价对象周边道路状况、公共交通通达情况、停车便捷程度，综合评价交通便捷度较好</v>
      </c>
      <c r="C62" s="2043" t="s">
        <v>3506</v>
      </c>
      <c r="D62" s="1064">
        <f t="shared" si="12"/>
        <v>1.1900000000000001E-2</v>
      </c>
      <c r="E62" s="744"/>
      <c r="F62" s="1813"/>
      <c r="G62" s="1062">
        <f t="shared" ref="G62:G69" si="17">H62</f>
        <v>1.1900000000000001E-2</v>
      </c>
      <c r="H62" s="1065">
        <f t="shared" si="13"/>
        <v>1.1900000000000001E-2</v>
      </c>
      <c r="I62" s="3365">
        <v>0.26</v>
      </c>
      <c r="J62" s="1063">
        <f t="shared" si="14"/>
        <v>2.3800000000000002E-2</v>
      </c>
      <c r="K62" s="1063">
        <f t="shared" si="15"/>
        <v>1.1900000000000001E-2</v>
      </c>
      <c r="L62" s="1063">
        <v>0</v>
      </c>
      <c r="M62" s="1063">
        <f t="shared" si="16"/>
        <v>-1.1900000000000001E-2</v>
      </c>
      <c r="N62" s="1063">
        <f t="shared" si="16"/>
        <v>-2.3800000000000002E-2</v>
      </c>
      <c r="AA62" s="1119"/>
      <c r="AB62" s="1119"/>
      <c r="AC62" s="1119"/>
      <c r="AD62" s="1119"/>
      <c r="AE62" s="1119"/>
      <c r="AF62" s="1119"/>
      <c r="AG62" s="1119"/>
      <c r="AH62" s="1119"/>
      <c r="AI62" s="1119"/>
      <c r="AJ62" s="1119"/>
      <c r="AK62" s="1119"/>
    </row>
    <row r="63" spans="1:37" s="1118" customFormat="1" ht="36">
      <c r="A63" s="3367" t="s">
        <v>3268</v>
      </c>
      <c r="B63" s="2133">
        <f>估价对象房地状况!C19</f>
        <v>0</v>
      </c>
      <c r="C63" s="2043" t="s">
        <v>3506</v>
      </c>
      <c r="D63" s="1064">
        <f t="shared" si="12"/>
        <v>5.0000000000000001E-3</v>
      </c>
      <c r="E63" s="744"/>
      <c r="F63" s="1813"/>
      <c r="G63" s="1062">
        <f t="shared" si="17"/>
        <v>5.0000000000000001E-3</v>
      </c>
      <c r="H63" s="1065">
        <f t="shared" si="13"/>
        <v>5.0000000000000001E-3</v>
      </c>
      <c r="I63" s="3365">
        <v>0.11</v>
      </c>
      <c r="J63" s="1063">
        <f t="shared" si="14"/>
        <v>0.01</v>
      </c>
      <c r="K63" s="1063">
        <f t="shared" si="15"/>
        <v>5.0000000000000001E-3</v>
      </c>
      <c r="L63" s="1063">
        <v>0</v>
      </c>
      <c r="M63" s="1063">
        <f t="shared" si="16"/>
        <v>-5.0000000000000001E-3</v>
      </c>
      <c r="N63" s="1063">
        <f t="shared" si="16"/>
        <v>-0.01</v>
      </c>
      <c r="AA63" s="1119"/>
      <c r="AB63" s="1119"/>
      <c r="AC63" s="1119"/>
      <c r="AD63" s="1119"/>
      <c r="AE63" s="1119"/>
      <c r="AF63" s="1119"/>
      <c r="AG63" s="1119"/>
      <c r="AH63" s="1119"/>
      <c r="AI63" s="1119"/>
      <c r="AJ63" s="1119"/>
      <c r="AK63" s="1119"/>
    </row>
    <row r="64" spans="1:37" s="1118" customFormat="1" ht="36.75">
      <c r="A64" s="2129" t="s">
        <v>2052</v>
      </c>
      <c r="B64" s="2134" t="s">
        <v>2053</v>
      </c>
      <c r="C64" s="2043" t="s">
        <v>3506</v>
      </c>
      <c r="D64" s="1064">
        <f t="shared" si="12"/>
        <v>2.3E-3</v>
      </c>
      <c r="E64" s="744"/>
      <c r="F64" s="1813"/>
      <c r="G64" s="1062">
        <f t="shared" si="17"/>
        <v>2.3E-3</v>
      </c>
      <c r="H64" s="1065">
        <f t="shared" si="13"/>
        <v>2.3E-3</v>
      </c>
      <c r="I64" s="3365">
        <v>0.05</v>
      </c>
      <c r="J64" s="1063">
        <f t="shared" si="14"/>
        <v>4.5999999999999999E-3</v>
      </c>
      <c r="K64" s="1063">
        <f t="shared" si="15"/>
        <v>2.3E-3</v>
      </c>
      <c r="L64" s="1063">
        <v>0</v>
      </c>
      <c r="M64" s="1063">
        <f t="shared" si="16"/>
        <v>-2.3E-3</v>
      </c>
      <c r="N64" s="1063">
        <f t="shared" si="16"/>
        <v>-4.5999999999999999E-3</v>
      </c>
      <c r="AA64" s="1119"/>
      <c r="AB64" s="1119"/>
      <c r="AC64" s="1119"/>
      <c r="AD64" s="1119"/>
      <c r="AE64" s="1119"/>
      <c r="AF64" s="1119"/>
      <c r="AG64" s="1119"/>
      <c r="AH64" s="1119"/>
      <c r="AI64" s="1119"/>
      <c r="AJ64" s="1119"/>
      <c r="AK64" s="1119"/>
    </row>
    <row r="65" spans="1:37" s="1118" customFormat="1" ht="24">
      <c r="A65" s="2129" t="s">
        <v>2054</v>
      </c>
      <c r="B65" s="2133">
        <f>估价对象房地状况!C24</f>
        <v>0</v>
      </c>
      <c r="C65" s="2043" t="s">
        <v>3506</v>
      </c>
      <c r="D65" s="1064">
        <f t="shared" si="12"/>
        <v>2.3E-3</v>
      </c>
      <c r="E65" s="744"/>
      <c r="F65" s="1813"/>
      <c r="G65" s="1062">
        <f t="shared" si="17"/>
        <v>2.3E-3</v>
      </c>
      <c r="H65" s="1065">
        <f t="shared" si="13"/>
        <v>2.3E-3</v>
      </c>
      <c r="I65" s="3365">
        <v>0.05</v>
      </c>
      <c r="J65" s="1063">
        <f t="shared" si="14"/>
        <v>4.5999999999999999E-3</v>
      </c>
      <c r="K65" s="1063">
        <f t="shared" si="15"/>
        <v>2.3E-3</v>
      </c>
      <c r="L65" s="1063">
        <v>0</v>
      </c>
      <c r="M65" s="1063">
        <f t="shared" si="16"/>
        <v>-2.3E-3</v>
      </c>
      <c r="N65" s="1063">
        <f t="shared" si="16"/>
        <v>-4.5999999999999999E-3</v>
      </c>
      <c r="AA65" s="1119"/>
      <c r="AB65" s="1119"/>
      <c r="AC65" s="1119"/>
      <c r="AD65" s="1119"/>
      <c r="AE65" s="1119"/>
      <c r="AF65" s="1119"/>
      <c r="AG65" s="1119"/>
      <c r="AH65" s="1119"/>
      <c r="AI65" s="1119"/>
      <c r="AJ65" s="1119"/>
      <c r="AK65" s="1119"/>
    </row>
    <row r="66" spans="1:37" s="1118" customFormat="1" ht="24">
      <c r="A66" s="2129" t="s">
        <v>2055</v>
      </c>
      <c r="B66" s="2135" t="s">
        <v>2056</v>
      </c>
      <c r="C66" s="2043" t="s">
        <v>3506</v>
      </c>
      <c r="D66" s="1064">
        <f t="shared" si="12"/>
        <v>2.7000000000000001E-3</v>
      </c>
      <c r="E66" s="744"/>
      <c r="F66" s="1813"/>
      <c r="G66" s="1062">
        <f t="shared" si="17"/>
        <v>2.7000000000000001E-3</v>
      </c>
      <c r="H66" s="1065">
        <f t="shared" si="13"/>
        <v>2.7000000000000001E-3</v>
      </c>
      <c r="I66" s="3365">
        <v>0.06</v>
      </c>
      <c r="J66" s="1063">
        <f t="shared" si="14"/>
        <v>5.4000000000000003E-3</v>
      </c>
      <c r="K66" s="1063">
        <f t="shared" si="15"/>
        <v>2.7000000000000001E-3</v>
      </c>
      <c r="L66" s="1063">
        <v>0</v>
      </c>
      <c r="M66" s="1063">
        <f t="shared" si="16"/>
        <v>-2.7000000000000001E-3</v>
      </c>
      <c r="N66" s="1063">
        <f t="shared" si="16"/>
        <v>-5.4000000000000003E-3</v>
      </c>
      <c r="AA66" s="1119"/>
      <c r="AB66" s="1119"/>
      <c r="AC66" s="1119"/>
      <c r="AD66" s="1119"/>
      <c r="AE66" s="1119"/>
      <c r="AF66" s="1119"/>
      <c r="AG66" s="1119"/>
      <c r="AH66" s="1119"/>
      <c r="AI66" s="1119"/>
      <c r="AJ66" s="1119"/>
      <c r="AK66" s="1119"/>
    </row>
    <row r="67" spans="1:37" s="1118" customFormat="1" ht="25.5">
      <c r="A67" s="2129" t="s">
        <v>2057</v>
      </c>
      <c r="B67" s="1325" t="str">
        <f>估价对象房地状况!C21</f>
        <v>估价对象所在区域公共配套设施齐备情况</v>
      </c>
      <c r="C67" s="2043" t="s">
        <v>3506</v>
      </c>
      <c r="D67" s="1064">
        <f t="shared" si="12"/>
        <v>2.7000000000000001E-3</v>
      </c>
      <c r="E67" s="744"/>
      <c r="F67" s="1813"/>
      <c r="G67" s="1062">
        <f t="shared" si="17"/>
        <v>2.7000000000000001E-3</v>
      </c>
      <c r="H67" s="1065">
        <f t="shared" si="13"/>
        <v>2.7000000000000001E-3</v>
      </c>
      <c r="I67" s="3365">
        <v>0.06</v>
      </c>
      <c r="J67" s="1063">
        <f t="shared" si="14"/>
        <v>5.4000000000000003E-3</v>
      </c>
      <c r="K67" s="1063">
        <f t="shared" si="15"/>
        <v>2.7000000000000001E-3</v>
      </c>
      <c r="L67" s="1063">
        <v>0</v>
      </c>
      <c r="M67" s="1063">
        <f t="shared" si="16"/>
        <v>-2.7000000000000001E-3</v>
      </c>
      <c r="N67" s="1063">
        <f t="shared" si="16"/>
        <v>-5.4000000000000003E-3</v>
      </c>
      <c r="AA67" s="1119"/>
      <c r="AB67" s="1119"/>
      <c r="AC67" s="1119"/>
      <c r="AD67" s="1119"/>
      <c r="AE67" s="1119"/>
      <c r="AF67" s="1119"/>
      <c r="AG67" s="1119"/>
      <c r="AH67" s="1119"/>
      <c r="AI67" s="1119"/>
      <c r="AJ67" s="1119"/>
      <c r="AK67" s="1119"/>
    </row>
    <row r="68" spans="1:37" s="1118" customFormat="1" ht="25.5">
      <c r="A68" s="2129" t="s">
        <v>2058</v>
      </c>
      <c r="B68" s="1325" t="str">
        <f>估价对象房地状况!C22</f>
        <v>估价对象所在区域基础设施水平</v>
      </c>
      <c r="C68" s="2043" t="s">
        <v>3507</v>
      </c>
      <c r="D68" s="1064">
        <f t="shared" si="12"/>
        <v>8.2000000000000007E-3</v>
      </c>
      <c r="E68" s="744"/>
      <c r="F68" s="1813"/>
      <c r="G68" s="1062">
        <f t="shared" si="17"/>
        <v>4.1000000000000003E-3</v>
      </c>
      <c r="H68" s="1065">
        <f t="shared" si="13"/>
        <v>4.1000000000000003E-3</v>
      </c>
      <c r="I68" s="3365">
        <v>0.09</v>
      </c>
      <c r="J68" s="1063">
        <f t="shared" si="14"/>
        <v>8.2000000000000007E-3</v>
      </c>
      <c r="K68" s="1063">
        <f t="shared" si="15"/>
        <v>4.1000000000000003E-3</v>
      </c>
      <c r="L68" s="1063">
        <v>0</v>
      </c>
      <c r="M68" s="1063">
        <f t="shared" si="16"/>
        <v>-4.1000000000000003E-3</v>
      </c>
      <c r="N68" s="1063">
        <f t="shared" si="16"/>
        <v>-8.2000000000000007E-3</v>
      </c>
      <c r="AA68" s="1119"/>
      <c r="AB68" s="1119"/>
      <c r="AC68" s="1119"/>
      <c r="AD68" s="1119"/>
      <c r="AE68" s="1119"/>
      <c r="AF68" s="1119"/>
      <c r="AG68" s="1119"/>
      <c r="AH68" s="1119"/>
      <c r="AI68" s="1119"/>
      <c r="AJ68" s="1119"/>
      <c r="AK68" s="1119"/>
    </row>
    <row r="69" spans="1:37" s="1118" customFormat="1" ht="26.25" thickBot="1">
      <c r="A69" s="2137" t="s">
        <v>2059</v>
      </c>
      <c r="B69" s="2139" t="str">
        <f>估价对象房地状况!C20</f>
        <v>区域自然环境：；人文环境；综合评价环境状况一般</v>
      </c>
      <c r="C69" s="2043" t="s">
        <v>3506</v>
      </c>
      <c r="D69" s="1064">
        <f t="shared" si="12"/>
        <v>3.2000000000000002E-3</v>
      </c>
      <c r="E69" s="745"/>
      <c r="F69" s="1813"/>
      <c r="G69" s="1062">
        <f t="shared" si="17"/>
        <v>3.2000000000000002E-3</v>
      </c>
      <c r="H69" s="1065">
        <f t="shared" si="13"/>
        <v>3.2000000000000002E-3</v>
      </c>
      <c r="I69" s="3366">
        <v>7.0000000000000007E-2</v>
      </c>
      <c r="J69" s="1063">
        <f t="shared" si="14"/>
        <v>6.4000000000000003E-3</v>
      </c>
      <c r="K69" s="1063">
        <f t="shared" si="15"/>
        <v>3.2000000000000002E-3</v>
      </c>
      <c r="L69" s="1063">
        <v>0</v>
      </c>
      <c r="M69" s="1063">
        <f t="shared" si="16"/>
        <v>-3.2000000000000002E-3</v>
      </c>
      <c r="N69" s="1063">
        <f t="shared" si="16"/>
        <v>-6.4000000000000003E-3</v>
      </c>
      <c r="AA69" s="1119"/>
      <c r="AB69" s="1119"/>
      <c r="AC69" s="1119"/>
      <c r="AD69" s="1119"/>
      <c r="AE69" s="1119"/>
      <c r="AF69" s="1119"/>
      <c r="AG69" s="1119"/>
      <c r="AH69" s="1119"/>
      <c r="AI69" s="1119"/>
      <c r="AJ69" s="1119"/>
      <c r="AK69" s="1119"/>
    </row>
    <row r="70" spans="1:37" s="1118" customFormat="1" ht="15">
      <c r="A70" s="2125" t="s">
        <v>2063</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9" t="s">
        <v>2042</v>
      </c>
      <c r="B71" s="1350"/>
      <c r="C71" s="1350" t="s">
        <v>2044</v>
      </c>
      <c r="D71" s="1350" t="s">
        <v>2045</v>
      </c>
      <c r="E71" s="742" t="s">
        <v>2046</v>
      </c>
      <c r="F71" s="2130" t="s">
        <v>2061</v>
      </c>
      <c r="G71" s="1350" t="s">
        <v>310</v>
      </c>
      <c r="H71" s="2131" t="s">
        <v>2048</v>
      </c>
      <c r="I71" s="1350" t="s">
        <v>2049</v>
      </c>
      <c r="J71" s="552" t="s">
        <v>1719</v>
      </c>
      <c r="K71" s="552" t="s">
        <v>1720</v>
      </c>
      <c r="L71" s="552" t="s">
        <v>1721</v>
      </c>
      <c r="M71" s="552" t="s">
        <v>1722</v>
      </c>
      <c r="N71" s="552" t="s">
        <v>1723</v>
      </c>
      <c r="AA71" s="1119"/>
      <c r="AB71" s="1119"/>
      <c r="AC71" s="1119"/>
      <c r="AD71" s="1119"/>
      <c r="AE71" s="1119"/>
      <c r="AF71" s="1119"/>
      <c r="AG71" s="1119"/>
      <c r="AH71" s="1119"/>
      <c r="AI71" s="1119"/>
      <c r="AJ71" s="1119"/>
      <c r="AK71" s="1119"/>
    </row>
    <row r="72" spans="1:37" s="1118" customFormat="1" ht="51">
      <c r="A72" s="2129" t="s">
        <v>2064</v>
      </c>
      <c r="B72" s="2132" t="str">
        <f>估价对象房地状况!C15</f>
        <v>估价对象周边居住用地比例、居住小区规模和社区发展完善程度，综合评价居住社区成熟度一般</v>
      </c>
      <c r="C72" s="2043"/>
      <c r="D72" s="1064">
        <f t="shared" ref="D72:D80" si="18">SUMIF($J$71:$N$71,C72,J72:N72)</f>
        <v>0</v>
      </c>
      <c r="E72" s="743">
        <f>ROUND(SUM(D72:D80),4)</f>
        <v>0</v>
      </c>
      <c r="F72" s="1813" t="str">
        <f>IF(E2="住宅",SUMIF(L1:L12,G2,N1:N12),"——")</f>
        <v>——</v>
      </c>
      <c r="G72" s="1062"/>
      <c r="H72" s="1065" t="str">
        <f t="shared" ref="H72:H80" si="19">IFERROR(ROUNDDOWN($F$72*I72/2,4),"——")</f>
        <v>——</v>
      </c>
      <c r="I72" s="3365">
        <v>0.2</v>
      </c>
      <c r="J72" s="1063">
        <f t="shared" ref="J72:J80" si="20">K72+$G72</f>
        <v>0</v>
      </c>
      <c r="K72" s="1063">
        <f t="shared" ref="K72:K80" si="21">$L72+$G72</f>
        <v>0</v>
      </c>
      <c r="L72" s="1063">
        <v>0</v>
      </c>
      <c r="M72" s="1063">
        <f t="shared" ref="M72:N80" si="22">L72-$G72</f>
        <v>0</v>
      </c>
      <c r="N72" s="1063">
        <f t="shared" si="22"/>
        <v>0</v>
      </c>
      <c r="AA72" s="1119"/>
      <c r="AB72" s="1119"/>
      <c r="AC72" s="1119"/>
      <c r="AD72" s="1119"/>
      <c r="AE72" s="1119"/>
      <c r="AF72" s="1119"/>
      <c r="AG72" s="1119"/>
      <c r="AH72" s="1119"/>
      <c r="AI72" s="1119"/>
      <c r="AJ72" s="1119"/>
      <c r="AK72" s="1119"/>
    </row>
    <row r="73" spans="1:37" s="1118" customFormat="1" ht="38.25">
      <c r="A73" s="2129" t="s">
        <v>2051</v>
      </c>
      <c r="B73" s="2133" t="str">
        <f>估价对象房地状况!C18</f>
        <v>估价对象周边道路状况、公共交通通达情况、停车便捷程度，综合评价交通便捷度较好</v>
      </c>
      <c r="C73" s="2043"/>
      <c r="D73" s="1064">
        <f t="shared" si="18"/>
        <v>0</v>
      </c>
      <c r="E73" s="746"/>
      <c r="F73" s="1813"/>
      <c r="G73" s="1062"/>
      <c r="H73" s="1065" t="str">
        <f t="shared" si="19"/>
        <v>——</v>
      </c>
      <c r="I73" s="3365">
        <v>0.26</v>
      </c>
      <c r="J73" s="1063">
        <f t="shared" si="20"/>
        <v>0</v>
      </c>
      <c r="K73" s="1063">
        <f t="shared" si="21"/>
        <v>0</v>
      </c>
      <c r="L73" s="1063">
        <v>0</v>
      </c>
      <c r="M73" s="1063">
        <f t="shared" si="22"/>
        <v>0</v>
      </c>
      <c r="N73" s="1063">
        <f t="shared" si="22"/>
        <v>0</v>
      </c>
      <c r="AA73" s="1119"/>
      <c r="AB73" s="1119"/>
      <c r="AC73" s="1119"/>
      <c r="AD73" s="1119"/>
      <c r="AE73" s="1119"/>
      <c r="AF73" s="1119"/>
      <c r="AG73" s="1119"/>
      <c r="AH73" s="1119"/>
      <c r="AI73" s="1119"/>
      <c r="AJ73" s="1119"/>
      <c r="AK73" s="1119"/>
    </row>
    <row r="74" spans="1:37" s="1996" customFormat="1" ht="36">
      <c r="A74" s="3367" t="s">
        <v>3268</v>
      </c>
      <c r="B74" s="2133">
        <f>估价对象房地状况!C19</f>
        <v>0</v>
      </c>
      <c r="C74" s="2043"/>
      <c r="D74" s="1064">
        <f t="shared" si="18"/>
        <v>0</v>
      </c>
      <c r="E74" s="746"/>
      <c r="F74" s="1813"/>
      <c r="G74" s="1062"/>
      <c r="H74" s="1065" t="str">
        <f t="shared" si="19"/>
        <v>——</v>
      </c>
      <c r="I74" s="3365">
        <v>0.1</v>
      </c>
      <c r="J74" s="1063">
        <f t="shared" si="20"/>
        <v>0</v>
      </c>
      <c r="K74" s="1063">
        <f t="shared" si="21"/>
        <v>0</v>
      </c>
      <c r="L74" s="1063">
        <v>0</v>
      </c>
      <c r="M74" s="1063">
        <f t="shared" si="22"/>
        <v>0</v>
      </c>
      <c r="N74" s="1063">
        <f t="shared" si="22"/>
        <v>0</v>
      </c>
      <c r="O74" s="1118"/>
      <c r="P74" s="1118"/>
      <c r="Q74" s="1118"/>
      <c r="AA74" s="2140"/>
      <c r="AB74" s="1119"/>
      <c r="AC74" s="1119"/>
      <c r="AD74" s="1119"/>
      <c r="AE74" s="1119"/>
      <c r="AF74" s="1119"/>
      <c r="AG74" s="1119"/>
      <c r="AH74" s="2140"/>
      <c r="AI74" s="2140"/>
      <c r="AJ74" s="2140"/>
      <c r="AK74" s="2140"/>
    </row>
    <row r="75" spans="1:37" ht="14.25">
      <c r="A75" s="2129" t="s">
        <v>2065</v>
      </c>
      <c r="B75" s="2133">
        <f>估价对象房地状况!C24</f>
        <v>0</v>
      </c>
      <c r="C75" s="2043"/>
      <c r="D75" s="1064">
        <f t="shared" si="18"/>
        <v>0</v>
      </c>
      <c r="E75" s="746"/>
      <c r="F75" s="1813"/>
      <c r="G75" s="1062"/>
      <c r="H75" s="1065" t="str">
        <f t="shared" si="19"/>
        <v>——</v>
      </c>
      <c r="I75" s="3365">
        <v>0.05</v>
      </c>
      <c r="J75" s="1063">
        <f t="shared" si="20"/>
        <v>0</v>
      </c>
      <c r="K75" s="1063">
        <f t="shared" si="21"/>
        <v>0</v>
      </c>
      <c r="L75" s="1063">
        <v>0</v>
      </c>
      <c r="M75" s="1063">
        <f t="shared" si="22"/>
        <v>0</v>
      </c>
      <c r="N75" s="1063">
        <f t="shared" si="22"/>
        <v>0</v>
      </c>
      <c r="O75" s="1118"/>
      <c r="P75" s="1118"/>
      <c r="Q75" s="1996"/>
      <c r="Z75" s="1997"/>
      <c r="AA75" s="2052"/>
      <c r="AG75" s="1120"/>
      <c r="AK75" s="2052"/>
    </row>
    <row r="76" spans="1:37" ht="25.5">
      <c r="A76" s="2129" t="s">
        <v>2057</v>
      </c>
      <c r="B76" s="1325" t="str">
        <f>估价对象房地状况!C21</f>
        <v>估价对象所在区域公共配套设施齐备情况</v>
      </c>
      <c r="C76" s="2043"/>
      <c r="D76" s="1064">
        <f t="shared" si="18"/>
        <v>0</v>
      </c>
      <c r="E76" s="746"/>
      <c r="F76" s="1813"/>
      <c r="G76" s="1062"/>
      <c r="H76" s="1065" t="str">
        <f t="shared" si="19"/>
        <v>——</v>
      </c>
      <c r="I76" s="3365">
        <v>0.08</v>
      </c>
      <c r="J76" s="1063">
        <f t="shared" si="20"/>
        <v>0</v>
      </c>
      <c r="K76" s="1063">
        <f t="shared" si="21"/>
        <v>0</v>
      </c>
      <c r="L76" s="1063">
        <v>0</v>
      </c>
      <c r="M76" s="1063">
        <f t="shared" si="22"/>
        <v>0</v>
      </c>
      <c r="N76" s="1063">
        <f t="shared" si="22"/>
        <v>0</v>
      </c>
      <c r="O76" s="1118"/>
      <c r="P76" s="1118"/>
      <c r="Z76" s="1997"/>
      <c r="AA76" s="2052"/>
      <c r="AG76" s="1120"/>
      <c r="AK76" s="2052"/>
    </row>
    <row r="77" spans="1:37" ht="25.5">
      <c r="A77" s="2129" t="s">
        <v>2058</v>
      </c>
      <c r="B77" s="1325" t="str">
        <f>估价对象房地状况!C22</f>
        <v>估价对象所在区域基础设施水平</v>
      </c>
      <c r="C77" s="2043"/>
      <c r="D77" s="1064">
        <f t="shared" si="18"/>
        <v>0</v>
      </c>
      <c r="E77" s="746"/>
      <c r="F77" s="1813"/>
      <c r="G77" s="1062"/>
      <c r="H77" s="1065" t="str">
        <f t="shared" si="19"/>
        <v>——</v>
      </c>
      <c r="I77" s="3365">
        <v>0.09</v>
      </c>
      <c r="J77" s="1063">
        <f t="shared" si="20"/>
        <v>0</v>
      </c>
      <c r="K77" s="1063">
        <f t="shared" si="21"/>
        <v>0</v>
      </c>
      <c r="L77" s="1063">
        <v>0</v>
      </c>
      <c r="M77" s="1063">
        <f t="shared" si="22"/>
        <v>0</v>
      </c>
      <c r="N77" s="1063">
        <f t="shared" si="22"/>
        <v>0</v>
      </c>
      <c r="O77" s="1118"/>
      <c r="P77" s="1118"/>
      <c r="Z77" s="1997"/>
      <c r="AA77" s="2052"/>
      <c r="AG77" s="1120"/>
      <c r="AK77" s="2052"/>
    </row>
    <row r="78" spans="1:37" ht="24">
      <c r="A78" s="2129" t="s">
        <v>2055</v>
      </c>
      <c r="B78" s="2135" t="s">
        <v>2056</v>
      </c>
      <c r="C78" s="2043"/>
      <c r="D78" s="1064">
        <f t="shared" si="18"/>
        <v>0</v>
      </c>
      <c r="E78" s="746"/>
      <c r="F78" s="1813"/>
      <c r="G78" s="1062"/>
      <c r="H78" s="1065" t="str">
        <f t="shared" si="19"/>
        <v>——</v>
      </c>
      <c r="I78" s="3365">
        <v>0.05</v>
      </c>
      <c r="J78" s="1063">
        <f t="shared" si="20"/>
        <v>0</v>
      </c>
      <c r="K78" s="1063">
        <f t="shared" si="21"/>
        <v>0</v>
      </c>
      <c r="L78" s="1063">
        <v>0</v>
      </c>
      <c r="M78" s="1063">
        <f t="shared" si="22"/>
        <v>0</v>
      </c>
      <c r="N78" s="1063">
        <f t="shared" si="22"/>
        <v>0</v>
      </c>
      <c r="O78" s="1996"/>
      <c r="P78" s="1996"/>
      <c r="Z78" s="1997"/>
      <c r="AA78" s="2052"/>
      <c r="AG78" s="1120"/>
      <c r="AK78" s="2052"/>
    </row>
    <row r="79" spans="1:37" ht="25.5">
      <c r="A79" s="2129" t="s">
        <v>2059</v>
      </c>
      <c r="B79" s="2132" t="str">
        <f>估价对象房地状况!C20</f>
        <v>区域自然环境：；人文环境；综合评价环境状况一般</v>
      </c>
      <c r="C79" s="2043"/>
      <c r="D79" s="1064">
        <f t="shared" si="18"/>
        <v>0</v>
      </c>
      <c r="E79" s="746"/>
      <c r="F79" s="1813"/>
      <c r="G79" s="1062"/>
      <c r="H79" s="1065" t="str">
        <f t="shared" si="19"/>
        <v>——</v>
      </c>
      <c r="I79" s="3365">
        <v>0.12</v>
      </c>
      <c r="J79" s="1063">
        <f t="shared" si="20"/>
        <v>0</v>
      </c>
      <c r="K79" s="1063">
        <f t="shared" si="21"/>
        <v>0</v>
      </c>
      <c r="L79" s="1063">
        <v>0</v>
      </c>
      <c r="M79" s="1063">
        <f t="shared" si="22"/>
        <v>0</v>
      </c>
      <c r="N79" s="1063">
        <f t="shared" si="22"/>
        <v>0</v>
      </c>
      <c r="Z79" s="1997"/>
      <c r="AA79" s="2052"/>
      <c r="AG79" s="1120"/>
      <c r="AK79" s="2052"/>
    </row>
    <row r="80" spans="1:37" ht="24.75" thickBot="1">
      <c r="A80" s="2137" t="s">
        <v>2066</v>
      </c>
      <c r="B80" s="2141"/>
      <c r="C80" s="2043"/>
      <c r="D80" s="1064">
        <f t="shared" si="18"/>
        <v>0</v>
      </c>
      <c r="E80" s="747"/>
      <c r="F80" s="1813"/>
      <c r="G80" s="1062"/>
      <c r="H80" s="1065" t="str">
        <f t="shared" si="19"/>
        <v>——</v>
      </c>
      <c r="I80" s="3366">
        <v>0.05</v>
      </c>
      <c r="J80" s="1063">
        <f t="shared" si="20"/>
        <v>0</v>
      </c>
      <c r="K80" s="1063">
        <f t="shared" si="21"/>
        <v>0</v>
      </c>
      <c r="L80" s="1063">
        <v>0</v>
      </c>
      <c r="M80" s="1063">
        <f t="shared" si="22"/>
        <v>0</v>
      </c>
      <c r="N80" s="1063">
        <f t="shared" si="22"/>
        <v>0</v>
      </c>
      <c r="Z80" s="1997"/>
      <c r="AA80" s="2052"/>
      <c r="AG80" s="1120"/>
      <c r="AK80" s="2052"/>
    </row>
    <row r="81" spans="1:37" ht="15">
      <c r="A81" s="2125" t="s">
        <v>2067</v>
      </c>
      <c r="B81" s="2126">
        <f>1+E83</f>
        <v>1</v>
      </c>
      <c r="C81" s="740"/>
      <c r="D81" s="740"/>
      <c r="E81" s="741"/>
      <c r="F81" s="2128"/>
      <c r="G81" s="3"/>
      <c r="H81" s="3"/>
      <c r="I81" s="3"/>
      <c r="J81" s="4"/>
      <c r="K81" s="4"/>
      <c r="L81" s="4"/>
      <c r="M81" s="4"/>
      <c r="N81" s="4"/>
      <c r="Z81" s="1997"/>
      <c r="AA81" s="2052"/>
      <c r="AG81" s="1120"/>
      <c r="AK81" s="2052"/>
    </row>
    <row r="82" spans="1:37" ht="24.75">
      <c r="A82" s="2129" t="s">
        <v>2042</v>
      </c>
      <c r="B82" s="1350"/>
      <c r="C82" s="1350" t="s">
        <v>2044</v>
      </c>
      <c r="D82" s="1350" t="s">
        <v>2045</v>
      </c>
      <c r="E82" s="742" t="s">
        <v>2046</v>
      </c>
      <c r="F82" s="2130" t="s">
        <v>2061</v>
      </c>
      <c r="G82" s="1350" t="s">
        <v>310</v>
      </c>
      <c r="H82" s="2131" t="s">
        <v>2048</v>
      </c>
      <c r="I82" s="1350" t="s">
        <v>2049</v>
      </c>
      <c r="J82" s="552" t="s">
        <v>1719</v>
      </c>
      <c r="K82" s="552" t="s">
        <v>1720</v>
      </c>
      <c r="L82" s="552" t="s">
        <v>1721</v>
      </c>
      <c r="M82" s="552" t="s">
        <v>1722</v>
      </c>
      <c r="N82" s="552" t="s">
        <v>1723</v>
      </c>
      <c r="Z82" s="1997"/>
      <c r="AA82" s="2052"/>
      <c r="AG82" s="1120"/>
      <c r="AK82" s="2052"/>
    </row>
    <row r="83" spans="1:37" ht="38.25">
      <c r="A83" s="2129" t="s">
        <v>2068</v>
      </c>
      <c r="B83" s="2133" t="str">
        <f>估价对象房地状况!G15</f>
        <v>估价对象位于XX开发区，园区建设成熟度XX，产业集聚程度XX</v>
      </c>
      <c r="C83" s="2043"/>
      <c r="D83" s="1064">
        <f t="shared" ref="D83:D90" si="23">SUMIF($J$82:$N$82,C83,J83:N83)</f>
        <v>0</v>
      </c>
      <c r="E83" s="743">
        <f>ROUND(SUM(D83:D90),4)</f>
        <v>0</v>
      </c>
      <c r="F83" s="1813" t="str">
        <f>IF(E2="工业",SUMIF(L1:L12,G2,N1:N12),"——")</f>
        <v>——</v>
      </c>
      <c r="G83" s="1062"/>
      <c r="H83" s="1065" t="str">
        <f t="shared" ref="H83:H90" si="24">IFERROR(ROUNDDOWN($F$83*I83/2,4),"——")</f>
        <v>——</v>
      </c>
      <c r="I83" s="3365">
        <v>0.26</v>
      </c>
      <c r="J83" s="1063">
        <f t="shared" ref="J83:J90" si="25">K83+$G83</f>
        <v>0</v>
      </c>
      <c r="K83" s="1063">
        <f t="shared" ref="K83:K90" si="26">$L83+$G83</f>
        <v>0</v>
      </c>
      <c r="L83" s="1063">
        <v>0</v>
      </c>
      <c r="M83" s="1063">
        <f t="shared" ref="M83:N90" si="27">L83-$G83</f>
        <v>0</v>
      </c>
      <c r="N83" s="1063">
        <f t="shared" si="27"/>
        <v>0</v>
      </c>
      <c r="Z83" s="1997"/>
      <c r="AA83" s="2052"/>
      <c r="AG83" s="1120"/>
      <c r="AK83" s="2052"/>
    </row>
    <row r="84" spans="1:37" ht="38.25">
      <c r="A84" s="2129" t="s">
        <v>2051</v>
      </c>
      <c r="B84" s="2133" t="str">
        <f>估价对象房地状况!G16</f>
        <v>估价对象周边道路状况、公共交通通达情况、停车便捷程度，综合评价交通便捷度较好</v>
      </c>
      <c r="C84" s="2043"/>
      <c r="D84" s="1064">
        <f t="shared" si="23"/>
        <v>0</v>
      </c>
      <c r="E84" s="746"/>
      <c r="F84" s="1813"/>
      <c r="G84" s="1062"/>
      <c r="H84" s="1065" t="str">
        <f t="shared" si="24"/>
        <v>——</v>
      </c>
      <c r="I84" s="3365">
        <v>0.3</v>
      </c>
      <c r="J84" s="1063">
        <f t="shared" si="25"/>
        <v>0</v>
      </c>
      <c r="K84" s="1063">
        <f t="shared" si="26"/>
        <v>0</v>
      </c>
      <c r="L84" s="1063">
        <v>0</v>
      </c>
      <c r="M84" s="1063">
        <f t="shared" si="27"/>
        <v>0</v>
      </c>
      <c r="N84" s="1063">
        <f t="shared" si="27"/>
        <v>0</v>
      </c>
      <c r="Z84" s="1997"/>
      <c r="AA84" s="2052"/>
      <c r="AG84" s="1120"/>
      <c r="AK84" s="2052"/>
    </row>
    <row r="85" spans="1:37" ht="36">
      <c r="A85" s="3367" t="s">
        <v>3269</v>
      </c>
      <c r="B85" s="2133">
        <f>估价对象房地状况!G17</f>
        <v>0</v>
      </c>
      <c r="C85" s="2043"/>
      <c r="D85" s="1064">
        <f t="shared" si="23"/>
        <v>0</v>
      </c>
      <c r="E85" s="746"/>
      <c r="F85" s="1813"/>
      <c r="G85" s="1062"/>
      <c r="H85" s="1065" t="str">
        <f t="shared" si="24"/>
        <v>——</v>
      </c>
      <c r="I85" s="3365">
        <v>0.1</v>
      </c>
      <c r="J85" s="1063">
        <f t="shared" si="25"/>
        <v>0</v>
      </c>
      <c r="K85" s="1063">
        <f t="shared" si="26"/>
        <v>0</v>
      </c>
      <c r="L85" s="1063">
        <v>0</v>
      </c>
      <c r="M85" s="1063">
        <f t="shared" si="27"/>
        <v>0</v>
      </c>
      <c r="N85" s="1063">
        <f t="shared" si="27"/>
        <v>0</v>
      </c>
      <c r="Z85" s="1997"/>
      <c r="AA85" s="2052"/>
      <c r="AG85" s="1120"/>
      <c r="AK85" s="2052"/>
    </row>
    <row r="86" spans="1:37" ht="14.25">
      <c r="A86" s="2129" t="s">
        <v>2065</v>
      </c>
      <c r="B86" s="2133">
        <f>估价对象房地状况!G22</f>
        <v>0</v>
      </c>
      <c r="C86" s="2043"/>
      <c r="D86" s="1064">
        <f t="shared" si="23"/>
        <v>0</v>
      </c>
      <c r="E86" s="746"/>
      <c r="F86" s="1813"/>
      <c r="G86" s="1062"/>
      <c r="H86" s="1065" t="str">
        <f t="shared" si="24"/>
        <v>——</v>
      </c>
      <c r="I86" s="3365">
        <v>0.05</v>
      </c>
      <c r="J86" s="1063">
        <f t="shared" si="25"/>
        <v>0</v>
      </c>
      <c r="K86" s="1063">
        <f t="shared" si="26"/>
        <v>0</v>
      </c>
      <c r="L86" s="1063">
        <v>0</v>
      </c>
      <c r="M86" s="1063">
        <f t="shared" si="27"/>
        <v>0</v>
      </c>
      <c r="N86" s="1063">
        <f t="shared" si="27"/>
        <v>0</v>
      </c>
      <c r="Z86" s="1997"/>
      <c r="AA86" s="2052"/>
      <c r="AG86" s="1120"/>
      <c r="AK86" s="2052"/>
    </row>
    <row r="87" spans="1:37" ht="25.5">
      <c r="A87" s="2129" t="s">
        <v>2057</v>
      </c>
      <c r="B87" s="1325" t="str">
        <f>估价对象房地状况!G19</f>
        <v>估价对象所在区域公共配套设施齐备情况</v>
      </c>
      <c r="C87" s="2043"/>
      <c r="D87" s="1064">
        <f t="shared" si="23"/>
        <v>0</v>
      </c>
      <c r="E87" s="746"/>
      <c r="F87" s="1813"/>
      <c r="G87" s="1062"/>
      <c r="H87" s="1065" t="str">
        <f t="shared" si="24"/>
        <v>——</v>
      </c>
      <c r="I87" s="3365">
        <v>0.06</v>
      </c>
      <c r="J87" s="1063">
        <f t="shared" si="25"/>
        <v>0</v>
      </c>
      <c r="K87" s="1063">
        <f t="shared" si="26"/>
        <v>0</v>
      </c>
      <c r="L87" s="1063">
        <v>0</v>
      </c>
      <c r="M87" s="1063">
        <f t="shared" si="27"/>
        <v>0</v>
      </c>
      <c r="N87" s="1063">
        <f t="shared" si="27"/>
        <v>0</v>
      </c>
    </row>
    <row r="88" spans="1:37" ht="25.5">
      <c r="A88" s="2129" t="s">
        <v>2058</v>
      </c>
      <c r="B88" s="1325" t="str">
        <f>估价对象房地状况!G20</f>
        <v>估价对象所在区域基础设施水平</v>
      </c>
      <c r="C88" s="2043"/>
      <c r="D88" s="1064">
        <f t="shared" si="23"/>
        <v>0</v>
      </c>
      <c r="E88" s="746"/>
      <c r="F88" s="1813"/>
      <c r="G88" s="1062"/>
      <c r="H88" s="1065" t="str">
        <f t="shared" si="24"/>
        <v>——</v>
      </c>
      <c r="I88" s="3365">
        <v>0.12</v>
      </c>
      <c r="J88" s="1063">
        <f t="shared" si="25"/>
        <v>0</v>
      </c>
      <c r="K88" s="1063">
        <f t="shared" si="26"/>
        <v>0</v>
      </c>
      <c r="L88" s="1063">
        <v>0</v>
      </c>
      <c r="M88" s="1063">
        <f t="shared" si="27"/>
        <v>0</v>
      </c>
      <c r="N88" s="1063">
        <f t="shared" si="27"/>
        <v>0</v>
      </c>
    </row>
    <row r="89" spans="1:37" ht="24">
      <c r="A89" s="2129" t="s">
        <v>2055</v>
      </c>
      <c r="B89" s="2135" t="s">
        <v>2069</v>
      </c>
      <c r="C89" s="2043"/>
      <c r="D89" s="1064">
        <f t="shared" si="23"/>
        <v>0</v>
      </c>
      <c r="E89" s="746"/>
      <c r="F89" s="1813"/>
      <c r="G89" s="1062"/>
      <c r="H89" s="1065" t="str">
        <f t="shared" si="24"/>
        <v>——</v>
      </c>
      <c r="I89" s="3365">
        <v>0.06</v>
      </c>
      <c r="J89" s="1063">
        <f t="shared" si="25"/>
        <v>0</v>
      </c>
      <c r="K89" s="1063">
        <f t="shared" si="26"/>
        <v>0</v>
      </c>
      <c r="L89" s="1063">
        <v>0</v>
      </c>
      <c r="M89" s="1063">
        <f t="shared" si="27"/>
        <v>0</v>
      </c>
      <c r="N89" s="1063">
        <f t="shared" si="27"/>
        <v>0</v>
      </c>
    </row>
    <row r="90" spans="1:37" ht="39" thickBot="1">
      <c r="A90" s="2137" t="s">
        <v>2070</v>
      </c>
      <c r="B90" s="2142" t="str">
        <f>估价对象房地状况!G18</f>
        <v>该园区内是否有污染型企业，绿化情况，卫生条件，整体环境状况判断</v>
      </c>
      <c r="C90" s="2043"/>
      <c r="D90" s="1064">
        <f t="shared" si="23"/>
        <v>0</v>
      </c>
      <c r="E90" s="747"/>
      <c r="F90" s="1813"/>
      <c r="G90" s="1062"/>
      <c r="H90" s="1065" t="str">
        <f t="shared" si="24"/>
        <v>——</v>
      </c>
      <c r="I90" s="3366">
        <v>0.05</v>
      </c>
      <c r="J90" s="1063">
        <f t="shared" si="25"/>
        <v>0</v>
      </c>
      <c r="K90" s="1063">
        <f t="shared" si="26"/>
        <v>0</v>
      </c>
      <c r="L90" s="1063">
        <v>0</v>
      </c>
      <c r="M90" s="1063">
        <f t="shared" si="27"/>
        <v>0</v>
      </c>
      <c r="N90" s="1063">
        <f t="shared" si="27"/>
        <v>0</v>
      </c>
    </row>
    <row r="91" spans="1:37" ht="15">
      <c r="A91" s="3375" t="s">
        <v>2611</v>
      </c>
      <c r="B91" s="3376">
        <f>1+E93</f>
        <v>1</v>
      </c>
      <c r="C91" s="3369"/>
      <c r="D91" s="3370"/>
      <c r="E91" s="1813"/>
      <c r="F91" s="1813"/>
      <c r="G91" s="3371"/>
      <c r="H91" s="3372"/>
      <c r="I91" s="3373"/>
      <c r="J91" s="3374"/>
      <c r="K91" s="3374"/>
      <c r="L91" s="3374"/>
      <c r="M91" s="3374"/>
      <c r="N91" s="3374"/>
    </row>
    <row r="92" spans="1:37" ht="24.75">
      <c r="A92" s="3377" t="s">
        <v>3270</v>
      </c>
      <c r="B92" s="3364"/>
      <c r="C92" s="3364" t="s">
        <v>3279</v>
      </c>
      <c r="D92" s="3364" t="s">
        <v>3280</v>
      </c>
      <c r="E92" s="3346" t="s">
        <v>3281</v>
      </c>
      <c r="F92" s="3379" t="s">
        <v>3282</v>
      </c>
      <c r="G92" s="3364" t="s">
        <v>3283</v>
      </c>
      <c r="H92" s="3386" t="s">
        <v>3286</v>
      </c>
      <c r="I92" s="3364" t="s">
        <v>3287</v>
      </c>
      <c r="J92" s="3387" t="s">
        <v>3288</v>
      </c>
      <c r="K92" s="3387" t="s">
        <v>3289</v>
      </c>
      <c r="L92" s="3387" t="s">
        <v>3290</v>
      </c>
      <c r="M92" s="3387" t="s">
        <v>3291</v>
      </c>
      <c r="N92" s="3387" t="s">
        <v>3292</v>
      </c>
    </row>
    <row r="93" spans="1:37" ht="24">
      <c r="A93" s="3367" t="s">
        <v>3271</v>
      </c>
      <c r="B93" s="1305"/>
      <c r="C93" s="2043"/>
      <c r="D93" s="3364">
        <f>SUMIF($J$92:$N$92,C93,J93:N93)</f>
        <v>0</v>
      </c>
      <c r="E93" s="3380">
        <f>ROUND(SUM(D93:D101),4)</f>
        <v>0</v>
      </c>
      <c r="F93" s="1813" t="str">
        <f>IF(E2="公共服务",SUMIF(L1:L12,G2,N1:N12),"——")</f>
        <v>——</v>
      </c>
      <c r="G93" s="3371"/>
      <c r="H93" s="3419" t="str">
        <f>IFERROR(ROUNDDOWN($F$93*I93/2,4),"——")</f>
        <v>——</v>
      </c>
      <c r="I93" s="3365">
        <v>0.25</v>
      </c>
      <c r="J93" s="3343">
        <f t="shared" ref="J93:J101" si="28">K93+$G93</f>
        <v>0</v>
      </c>
      <c r="K93" s="3343">
        <f t="shared" ref="K93:K101" si="29">$L93+$G93</f>
        <v>0</v>
      </c>
      <c r="L93" s="3343">
        <v>0</v>
      </c>
      <c r="M93" s="3343">
        <f t="shared" ref="M93:N101" si="30">L93-$G93</f>
        <v>0</v>
      </c>
      <c r="N93" s="3343">
        <f t="shared" si="30"/>
        <v>0</v>
      </c>
    </row>
    <row r="94" spans="1:37" ht="38.25">
      <c r="A94" s="3377" t="s">
        <v>3272</v>
      </c>
      <c r="B94" s="3368" t="str">
        <f>估价对象房地状况!C18</f>
        <v>估价对象周边道路状况、公共交通通达情况、停车便捷程度，综合评价交通便捷度较好</v>
      </c>
      <c r="C94" s="2043"/>
      <c r="D94" s="3364">
        <f t="shared" ref="D94:D101" si="31">SUMIF($J$60:$N$60,C94,J94:N94)</f>
        <v>0</v>
      </c>
      <c r="E94" s="3381"/>
      <c r="F94" s="1813"/>
      <c r="G94" s="3371"/>
      <c r="H94" s="3419" t="str">
        <f>IFERROR(ROUNDDOWN($F$93*I94/2,4),"——")</f>
        <v>——</v>
      </c>
      <c r="I94" s="3365">
        <v>0.26</v>
      </c>
      <c r="J94" s="3343">
        <f t="shared" si="28"/>
        <v>0</v>
      </c>
      <c r="K94" s="3343">
        <f t="shared" si="29"/>
        <v>0</v>
      </c>
      <c r="L94" s="3343">
        <v>0</v>
      </c>
      <c r="M94" s="3343">
        <f t="shared" si="30"/>
        <v>0</v>
      </c>
      <c r="N94" s="3343">
        <f t="shared" si="30"/>
        <v>0</v>
      </c>
    </row>
    <row r="95" spans="1:37" ht="36">
      <c r="A95" s="3367" t="s">
        <v>3268</v>
      </c>
      <c r="B95" s="3368">
        <f>估价对象房地状况!C19</f>
        <v>0</v>
      </c>
      <c r="C95" s="2043"/>
      <c r="D95" s="3364">
        <f t="shared" si="31"/>
        <v>0</v>
      </c>
      <c r="E95" s="3381"/>
      <c r="F95" s="1813"/>
      <c r="G95" s="3371"/>
      <c r="H95" s="3419" t="str">
        <f t="shared" ref="H95:H101" si="32">IFERROR(ROUNDDOWN($F$93*I95/2,4),"——")</f>
        <v>——</v>
      </c>
      <c r="I95" s="3365">
        <v>0.11</v>
      </c>
      <c r="J95" s="3343">
        <f t="shared" si="28"/>
        <v>0</v>
      </c>
      <c r="K95" s="3343">
        <f t="shared" si="29"/>
        <v>0</v>
      </c>
      <c r="L95" s="3343">
        <v>0</v>
      </c>
      <c r="M95" s="3343">
        <f t="shared" si="30"/>
        <v>0</v>
      </c>
      <c r="N95" s="3343">
        <f t="shared" si="30"/>
        <v>0</v>
      </c>
    </row>
    <row r="96" spans="1:37" ht="36.75">
      <c r="A96" s="3377" t="s">
        <v>3273</v>
      </c>
      <c r="B96" s="3383" t="s">
        <v>3284</v>
      </c>
      <c r="C96" s="2043"/>
      <c r="D96" s="3364">
        <f t="shared" si="31"/>
        <v>0</v>
      </c>
      <c r="E96" s="3381"/>
      <c r="F96" s="1813"/>
      <c r="G96" s="3371"/>
      <c r="H96" s="3419" t="str">
        <f t="shared" si="32"/>
        <v>——</v>
      </c>
      <c r="I96" s="3365">
        <v>0.05</v>
      </c>
      <c r="J96" s="3343">
        <f t="shared" si="28"/>
        <v>0</v>
      </c>
      <c r="K96" s="3343">
        <f t="shared" si="29"/>
        <v>0</v>
      </c>
      <c r="L96" s="3343">
        <v>0</v>
      </c>
      <c r="M96" s="3343">
        <f t="shared" si="30"/>
        <v>0</v>
      </c>
      <c r="N96" s="3343">
        <f t="shared" si="30"/>
        <v>0</v>
      </c>
    </row>
    <row r="97" spans="1:14" ht="24">
      <c r="A97" s="3377" t="s">
        <v>3274</v>
      </c>
      <c r="B97" s="3368">
        <f>估价对象房地状况!C24</f>
        <v>0</v>
      </c>
      <c r="C97" s="2043"/>
      <c r="D97" s="3364">
        <f t="shared" si="31"/>
        <v>0</v>
      </c>
      <c r="E97" s="3381"/>
      <c r="F97" s="1813"/>
      <c r="G97" s="3371"/>
      <c r="H97" s="3419" t="str">
        <f t="shared" si="32"/>
        <v>——</v>
      </c>
      <c r="I97" s="3365">
        <v>0.05</v>
      </c>
      <c r="J97" s="3343">
        <f t="shared" si="28"/>
        <v>0</v>
      </c>
      <c r="K97" s="3343">
        <f t="shared" si="29"/>
        <v>0</v>
      </c>
      <c r="L97" s="3343">
        <v>0</v>
      </c>
      <c r="M97" s="3343">
        <f t="shared" si="30"/>
        <v>0</v>
      </c>
      <c r="N97" s="3343">
        <f t="shared" si="30"/>
        <v>0</v>
      </c>
    </row>
    <row r="98" spans="1:14" ht="24">
      <c r="A98" s="3377" t="s">
        <v>3275</v>
      </c>
      <c r="B98" s="3384" t="s">
        <v>3285</v>
      </c>
      <c r="C98" s="2043"/>
      <c r="D98" s="3364">
        <f t="shared" si="31"/>
        <v>0</v>
      </c>
      <c r="E98" s="3381"/>
      <c r="F98" s="1813"/>
      <c r="G98" s="3371"/>
      <c r="H98" s="3419" t="str">
        <f t="shared" si="32"/>
        <v>——</v>
      </c>
      <c r="I98" s="3365">
        <v>0.06</v>
      </c>
      <c r="J98" s="3343">
        <f t="shared" si="28"/>
        <v>0</v>
      </c>
      <c r="K98" s="3343">
        <f t="shared" si="29"/>
        <v>0</v>
      </c>
      <c r="L98" s="3343">
        <v>0</v>
      </c>
      <c r="M98" s="3343">
        <f t="shared" si="30"/>
        <v>0</v>
      </c>
      <c r="N98" s="3343">
        <f t="shared" si="30"/>
        <v>0</v>
      </c>
    </row>
    <row r="99" spans="1:14" ht="25.5">
      <c r="A99" s="3377" t="s">
        <v>3276</v>
      </c>
      <c r="B99" s="3368" t="str">
        <f>估价对象房地状况!C21</f>
        <v>估价对象所在区域公共配套设施齐备情况</v>
      </c>
      <c r="C99" s="2043"/>
      <c r="D99" s="3364">
        <f t="shared" si="31"/>
        <v>0</v>
      </c>
      <c r="E99" s="3381"/>
      <c r="F99" s="1813"/>
      <c r="G99" s="3371"/>
      <c r="H99" s="3419" t="str">
        <f t="shared" si="32"/>
        <v>——</v>
      </c>
      <c r="I99" s="3365">
        <v>0.06</v>
      </c>
      <c r="J99" s="3343">
        <f t="shared" si="28"/>
        <v>0</v>
      </c>
      <c r="K99" s="3343">
        <f t="shared" si="29"/>
        <v>0</v>
      </c>
      <c r="L99" s="3343">
        <v>0</v>
      </c>
      <c r="M99" s="3343">
        <f t="shared" si="30"/>
        <v>0</v>
      </c>
      <c r="N99" s="3343">
        <f t="shared" si="30"/>
        <v>0</v>
      </c>
    </row>
    <row r="100" spans="1:14" ht="25.5">
      <c r="A100" s="3377" t="s">
        <v>3277</v>
      </c>
      <c r="B100" s="3368" t="str">
        <f>估价对象房地状况!C22</f>
        <v>估价对象所在区域基础设施水平</v>
      </c>
      <c r="C100" s="2043"/>
      <c r="D100" s="3364">
        <f t="shared" si="31"/>
        <v>0</v>
      </c>
      <c r="E100" s="3381"/>
      <c r="F100" s="1813"/>
      <c r="G100" s="3371"/>
      <c r="H100" s="3419" t="str">
        <f t="shared" si="32"/>
        <v>——</v>
      </c>
      <c r="I100" s="3365">
        <v>0.09</v>
      </c>
      <c r="J100" s="3343">
        <f t="shared" si="28"/>
        <v>0</v>
      </c>
      <c r="K100" s="3343">
        <f t="shared" si="29"/>
        <v>0</v>
      </c>
      <c r="L100" s="3343">
        <v>0</v>
      </c>
      <c r="M100" s="3343">
        <f t="shared" si="30"/>
        <v>0</v>
      </c>
      <c r="N100" s="3343">
        <f t="shared" si="30"/>
        <v>0</v>
      </c>
    </row>
    <row r="101" spans="1:14" ht="26.25" thickBot="1">
      <c r="A101" s="3378" t="s">
        <v>3278</v>
      </c>
      <c r="B101" s="3385" t="str">
        <f>估价对象房地状况!C20</f>
        <v>区域自然环境：；人文环境；综合评价环境状况一般</v>
      </c>
      <c r="C101" s="2043"/>
      <c r="D101" s="3364">
        <f t="shared" si="31"/>
        <v>0</v>
      </c>
      <c r="E101" s="3382"/>
      <c r="F101" s="1813"/>
      <c r="G101" s="3371"/>
      <c r="H101" s="3419" t="str">
        <f t="shared" si="32"/>
        <v>——</v>
      </c>
      <c r="I101" s="3366">
        <v>7.0000000000000007E-2</v>
      </c>
      <c r="J101" s="3343">
        <f t="shared" si="28"/>
        <v>0</v>
      </c>
      <c r="K101" s="3343">
        <f t="shared" si="29"/>
        <v>0</v>
      </c>
      <c r="L101" s="3343">
        <v>0</v>
      </c>
      <c r="M101" s="3343">
        <f t="shared" si="30"/>
        <v>0</v>
      </c>
      <c r="N101" s="3343">
        <f t="shared" si="30"/>
        <v>0</v>
      </c>
    </row>
    <row r="103" spans="1:14">
      <c r="A103" s="4188" t="s">
        <v>3293</v>
      </c>
      <c r="B103" s="4188"/>
      <c r="C103" s="4188"/>
      <c r="D103" s="4188"/>
      <c r="E103" s="4188"/>
      <c r="F103" s="4188"/>
      <c r="G103" s="4188"/>
      <c r="H103" s="4188"/>
      <c r="I103" s="4188"/>
      <c r="J103" s="4188"/>
      <c r="K103" s="3388"/>
      <c r="L103" s="3388"/>
      <c r="M103" s="3388"/>
      <c r="N103" s="3388"/>
    </row>
    <row r="104" spans="1:14">
      <c r="A104" s="4189" t="s">
        <v>3294</v>
      </c>
      <c r="B104" s="4189" t="s">
        <v>3295</v>
      </c>
      <c r="C104" s="3389" t="s">
        <v>3296</v>
      </c>
      <c r="D104" s="3390"/>
      <c r="E104" s="3390"/>
      <c r="F104" s="3390"/>
      <c r="G104" s="3390"/>
      <c r="H104" s="3390"/>
      <c r="I104" s="3390"/>
      <c r="J104" s="3391"/>
      <c r="K104" s="3392"/>
      <c r="L104" s="3392"/>
      <c r="M104" s="3392"/>
      <c r="N104" s="3392"/>
    </row>
    <row r="105" spans="1:14">
      <c r="A105" s="4189"/>
      <c r="B105" s="4189"/>
      <c r="C105" s="3393" t="s">
        <v>3297</v>
      </c>
      <c r="D105" s="3393" t="s">
        <v>3298</v>
      </c>
      <c r="E105" s="3393" t="s">
        <v>3299</v>
      </c>
      <c r="F105" s="3393" t="s">
        <v>3300</v>
      </c>
      <c r="G105" s="3393" t="s">
        <v>3301</v>
      </c>
      <c r="H105" s="3393" t="s">
        <v>3302</v>
      </c>
      <c r="I105" s="3393" t="s">
        <v>3303</v>
      </c>
      <c r="J105" s="3393" t="s">
        <v>3304</v>
      </c>
      <c r="K105" s="3393" t="s">
        <v>3305</v>
      </c>
      <c r="L105" s="3393" t="s">
        <v>3306</v>
      </c>
      <c r="M105" s="3393" t="s">
        <v>3307</v>
      </c>
      <c r="N105" s="3393" t="s">
        <v>3308</v>
      </c>
    </row>
    <row r="106" spans="1:14">
      <c r="A106" s="4175" t="s">
        <v>3309</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4176"/>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4176"/>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4176"/>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4176"/>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4176"/>
      <c r="B111" s="3393" t="s">
        <v>3267</v>
      </c>
      <c r="C111" s="3394">
        <f>$I$3</f>
        <v>0</v>
      </c>
      <c r="D111" s="3394">
        <f t="shared" ref="D111:M111" si="33">$I$3</f>
        <v>0</v>
      </c>
      <c r="E111" s="3394">
        <f t="shared" si="33"/>
        <v>0</v>
      </c>
      <c r="F111" s="3394">
        <f t="shared" si="33"/>
        <v>0</v>
      </c>
      <c r="G111" s="3394">
        <f t="shared" si="33"/>
        <v>0</v>
      </c>
      <c r="H111" s="3394">
        <f t="shared" si="33"/>
        <v>0</v>
      </c>
      <c r="I111" s="3394">
        <f t="shared" si="33"/>
        <v>0</v>
      </c>
      <c r="J111" s="3394">
        <f t="shared" si="33"/>
        <v>0</v>
      </c>
      <c r="K111" s="3394">
        <f t="shared" si="33"/>
        <v>0</v>
      </c>
      <c r="L111" s="3394">
        <f t="shared" si="33"/>
        <v>0</v>
      </c>
      <c r="M111" s="3394">
        <f t="shared" si="33"/>
        <v>0</v>
      </c>
      <c r="N111" s="3394">
        <f>$I$3</f>
        <v>0</v>
      </c>
    </row>
    <row r="112" spans="1:14">
      <c r="A112" s="4177"/>
      <c r="B112" s="3393">
        <v>6</v>
      </c>
      <c r="C112" s="3386">
        <f>(-0.5556*(C111^2)-0.2719*C111+8944)*(10^(-4))</f>
        <v>0.89440000000000008</v>
      </c>
      <c r="D112" s="3386">
        <f>(-0.5556*(D111^2)-0.2719*D111+8944)*(10^(-4))</f>
        <v>0.89440000000000008</v>
      </c>
      <c r="E112" s="3386">
        <f>(-0.7912*(E111^2)-11.3794*E111+8482)*(10^(-4))</f>
        <v>0.84820000000000007</v>
      </c>
      <c r="F112" s="3386">
        <f t="shared" ref="F112:I112" si="34">(-0.7912*(F111^2)-11.3794*F111+8482)*(10^(-4))</f>
        <v>0.84820000000000007</v>
      </c>
      <c r="G112" s="3386">
        <f t="shared" si="34"/>
        <v>0.84820000000000007</v>
      </c>
      <c r="H112" s="3386">
        <f t="shared" si="34"/>
        <v>0.84820000000000007</v>
      </c>
      <c r="I112" s="3386">
        <f t="shared" si="34"/>
        <v>0.84820000000000007</v>
      </c>
      <c r="J112" s="3386">
        <f>(-0.989*(J111^2)-63.78*J111+7771)*(10^(-4))</f>
        <v>0.77710000000000001</v>
      </c>
      <c r="K112" s="3386">
        <f t="shared" ref="K112:N112" si="35">(-0.989*(K111^2)-63.78*K111+7771)*(10^(-4))</f>
        <v>0.77710000000000001</v>
      </c>
      <c r="L112" s="3386">
        <f t="shared" si="35"/>
        <v>0.77710000000000001</v>
      </c>
      <c r="M112" s="3386">
        <f t="shared" si="35"/>
        <v>0.77710000000000001</v>
      </c>
      <c r="N112" s="3386">
        <f t="shared" si="35"/>
        <v>0.77710000000000001</v>
      </c>
    </row>
    <row r="113" spans="1:14">
      <c r="A113" s="4178" t="s">
        <v>3310</v>
      </c>
      <c r="B113" s="4178"/>
      <c r="C113" s="4178"/>
      <c r="D113" s="4178"/>
      <c r="E113" s="4178"/>
      <c r="F113" s="4178"/>
      <c r="G113" s="4178"/>
      <c r="H113" s="4178"/>
      <c r="I113" s="4178"/>
      <c r="J113" s="4178"/>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3311</v>
      </c>
      <c r="B116" s="3414">
        <f>G3</f>
        <v>3.5</v>
      </c>
      <c r="C116" s="3398" t="s">
        <v>3312</v>
      </c>
      <c r="D116" s="3399">
        <f>SUMPRODUCT((A118:A122=F116)*(B117:M117=H116)*B118:M122)</f>
        <v>0.95379999999999998</v>
      </c>
      <c r="E116" s="1999" t="s">
        <v>3313</v>
      </c>
      <c r="F116" s="3400" t="str">
        <f>E2</f>
        <v>办公</v>
      </c>
      <c r="G116" s="1999" t="s">
        <v>3314</v>
      </c>
      <c r="H116" s="3400" t="str">
        <f>G2</f>
        <v>二级</v>
      </c>
      <c r="I116" s="1999"/>
      <c r="J116" s="3401"/>
      <c r="K116" s="3401"/>
      <c r="L116" s="3401"/>
      <c r="M116" s="3401"/>
      <c r="N116" s="3396"/>
    </row>
    <row r="117" spans="1:14">
      <c r="A117" s="3402"/>
      <c r="B117" s="3403" t="s">
        <v>3315</v>
      </c>
      <c r="C117" s="3403" t="s">
        <v>3316</v>
      </c>
      <c r="D117" s="3403" t="s">
        <v>3317</v>
      </c>
      <c r="E117" s="3404" t="s">
        <v>3318</v>
      </c>
      <c r="F117" s="3404" t="s">
        <v>3319</v>
      </c>
      <c r="G117" s="3404" t="s">
        <v>3320</v>
      </c>
      <c r="H117" s="3405" t="s">
        <v>3321</v>
      </c>
      <c r="I117" s="3405" t="s">
        <v>3322</v>
      </c>
      <c r="J117" s="3406" t="s">
        <v>3323</v>
      </c>
      <c r="K117" s="3406" t="s">
        <v>3324</v>
      </c>
      <c r="L117" s="3406" t="s">
        <v>3325</v>
      </c>
      <c r="M117" s="3407" t="s">
        <v>3326</v>
      </c>
      <c r="N117" s="3396"/>
    </row>
    <row r="118" spans="1:14">
      <c r="A118" s="3408" t="s">
        <v>3327</v>
      </c>
      <c r="B118" s="3386">
        <f>ROUND(0.9968-0.011*B116,4)</f>
        <v>0.95830000000000004</v>
      </c>
      <c r="C118" s="3386">
        <f>B118</f>
        <v>0.95830000000000004</v>
      </c>
      <c r="D118" s="3386">
        <f>ROUND(0.949-0.014*B116,4)</f>
        <v>0.9</v>
      </c>
      <c r="E118" s="3386">
        <f>D118</f>
        <v>0.9</v>
      </c>
      <c r="F118" s="3386">
        <f>E118</f>
        <v>0.9</v>
      </c>
      <c r="G118" s="3386">
        <f>F118</f>
        <v>0.9</v>
      </c>
      <c r="H118" s="3386">
        <f>G118</f>
        <v>0.9</v>
      </c>
      <c r="I118" s="3386">
        <f>ROUND(0.8486-0.018*B116,4)</f>
        <v>0.78559999999999997</v>
      </c>
      <c r="J118" s="3386">
        <f t="shared" ref="J118:M122" si="36">I118</f>
        <v>0.78559999999999997</v>
      </c>
      <c r="K118" s="3386">
        <f t="shared" si="36"/>
        <v>0.78559999999999997</v>
      </c>
      <c r="L118" s="3386">
        <f t="shared" si="36"/>
        <v>0.78559999999999997</v>
      </c>
      <c r="M118" s="3409">
        <f t="shared" si="36"/>
        <v>0.78559999999999997</v>
      </c>
      <c r="N118" s="3396"/>
    </row>
    <row r="119" spans="1:14">
      <c r="A119" s="3408" t="s">
        <v>3328</v>
      </c>
      <c r="B119" s="3386">
        <f>ROUND(0.993-0.0112*B116,4)</f>
        <v>0.95379999999999998</v>
      </c>
      <c r="C119" s="3386">
        <f>B119</f>
        <v>0.95379999999999998</v>
      </c>
      <c r="D119" s="3386">
        <f>ROUND(0.9415-0.0142*B116,4)</f>
        <v>0.89180000000000004</v>
      </c>
      <c r="E119" s="3386">
        <f t="shared" ref="E119:H120" si="37">D119</f>
        <v>0.89180000000000004</v>
      </c>
      <c r="F119" s="3386">
        <f t="shared" si="37"/>
        <v>0.89180000000000004</v>
      </c>
      <c r="G119" s="3386">
        <f t="shared" si="37"/>
        <v>0.89180000000000004</v>
      </c>
      <c r="H119" s="3386">
        <f t="shared" si="37"/>
        <v>0.89180000000000004</v>
      </c>
      <c r="I119" s="3386">
        <f>ROUND(0.838-0.0182*B116,4)</f>
        <v>0.77429999999999999</v>
      </c>
      <c r="J119" s="3386">
        <f t="shared" si="36"/>
        <v>0.77429999999999999</v>
      </c>
      <c r="K119" s="3386">
        <f t="shared" si="36"/>
        <v>0.77429999999999999</v>
      </c>
      <c r="L119" s="3386">
        <f t="shared" si="36"/>
        <v>0.77429999999999999</v>
      </c>
      <c r="M119" s="3409">
        <f t="shared" si="36"/>
        <v>0.77429999999999999</v>
      </c>
      <c r="N119" s="3396"/>
    </row>
    <row r="120" spans="1:14">
      <c r="A120" s="3408" t="s">
        <v>3329</v>
      </c>
      <c r="B120" s="3386">
        <f>ROUND(0.9448-0.0115*B116,4)</f>
        <v>0.90459999999999996</v>
      </c>
      <c r="C120" s="3386">
        <f>B120</f>
        <v>0.90459999999999996</v>
      </c>
      <c r="D120" s="3386">
        <f>ROUND(0.937-0.0145*B116,4)</f>
        <v>0.88629999999999998</v>
      </c>
      <c r="E120" s="3386">
        <f t="shared" si="37"/>
        <v>0.88629999999999998</v>
      </c>
      <c r="F120" s="3386">
        <f t="shared" si="37"/>
        <v>0.88629999999999998</v>
      </c>
      <c r="G120" s="3386">
        <f t="shared" si="37"/>
        <v>0.88629999999999998</v>
      </c>
      <c r="H120" s="3386">
        <f t="shared" si="37"/>
        <v>0.88629999999999998</v>
      </c>
      <c r="I120" s="3386">
        <f>ROUND(0.7965-0.0185*B116,4)</f>
        <v>0.73180000000000001</v>
      </c>
      <c r="J120" s="3386">
        <f t="shared" si="36"/>
        <v>0.73180000000000001</v>
      </c>
      <c r="K120" s="3386">
        <f t="shared" si="36"/>
        <v>0.73180000000000001</v>
      </c>
      <c r="L120" s="3386">
        <f t="shared" si="36"/>
        <v>0.73180000000000001</v>
      </c>
      <c r="M120" s="3409">
        <f t="shared" si="36"/>
        <v>0.73180000000000001</v>
      </c>
      <c r="N120" s="3396"/>
    </row>
    <row r="121" spans="1:14" ht="13.5" thickBot="1">
      <c r="A121" s="3410" t="s">
        <v>3330</v>
      </c>
      <c r="B121" s="3411">
        <f>ROUND(0.7836-0.012*B116,4)</f>
        <v>0.74160000000000004</v>
      </c>
      <c r="C121" s="3411">
        <f>B121</f>
        <v>0.74160000000000004</v>
      </c>
      <c r="D121" s="3411">
        <f>ROUND(0.753-0.015*B116,4)</f>
        <v>0.70050000000000001</v>
      </c>
      <c r="E121" s="3411">
        <f>D121</f>
        <v>0.70050000000000001</v>
      </c>
      <c r="F121" s="3411">
        <f>E121</f>
        <v>0.70050000000000001</v>
      </c>
      <c r="G121" s="3411">
        <f>ROUND(0.6612-0.018*B116,4)</f>
        <v>0.59819999999999995</v>
      </c>
      <c r="H121" s="3411">
        <f>G121</f>
        <v>0.59819999999999995</v>
      </c>
      <c r="I121" s="3411">
        <f>ROUND(0.5905-0.019*B116,4)</f>
        <v>0.52400000000000002</v>
      </c>
      <c r="J121" s="3411">
        <f t="shared" si="36"/>
        <v>0.52400000000000002</v>
      </c>
      <c r="K121" s="3411">
        <f t="shared" si="36"/>
        <v>0.52400000000000002</v>
      </c>
      <c r="L121" s="3411">
        <f t="shared" si="36"/>
        <v>0.52400000000000002</v>
      </c>
      <c r="M121" s="3412">
        <f t="shared" si="36"/>
        <v>0.52400000000000002</v>
      </c>
      <c r="N121" s="3396"/>
    </row>
    <row r="122" spans="1:14">
      <c r="A122" s="3413" t="s">
        <v>2611</v>
      </c>
      <c r="B122" s="3386">
        <f>ROUND(0.9404-0.0106*B116,4)</f>
        <v>0.90329999999999999</v>
      </c>
      <c r="C122" s="3386">
        <f>B122</f>
        <v>0.90329999999999999</v>
      </c>
      <c r="D122" s="3386">
        <f>ROUND(0.8955-0.0135*B116,4)</f>
        <v>0.84830000000000005</v>
      </c>
      <c r="E122" s="3386">
        <f t="shared" ref="E122:H122" si="38">D122</f>
        <v>0.84830000000000005</v>
      </c>
      <c r="F122" s="3386">
        <f t="shared" si="38"/>
        <v>0.84830000000000005</v>
      </c>
      <c r="G122" s="3386">
        <f t="shared" si="38"/>
        <v>0.84830000000000005</v>
      </c>
      <c r="H122" s="3386">
        <f t="shared" si="38"/>
        <v>0.84830000000000005</v>
      </c>
      <c r="I122" s="3386">
        <f>ROUND(0.7632-0.0166*B116,4)</f>
        <v>0.70509999999999995</v>
      </c>
      <c r="J122" s="3386">
        <f t="shared" si="36"/>
        <v>0.70509999999999995</v>
      </c>
      <c r="K122" s="3386">
        <f t="shared" si="36"/>
        <v>0.70509999999999995</v>
      </c>
      <c r="L122" s="3386">
        <f t="shared" si="36"/>
        <v>0.70509999999999995</v>
      </c>
      <c r="M122" s="3409">
        <f t="shared" si="36"/>
        <v>0.70509999999999995</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82" priority="6" stopIfTrue="1" operator="notEqual">
      <formula>"——"</formula>
    </cfRule>
  </conditionalFormatting>
  <conditionalFormatting sqref="F61">
    <cfRule type="cellIs" dxfId="81" priority="5" stopIfTrue="1" operator="notEqual">
      <formula>"——"</formula>
    </cfRule>
  </conditionalFormatting>
  <conditionalFormatting sqref="F72">
    <cfRule type="cellIs" dxfId="80" priority="4" stopIfTrue="1" operator="notEqual">
      <formula>"——"</formula>
    </cfRule>
  </conditionalFormatting>
  <conditionalFormatting sqref="F83">
    <cfRule type="cellIs" dxfId="79" priority="3" stopIfTrue="1" operator="notEqual">
      <formula>"——"</formula>
    </cfRule>
  </conditionalFormatting>
  <conditionalFormatting sqref="H50:H58 H61:H69 H72:H80 H83:H91">
    <cfRule type="cellIs" dxfId="78" priority="2" operator="notEqual">
      <formula>"——"</formula>
    </cfRule>
  </conditionalFormatting>
  <conditionalFormatting sqref="H93:H101">
    <cfRule type="cellIs" dxfId="77"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80" zoomScaleNormal="70" zoomScaleSheetLayoutView="80" workbookViewId="0">
      <selection activeCell="I40" sqref="I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875</v>
      </c>
      <c r="B1" s="712"/>
      <c r="C1" s="1378" t="s">
        <v>3397</v>
      </c>
      <c r="D1" s="1361" t="s">
        <v>43</v>
      </c>
      <c r="E1" s="1362" t="s">
        <v>676</v>
      </c>
      <c r="F1" s="1061">
        <f ca="1">J53</f>
        <v>23.29</v>
      </c>
      <c r="G1" s="1377">
        <f>MATCH(C1,'数据-取费表'!A6:A16,0)+5</f>
        <v>7</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802</v>
      </c>
      <c r="B2" s="1385">
        <f ca="1">C40+J29+L46</f>
        <v>942</v>
      </c>
      <c r="C2" s="1386" t="s">
        <v>803</v>
      </c>
      <c r="D2" s="1386"/>
      <c r="E2" s="1387"/>
      <c r="F2" s="1388"/>
      <c r="G2" s="2704"/>
      <c r="H2" s="2693"/>
      <c r="I2" s="2693"/>
      <c r="J2" s="2693"/>
      <c r="K2" s="2694"/>
      <c r="L2" s="2693"/>
      <c r="M2" s="2693"/>
    </row>
    <row r="3" spans="1:37" ht="18" customHeight="1" thickBot="1">
      <c r="A3" s="1389" t="s">
        <v>804</v>
      </c>
      <c r="B3" s="1390">
        <f ca="1">IF(ISERROR(B2*10000/F43),0,ROUND(B2*10000/F43,0))</f>
        <v>1635</v>
      </c>
      <c r="C3" s="1386" t="s">
        <v>805</v>
      </c>
      <c r="D3" s="1386"/>
      <c r="E3" s="1387"/>
      <c r="F3" s="1388"/>
      <c r="G3" s="2704"/>
      <c r="H3" s="682" t="s">
        <v>874</v>
      </c>
      <c r="I3" s="1381"/>
      <c r="J3" s="1381"/>
      <c r="K3" s="1382"/>
      <c r="L3" s="1381"/>
      <c r="M3" s="1381"/>
    </row>
    <row r="4" spans="1:37" ht="18" customHeight="1">
      <c r="A4" s="295" t="s">
        <v>685</v>
      </c>
      <c r="B4" s="296" t="s">
        <v>686</v>
      </c>
      <c r="C4" s="296" t="s">
        <v>687</v>
      </c>
      <c r="D4" s="296" t="s">
        <v>688</v>
      </c>
      <c r="E4" s="297" t="s">
        <v>689</v>
      </c>
      <c r="F4" s="298"/>
      <c r="G4" s="1383"/>
      <c r="H4" s="295" t="s">
        <v>685</v>
      </c>
      <c r="I4" s="296" t="s">
        <v>686</v>
      </c>
      <c r="J4" s="296" t="s">
        <v>687</v>
      </c>
      <c r="K4" s="296" t="s">
        <v>688</v>
      </c>
      <c r="L4" s="297" t="s">
        <v>689</v>
      </c>
      <c r="M4" s="298"/>
    </row>
    <row r="5" spans="1:37" ht="18" customHeight="1">
      <c r="A5" s="299">
        <v>1</v>
      </c>
      <c r="B5" s="300" t="s">
        <v>690</v>
      </c>
      <c r="C5" s="1069">
        <f ca="1">C6+C10+C12</f>
        <v>62</v>
      </c>
      <c r="D5" s="1363" t="s">
        <v>691</v>
      </c>
      <c r="E5" s="1070"/>
      <c r="F5" s="1071"/>
      <c r="G5" s="1383"/>
      <c r="H5" s="299">
        <v>1</v>
      </c>
      <c r="I5" s="300" t="s">
        <v>690</v>
      </c>
      <c r="J5" s="1069">
        <f ca="1">J6+J10+J12</f>
        <v>0</v>
      </c>
      <c r="K5" s="1363" t="s">
        <v>691</v>
      </c>
      <c r="L5" s="1070"/>
      <c r="M5" s="1071"/>
    </row>
    <row r="6" spans="1:37" ht="18" customHeight="1">
      <c r="A6" s="1068" t="s">
        <v>398</v>
      </c>
      <c r="B6" s="4079" t="s">
        <v>692</v>
      </c>
      <c r="C6" s="1073">
        <f ca="1">ROUND(F6*F8*F7*(1-F9)/10000,0)</f>
        <v>62</v>
      </c>
      <c r="D6" s="155" t="s">
        <v>2106</v>
      </c>
      <c r="E6" s="302" t="s">
        <v>694</v>
      </c>
      <c r="F6" s="303">
        <f ca="1">INDIRECT("'数据-取费表'!u"&amp;$G$1)</f>
        <v>1</v>
      </c>
      <c r="G6" s="1383"/>
      <c r="H6" s="1068" t="s">
        <v>398</v>
      </c>
      <c r="I6" s="4079" t="s">
        <v>692</v>
      </c>
      <c r="J6" s="301">
        <f ca="1">ROUND(M6*M8*M7*(1-M9)/10000,0)</f>
        <v>0</v>
      </c>
      <c r="K6" s="155" t="s">
        <v>2105</v>
      </c>
      <c r="L6" s="302" t="s">
        <v>694</v>
      </c>
      <c r="M6" s="303">
        <f ca="1">INDIRECT("'数据-取费表'!z"&amp;$G$1)</f>
        <v>0</v>
      </c>
    </row>
    <row r="7" spans="1:37" ht="18" customHeight="1">
      <c r="A7" s="1072"/>
      <c r="B7" s="4080"/>
      <c r="C7" s="1074"/>
      <c r="D7" s="307"/>
      <c r="E7" s="3470" t="s">
        <v>695</v>
      </c>
      <c r="F7" s="303">
        <f ca="1">IF(INDIRECT("'数据-取费表'!ah"&amp;$G$1)="",INDIRECT("'数据-取费表'!k"&amp;$G$1),INDIRECT("'数据-取费表'!ah"&amp;$G$1))</f>
        <v>1899.58</v>
      </c>
      <c r="G7" s="1383"/>
      <c r="H7" s="304"/>
      <c r="I7" s="4080"/>
      <c r="J7" s="306"/>
      <c r="K7" s="307"/>
      <c r="L7" s="302" t="s">
        <v>695</v>
      </c>
      <c r="M7" s="303">
        <f ca="1">F7</f>
        <v>1899.58</v>
      </c>
    </row>
    <row r="8" spans="1:37" ht="18" customHeight="1">
      <c r="A8" s="304"/>
      <c r="B8" s="4080"/>
      <c r="C8" s="306"/>
      <c r="D8" s="307"/>
      <c r="E8" s="302" t="s">
        <v>696</v>
      </c>
      <c r="F8" s="303">
        <f ca="1">INDIRECT("'数据-取费表'!ai"&amp;$G$1)</f>
        <v>365</v>
      </c>
      <c r="G8" s="1383"/>
      <c r="H8" s="304"/>
      <c r="I8" s="4080"/>
      <c r="J8" s="306"/>
      <c r="K8" s="307"/>
      <c r="L8" s="302" t="s">
        <v>696</v>
      </c>
      <c r="M8" s="303">
        <f ca="1">INDIRECT("'数据-取费表'!ai"&amp;$G$1)</f>
        <v>365</v>
      </c>
    </row>
    <row r="9" spans="1:37" ht="18" customHeight="1">
      <c r="A9" s="304"/>
      <c r="B9" s="4081"/>
      <c r="C9" s="306"/>
      <c r="D9" s="307"/>
      <c r="E9" s="302" t="s">
        <v>697</v>
      </c>
      <c r="F9" s="312">
        <f ca="1">INDIRECT("'数据-取费表'!w"&amp;$G$1)</f>
        <v>0.1</v>
      </c>
      <c r="G9" s="1383"/>
      <c r="H9" s="304"/>
      <c r="I9" s="4081"/>
      <c r="J9" s="306"/>
      <c r="K9" s="307"/>
      <c r="L9" s="313" t="s">
        <v>697</v>
      </c>
      <c r="M9" s="314">
        <f ca="1">INDIRECT("'数据-取费表'!ab"&amp;$G$1)</f>
        <v>0</v>
      </c>
    </row>
    <row r="10" spans="1:37" ht="18" customHeight="1">
      <c r="A10" s="1068" t="s">
        <v>402</v>
      </c>
      <c r="B10" s="1364" t="s">
        <v>698</v>
      </c>
      <c r="C10" s="316">
        <f ca="1">ROUND(IF(F10="押一",C6/12*F11,IF(F10="押二",C6/12*2*F11,IF(F10="押三",C6/12*3*F11,C11*F11))),0)</f>
        <v>0</v>
      </c>
      <c r="D10" s="1365" t="s">
        <v>2113</v>
      </c>
      <c r="E10" s="313" t="s">
        <v>699</v>
      </c>
      <c r="F10" s="1115" t="s">
        <v>3512</v>
      </c>
      <c r="G10" s="1383"/>
      <c r="H10" s="1068" t="s">
        <v>402</v>
      </c>
      <c r="I10" s="1364" t="s">
        <v>698</v>
      </c>
      <c r="J10" s="301">
        <f ca="1">ROUND(IF(M10="押一",J6/12*M11,IF(M10="押二",J6/12*2*M11,IF(M10="押三",J6/12*3*M11,J11*M11))),0)</f>
        <v>0</v>
      </c>
      <c r="K10" s="1365" t="s">
        <v>2113</v>
      </c>
      <c r="L10" s="313" t="s">
        <v>699</v>
      </c>
      <c r="M10" s="1115"/>
    </row>
    <row r="11" spans="1:37" ht="18" customHeight="1">
      <c r="A11" s="308"/>
      <c r="B11" s="1366" t="s">
        <v>677</v>
      </c>
      <c r="C11" s="958"/>
      <c r="D11" s="1367"/>
      <c r="E11" s="313" t="s">
        <v>700</v>
      </c>
      <c r="F11" s="314">
        <f ca="1">'数据-取费表'!B39</f>
        <v>1.4999999999999999E-2</v>
      </c>
      <c r="G11" s="1383"/>
      <c r="H11" s="1076"/>
      <c r="I11" s="1366" t="s">
        <v>677</v>
      </c>
      <c r="J11" s="958"/>
      <c r="K11" s="683"/>
      <c r="L11" s="313" t="s">
        <v>700</v>
      </c>
      <c r="M11" s="861">
        <f ca="1">'数据-取费表'!B39</f>
        <v>1.4999999999999999E-2</v>
      </c>
    </row>
    <row r="12" spans="1:37" ht="18" customHeight="1" thickBot="1">
      <c r="A12" s="1082" t="s">
        <v>437</v>
      </c>
      <c r="B12" s="1368" t="s">
        <v>701</v>
      </c>
      <c r="C12" s="1083"/>
      <c r="D12" s="1084"/>
      <c r="E12" s="1089"/>
      <c r="F12" s="1085"/>
      <c r="G12" s="1383"/>
      <c r="H12" s="1082" t="s">
        <v>437</v>
      </c>
      <c r="I12" s="1368" t="s">
        <v>701</v>
      </c>
      <c r="J12" s="1083"/>
      <c r="K12" s="1097"/>
      <c r="L12" s="1089"/>
      <c r="M12" s="1098"/>
    </row>
    <row r="13" spans="1:37" ht="18" customHeight="1" thickTop="1">
      <c r="A13" s="1078">
        <v>2</v>
      </c>
      <c r="B13" s="1079" t="s">
        <v>702</v>
      </c>
      <c r="C13" s="310">
        <f ca="1">ROUND(C29*F13,0)</f>
        <v>2523</v>
      </c>
      <c r="D13" s="3447" t="s">
        <v>703</v>
      </c>
      <c r="E13" s="3447" t="s">
        <v>704</v>
      </c>
      <c r="F13" s="1081">
        <f ca="1">INDIRECT("'数据-取费表'!y"&amp;$G$1)</f>
        <v>0.73099999999999987</v>
      </c>
      <c r="G13" s="1383"/>
      <c r="H13" s="1078">
        <v>2</v>
      </c>
      <c r="I13" s="1079" t="s">
        <v>702</v>
      </c>
      <c r="J13" s="1067">
        <f ca="1">ROUND(J14*J15,0)</f>
        <v>0</v>
      </c>
      <c r="K13" s="1086" t="s">
        <v>703</v>
      </c>
      <c r="L13" s="1391"/>
      <c r="M13" s="1392"/>
    </row>
    <row r="14" spans="1:37" ht="18" customHeight="1">
      <c r="A14" s="981" t="s">
        <v>397</v>
      </c>
      <c r="B14" s="302" t="s">
        <v>705</v>
      </c>
      <c r="C14" s="318">
        <f ca="1">INDIRECT("'数据-取费表'!m"&amp;$G$1)+INDIRECT("'数据-取费表'!t"&amp;$G$1)</f>
        <v>2592</v>
      </c>
      <c r="D14" s="3459" t="s">
        <v>706</v>
      </c>
      <c r="E14" s="3451"/>
      <c r="F14" s="319"/>
      <c r="G14" s="1383"/>
      <c r="H14" s="981" t="s">
        <v>398</v>
      </c>
      <c r="I14" s="302" t="s">
        <v>707</v>
      </c>
      <c r="J14" s="21">
        <f ca="1">C29</f>
        <v>3452</v>
      </c>
      <c r="K14" s="3468"/>
      <c r="L14" s="806"/>
      <c r="M14" s="807"/>
    </row>
    <row r="15" spans="1:37" s="1396" customFormat="1" ht="18" customHeight="1" thickBot="1">
      <c r="A15" s="981" t="s">
        <v>399</v>
      </c>
      <c r="B15" s="302" t="s">
        <v>708</v>
      </c>
      <c r="C15" s="21">
        <f ca="1">ROUND(C14*F15,0)</f>
        <v>130</v>
      </c>
      <c r="D15" s="3448" t="s">
        <v>709</v>
      </c>
      <c r="E15" s="3448" t="s">
        <v>710</v>
      </c>
      <c r="F15" s="321">
        <f>'数据-取费表'!B33</f>
        <v>0.05</v>
      </c>
      <c r="G15" s="1395"/>
      <c r="H15" s="1088" t="s">
        <v>402</v>
      </c>
      <c r="I15" s="1089" t="s">
        <v>704</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678</v>
      </c>
      <c r="B16" s="302" t="s">
        <v>711</v>
      </c>
      <c r="C16" s="21">
        <f ca="1">ROUND(INDIRECT("'数据-取费表'!m"&amp;$G$1)*F16,0)</f>
        <v>0</v>
      </c>
      <c r="D16" s="302" t="s">
        <v>709</v>
      </c>
      <c r="E16" s="302" t="s">
        <v>710</v>
      </c>
      <c r="F16" s="322">
        <f ca="1">IF(INDIRECT("'数据-取费表'!c"&amp;$G$1)="住宅",'数据-取费表'!B34,0)</f>
        <v>0</v>
      </c>
      <c r="G16" s="1383"/>
      <c r="H16" s="1078" t="s">
        <v>393</v>
      </c>
      <c r="I16" s="1079" t="s">
        <v>712</v>
      </c>
      <c r="J16" s="310">
        <f ca="1">ROUND(J17+J22+J23+J24,0)</f>
        <v>5</v>
      </c>
      <c r="K16" s="1086" t="s">
        <v>713</v>
      </c>
      <c r="L16" s="3462"/>
      <c r="M16" s="1071"/>
    </row>
    <row r="17" spans="1:37" s="1396" customFormat="1" ht="18" customHeight="1">
      <c r="A17" s="981" t="s">
        <v>679</v>
      </c>
      <c r="B17" s="302" t="s">
        <v>714</v>
      </c>
      <c r="C17" s="21">
        <f ca="1">ROUND(F17*(F43+INDIRECT("'数据-取费表'!S"&amp;$G$1))/10000,0)</f>
        <v>115</v>
      </c>
      <c r="D17" s="302" t="s">
        <v>715</v>
      </c>
      <c r="E17" s="302" t="s">
        <v>716</v>
      </c>
      <c r="F17" s="23">
        <f>'数据-取费表'!B35</f>
        <v>200</v>
      </c>
      <c r="G17" s="1395"/>
      <c r="H17" s="981" t="s">
        <v>398</v>
      </c>
      <c r="I17" s="302" t="s">
        <v>717</v>
      </c>
      <c r="J17" s="2315">
        <f ca="1">ROUND(IF(AND(项目基本情况!B11="自然人",项目基本情况!B10="北京市"),J6*M17/(1+'数据-取费表'!C42),J18+J19+J20),2)</f>
        <v>1.5</v>
      </c>
      <c r="K17" s="3459" t="s">
        <v>718</v>
      </c>
      <c r="L17" s="3457" t="s">
        <v>719</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680</v>
      </c>
      <c r="B18" s="302" t="s">
        <v>720</v>
      </c>
      <c r="C18" s="21">
        <f ca="1">ROUND(C14*F18,0)</f>
        <v>52</v>
      </c>
      <c r="D18" s="302" t="s">
        <v>709</v>
      </c>
      <c r="E18" s="302" t="s">
        <v>710</v>
      </c>
      <c r="F18" s="322">
        <f>'数据-取费表'!B36</f>
        <v>0.02</v>
      </c>
      <c r="G18" s="1395"/>
      <c r="H18" s="981" t="s">
        <v>397</v>
      </c>
      <c r="I18" s="302" t="s">
        <v>721</v>
      </c>
      <c r="J18" s="21">
        <f ca="1">ROUND(J6*M18/(1+'数据-取费表'!C42),2)</f>
        <v>0</v>
      </c>
      <c r="K18" s="3457" t="s">
        <v>722</v>
      </c>
      <c r="L18" s="302" t="s">
        <v>710</v>
      </c>
      <c r="M18" s="322">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2" t="s">
        <v>723</v>
      </c>
      <c r="C19" s="21">
        <f ca="1">SUM(C14:C18)</f>
        <v>2889</v>
      </c>
      <c r="D19" s="131" t="s">
        <v>724</v>
      </c>
      <c r="E19" s="3478"/>
      <c r="F19" s="23"/>
      <c r="G19" s="1383"/>
      <c r="H19" s="981" t="s">
        <v>399</v>
      </c>
      <c r="I19" s="302" t="s">
        <v>725</v>
      </c>
      <c r="J19" s="21">
        <f ca="1">IF(K19="按租金收入计税",ROUND(J6*M19/(1+'数据-取费表'!C42),2),ROUND(C29*M19*0.7,2))</f>
        <v>0</v>
      </c>
      <c r="K19" s="1369" t="s">
        <v>3335</v>
      </c>
      <c r="L19" s="302" t="s">
        <v>710</v>
      </c>
      <c r="M19" s="322">
        <f>IF(K19="按租金收入计税",'数据-取费表'!B51,'数据-取费表'!B50)</f>
        <v>0.12</v>
      </c>
    </row>
    <row r="20" spans="1:37" s="1396" customFormat="1" ht="18" customHeight="1">
      <c r="A20" s="981" t="s">
        <v>402</v>
      </c>
      <c r="B20" s="302" t="s">
        <v>726</v>
      </c>
      <c r="C20" s="21">
        <f ca="1">ROUND(C19*F20,0)</f>
        <v>58</v>
      </c>
      <c r="D20" s="2426" t="s">
        <v>727</v>
      </c>
      <c r="E20" s="302" t="s">
        <v>710</v>
      </c>
      <c r="F20" s="322">
        <f>'数据-取费表'!B37</f>
        <v>0.02</v>
      </c>
      <c r="G20" s="1395"/>
      <c r="H20" s="981" t="s">
        <v>678</v>
      </c>
      <c r="I20" s="155" t="s">
        <v>728</v>
      </c>
      <c r="J20" s="22">
        <f ca="1">ROUND(M20*M21/10000,2)</f>
        <v>1.5</v>
      </c>
      <c r="K20" s="324" t="s">
        <v>729</v>
      </c>
      <c r="L20" s="302" t="s">
        <v>730</v>
      </c>
      <c r="M20" s="325">
        <f>'数据-取费表'!B52</f>
        <v>24</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2" t="s">
        <v>731</v>
      </c>
      <c r="C21" s="21" t="s">
        <v>15</v>
      </c>
      <c r="D21" s="2426" t="s">
        <v>732</v>
      </c>
      <c r="E21" s="302" t="s">
        <v>733</v>
      </c>
      <c r="F21" s="322">
        <f>'数据-取费表'!B38</f>
        <v>0.02</v>
      </c>
      <c r="G21" s="1395"/>
      <c r="H21" s="326"/>
      <c r="I21" s="311"/>
      <c r="J21" s="26"/>
      <c r="K21" s="327"/>
      <c r="L21" s="302" t="s">
        <v>734</v>
      </c>
      <c r="M21" s="303">
        <f ca="1">INDIRECT("'数据-取费表'!r"&amp;$G$1)</f>
        <v>624.44000000000005</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681</v>
      </c>
      <c r="B22" s="302" t="s">
        <v>735</v>
      </c>
      <c r="C22" s="21"/>
      <c r="D22" s="131" t="str">
        <f>IF(F23&lt;=1,"单利计息。","复利计息。")&amp;"建造成本、管理费用、销售费用产生的利息。"</f>
        <v>复利计息。建造成本、管理费用、销售费用产生的利息。</v>
      </c>
      <c r="E22" s="3478"/>
      <c r="F22" s="23"/>
      <c r="G22" s="1383"/>
      <c r="H22" s="981" t="s">
        <v>402</v>
      </c>
      <c r="I22" s="302" t="s">
        <v>736</v>
      </c>
      <c r="J22" s="21">
        <f ca="1">ROUND(J14*M22,2)</f>
        <v>3.45</v>
      </c>
      <c r="K22" s="3457" t="s">
        <v>737</v>
      </c>
      <c r="L22" s="302" t="s">
        <v>710</v>
      </c>
      <c r="M22" s="328">
        <f ca="1">INDIRECT("'数据-取费表'!Ak"&amp;$G$1)</f>
        <v>1E-3</v>
      </c>
    </row>
    <row r="23" spans="1:37" s="1396" customFormat="1" ht="18" customHeight="1">
      <c r="A23" s="981" t="s">
        <v>397</v>
      </c>
      <c r="B23" s="302" t="s">
        <v>738</v>
      </c>
      <c r="C23" s="21">
        <f ca="1">IF('数据-取费表'!B22&lt;=1,ROUND(C19*F24*F23/2,0)+ROUND(C20*F24*F23/2,0),ROUND(C19*(POWER((1+F24),F23/2)-1),0)+ROUND(C20*(POWER((1+F24),F23/2)-1),0))</f>
        <v>99</v>
      </c>
      <c r="D23" s="329" t="str">
        <f>IF(F23&lt;=1,"(建造成本+管理费用)×利率×(建设周期÷2)","(建造成本+管理费用)×((1+利率)^(建设周期÷2)-1)")</f>
        <v>(建造成本+管理费用)×((1+利率)^(建设周期÷2)-1)</v>
      </c>
      <c r="E23" s="302" t="s">
        <v>739</v>
      </c>
      <c r="F23" s="325">
        <f>'数据-取费表'!B20</f>
        <v>2</v>
      </c>
      <c r="G23" s="1395"/>
      <c r="H23" s="981" t="s">
        <v>437</v>
      </c>
      <c r="I23" s="302" t="s">
        <v>740</v>
      </c>
      <c r="J23" s="21">
        <f ca="1">ROUND(J13*M23,2)</f>
        <v>0</v>
      </c>
      <c r="K23" s="3457" t="s">
        <v>741</v>
      </c>
      <c r="L23" s="302" t="s">
        <v>742</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743</v>
      </c>
      <c r="B24" s="302" t="s">
        <v>744</v>
      </c>
      <c r="C24" s="21">
        <f ca="1">ROUND(IF('数据-取费表'!B22&lt;=1,F21*F24*F23/2,F21*(POWER((1+F24),F23/2)-1)),4)</f>
        <v>6.9999999999999999E-4</v>
      </c>
      <c r="D24" s="329" t="str">
        <f>IF(F23&lt;=1,"销售费用×利率×(建设周期÷2)","销售费用×((1+利率)^(建设周期÷2)-1)")</f>
        <v>销售费用×((1+利率)^(建设周期÷2)-1)</v>
      </c>
      <c r="E24" s="302" t="s">
        <v>745</v>
      </c>
      <c r="F24" s="331">
        <f ca="1">'数据-取费表'!B40</f>
        <v>3.3500000000000002E-2</v>
      </c>
      <c r="G24" s="1395"/>
      <c r="H24" s="1088" t="s">
        <v>682</v>
      </c>
      <c r="I24" s="1089" t="s">
        <v>726</v>
      </c>
      <c r="J24" s="1090">
        <f ca="1">ROUND(J5*M24,2)</f>
        <v>0</v>
      </c>
      <c r="K24" s="1091" t="s">
        <v>746</v>
      </c>
      <c r="L24" s="1089" t="s">
        <v>742</v>
      </c>
      <c r="M24" s="1085">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747</v>
      </c>
      <c r="B25" s="302" t="s">
        <v>748</v>
      </c>
      <c r="C25" s="21"/>
      <c r="D25" s="131" t="s">
        <v>749</v>
      </c>
      <c r="E25" s="3478"/>
      <c r="F25" s="23"/>
      <c r="G25" s="1383"/>
      <c r="H25" s="1078" t="s">
        <v>394</v>
      </c>
      <c r="I25" s="1093" t="s">
        <v>750</v>
      </c>
      <c r="J25" s="310">
        <f ca="1">J5-J16</f>
        <v>-5</v>
      </c>
      <c r="K25" s="1094" t="s">
        <v>751</v>
      </c>
      <c r="L25" s="1095"/>
      <c r="M25" s="1096"/>
    </row>
    <row r="26" spans="1:37">
      <c r="A26" s="981" t="s">
        <v>397</v>
      </c>
      <c r="B26" s="302" t="s">
        <v>752</v>
      </c>
      <c r="C26" s="21">
        <f ca="1">ROUND((C19+C20)*F26,0)</f>
        <v>147</v>
      </c>
      <c r="D26" s="2426" t="s">
        <v>753</v>
      </c>
      <c r="E26" s="313" t="s">
        <v>754</v>
      </c>
      <c r="F26" s="312">
        <f ca="1">INDIRECT("'数据-取费表'!q"&amp;$G$1)</f>
        <v>0.05</v>
      </c>
      <c r="G26" s="1383"/>
      <c r="H26" s="299" t="s">
        <v>395</v>
      </c>
      <c r="I26" s="300" t="s">
        <v>755</v>
      </c>
      <c r="J26" s="301">
        <f ca="1">IF(J5&lt;&gt;0,ROUND(J25*(1-((1+M28)/(1+M26))^M27)/(M26-M28),0),0)</f>
        <v>0</v>
      </c>
      <c r="K26" s="324" t="s">
        <v>756</v>
      </c>
      <c r="L26" s="302" t="s">
        <v>757</v>
      </c>
      <c r="M26" s="312">
        <f ca="1">INDIRECT("'数据-取费表'!I"&amp;$G$1)</f>
        <v>0.05</v>
      </c>
    </row>
    <row r="27" spans="1:37" ht="18" customHeight="1">
      <c r="A27" s="981" t="s">
        <v>399</v>
      </c>
      <c r="B27" s="302" t="s">
        <v>758</v>
      </c>
      <c r="C27" s="21">
        <f ca="1">ROUND(F21*F26,4)</f>
        <v>1E-3</v>
      </c>
      <c r="D27" s="2426" t="s">
        <v>759</v>
      </c>
      <c r="E27" s="3448"/>
      <c r="F27" s="321"/>
      <c r="G27" s="1383"/>
      <c r="H27" s="304"/>
      <c r="I27" s="305"/>
      <c r="J27" s="306"/>
      <c r="K27" s="332" t="s">
        <v>760</v>
      </c>
      <c r="L27" s="302" t="s">
        <v>761</v>
      </c>
      <c r="M27" s="333">
        <f ca="1">INDIRECT("'数据-取费表'!ag"&amp;$G$1)</f>
        <v>0</v>
      </c>
    </row>
    <row r="28" spans="1:37" s="1396" customFormat="1" ht="18" customHeight="1">
      <c r="A28" s="981" t="s">
        <v>400</v>
      </c>
      <c r="B28" s="302" t="s">
        <v>762</v>
      </c>
      <c r="C28" s="21">
        <f>ROUND(F28/(1+'数据-取费表'!C42),4)</f>
        <v>5.33E-2</v>
      </c>
      <c r="D28" s="2426" t="s">
        <v>763</v>
      </c>
      <c r="E28" s="302" t="s">
        <v>710</v>
      </c>
      <c r="F28" s="322">
        <f>'数据-取费表'!B41</f>
        <v>5.6000000000000001E-2</v>
      </c>
      <c r="G28" s="1395"/>
      <c r="H28" s="308"/>
      <c r="I28" s="309"/>
      <c r="J28" s="310"/>
      <c r="K28" s="327"/>
      <c r="L28" s="302" t="s">
        <v>764</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765</v>
      </c>
      <c r="C29" s="1090">
        <f ca="1">ROUND((C19+C20+C23+C26)/(1-F21-C24-C27-C28),0)</f>
        <v>3452</v>
      </c>
      <c r="D29" s="1091"/>
      <c r="E29" s="1089"/>
      <c r="F29" s="1092"/>
      <c r="G29" s="1395"/>
      <c r="H29" s="334" t="s">
        <v>396</v>
      </c>
      <c r="I29" s="335" t="s">
        <v>766</v>
      </c>
      <c r="J29" s="336">
        <f ca="1">ROUND(J26/(1+F40)^F41,0)</f>
        <v>0</v>
      </c>
      <c r="K29" s="337" t="s">
        <v>767</v>
      </c>
      <c r="L29" s="338"/>
      <c r="M29" s="339">
        <f ca="1">INDIRECT("'数据-取费表'!k"&amp;$G$1)</f>
        <v>5760.93</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712</v>
      </c>
      <c r="C30" s="310">
        <f ca="1">ROUND(C31+C36+C37+C38,0)</f>
        <v>18</v>
      </c>
      <c r="D30" s="1086" t="s">
        <v>713</v>
      </c>
      <c r="E30" s="3462"/>
      <c r="F30" s="1071"/>
      <c r="G30" s="1383"/>
      <c r="H30" s="2695"/>
      <c r="I30" s="1397"/>
      <c r="J30" s="1398"/>
      <c r="K30" s="2473"/>
      <c r="L30" s="2696"/>
      <c r="M30" s="2697"/>
    </row>
    <row r="31" spans="1:37" ht="18" customHeight="1">
      <c r="A31" s="981" t="s">
        <v>398</v>
      </c>
      <c r="B31" s="302" t="s">
        <v>717</v>
      </c>
      <c r="C31" s="2315">
        <f ca="1">ROUND(IF(AND(项目基本情况!B11="自然人",项目基本情况!B10="北京市"),C6*F31/(1+'数据-取费表'!C42),C32+C33+C34),2)</f>
        <v>11.9</v>
      </c>
      <c r="D31" s="3459" t="s">
        <v>718</v>
      </c>
      <c r="E31" s="3457" t="s">
        <v>768</v>
      </c>
      <c r="F31" s="2314" t="str">
        <f>IF(项目基本情况!B11="企业","——",IF(M47="住宅",IF(F6*F7*F8/12/(1+'数据-取费表'!F30)&gt;100000,4%,2.5%),IF(F6*F7*F8/12/(1+'数据-取费表'!F30)&gt;100000,12%,7%)))</f>
        <v>——</v>
      </c>
      <c r="G31" s="1383"/>
      <c r="H31" s="2806" t="s">
        <v>2305</v>
      </c>
      <c r="I31" s="1397"/>
      <c r="J31" s="1398"/>
      <c r="K31" s="2473"/>
      <c r="L31" s="2696"/>
      <c r="M31" s="2697"/>
    </row>
    <row r="32" spans="1:37" ht="18" customHeight="1">
      <c r="A32" s="981" t="s">
        <v>397</v>
      </c>
      <c r="B32" s="302" t="s">
        <v>721</v>
      </c>
      <c r="C32" s="21">
        <f ca="1">IF(项目基本情况!B11="自然人","——",ROUND(C6*F32/(1+'数据-取费表'!C42),2))</f>
        <v>3.31</v>
      </c>
      <c r="D32" s="3457" t="s">
        <v>722</v>
      </c>
      <c r="E32" s="302" t="s">
        <v>710</v>
      </c>
      <c r="F32" s="331">
        <f>'数据-取费表'!B41</f>
        <v>5.6000000000000001E-2</v>
      </c>
      <c r="G32" s="1383"/>
      <c r="H32" s="2695"/>
      <c r="I32" s="1397"/>
      <c r="J32" s="1398"/>
      <c r="K32" s="2473"/>
      <c r="L32" s="2696"/>
      <c r="M32" s="2697"/>
    </row>
    <row r="33" spans="1:18" ht="18" customHeight="1">
      <c r="A33" s="981" t="s">
        <v>399</v>
      </c>
      <c r="B33" s="302" t="s">
        <v>725</v>
      </c>
      <c r="C33" s="21">
        <f ca="1">IF(项目基本情况!B11="自然人","——",IF(D33="按租金收入计税",ROUND(C6*F33/(1+'数据-取费表'!C42),2),IF(D33="按房产原值计税",ROUND(C29*F33*0.7,2),INDIRECT("'数据-取费表'!Aj"&amp;$G$1))))</f>
        <v>7.09</v>
      </c>
      <c r="D33" s="1369" t="s">
        <v>3335</v>
      </c>
      <c r="E33" s="302" t="s">
        <v>710</v>
      </c>
      <c r="F33" s="322">
        <f>IF(D33="按票据","——",IF(D33="按租金收入计税",'数据-取费表'!B51,'数据-取费表'!B50))</f>
        <v>0.12</v>
      </c>
      <c r="G33" s="1383"/>
      <c r="H33" s="2698"/>
      <c r="I33" s="1397"/>
      <c r="J33" s="1398"/>
      <c r="K33" s="2699"/>
      <c r="L33" s="2698"/>
      <c r="M33" s="2698"/>
    </row>
    <row r="34" spans="1:18" ht="18" customHeight="1">
      <c r="A34" s="1068" t="s">
        <v>678</v>
      </c>
      <c r="B34" s="155" t="s">
        <v>728</v>
      </c>
      <c r="C34" s="22">
        <f ca="1">IF(项目基本情况!B11="自然人","——",ROUND(F34*F35/10000,2))</f>
        <v>1.5</v>
      </c>
      <c r="D34" s="324" t="s">
        <v>729</v>
      </c>
      <c r="E34" s="302" t="s">
        <v>730</v>
      </c>
      <c r="F34" s="325">
        <f>'数据-取费表'!B52</f>
        <v>24</v>
      </c>
      <c r="G34" s="1383"/>
      <c r="H34" s="2695"/>
      <c r="I34" s="1397"/>
      <c r="J34" s="1398"/>
      <c r="K34" s="2700"/>
      <c r="L34" s="2701"/>
      <c r="M34" s="2701"/>
    </row>
    <row r="35" spans="1:18" ht="18" customHeight="1">
      <c r="A35" s="1102"/>
      <c r="B35" s="1100"/>
      <c r="C35" s="26"/>
      <c r="D35" s="327"/>
      <c r="E35" s="302" t="s">
        <v>734</v>
      </c>
      <c r="F35" s="303">
        <f ca="1">INDIRECT("'数据-取费表'!r"&amp;$G$1)</f>
        <v>624.44000000000005</v>
      </c>
      <c r="G35" s="1383"/>
      <c r="H35" s="2695"/>
      <c r="I35" s="1397"/>
      <c r="J35" s="1398"/>
      <c r="K35" s="2699"/>
      <c r="L35" s="2698"/>
      <c r="M35" s="2698"/>
    </row>
    <row r="36" spans="1:18" ht="18" customHeight="1">
      <c r="A36" s="1101" t="s">
        <v>402</v>
      </c>
      <c r="B36" s="302" t="s">
        <v>736</v>
      </c>
      <c r="C36" s="21">
        <f ca="1">ROUND(C29*F36,2)</f>
        <v>3.45</v>
      </c>
      <c r="D36" s="3457" t="s">
        <v>769</v>
      </c>
      <c r="E36" s="302" t="s">
        <v>710</v>
      </c>
      <c r="F36" s="328">
        <f ca="1">INDIRECT("'数据-取费表'!Ak"&amp;$G$1)</f>
        <v>1E-3</v>
      </c>
      <c r="G36" s="1383"/>
      <c r="H36" s="2698"/>
      <c r="I36" s="1397"/>
      <c r="J36" s="1398"/>
      <c r="K36" s="2542"/>
      <c r="L36" s="2698"/>
      <c r="M36" s="2698"/>
    </row>
    <row r="37" spans="1:18" ht="18" customHeight="1">
      <c r="A37" s="981" t="s">
        <v>437</v>
      </c>
      <c r="B37" s="302" t="s">
        <v>740</v>
      </c>
      <c r="C37" s="21">
        <f ca="1">ROUND(C13*F37,2)</f>
        <v>2.52</v>
      </c>
      <c r="D37" s="3457" t="s">
        <v>741</v>
      </c>
      <c r="E37" s="302" t="s">
        <v>742</v>
      </c>
      <c r="F37" s="330">
        <f ca="1">INDIRECT("'数据-取费表'!Al"&amp;$G$1)</f>
        <v>1E-3</v>
      </c>
      <c r="G37" s="1383"/>
      <c r="H37" s="2698"/>
      <c r="I37" s="1397"/>
      <c r="J37" s="1398"/>
      <c r="K37" s="2542"/>
      <c r="L37" s="2698"/>
      <c r="M37" s="2698"/>
    </row>
    <row r="38" spans="1:18" ht="18" customHeight="1" thickBot="1">
      <c r="A38" s="1088" t="s">
        <v>682</v>
      </c>
      <c r="B38" s="1089" t="s">
        <v>726</v>
      </c>
      <c r="C38" s="1090">
        <f ca="1">ROUND(C5*F38,2)</f>
        <v>0.31</v>
      </c>
      <c r="D38" s="1091" t="s">
        <v>746</v>
      </c>
      <c r="E38" s="1089" t="s">
        <v>742</v>
      </c>
      <c r="F38" s="1085">
        <f ca="1">INDIRECT("'数据-取费表'!Am"&amp;$G$1)</f>
        <v>5.0000000000000001E-3</v>
      </c>
      <c r="G38" s="1383"/>
      <c r="H38" s="2698"/>
      <c r="I38" s="1397"/>
      <c r="J38" s="1398"/>
      <c r="K38" s="2702"/>
      <c r="L38" s="2698"/>
      <c r="M38" s="2698"/>
    </row>
    <row r="39" spans="1:18" ht="24.6" customHeight="1" thickTop="1">
      <c r="A39" s="1078" t="s">
        <v>394</v>
      </c>
      <c r="B39" s="1093" t="s">
        <v>770</v>
      </c>
      <c r="C39" s="310">
        <f ca="1">C5-C30</f>
        <v>44</v>
      </c>
      <c r="D39" s="1094" t="s">
        <v>771</v>
      </c>
      <c r="E39" s="1095"/>
      <c r="F39" s="1096"/>
      <c r="G39" s="1383"/>
      <c r="H39" s="2698"/>
      <c r="I39" s="1397">
        <f ca="1">C39/C6</f>
        <v>0.70967741935483875</v>
      </c>
      <c r="J39" s="1398"/>
      <c r="K39" s="2702"/>
      <c r="L39" s="2698"/>
      <c r="M39" s="2698"/>
    </row>
    <row r="40" spans="1:18" ht="18" customHeight="1">
      <c r="A40" s="299" t="s">
        <v>395</v>
      </c>
      <c r="B40" s="300" t="s">
        <v>772</v>
      </c>
      <c r="C40" s="301">
        <f ca="1">ROUND(C39*(1-((1+F42)/(1+F40))^F41)/(F40-F42),0)</f>
        <v>686</v>
      </c>
      <c r="D40" s="324" t="s">
        <v>756</v>
      </c>
      <c r="E40" s="302" t="s">
        <v>757</v>
      </c>
      <c r="F40" s="312">
        <f ca="1">INDIRECT("'数据-取费表'!I"&amp;$G$1)</f>
        <v>0.05</v>
      </c>
      <c r="G40" s="1383"/>
      <c r="H40" s="1460"/>
      <c r="I40" s="1397"/>
      <c r="J40" s="1398"/>
      <c r="K40" s="2702"/>
      <c r="L40" s="1460"/>
      <c r="M40" s="1460"/>
    </row>
    <row r="41" spans="1:18" ht="18" customHeight="1">
      <c r="A41" s="304"/>
      <c r="B41" s="305"/>
      <c r="C41" s="306"/>
      <c r="D41" s="332" t="s">
        <v>773</v>
      </c>
      <c r="E41" s="302" t="s">
        <v>761</v>
      </c>
      <c r="F41" s="333">
        <f ca="1">IF(INDIRECT("'数据-取费表'!af"&amp;$G$1)=0,INDIRECT("'数据-取费表'!ae"&amp;$G$1),INDIRECT("'数据-取费表'!af"&amp;$G$1))</f>
        <v>23.29</v>
      </c>
      <c r="G41" s="1383"/>
      <c r="H41" s="1190"/>
      <c r="I41" s="1397"/>
      <c r="J41" s="1398"/>
      <c r="K41" s="2542"/>
      <c r="L41" s="1190"/>
      <c r="M41" s="1190"/>
    </row>
    <row r="42" spans="1:18" ht="18" customHeight="1">
      <c r="A42" s="308"/>
      <c r="B42" s="309"/>
      <c r="C42" s="310"/>
      <c r="D42" s="327"/>
      <c r="E42" s="302" t="s">
        <v>764</v>
      </c>
      <c r="F42" s="312">
        <f ca="1">INDIRECT("'数据-取费表'!v"&amp;$G$1)</f>
        <v>1.4999999999999999E-2</v>
      </c>
      <c r="G42" s="1383"/>
      <c r="H42" s="1190"/>
      <c r="I42" s="1397"/>
      <c r="J42" s="1398"/>
      <c r="K42" s="2542"/>
      <c r="L42" s="1190"/>
      <c r="M42" s="1190"/>
    </row>
    <row r="43" spans="1:18" ht="18" customHeight="1" thickBot="1">
      <c r="A43" s="334" t="s">
        <v>396</v>
      </c>
      <c r="B43" s="335" t="s">
        <v>774</v>
      </c>
      <c r="C43" s="336">
        <f ca="1">ROUND(C40*10000/F43,0)</f>
        <v>1191</v>
      </c>
      <c r="D43" s="337" t="s">
        <v>775</v>
      </c>
      <c r="E43" s="338" t="s">
        <v>776</v>
      </c>
      <c r="F43" s="339">
        <f ca="1">INDIRECT("'数据-取费表'!k"&amp;$G$1)</f>
        <v>5760.93</v>
      </c>
      <c r="G43" s="1383"/>
      <c r="H43" s="1190">
        <f ca="1">C40/65</f>
        <v>10.553846153846154</v>
      </c>
      <c r="I43" s="1190"/>
      <c r="J43" s="1190"/>
      <c r="K43" s="2542"/>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3" t="s">
        <v>806</v>
      </c>
      <c r="P45" s="1460"/>
      <c r="Q45" s="1460"/>
      <c r="R45" s="1460"/>
    </row>
    <row r="46" spans="1:18" s="1383" customFormat="1" ht="13.5" thickBot="1">
      <c r="A46" s="1403" t="s">
        <v>807</v>
      </c>
      <c r="C46" s="1404">
        <f ca="1">C68-C40</f>
        <v>-795</v>
      </c>
      <c r="D46" s="1405" t="str">
        <f>C2</f>
        <v>万元</v>
      </c>
      <c r="E46" s="1399"/>
      <c r="F46" s="1399"/>
      <c r="I46" s="1406" t="s">
        <v>808</v>
      </c>
      <c r="J46" s="1407"/>
      <c r="K46" s="1408"/>
      <c r="L46" s="1409">
        <f ca="1">IF(M47="住宅",0,IF(L48&gt;J51,L60,J60))</f>
        <v>256</v>
      </c>
      <c r="O46" s="1410" t="s">
        <v>809</v>
      </c>
      <c r="P46" s="1411" t="s">
        <v>810</v>
      </c>
      <c r="Q46" s="1412" t="s">
        <v>811</v>
      </c>
      <c r="R46" s="1412" t="s">
        <v>812</v>
      </c>
    </row>
    <row r="47" spans="1:18" s="1383" customFormat="1" ht="13.5" thickBot="1">
      <c r="A47" s="945" t="s">
        <v>685</v>
      </c>
      <c r="B47" s="977" t="s">
        <v>686</v>
      </c>
      <c r="C47" s="1116" t="s">
        <v>687</v>
      </c>
      <c r="D47" s="977" t="s">
        <v>688</v>
      </c>
      <c r="E47" s="1057" t="s">
        <v>689</v>
      </c>
      <c r="F47" s="1058"/>
      <c r="G47" s="721"/>
      <c r="I47" s="1413" t="s">
        <v>813</v>
      </c>
      <c r="J47" s="1414" t="s">
        <v>3451</v>
      </c>
      <c r="K47" s="1415" t="s">
        <v>814</v>
      </c>
      <c r="L47" s="1416">
        <f ca="1">INDIRECT("'数据-取费表'!d"&amp;$G$1)</f>
        <v>50</v>
      </c>
      <c r="M47" s="1379" t="str">
        <f>IF(ISNUMBER(FIND("住宅",C1)),"住宅","非住宅")</f>
        <v>非住宅</v>
      </c>
      <c r="O47" s="1417" t="s">
        <v>403</v>
      </c>
      <c r="P47" s="1418" t="s">
        <v>815</v>
      </c>
      <c r="Q47" s="1419">
        <f ca="1">C40+J29</f>
        <v>686</v>
      </c>
      <c r="R47" s="1419" t="s">
        <v>816</v>
      </c>
    </row>
    <row r="48" spans="1:18" s="1383" customFormat="1" ht="28.5" thickBot="1">
      <c r="A48" s="1109" t="s">
        <v>438</v>
      </c>
      <c r="B48" s="300" t="s">
        <v>690</v>
      </c>
      <c r="C48" s="3477">
        <f ca="1">C49+C53+C55</f>
        <v>0</v>
      </c>
      <c r="D48" s="1111"/>
      <c r="E48" s="1112"/>
      <c r="F48" s="961"/>
      <c r="G48" s="721"/>
      <c r="H48" s="722"/>
      <c r="I48" s="1420" t="s">
        <v>817</v>
      </c>
      <c r="J48" s="1421" t="s">
        <v>3452</v>
      </c>
      <c r="K48" s="1422" t="s">
        <v>818</v>
      </c>
      <c r="L48" s="1423">
        <f ca="1">INDIRECT("'数据-取费表'!f"&amp;$G$1)</f>
        <v>23.29</v>
      </c>
      <c r="O48" s="1417" t="s">
        <v>404</v>
      </c>
      <c r="P48" s="1418" t="s">
        <v>819</v>
      </c>
      <c r="Q48" s="1419">
        <f ca="1">J60</f>
        <v>256</v>
      </c>
      <c r="R48" s="1419" t="s">
        <v>820</v>
      </c>
    </row>
    <row r="49" spans="1:18" s="1383" customFormat="1" ht="13.5" thickBot="1">
      <c r="A49" s="974" t="s">
        <v>439</v>
      </c>
      <c r="B49" s="1370" t="s">
        <v>777</v>
      </c>
      <c r="C49" s="1113">
        <f ca="1">ROUND(F49*F51*F50*(1-F52)/10000,0)</f>
        <v>0</v>
      </c>
      <c r="D49" s="1054" t="s">
        <v>2105</v>
      </c>
      <c r="E49" s="1371" t="s">
        <v>778</v>
      </c>
      <c r="F49" s="1059"/>
      <c r="G49" s="1424"/>
      <c r="H49" s="722"/>
      <c r="I49" s="1420" t="s">
        <v>821</v>
      </c>
      <c r="J49" s="1425">
        <f>'数据-取费表'!N18</f>
        <v>1998</v>
      </c>
      <c r="K49" s="1422" t="s">
        <v>822</v>
      </c>
      <c r="L49" s="1426"/>
      <c r="O49" s="1427" t="s">
        <v>405</v>
      </c>
      <c r="P49" s="1418" t="s">
        <v>823</v>
      </c>
      <c r="Q49" s="1419">
        <f ca="1">C29</f>
        <v>3452</v>
      </c>
      <c r="R49" s="1419" t="s">
        <v>816</v>
      </c>
    </row>
    <row r="50" spans="1:18" s="1383" customFormat="1" ht="13.5" thickBot="1">
      <c r="A50" s="975"/>
      <c r="B50" s="978"/>
      <c r="C50" s="1117"/>
      <c r="D50" s="952"/>
      <c r="E50" s="1055" t="s">
        <v>695</v>
      </c>
      <c r="F50" s="1056">
        <f ca="1">F7</f>
        <v>1899.58</v>
      </c>
      <c r="H50" s="722"/>
      <c r="I50" s="1420" t="s">
        <v>824</v>
      </c>
      <c r="J50" s="1428">
        <f>SUMPRODUCT((I63:I65=J47)*(J62:L62=J48)*(J63:L65))</f>
        <v>60</v>
      </c>
      <c r="K50" s="1422" t="s">
        <v>825</v>
      </c>
      <c r="L50" s="1426"/>
      <c r="M50" s="1429"/>
      <c r="O50" s="1427" t="s">
        <v>406</v>
      </c>
      <c r="P50" s="1418" t="s">
        <v>826</v>
      </c>
      <c r="Q50" s="1430">
        <f ca="1">J58</f>
        <v>0.4</v>
      </c>
      <c r="R50" s="1419"/>
    </row>
    <row r="51" spans="1:18" s="1383" customFormat="1" ht="13.5" thickBot="1">
      <c r="A51" s="976"/>
      <c r="B51" s="978"/>
      <c r="C51" s="979"/>
      <c r="D51" s="952"/>
      <c r="E51" s="980" t="s">
        <v>696</v>
      </c>
      <c r="F51" s="303">
        <f ca="1">F8</f>
        <v>365</v>
      </c>
      <c r="I51" s="1431" t="s">
        <v>827</v>
      </c>
      <c r="J51" s="1432">
        <f>IF(J49="",J50,J49+J50-YEAR('数据-取费表'!B2))</f>
        <v>34</v>
      </c>
      <c r="K51" s="1433" t="s">
        <v>828</v>
      </c>
      <c r="L51" s="1434">
        <f ca="1">ROUND(-PV(INDIRECT("'数据-取费表'!h"&amp;$G$1),J51,(C39-C13*C76),0),0)</f>
        <v>-2287</v>
      </c>
      <c r="M51" s="1435"/>
      <c r="O51" s="1427" t="s">
        <v>407</v>
      </c>
      <c r="P51" s="1418" t="s">
        <v>829</v>
      </c>
      <c r="Q51" s="1430">
        <f>J52</f>
        <v>7.5000000000000011E-2</v>
      </c>
      <c r="R51" s="1419"/>
    </row>
    <row r="52" spans="1:18" s="1383" customFormat="1" ht="13.5" thickBot="1">
      <c r="A52" s="976"/>
      <c r="B52" s="978"/>
      <c r="C52" s="979"/>
      <c r="D52" s="952"/>
      <c r="E52" s="980" t="s">
        <v>697</v>
      </c>
      <c r="F52" s="1053"/>
      <c r="I52" s="1436" t="s">
        <v>830</v>
      </c>
      <c r="J52" s="1437">
        <f>'数据-取费表'!J6+0.5%</f>
        <v>7.5000000000000011E-2</v>
      </c>
      <c r="K52" s="1436" t="s">
        <v>831</v>
      </c>
      <c r="L52" s="1437"/>
      <c r="O52" s="1427" t="s">
        <v>408</v>
      </c>
      <c r="P52" s="1418" t="s">
        <v>832</v>
      </c>
      <c r="Q52" s="1419">
        <f ca="1">J53</f>
        <v>23.29</v>
      </c>
      <c r="R52" s="1419" t="s">
        <v>833</v>
      </c>
    </row>
    <row r="53" spans="1:18" s="1383" customFormat="1" ht="24.75" thickBot="1">
      <c r="A53" s="1151" t="s">
        <v>440</v>
      </c>
      <c r="B53" s="1372" t="s">
        <v>698</v>
      </c>
      <c r="C53" s="316">
        <f ca="1">ROUND(IF(F53="押一",C49/12*F11,IF(F53="押二",C49/12*2*F11,IF(F53="押三",C49/12*3*F11,C54*F11))),0)</f>
        <v>0</v>
      </c>
      <c r="D53" s="1365" t="s">
        <v>2113</v>
      </c>
      <c r="E53" s="313" t="s">
        <v>699</v>
      </c>
      <c r="F53" s="1115"/>
      <c r="I53" s="1438" t="s">
        <v>834</v>
      </c>
      <c r="J53" s="2167">
        <f ca="1">IF(M47="住宅",IF(D1="——",MAX(J51,L48),MAX(J51,L48-'数据-取费表'!B24)),IF(D1="——",MIN(J51,L48),MIN(J51,L48-'数据-取费表'!B24)))</f>
        <v>23.29</v>
      </c>
      <c r="K53" s="4082" t="s">
        <v>835</v>
      </c>
      <c r="L53" s="4083"/>
      <c r="O53" s="1417" t="s">
        <v>409</v>
      </c>
      <c r="P53" s="1418" t="s">
        <v>836</v>
      </c>
      <c r="Q53" s="1419">
        <f ca="1">Q47+Q48</f>
        <v>942</v>
      </c>
      <c r="R53" s="1419" t="s">
        <v>410</v>
      </c>
    </row>
    <row r="54" spans="1:18" s="1383" customFormat="1" ht="13.5" thickBot="1">
      <c r="A54" s="1152"/>
      <c r="B54" s="1366" t="s">
        <v>677</v>
      </c>
      <c r="C54" s="958"/>
      <c r="D54" s="1365"/>
      <c r="E54" s="3464"/>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837</v>
      </c>
      <c r="P54" s="1380"/>
      <c r="Q54" s="1380"/>
      <c r="R54" s="1380"/>
    </row>
    <row r="55" spans="1:18" s="1383" customFormat="1" ht="13.5" thickBot="1">
      <c r="A55" s="1082" t="s">
        <v>437</v>
      </c>
      <c r="B55" s="1368" t="s">
        <v>701</v>
      </c>
      <c r="C55" s="1083"/>
      <c r="D55" s="1365"/>
      <c r="E55" s="3464"/>
      <c r="F55" s="1439"/>
      <c r="I55" s="1442" t="s">
        <v>838</v>
      </c>
      <c r="J55" s="1443">
        <f ca="1">ROUND(IF(J47="钢混",J57/J50,1-(1-2%)*(J50-J57)/J50),3)</f>
        <v>0.17899999999999999</v>
      </c>
      <c r="K55" s="1444" t="s">
        <v>839</v>
      </c>
      <c r="L55" s="1445"/>
      <c r="O55" s="1410" t="s">
        <v>809</v>
      </c>
      <c r="P55" s="1411" t="s">
        <v>810</v>
      </c>
      <c r="Q55" s="1412" t="s">
        <v>811</v>
      </c>
      <c r="R55" s="1412" t="s">
        <v>812</v>
      </c>
    </row>
    <row r="56" spans="1:18" s="1383" customFormat="1" ht="25.5" thickTop="1" thickBot="1">
      <c r="A56" s="956">
        <v>2</v>
      </c>
      <c r="B56" s="957" t="s">
        <v>702</v>
      </c>
      <c r="C56" s="232">
        <f ca="1">C13</f>
        <v>2523</v>
      </c>
      <c r="D56" s="1446"/>
      <c r="E56" s="1447"/>
      <c r="F56" s="1439"/>
      <c r="I56" s="1448" t="s">
        <v>840</v>
      </c>
      <c r="J56" s="1449" t="s">
        <v>3453</v>
      </c>
      <c r="K56" s="1420" t="s">
        <v>841</v>
      </c>
      <c r="L56" s="1423" t="str">
        <f ca="1">IF(L48&lt;J51,"——",L48-J53)</f>
        <v>——</v>
      </c>
      <c r="O56" s="1417" t="s">
        <v>403</v>
      </c>
      <c r="P56" s="1418" t="s">
        <v>815</v>
      </c>
      <c r="Q56" s="1419">
        <f ca="1">C40+J29</f>
        <v>686</v>
      </c>
      <c r="R56" s="1419" t="s">
        <v>816</v>
      </c>
    </row>
    <row r="57" spans="1:18" s="1383" customFormat="1" ht="24.75" thickBot="1">
      <c r="A57" s="1450"/>
      <c r="B57" s="949" t="s">
        <v>765</v>
      </c>
      <c r="C57" s="238">
        <f ca="1">C29</f>
        <v>3452</v>
      </c>
      <c r="D57" s="1451"/>
      <c r="E57" s="1452"/>
      <c r="F57" s="1453"/>
      <c r="I57" s="1454" t="s">
        <v>842</v>
      </c>
      <c r="J57" s="1455">
        <f ca="1">IF(OR(M47="住宅",J51&lt;L48,J56="是"),"——",J51-L48)</f>
        <v>10.71</v>
      </c>
      <c r="K57" s="1420" t="s">
        <v>843</v>
      </c>
      <c r="L57" s="1423" t="str">
        <f ca="1">IF(L48&lt;J51,"——",IF(L55="比较法",L49,IF(L55="基准地价",L50,L51)))</f>
        <v>——</v>
      </c>
      <c r="O57" s="1417" t="s">
        <v>404</v>
      </c>
      <c r="P57" s="1418" t="s">
        <v>844</v>
      </c>
      <c r="Q57" s="1419">
        <f ca="1">L60</f>
        <v>0</v>
      </c>
      <c r="R57" s="1419" t="s">
        <v>845</v>
      </c>
    </row>
    <row r="58" spans="1:18" s="1383" customFormat="1" ht="24.75" thickBot="1">
      <c r="A58" s="315" t="s">
        <v>393</v>
      </c>
      <c r="B58" s="957" t="s">
        <v>712</v>
      </c>
      <c r="C58" s="316">
        <f ca="1">ROUND(C59+C64+C65+C66,0)</f>
        <v>8</v>
      </c>
      <c r="D58" s="959" t="s">
        <v>713</v>
      </c>
      <c r="E58" s="960"/>
      <c r="F58" s="961"/>
      <c r="I58" s="1454" t="s">
        <v>846</v>
      </c>
      <c r="J58" s="1456">
        <f ca="1">IF(J55&lt;0.4,0.4,J55)</f>
        <v>0.4</v>
      </c>
      <c r="K58" s="1433" t="s">
        <v>847</v>
      </c>
      <c r="L58" s="1423" t="e">
        <f ca="1">ROUND(POWER(1+L52,L47-L48)*(POWER(1+L52,L48)-1)/(POWER(1+L52,L47)-1),4)</f>
        <v>#DIV/0!</v>
      </c>
      <c r="O58" s="1427" t="s">
        <v>405</v>
      </c>
      <c r="P58" s="1418" t="s">
        <v>848</v>
      </c>
      <c r="Q58" s="1419">
        <f>IF(L55="比较法",L49,IF(L55="基准地价",L50,0))</f>
        <v>0</v>
      </c>
      <c r="R58" s="1419" t="s">
        <v>816</v>
      </c>
    </row>
    <row r="59" spans="1:18" s="1383" customFormat="1" ht="24.75" thickBot="1">
      <c r="A59" s="981" t="s">
        <v>398</v>
      </c>
      <c r="B59" s="949" t="s">
        <v>717</v>
      </c>
      <c r="C59" s="2315">
        <f ca="1">ROUND(IF(AND(项目基本情况!B11="自然人",项目基本情况!B10="北京市"),C49*F59/(1+'数据-取费表'!C42),C60+C61+C62),0)</f>
        <v>2</v>
      </c>
      <c r="D59" s="962" t="s">
        <v>718</v>
      </c>
      <c r="E59" s="963" t="s">
        <v>719</v>
      </c>
      <c r="F59" s="2314" t="str">
        <f>IF(项目基本情况!B11="企业","——",IF('数据-取费表'!B10="住宅",IF(F49*F50*F51/12/(1+'数据-取费表'!F30)&gt;100000,4%,2.5%),IF(F49*F50*F51/12/(1+'数据-取费表'!F30)&gt;100000,12%,7%)))</f>
        <v>——</v>
      </c>
      <c r="I59" s="1454" t="s">
        <v>849</v>
      </c>
      <c r="J59" s="1455">
        <f ca="1">IF(OR(M47="住宅",J51&lt;L48,J56="是"),"——",ROUND(C29*J58,0))</f>
        <v>1381</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850</v>
      </c>
      <c r="Q59" s="1430">
        <f>L52</f>
        <v>0</v>
      </c>
      <c r="R59" s="1419"/>
    </row>
    <row r="60" spans="1:18" s="1383" customFormat="1" ht="16.5" thickBot="1">
      <c r="A60" s="981" t="s">
        <v>397</v>
      </c>
      <c r="B60" s="949" t="s">
        <v>721</v>
      </c>
      <c r="C60" s="21">
        <f ca="1">IF(项目基本情况!B11="自然人","——",ROUND(C48*F60/(1+'数据-取费表'!C42),2))</f>
        <v>0</v>
      </c>
      <c r="D60" s="963" t="s">
        <v>722</v>
      </c>
      <c r="E60" s="949" t="s">
        <v>710</v>
      </c>
      <c r="F60" s="331">
        <f t="shared" ref="F60:F66" si="0">F32</f>
        <v>5.6000000000000001E-2</v>
      </c>
      <c r="I60" s="1457" t="s">
        <v>851</v>
      </c>
      <c r="J60" s="1458">
        <f ca="1">IF(OR(M47="住宅",J51&lt;L48,J56="是"),"0",ROUND(J59/(1+J52)^J53,0))</f>
        <v>256</v>
      </c>
      <c r="K60" s="1459" t="s">
        <v>852</v>
      </c>
      <c r="L60" s="1458">
        <f ca="1">IF(OR(M47="住宅",L48&lt;J51),0,ROUND(L57*(L58/L59-1),0))</f>
        <v>0</v>
      </c>
      <c r="O60" s="1427" t="s">
        <v>407</v>
      </c>
      <c r="P60" s="1418" t="s">
        <v>853</v>
      </c>
      <c r="Q60" s="1419" t="e">
        <f ca="1">L58</f>
        <v>#DIV/0!</v>
      </c>
      <c r="R60" s="1419" t="s">
        <v>854</v>
      </c>
    </row>
    <row r="61" spans="1:18" s="1383" customFormat="1" ht="13.5" thickBot="1">
      <c r="A61" s="981" t="s">
        <v>779</v>
      </c>
      <c r="B61" s="949" t="s">
        <v>780</v>
      </c>
      <c r="C61" s="21">
        <f ca="1">IF(项目基本情况!B11="自然人","——",IF(D61="按租金收入计税",ROUND(C49*F61/(1+'数据-取费表'!C42),2),IF(D61="按房产原值计税",ROUND(C57*F61*0.7,2),INDIRECT("'数据-取费表'!Aj"&amp;$G$1))))</f>
        <v>0</v>
      </c>
      <c r="D61" s="1369" t="s">
        <v>3335</v>
      </c>
      <c r="E61" s="949" t="s">
        <v>781</v>
      </c>
      <c r="F61" s="322">
        <f t="shared" si="0"/>
        <v>0.12</v>
      </c>
      <c r="I61" s="1460"/>
      <c r="J61" s="1460"/>
      <c r="K61" s="1460"/>
      <c r="L61" s="1460"/>
      <c r="O61" s="1427" t="s">
        <v>408</v>
      </c>
      <c r="P61" s="1418" t="str">
        <f>K59</f>
        <v>建筑物剩余耐用年限下的土地年期修正系数Kn</v>
      </c>
      <c r="Q61" s="1419" t="e">
        <f ca="1">L59</f>
        <v>#DIV/0!</v>
      </c>
      <c r="R61" s="1419" t="s">
        <v>855</v>
      </c>
    </row>
    <row r="62" spans="1:18" s="1383" customFormat="1" ht="13.5" thickBot="1">
      <c r="A62" s="981" t="s">
        <v>782</v>
      </c>
      <c r="B62" s="948" t="s">
        <v>783</v>
      </c>
      <c r="C62" s="22">
        <f ca="1">IF(项目基本情况!B11="自然人","——",ROUND(F62*F63/10000,2))</f>
        <v>1.5</v>
      </c>
      <c r="D62" s="964" t="s">
        <v>784</v>
      </c>
      <c r="E62" s="949" t="s">
        <v>785</v>
      </c>
      <c r="F62" s="325">
        <f t="shared" si="0"/>
        <v>24</v>
      </c>
      <c r="I62" s="1461" t="s">
        <v>856</v>
      </c>
      <c r="J62" s="1462" t="s">
        <v>857</v>
      </c>
      <c r="K62" s="1462" t="s">
        <v>858</v>
      </c>
      <c r="L62" s="1462" t="s">
        <v>859</v>
      </c>
      <c r="M62" s="1463" t="s">
        <v>860</v>
      </c>
      <c r="O62" s="1417" t="s">
        <v>409</v>
      </c>
      <c r="P62" s="1418" t="s">
        <v>861</v>
      </c>
      <c r="Q62" s="1419">
        <f ca="1">Q56+Q57</f>
        <v>686</v>
      </c>
      <c r="R62" s="1419" t="s">
        <v>410</v>
      </c>
    </row>
    <row r="63" spans="1:18" s="1383" customFormat="1" ht="13.5" thickBot="1">
      <c r="A63" s="326"/>
      <c r="B63" s="955"/>
      <c r="C63" s="26"/>
      <c r="D63" s="965"/>
      <c r="E63" s="949" t="s">
        <v>786</v>
      </c>
      <c r="F63" s="303">
        <f t="shared" ca="1" si="0"/>
        <v>624.44000000000005</v>
      </c>
      <c r="I63" s="1461" t="s">
        <v>862</v>
      </c>
      <c r="J63" s="1462">
        <v>70</v>
      </c>
      <c r="K63" s="1462">
        <v>50</v>
      </c>
      <c r="L63" s="1462">
        <v>80</v>
      </c>
      <c r="M63" s="1464">
        <v>0.02</v>
      </c>
      <c r="O63" s="1402" t="s">
        <v>863</v>
      </c>
      <c r="P63" s="1380"/>
      <c r="Q63" s="1380"/>
      <c r="R63" s="1380"/>
    </row>
    <row r="64" spans="1:18" s="1383" customFormat="1" ht="13.5" thickBot="1">
      <c r="A64" s="981" t="s">
        <v>787</v>
      </c>
      <c r="B64" s="949" t="s">
        <v>788</v>
      </c>
      <c r="C64" s="21">
        <f ca="1">ROUND(C57*F64,2)</f>
        <v>3.45</v>
      </c>
      <c r="D64" s="963" t="s">
        <v>789</v>
      </c>
      <c r="E64" s="949" t="s">
        <v>781</v>
      </c>
      <c r="F64" s="328">
        <f t="shared" ca="1" si="0"/>
        <v>1E-3</v>
      </c>
      <c r="I64" s="1461" t="s">
        <v>864</v>
      </c>
      <c r="J64" s="1462">
        <v>50</v>
      </c>
      <c r="K64" s="1462">
        <v>35</v>
      </c>
      <c r="L64" s="1462">
        <v>60</v>
      </c>
      <c r="M64" s="1463">
        <v>0</v>
      </c>
      <c r="O64" s="1410" t="s">
        <v>809</v>
      </c>
      <c r="P64" s="1411" t="s">
        <v>810</v>
      </c>
      <c r="Q64" s="1412" t="s">
        <v>811</v>
      </c>
      <c r="R64" s="1412" t="s">
        <v>812</v>
      </c>
    </row>
    <row r="65" spans="1:18" s="1383" customFormat="1" ht="13.5" thickBot="1">
      <c r="A65" s="981" t="s">
        <v>790</v>
      </c>
      <c r="B65" s="949" t="s">
        <v>740</v>
      </c>
      <c r="C65" s="21">
        <f ca="1">ROUND(C56*F65,2)</f>
        <v>2.52</v>
      </c>
      <c r="D65" s="963" t="s">
        <v>741</v>
      </c>
      <c r="E65" s="949" t="s">
        <v>742</v>
      </c>
      <c r="F65" s="330">
        <f t="shared" ca="1" si="0"/>
        <v>1E-3</v>
      </c>
      <c r="I65" s="1461" t="s">
        <v>865</v>
      </c>
      <c r="J65" s="1462">
        <v>40</v>
      </c>
      <c r="K65" s="1462">
        <v>30</v>
      </c>
      <c r="L65" s="1462">
        <v>50</v>
      </c>
      <c r="M65" s="1464">
        <v>0.02</v>
      </c>
      <c r="O65" s="1417" t="s">
        <v>403</v>
      </c>
      <c r="P65" s="1418" t="s">
        <v>866</v>
      </c>
      <c r="Q65" s="1419">
        <f ca="1">C40+J29</f>
        <v>686</v>
      </c>
      <c r="R65" s="1419" t="s">
        <v>816</v>
      </c>
    </row>
    <row r="66" spans="1:18" s="1383" customFormat="1" ht="16.5" thickBot="1">
      <c r="A66" s="981" t="s">
        <v>791</v>
      </c>
      <c r="B66" s="949" t="s">
        <v>726</v>
      </c>
      <c r="C66" s="21">
        <f ca="1">ROUND(C48*F66,2)</f>
        <v>0</v>
      </c>
      <c r="D66" s="963" t="s">
        <v>792</v>
      </c>
      <c r="E66" s="949" t="s">
        <v>710</v>
      </c>
      <c r="F66" s="312">
        <f t="shared" ca="1" si="0"/>
        <v>5.0000000000000001E-3</v>
      </c>
      <c r="O66" s="1417" t="s">
        <v>404</v>
      </c>
      <c r="P66" s="1418" t="s">
        <v>844</v>
      </c>
      <c r="Q66" s="1419">
        <f ca="1">L60</f>
        <v>0</v>
      </c>
      <c r="R66" s="1419" t="s">
        <v>867</v>
      </c>
    </row>
    <row r="67" spans="1:18" s="1383" customFormat="1" ht="16.5" thickBot="1">
      <c r="A67" s="956" t="s">
        <v>394</v>
      </c>
      <c r="B67" s="966" t="s">
        <v>750</v>
      </c>
      <c r="C67" s="316">
        <f ca="1">C48-C58</f>
        <v>-8</v>
      </c>
      <c r="D67" s="962" t="s">
        <v>751</v>
      </c>
      <c r="E67" s="967"/>
      <c r="F67" s="968"/>
      <c r="O67" s="1427" t="s">
        <v>405</v>
      </c>
      <c r="P67" s="1418" t="s">
        <v>848</v>
      </c>
      <c r="Q67" s="1465">
        <f ca="1">L51</f>
        <v>-2287</v>
      </c>
      <c r="R67" s="1419" t="s">
        <v>868</v>
      </c>
    </row>
    <row r="68" spans="1:18" s="1383" customFormat="1" ht="16.5" thickBot="1">
      <c r="A68" s="946" t="s">
        <v>395</v>
      </c>
      <c r="B68" s="947" t="s">
        <v>772</v>
      </c>
      <c r="C68" s="301">
        <f ca="1">ROUND(C67*(1-((1+F70)/(1+F68))^F69)/(F68-F70),0)</f>
        <v>-109</v>
      </c>
      <c r="D68" s="964" t="s">
        <v>756</v>
      </c>
      <c r="E68" s="949" t="s">
        <v>757</v>
      </c>
      <c r="F68" s="312">
        <f ca="1">F40</f>
        <v>0.05</v>
      </c>
      <c r="O68" s="1427" t="s">
        <v>406</v>
      </c>
      <c r="P68" s="1466" t="s">
        <v>869</v>
      </c>
      <c r="Q68" s="1419">
        <f ca="1">ROUND(Q69-Q70*Q71,0)</f>
        <v>-133</v>
      </c>
      <c r="R68" s="1419" t="s">
        <v>414</v>
      </c>
    </row>
    <row r="69" spans="1:18" s="1383" customFormat="1" ht="13.5" thickBot="1">
      <c r="A69" s="950"/>
      <c r="B69" s="951"/>
      <c r="C69" s="306"/>
      <c r="D69" s="969" t="s">
        <v>760</v>
      </c>
      <c r="E69" s="949" t="s">
        <v>761</v>
      </c>
      <c r="F69" s="333">
        <f ca="1">F41</f>
        <v>23.29</v>
      </c>
      <c r="O69" s="1427" t="s">
        <v>411</v>
      </c>
      <c r="P69" s="1466" t="s">
        <v>870</v>
      </c>
      <c r="Q69" s="1419">
        <f ca="1">C39</f>
        <v>44</v>
      </c>
      <c r="R69" s="1419" t="s">
        <v>816</v>
      </c>
    </row>
    <row r="70" spans="1:18" s="1383" customFormat="1" ht="13.5" thickBot="1">
      <c r="A70" s="953"/>
      <c r="B70" s="954"/>
      <c r="C70" s="310"/>
      <c r="D70" s="965"/>
      <c r="E70" s="949" t="s">
        <v>764</v>
      </c>
      <c r="F70" s="1053"/>
      <c r="O70" s="1427" t="s">
        <v>412</v>
      </c>
      <c r="P70" s="1466" t="s">
        <v>871</v>
      </c>
      <c r="Q70" s="1419">
        <f ca="1">C13</f>
        <v>2523</v>
      </c>
      <c r="R70" s="1419" t="s">
        <v>816</v>
      </c>
    </row>
    <row r="71" spans="1:18" s="1383" customFormat="1" ht="13.5" thickBot="1">
      <c r="A71" s="970" t="s">
        <v>396</v>
      </c>
      <c r="B71" s="971" t="s">
        <v>774</v>
      </c>
      <c r="C71" s="336">
        <f ca="1">ROUND(C68*10000/F71,0)</f>
        <v>-189</v>
      </c>
      <c r="D71" s="972" t="s">
        <v>775</v>
      </c>
      <c r="E71" s="973" t="s">
        <v>776</v>
      </c>
      <c r="F71" s="339">
        <f ca="1">F43</f>
        <v>5760.93</v>
      </c>
      <c r="O71" s="1427" t="s">
        <v>413</v>
      </c>
      <c r="P71" s="1466" t="s">
        <v>872</v>
      </c>
      <c r="Q71" s="1430">
        <f ca="1">C76</f>
        <v>7.0000000000000007E-2</v>
      </c>
      <c r="R71" s="1419"/>
    </row>
    <row r="72" spans="1:18" s="1383" customFormat="1" ht="13.5" thickBot="1">
      <c r="B72" s="725"/>
      <c r="C72" s="725"/>
      <c r="O72" s="1427" t="s">
        <v>407</v>
      </c>
      <c r="P72" s="1418" t="s">
        <v>850</v>
      </c>
      <c r="Q72" s="1430">
        <f>L52</f>
        <v>0</v>
      </c>
      <c r="R72" s="1419"/>
    </row>
    <row r="73" spans="1:18" ht="16.5" thickBot="1">
      <c r="A73" s="1383"/>
      <c r="B73" s="725"/>
      <c r="C73" s="725"/>
      <c r="D73" s="1383"/>
      <c r="E73" s="1383"/>
      <c r="F73" s="1383"/>
      <c r="O73" s="1427" t="s">
        <v>408</v>
      </c>
      <c r="P73" s="1418" t="s">
        <v>853</v>
      </c>
      <c r="Q73" s="1419" t="e">
        <f ca="1">L58</f>
        <v>#DIV/0!</v>
      </c>
      <c r="R73" s="1419" t="s">
        <v>854</v>
      </c>
    </row>
    <row r="74" spans="1:18" ht="13.5" thickBot="1">
      <c r="A74" s="1383"/>
      <c r="B74" s="273" t="s">
        <v>873</v>
      </c>
      <c r="C74" s="1468"/>
      <c r="D74" s="1383"/>
      <c r="E74" s="1383"/>
      <c r="F74" s="1383"/>
      <c r="O74" s="1427" t="s">
        <v>415</v>
      </c>
      <c r="P74" s="1418" t="str">
        <f>K59</f>
        <v>建筑物剩余耐用年限下的土地年期修正系数Kn</v>
      </c>
      <c r="Q74" s="1419" t="e">
        <f ca="1">L59</f>
        <v>#DIV/0!</v>
      </c>
      <c r="R74" s="1419" t="s">
        <v>855</v>
      </c>
    </row>
    <row r="75" spans="1:18" ht="13.5" thickBot="1">
      <c r="A75" s="1383"/>
      <c r="B75" s="340" t="s">
        <v>793</v>
      </c>
      <c r="C75" s="341">
        <f ca="1">ROUND(C13*C76,0)</f>
        <v>177</v>
      </c>
      <c r="D75" s="1383"/>
      <c r="E75" s="1383"/>
      <c r="F75" s="1383"/>
      <c r="K75" s="1401"/>
      <c r="L75" s="1383"/>
      <c r="O75" s="1417" t="s">
        <v>409</v>
      </c>
      <c r="P75" s="1418" t="s">
        <v>836</v>
      </c>
      <c r="Q75" s="1419">
        <f ca="1">Q65+Q66</f>
        <v>686</v>
      </c>
      <c r="R75" s="1419" t="s">
        <v>410</v>
      </c>
    </row>
    <row r="76" spans="1:18">
      <c r="B76" s="342" t="s">
        <v>794</v>
      </c>
      <c r="C76" s="343">
        <f ca="1">INDIRECT("'数据-取费表'!j"&amp;$G$1)</f>
        <v>7.0000000000000007E-2</v>
      </c>
      <c r="I76" s="1383"/>
      <c r="J76" s="1383"/>
      <c r="K76" s="1401"/>
      <c r="L76" s="1383"/>
    </row>
    <row r="77" spans="1:18">
      <c r="B77" s="344" t="s">
        <v>795</v>
      </c>
      <c r="C77" s="345"/>
      <c r="I77" s="1383"/>
      <c r="J77" s="1383"/>
      <c r="K77" s="1401"/>
      <c r="L77" s="1383"/>
    </row>
    <row r="78" spans="1:18">
      <c r="B78" s="270" t="s">
        <v>796</v>
      </c>
      <c r="C78" s="346"/>
    </row>
    <row r="79" spans="1:18">
      <c r="B79" s="340" t="s">
        <v>797</v>
      </c>
      <c r="C79" s="274">
        <f ca="1">1-C80</f>
        <v>-3.0229999999999997</v>
      </c>
    </row>
    <row r="80" spans="1:18">
      <c r="B80" s="340" t="s">
        <v>798</v>
      </c>
      <c r="C80" s="274">
        <f ca="1">ROUND(C75/C39,3)</f>
        <v>4.0229999999999997</v>
      </c>
    </row>
    <row r="81" spans="2:3">
      <c r="B81" s="270" t="s">
        <v>799</v>
      </c>
      <c r="C81" s="238"/>
    </row>
    <row r="82" spans="2:3">
      <c r="B82" s="273" t="s">
        <v>800</v>
      </c>
      <c r="C82" s="275">
        <f ca="1">1-C83</f>
        <v>-2.6779999999999999</v>
      </c>
    </row>
    <row r="83" spans="2:3">
      <c r="B83" s="273" t="s">
        <v>801</v>
      </c>
      <c r="C83" s="274">
        <f ca="1">ROUND(C13/C40,3)</f>
        <v>3.6779999999999999</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76" priority="4">
      <formula>$L$48&gt;$J$51</formula>
    </cfRule>
  </conditionalFormatting>
  <conditionalFormatting sqref="I55 I60">
    <cfRule type="expression" dxfId="75" priority="5">
      <formula>$J$51&gt;$L$48</formula>
    </cfRule>
  </conditionalFormatting>
  <conditionalFormatting sqref="C11">
    <cfRule type="expression" dxfId="74" priority="3">
      <formula>$F$10="自定义"</formula>
    </cfRule>
  </conditionalFormatting>
  <conditionalFormatting sqref="J11">
    <cfRule type="expression" dxfId="73" priority="2">
      <formula>$M$10="自定义"</formula>
    </cfRule>
  </conditionalFormatting>
  <conditionalFormatting sqref="C54">
    <cfRule type="expression" dxfId="72"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90" zoomScaleNormal="60" zoomScaleSheetLayoutView="9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1829</v>
      </c>
      <c r="B1" s="1222" t="s">
        <v>3332</v>
      </c>
      <c r="C1" s="1223" t="s">
        <v>1660</v>
      </c>
      <c r="D1" s="1224" t="s">
        <v>3510</v>
      </c>
      <c r="E1" s="3431" t="s">
        <v>3454</v>
      </c>
      <c r="F1" s="1878" t="s">
        <v>3455</v>
      </c>
      <c r="G1" s="1226" t="s">
        <v>1765</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1460</v>
      </c>
      <c r="B2" s="1163" t="e">
        <f>IF(E1="项目模式",IF(C2="——",IF(B37="元/平方米",ROUND(C39*D3/10000,0),ROUND(F3*C39/10000,0)),IF(B37="元/平方米",ROUND(C39*D3/10000,0),ROUND(F3*C39/10000,0))-D2),IF(E1="单套模式",IF(C2="——",IF(B37="元/平方米",ROUND(C39*D3/10000,0),ROUND(F3*C39/10000,0)),IF(B37="元/平方米",ROUND(C39*D3/10000,0),ROUND(F3*C39/10000,0))-D2)))</f>
        <v>#DIV/0!</v>
      </c>
      <c r="C2" s="1880" t="s">
        <v>43</v>
      </c>
      <c r="D2" s="906" t="e">
        <f ca="1">IF(E1="项目模式",SUMIF(INDIRECT("'"&amp;F2&amp;"'"&amp;"!A:A"),"承租人权益价值",INDIRECT("'"&amp;F2&amp;"'"&amp;"!c:c")),SUMIF(INDIRECT("'"&amp;F2&amp;"'"&amp;"!A:A"),"承租人权益价值（单套）",INDIRECT("'"&amp;F2&amp;"'"&amp;"!c:c")))</f>
        <v>#REF!</v>
      </c>
      <c r="E2" s="1881" t="s">
        <v>1461</v>
      </c>
      <c r="F2" s="1882"/>
      <c r="G2" s="907"/>
      <c r="H2" s="907"/>
      <c r="I2" s="907"/>
      <c r="J2" s="907"/>
      <c r="K2" s="909"/>
      <c r="L2" s="2732"/>
      <c r="M2" s="2733"/>
      <c r="N2" s="2733"/>
      <c r="O2" s="2733"/>
      <c r="P2" s="1164"/>
      <c r="Q2" s="698"/>
      <c r="R2" s="698"/>
      <c r="S2" s="698"/>
      <c r="T2" s="698"/>
      <c r="U2" s="698"/>
      <c r="V2" s="698"/>
      <c r="W2" s="698"/>
      <c r="X2" s="698"/>
      <c r="Y2" s="698"/>
      <c r="Z2" s="698"/>
      <c r="AA2" s="698"/>
      <c r="AB2" s="698"/>
      <c r="AC2" s="699"/>
    </row>
    <row r="3" spans="1:29" s="352" customFormat="1" ht="28.5" customHeight="1" thickBot="1">
      <c r="A3" s="203" t="s">
        <v>1462</v>
      </c>
      <c r="B3" s="558" t="e">
        <f>IF(AND(C2="——",B37="元/平方米"),C39,ROUND(B2*10000/D3,0))</f>
        <v>#DIV/0!</v>
      </c>
      <c r="C3" s="354" t="s">
        <v>1766</v>
      </c>
      <c r="D3" s="353">
        <f>SUMIF('数据-汇总表'!$C19:$C33,D1,'数据-汇总表'!$E19:$E33)</f>
        <v>0</v>
      </c>
      <c r="E3" s="354" t="s">
        <v>1830</v>
      </c>
      <c r="F3" s="353">
        <f>SUMIF('数据-取费表'!A5:A15,D1,'数据-取费表'!AH5:AH15)</f>
        <v>0</v>
      </c>
      <c r="G3" s="907"/>
      <c r="H3" s="907"/>
      <c r="I3" s="907"/>
      <c r="J3" s="907"/>
      <c r="K3" s="909"/>
      <c r="L3" s="2732"/>
      <c r="M3" s="2733" t="e">
        <f>IF(C2="——",IF(B37="元/平方米",ROUND(C39*D3/10000,0),ROUND(F3*C39/10000,0)),IF(B37="元/平方米",ROUND(C39*D3/10000,0),ROUND(F3*C39/10000,0))-D2)</f>
        <v>#DIV/0!</v>
      </c>
      <c r="N3" s="2733"/>
      <c r="O3" s="2733"/>
      <c r="P3" s="1164"/>
      <c r="Q3" s="698"/>
      <c r="R3" s="698"/>
      <c r="S3" s="698"/>
      <c r="T3" s="698"/>
      <c r="U3" s="698"/>
      <c r="V3" s="698"/>
      <c r="W3" s="698"/>
      <c r="X3" s="698"/>
      <c r="Y3" s="698"/>
      <c r="Z3" s="698"/>
      <c r="AA3" s="698"/>
      <c r="AB3" s="715"/>
      <c r="AC3" s="712"/>
    </row>
    <row r="4" spans="1:29" ht="15">
      <c r="A4" s="355" t="s">
        <v>1767</v>
      </c>
      <c r="B4" s="356"/>
      <c r="C4" s="4123" t="s">
        <v>1768</v>
      </c>
      <c r="D4" s="4124"/>
      <c r="E4" s="4125" t="s">
        <v>1769</v>
      </c>
      <c r="F4" s="4126"/>
      <c r="G4" s="4123" t="s">
        <v>1770</v>
      </c>
      <c r="H4" s="4124"/>
      <c r="I4" s="4123" t="s">
        <v>1771</v>
      </c>
      <c r="J4" s="4124"/>
      <c r="K4" s="559" t="s">
        <v>1772</v>
      </c>
      <c r="L4" s="2713"/>
      <c r="M4" s="2714"/>
      <c r="N4" s="2714"/>
      <c r="O4" s="2714"/>
      <c r="P4" s="4127" t="s">
        <v>1773</v>
      </c>
      <c r="Q4" s="4128"/>
      <c r="R4" s="4110" t="s">
        <v>1769</v>
      </c>
      <c r="S4" s="4111"/>
      <c r="T4" s="4110" t="s">
        <v>1770</v>
      </c>
      <c r="U4" s="4111"/>
      <c r="V4" s="4135" t="s">
        <v>1771</v>
      </c>
      <c r="W4" s="4135"/>
      <c r="X4" s="1354"/>
      <c r="Y4" s="4110" t="s">
        <v>1773</v>
      </c>
      <c r="Z4" s="4111"/>
      <c r="AA4" s="4105" t="s">
        <v>1769</v>
      </c>
      <c r="AB4" s="4106" t="s">
        <v>1770</v>
      </c>
      <c r="AC4" s="4105" t="s">
        <v>1771</v>
      </c>
    </row>
    <row r="5" spans="1:29" ht="15">
      <c r="A5" s="358"/>
      <c r="B5" s="359"/>
      <c r="C5" s="4116" t="s">
        <v>1671</v>
      </c>
      <c r="D5" s="4117"/>
      <c r="E5" s="4114" t="s">
        <v>1672</v>
      </c>
      <c r="F5" s="4115"/>
      <c r="G5" s="4116" t="s">
        <v>1673</v>
      </c>
      <c r="H5" s="4117"/>
      <c r="I5" s="4116" t="s">
        <v>1674</v>
      </c>
      <c r="J5" s="4117"/>
      <c r="K5" s="559"/>
      <c r="L5" s="2713"/>
      <c r="M5" s="2714"/>
      <c r="N5" s="2714"/>
      <c r="O5" s="2714"/>
      <c r="P5" s="4129"/>
      <c r="Q5" s="4130"/>
      <c r="R5" s="4112"/>
      <c r="S5" s="4113"/>
      <c r="T5" s="4112"/>
      <c r="U5" s="4113"/>
      <c r="V5" s="4135"/>
      <c r="W5" s="4135"/>
      <c r="X5" s="1354"/>
      <c r="Y5" s="4112"/>
      <c r="Z5" s="4113"/>
      <c r="AA5" s="4106"/>
      <c r="AB5" s="4106"/>
      <c r="AC5" s="4106"/>
    </row>
    <row r="6" spans="1:29" ht="15.75" thickBot="1">
      <c r="A6" s="360"/>
      <c r="B6" s="361"/>
      <c r="C6" s="4118" t="s">
        <v>1675</v>
      </c>
      <c r="D6" s="4119"/>
      <c r="E6" s="4120" t="s">
        <v>1675</v>
      </c>
      <c r="F6" s="4121"/>
      <c r="G6" s="4118" t="s">
        <v>1675</v>
      </c>
      <c r="H6" s="4119"/>
      <c r="I6" s="4118" t="s">
        <v>1675</v>
      </c>
      <c r="J6" s="4119"/>
      <c r="K6" s="559" t="s">
        <v>1676</v>
      </c>
      <c r="L6" s="2713"/>
      <c r="M6" s="2714"/>
      <c r="N6" s="2714"/>
      <c r="O6" s="2714"/>
      <c r="P6" s="4131"/>
      <c r="Q6" s="4132"/>
      <c r="R6" s="4112"/>
      <c r="S6" s="4113"/>
      <c r="T6" s="4133"/>
      <c r="U6" s="4134"/>
      <c r="V6" s="4135"/>
      <c r="W6" s="4135"/>
      <c r="X6" s="1354"/>
      <c r="Y6" s="4133"/>
      <c r="Z6" s="4134"/>
      <c r="AA6" s="4107"/>
      <c r="AB6" s="4107"/>
      <c r="AC6" s="4107"/>
    </row>
    <row r="7" spans="1:29" s="108" customFormat="1" ht="15.75" thickBot="1">
      <c r="A7" s="362" t="s">
        <v>1677</v>
      </c>
      <c r="B7" s="363"/>
      <c r="C7" s="364">
        <f>'数据-取费表'!B2</f>
        <v>45575</v>
      </c>
      <c r="D7" s="365">
        <v>100</v>
      </c>
      <c r="E7" s="366"/>
      <c r="F7" s="367">
        <f>SUMIF(48:48,YEAR(E7)&amp;"-"&amp;MONTH(E7),49:49)</f>
        <v>0</v>
      </c>
      <c r="G7" s="366"/>
      <c r="H7" s="365">
        <f>SUMIF(48:48,YEAR(G7)&amp;"-"&amp;MONTH(G7),49:49)</f>
        <v>0</v>
      </c>
      <c r="I7" s="366"/>
      <c r="J7" s="365">
        <f>SUMIF(48:48,YEAR(I7)&amp;"-"&amp;MONTH(I7),49:49)</f>
        <v>0</v>
      </c>
      <c r="K7" s="560"/>
      <c r="L7" s="2715"/>
      <c r="M7" s="2716"/>
      <c r="N7" s="2716"/>
      <c r="O7" s="2716"/>
      <c r="P7" s="4108" t="s">
        <v>1678</v>
      </c>
      <c r="Q7" s="4136"/>
      <c r="R7" s="700" t="s">
        <v>14</v>
      </c>
      <c r="S7" s="701">
        <f t="shared" ref="S7:S14" si="0">F7</f>
        <v>0</v>
      </c>
      <c r="T7" s="700" t="s">
        <v>14</v>
      </c>
      <c r="U7" s="701">
        <f t="shared" ref="U7:U14" si="1">H7</f>
        <v>0</v>
      </c>
      <c r="V7" s="700" t="s">
        <v>14</v>
      </c>
      <c r="W7" s="701">
        <f t="shared" ref="W7:W14" si="2">J7</f>
        <v>0</v>
      </c>
      <c r="X7" s="702"/>
      <c r="Y7" s="4108" t="s">
        <v>1678</v>
      </c>
      <c r="Z7" s="4109"/>
      <c r="AA7" s="703" t="e">
        <f>D7/F7</f>
        <v>#DIV/0!</v>
      </c>
      <c r="AB7" s="703" t="e">
        <f>D7/H7</f>
        <v>#DIV/0!</v>
      </c>
      <c r="AC7" s="703" t="e">
        <f>D7/J7</f>
        <v>#DIV/0!</v>
      </c>
    </row>
    <row r="8" spans="1:29" s="108" customFormat="1" ht="15.75" thickBot="1">
      <c r="A8" s="362" t="s">
        <v>1679</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4108" t="s">
        <v>1681</v>
      </c>
      <c r="Q8" s="4109"/>
      <c r="R8" s="700" t="s">
        <v>14</v>
      </c>
      <c r="S8" s="701">
        <f t="shared" si="0"/>
        <v>100</v>
      </c>
      <c r="T8" s="700" t="s">
        <v>14</v>
      </c>
      <c r="U8" s="701">
        <f t="shared" si="1"/>
        <v>100</v>
      </c>
      <c r="V8" s="700" t="s">
        <v>14</v>
      </c>
      <c r="W8" s="701">
        <f t="shared" si="2"/>
        <v>100</v>
      </c>
      <c r="X8" s="702"/>
      <c r="Y8" s="4108" t="s">
        <v>1681</v>
      </c>
      <c r="Z8" s="4109"/>
      <c r="AA8" s="703">
        <f t="shared" ref="AA8:AA36" si="3">D8/F8</f>
        <v>1</v>
      </c>
      <c r="AB8" s="703">
        <f t="shared" ref="AB8:AB36" si="4">D8/H8</f>
        <v>1</v>
      </c>
      <c r="AC8" s="703">
        <f t="shared" ref="AC8:AC36" si="5">D8/J8</f>
        <v>1</v>
      </c>
    </row>
    <row r="9" spans="1:29" s="108" customFormat="1">
      <c r="A9" s="60" t="s">
        <v>1682</v>
      </c>
      <c r="B9" s="588" t="s">
        <v>1683</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4140" t="s">
        <v>1684</v>
      </c>
      <c r="Q9" s="1342" t="str">
        <f t="shared" ref="Q9:Q14" si="6">B9</f>
        <v>用途</v>
      </c>
      <c r="R9" s="700" t="s">
        <v>14</v>
      </c>
      <c r="S9" s="701">
        <f t="shared" si="0"/>
        <v>100</v>
      </c>
      <c r="T9" s="700" t="s">
        <v>14</v>
      </c>
      <c r="U9" s="701">
        <f t="shared" si="1"/>
        <v>100</v>
      </c>
      <c r="V9" s="700" t="s">
        <v>14</v>
      </c>
      <c r="W9" s="701">
        <f t="shared" si="2"/>
        <v>100</v>
      </c>
      <c r="X9" s="702"/>
      <c r="Y9" s="4052" t="s">
        <v>1685</v>
      </c>
      <c r="Z9" s="52" t="str">
        <f t="shared" ref="Z9:Z14" si="7">Q9</f>
        <v>用途</v>
      </c>
      <c r="AA9" s="703">
        <f t="shared" si="3"/>
        <v>1</v>
      </c>
      <c r="AB9" s="703">
        <f t="shared" si="4"/>
        <v>1</v>
      </c>
      <c r="AC9" s="703">
        <f t="shared" si="5"/>
        <v>1</v>
      </c>
    </row>
    <row r="10" spans="1:29" s="378" customFormat="1" ht="27">
      <c r="A10" s="589"/>
      <c r="B10" s="590" t="s">
        <v>1686</v>
      </c>
      <c r="C10" s="3432"/>
      <c r="D10" s="127">
        <v>100</v>
      </c>
      <c r="E10" s="3432"/>
      <c r="F10" s="127">
        <f>SUMIF(55:55,E10,56:56)-SUMIF(55:55,C10,56:56)+100</f>
        <v>100</v>
      </c>
      <c r="G10" s="3433"/>
      <c r="H10" s="127">
        <f>SUMIF(55:55,G10,56:56)-SUMIF(55:55,C10,56:56)+100</f>
        <v>100</v>
      </c>
      <c r="I10" s="3432"/>
      <c r="J10" s="127">
        <f>SUMIF(55:55,I10,56:56)-SUMIF(55:55,C10,56:56)+100</f>
        <v>100</v>
      </c>
      <c r="K10" s="560"/>
      <c r="L10" s="2717"/>
      <c r="M10" s="2718"/>
      <c r="N10" s="2718"/>
      <c r="O10" s="2718"/>
      <c r="P10" s="4140"/>
      <c r="Q10" s="1342" t="str">
        <f t="shared" si="6"/>
        <v>土地使用年限（年）</v>
      </c>
      <c r="R10" s="700" t="s">
        <v>14</v>
      </c>
      <c r="S10" s="701">
        <f t="shared" si="0"/>
        <v>100</v>
      </c>
      <c r="T10" s="700" t="s">
        <v>14</v>
      </c>
      <c r="U10" s="701">
        <f t="shared" si="1"/>
        <v>100</v>
      </c>
      <c r="V10" s="700" t="s">
        <v>14</v>
      </c>
      <c r="W10" s="701">
        <f t="shared" si="2"/>
        <v>100</v>
      </c>
      <c r="X10" s="702"/>
      <c r="Y10" s="4052"/>
      <c r="Z10" s="52" t="str">
        <f t="shared" si="7"/>
        <v>土地使用年限（年）</v>
      </c>
      <c r="AA10" s="703">
        <f t="shared" si="3"/>
        <v>1</v>
      </c>
      <c r="AB10" s="703">
        <f t="shared" si="4"/>
        <v>1</v>
      </c>
      <c r="AC10" s="703">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4140"/>
      <c r="Q11" s="1342">
        <f t="shared" si="6"/>
        <v>111</v>
      </c>
      <c r="R11" s="700" t="s">
        <v>14</v>
      </c>
      <c r="S11" s="701">
        <f t="shared" si="0"/>
        <v>100</v>
      </c>
      <c r="T11" s="700" t="s">
        <v>14</v>
      </c>
      <c r="U11" s="701">
        <f t="shared" si="1"/>
        <v>100</v>
      </c>
      <c r="V11" s="700" t="s">
        <v>14</v>
      </c>
      <c r="W11" s="701">
        <f t="shared" si="2"/>
        <v>100</v>
      </c>
      <c r="X11" s="702"/>
      <c r="Y11" s="4052"/>
      <c r="Z11" s="52">
        <f t="shared" si="7"/>
        <v>111</v>
      </c>
      <c r="AA11" s="703">
        <f t="shared" si="3"/>
        <v>1</v>
      </c>
      <c r="AB11" s="703">
        <f t="shared" si="4"/>
        <v>1</v>
      </c>
      <c r="AC11" s="703">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4140"/>
      <c r="Q12" s="1342">
        <f t="shared" si="6"/>
        <v>111</v>
      </c>
      <c r="R12" s="700" t="s">
        <v>14</v>
      </c>
      <c r="S12" s="701">
        <f t="shared" si="0"/>
        <v>100</v>
      </c>
      <c r="T12" s="700" t="s">
        <v>14</v>
      </c>
      <c r="U12" s="701">
        <f t="shared" si="1"/>
        <v>100</v>
      </c>
      <c r="V12" s="700" t="s">
        <v>14</v>
      </c>
      <c r="W12" s="701">
        <f t="shared" si="2"/>
        <v>100</v>
      </c>
      <c r="X12" s="702"/>
      <c r="Y12" s="4052"/>
      <c r="Z12" s="52">
        <f t="shared" si="7"/>
        <v>111</v>
      </c>
      <c r="AA12" s="703">
        <f>D12/F12</f>
        <v>1</v>
      </c>
      <c r="AB12" s="703">
        <f>D12/H12</f>
        <v>1</v>
      </c>
      <c r="AC12" s="703">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4140"/>
      <c r="Q13" s="1342">
        <f t="shared" si="6"/>
        <v>111</v>
      </c>
      <c r="R13" s="700" t="s">
        <v>14</v>
      </c>
      <c r="S13" s="701">
        <f t="shared" si="0"/>
        <v>100</v>
      </c>
      <c r="T13" s="700" t="s">
        <v>14</v>
      </c>
      <c r="U13" s="701">
        <f t="shared" si="1"/>
        <v>100</v>
      </c>
      <c r="V13" s="700" t="s">
        <v>14</v>
      </c>
      <c r="W13" s="701">
        <f t="shared" si="2"/>
        <v>100</v>
      </c>
      <c r="X13" s="702"/>
      <c r="Y13" s="4052"/>
      <c r="Z13" s="52">
        <f t="shared" si="7"/>
        <v>111</v>
      </c>
      <c r="AA13" s="703">
        <f t="shared" si="3"/>
        <v>1</v>
      </c>
      <c r="AB13" s="703">
        <f t="shared" si="4"/>
        <v>1</v>
      </c>
      <c r="AC13" s="703">
        <f t="shared" si="5"/>
        <v>1</v>
      </c>
    </row>
    <row r="14" spans="1:29" ht="85.5">
      <c r="A14" s="355" t="s">
        <v>1688</v>
      </c>
      <c r="B14" s="577" t="s">
        <v>1831</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4142" t="s">
        <v>1689</v>
      </c>
      <c r="Q14" s="1351" t="str">
        <f t="shared" si="6"/>
        <v>交通便捷度</v>
      </c>
      <c r="R14" s="704" t="s">
        <v>14</v>
      </c>
      <c r="S14" s="705">
        <f t="shared" si="0"/>
        <v>100</v>
      </c>
      <c r="T14" s="704" t="s">
        <v>14</v>
      </c>
      <c r="U14" s="705">
        <f t="shared" si="1"/>
        <v>100</v>
      </c>
      <c r="V14" s="704" t="s">
        <v>14</v>
      </c>
      <c r="W14" s="705">
        <f t="shared" si="2"/>
        <v>100</v>
      </c>
      <c r="X14" s="1354"/>
      <c r="Y14" s="4142" t="s">
        <v>1689</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720"/>
      <c r="M15" s="2714"/>
      <c r="N15" s="2714"/>
      <c r="O15" s="2714"/>
      <c r="P15" s="4143"/>
      <c r="Q15" s="1351"/>
      <c r="R15" s="704"/>
      <c r="S15" s="705"/>
      <c r="T15" s="704"/>
      <c r="U15" s="705"/>
      <c r="V15" s="704"/>
      <c r="W15" s="705"/>
      <c r="X15" s="1354"/>
      <c r="Y15" s="4143"/>
      <c r="Z15" s="1355"/>
      <c r="AA15" s="1352">
        <v>1</v>
      </c>
      <c r="AB15" s="1352">
        <v>1</v>
      </c>
      <c r="AC15" s="1352">
        <v>1</v>
      </c>
    </row>
    <row r="16" spans="1:29" ht="42.75">
      <c r="A16" s="358"/>
      <c r="B16" s="579" t="s">
        <v>1810</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4143"/>
      <c r="Q16" s="1351" t="str">
        <f>B16</f>
        <v>公共配套设施</v>
      </c>
      <c r="R16" s="704" t="s">
        <v>14</v>
      </c>
      <c r="S16" s="705">
        <f>F16</f>
        <v>100</v>
      </c>
      <c r="T16" s="704" t="s">
        <v>14</v>
      </c>
      <c r="U16" s="705">
        <f>H16</f>
        <v>100</v>
      </c>
      <c r="V16" s="704" t="s">
        <v>14</v>
      </c>
      <c r="W16" s="705">
        <f>J16</f>
        <v>100</v>
      </c>
      <c r="X16" s="1354"/>
      <c r="Y16" s="4143"/>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720"/>
      <c r="M17" s="2714"/>
      <c r="N17" s="2714"/>
      <c r="O17" s="2714"/>
      <c r="P17" s="4143"/>
      <c r="Q17" s="1351"/>
      <c r="R17" s="704"/>
      <c r="S17" s="705"/>
      <c r="T17" s="704"/>
      <c r="U17" s="705"/>
      <c r="V17" s="704"/>
      <c r="W17" s="705"/>
      <c r="X17" s="1354"/>
      <c r="Y17" s="4143"/>
      <c r="Z17" s="1355"/>
      <c r="AA17" s="1352">
        <v>1</v>
      </c>
      <c r="AB17" s="1352">
        <v>1</v>
      </c>
      <c r="AC17" s="1352">
        <v>1</v>
      </c>
    </row>
    <row r="18" spans="1:29" ht="28.5">
      <c r="A18" s="358"/>
      <c r="B18" s="581" t="s">
        <v>1811</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4143"/>
      <c r="Q18" s="1351" t="str">
        <f>B18</f>
        <v>基础设施水平</v>
      </c>
      <c r="R18" s="704" t="s">
        <v>14</v>
      </c>
      <c r="S18" s="705">
        <f>F18</f>
        <v>100</v>
      </c>
      <c r="T18" s="704" t="s">
        <v>14</v>
      </c>
      <c r="U18" s="705">
        <f>H18</f>
        <v>100</v>
      </c>
      <c r="V18" s="704" t="s">
        <v>14</v>
      </c>
      <c r="W18" s="705">
        <f>J18</f>
        <v>100</v>
      </c>
      <c r="X18" s="1354"/>
      <c r="Y18" s="4143"/>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29"/>
      <c r="L19" s="2720"/>
      <c r="M19" s="2714"/>
      <c r="N19" s="2714"/>
      <c r="O19" s="2714"/>
      <c r="P19" s="4143"/>
      <c r="Q19" s="1351"/>
      <c r="R19" s="704"/>
      <c r="S19" s="705"/>
      <c r="T19" s="704"/>
      <c r="U19" s="705"/>
      <c r="V19" s="704"/>
      <c r="W19" s="705"/>
      <c r="X19" s="1354"/>
      <c r="Y19" s="4143"/>
      <c r="Z19" s="1355"/>
      <c r="AA19" s="1352">
        <v>1</v>
      </c>
      <c r="AB19" s="1352">
        <v>1</v>
      </c>
      <c r="AC19" s="1352">
        <v>1</v>
      </c>
    </row>
    <row r="20" spans="1:29" ht="57">
      <c r="A20" s="358"/>
      <c r="B20" s="579" t="s">
        <v>1832</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4143"/>
      <c r="Q20" s="1351" t="str">
        <f>B20</f>
        <v>自然及人文环境</v>
      </c>
      <c r="R20" s="704" t="s">
        <v>14</v>
      </c>
      <c r="S20" s="705">
        <f>F20</f>
        <v>100</v>
      </c>
      <c r="T20" s="704" t="s">
        <v>14</v>
      </c>
      <c r="U20" s="705">
        <f>H20</f>
        <v>100</v>
      </c>
      <c r="V20" s="704" t="s">
        <v>14</v>
      </c>
      <c r="W20" s="705">
        <f>J20</f>
        <v>100</v>
      </c>
      <c r="X20" s="1354"/>
      <c r="Y20" s="4143"/>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720"/>
      <c r="M21" s="2714"/>
      <c r="N21" s="2714"/>
      <c r="O21" s="2714"/>
      <c r="P21" s="4143"/>
      <c r="Q21" s="1351"/>
      <c r="R21" s="704"/>
      <c r="S21" s="705"/>
      <c r="T21" s="704"/>
      <c r="U21" s="705"/>
      <c r="V21" s="704"/>
      <c r="W21" s="705"/>
      <c r="X21" s="1354"/>
      <c r="Y21" s="4143"/>
      <c r="Z21" s="1355"/>
      <c r="AA21" s="1352">
        <v>1</v>
      </c>
      <c r="AB21" s="1352">
        <v>1</v>
      </c>
      <c r="AC21" s="1352">
        <v>1</v>
      </c>
    </row>
    <row r="22" spans="1:29" ht="15">
      <c r="A22" s="358"/>
      <c r="B22" s="579" t="s">
        <v>1833</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4143"/>
      <c r="Q22" s="1351" t="str">
        <f>B22</f>
        <v>楼层</v>
      </c>
      <c r="R22" s="704" t="s">
        <v>14</v>
      </c>
      <c r="S22" s="705">
        <f>F22</f>
        <v>100</v>
      </c>
      <c r="T22" s="704" t="s">
        <v>14</v>
      </c>
      <c r="U22" s="705">
        <f>H22</f>
        <v>100</v>
      </c>
      <c r="V22" s="704" t="s">
        <v>14</v>
      </c>
      <c r="W22" s="705">
        <f>J22</f>
        <v>100</v>
      </c>
      <c r="X22" s="1354"/>
      <c r="Y22" s="4143"/>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4143"/>
      <c r="Q23" s="1351">
        <f>B23</f>
        <v>111</v>
      </c>
      <c r="R23" s="704" t="s">
        <v>14</v>
      </c>
      <c r="S23" s="705">
        <f>F23</f>
        <v>100</v>
      </c>
      <c r="T23" s="704" t="s">
        <v>14</v>
      </c>
      <c r="U23" s="705">
        <f>H23</f>
        <v>100</v>
      </c>
      <c r="V23" s="704" t="s">
        <v>14</v>
      </c>
      <c r="W23" s="705">
        <f>J23</f>
        <v>100</v>
      </c>
      <c r="X23" s="1354"/>
      <c r="Y23" s="4143"/>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4143"/>
      <c r="Q24" s="1351">
        <f t="shared" ref="Q24:Q36" si="11">B24</f>
        <v>111</v>
      </c>
      <c r="R24" s="704" t="s">
        <v>14</v>
      </c>
      <c r="S24" s="705">
        <f>F24</f>
        <v>100</v>
      </c>
      <c r="T24" s="704" t="s">
        <v>14</v>
      </c>
      <c r="U24" s="705">
        <f>H24</f>
        <v>100</v>
      </c>
      <c r="V24" s="704" t="s">
        <v>14</v>
      </c>
      <c r="W24" s="705">
        <f>J24</f>
        <v>100</v>
      </c>
      <c r="X24" s="1354"/>
      <c r="Y24" s="4143"/>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4143"/>
      <c r="Q25" s="1342">
        <f t="shared" si="11"/>
        <v>111</v>
      </c>
      <c r="R25" s="700" t="s">
        <v>14</v>
      </c>
      <c r="S25" s="701">
        <f>F25</f>
        <v>100</v>
      </c>
      <c r="T25" s="700" t="s">
        <v>14</v>
      </c>
      <c r="U25" s="701">
        <f>H25</f>
        <v>100</v>
      </c>
      <c r="V25" s="700" t="s">
        <v>14</v>
      </c>
      <c r="W25" s="701">
        <f>J25</f>
        <v>100</v>
      </c>
      <c r="X25" s="702"/>
      <c r="Y25" s="4143"/>
      <c r="Z25" s="52">
        <f>Q25</f>
        <v>111</v>
      </c>
      <c r="AA25" s="1352">
        <f>D25/F25</f>
        <v>1</v>
      </c>
      <c r="AB25" s="1352">
        <f>D25/H25</f>
        <v>1</v>
      </c>
      <c r="AC25" s="1352">
        <f>D25/J25</f>
        <v>1</v>
      </c>
    </row>
    <row r="26" spans="1:29" ht="28.5">
      <c r="A26" s="600" t="s">
        <v>1692</v>
      </c>
      <c r="B26" s="62" t="s">
        <v>1834</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4168" t="s">
        <v>1694</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4147" t="s">
        <v>1694</v>
      </c>
      <c r="Z26" s="1355" t="str">
        <f t="shared" ref="Z26:Z36" si="15">Q26</f>
        <v>配套类型</v>
      </c>
      <c r="AA26" s="1352" t="e">
        <f t="shared" si="3"/>
        <v>#DIV/0!</v>
      </c>
      <c r="AB26" s="1352" t="e">
        <f t="shared" si="4"/>
        <v>#DIV/0!</v>
      </c>
      <c r="AC26" s="1352" t="e">
        <f t="shared" si="5"/>
        <v>#DIV/0!</v>
      </c>
    </row>
    <row r="27" spans="1:29" s="422" customFormat="1" ht="15">
      <c r="A27" s="601"/>
      <c r="B27" s="602" t="s">
        <v>1835</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4147"/>
      <c r="Q27" s="706" t="str">
        <f t="shared" si="11"/>
        <v>项目停车位配比</v>
      </c>
      <c r="R27" s="707" t="s">
        <v>14</v>
      </c>
      <c r="S27" s="708">
        <f t="shared" si="12"/>
        <v>100</v>
      </c>
      <c r="T27" s="707" t="s">
        <v>14</v>
      </c>
      <c r="U27" s="708">
        <f t="shared" si="13"/>
        <v>100</v>
      </c>
      <c r="V27" s="707" t="s">
        <v>14</v>
      </c>
      <c r="W27" s="708">
        <f t="shared" si="14"/>
        <v>100</v>
      </c>
      <c r="X27" s="709"/>
      <c r="Y27" s="4147"/>
      <c r="Z27" s="710" t="str">
        <f t="shared" si="15"/>
        <v>项目停车位配比</v>
      </c>
      <c r="AA27" s="1352">
        <f t="shared" si="3"/>
        <v>1</v>
      </c>
      <c r="AB27" s="1352">
        <f t="shared" si="4"/>
        <v>1</v>
      </c>
      <c r="AC27" s="1352">
        <f t="shared" si="5"/>
        <v>1</v>
      </c>
    </row>
    <row r="28" spans="1:29" ht="15">
      <c r="A28" s="604"/>
      <c r="B28" s="602" t="s">
        <v>1836</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4147"/>
      <c r="Q28" s="1351" t="str">
        <f t="shared" si="11"/>
        <v>公共部分装修</v>
      </c>
      <c r="R28" s="704" t="s">
        <v>14</v>
      </c>
      <c r="S28" s="705">
        <f t="shared" si="12"/>
        <v>100</v>
      </c>
      <c r="T28" s="704" t="s">
        <v>14</v>
      </c>
      <c r="U28" s="705">
        <f t="shared" si="13"/>
        <v>100</v>
      </c>
      <c r="V28" s="704" t="s">
        <v>14</v>
      </c>
      <c r="W28" s="705">
        <f t="shared" si="14"/>
        <v>100</v>
      </c>
      <c r="X28" s="1354"/>
      <c r="Y28" s="4147"/>
      <c r="Z28" s="1355" t="str">
        <f t="shared" si="15"/>
        <v>公共部分装修</v>
      </c>
      <c r="AA28" s="1352">
        <f t="shared" si="3"/>
        <v>1</v>
      </c>
      <c r="AB28" s="1352">
        <f t="shared" si="4"/>
        <v>1</v>
      </c>
      <c r="AC28" s="1352">
        <f t="shared" si="5"/>
        <v>1</v>
      </c>
    </row>
    <row r="29" spans="1:29" ht="15">
      <c r="A29" s="604"/>
      <c r="B29" s="602" t="s">
        <v>1837</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4147"/>
      <c r="Q29" s="1351" t="str">
        <f t="shared" si="11"/>
        <v>成新率</v>
      </c>
      <c r="R29" s="704" t="s">
        <v>14</v>
      </c>
      <c r="S29" s="705" t="e">
        <f t="shared" si="12"/>
        <v>#N/A</v>
      </c>
      <c r="T29" s="704" t="s">
        <v>14</v>
      </c>
      <c r="U29" s="705" t="e">
        <f t="shared" si="13"/>
        <v>#N/A</v>
      </c>
      <c r="V29" s="704" t="s">
        <v>14</v>
      </c>
      <c r="W29" s="705" t="e">
        <f t="shared" si="14"/>
        <v>#N/A</v>
      </c>
      <c r="X29" s="1354"/>
      <c r="Y29" s="4147"/>
      <c r="Z29" s="1355" t="str">
        <f t="shared" si="15"/>
        <v>成新率</v>
      </c>
      <c r="AA29" s="1352" t="e">
        <f t="shared" si="3"/>
        <v>#N/A</v>
      </c>
      <c r="AB29" s="1352" t="e">
        <f t="shared" si="4"/>
        <v>#N/A</v>
      </c>
      <c r="AC29" s="1352" t="e">
        <f t="shared" si="5"/>
        <v>#N/A</v>
      </c>
    </row>
    <row r="30" spans="1:29" ht="15">
      <c r="A30" s="604"/>
      <c r="B30" s="602" t="s">
        <v>1838</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4147"/>
      <c r="Q30" s="1351" t="str">
        <f t="shared" si="11"/>
        <v>物业等级</v>
      </c>
      <c r="R30" s="704" t="s">
        <v>14</v>
      </c>
      <c r="S30" s="705">
        <f t="shared" si="12"/>
        <v>100</v>
      </c>
      <c r="T30" s="704" t="s">
        <v>14</v>
      </c>
      <c r="U30" s="705">
        <f t="shared" si="13"/>
        <v>100</v>
      </c>
      <c r="V30" s="704" t="s">
        <v>14</v>
      </c>
      <c r="W30" s="705">
        <f t="shared" si="14"/>
        <v>100</v>
      </c>
      <c r="X30" s="1354"/>
      <c r="Y30" s="4147"/>
      <c r="Z30" s="1355" t="str">
        <f t="shared" si="15"/>
        <v>物业等级</v>
      </c>
      <c r="AA30" s="1352">
        <f t="shared" si="3"/>
        <v>1</v>
      </c>
      <c r="AB30" s="1352">
        <f t="shared" si="4"/>
        <v>1</v>
      </c>
      <c r="AC30" s="1352">
        <f t="shared" si="5"/>
        <v>1</v>
      </c>
    </row>
    <row r="31" spans="1:29" s="108" customFormat="1" ht="15">
      <c r="A31" s="606"/>
      <c r="B31" s="602" t="s">
        <v>1839</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4147"/>
      <c r="Q31" s="1342" t="str">
        <f t="shared" si="11"/>
        <v>停车位面积</v>
      </c>
      <c r="R31" s="700" t="s">
        <v>14</v>
      </c>
      <c r="S31" s="701" t="e">
        <f t="shared" si="12"/>
        <v>#N/A</v>
      </c>
      <c r="T31" s="700" t="s">
        <v>14</v>
      </c>
      <c r="U31" s="701" t="e">
        <f t="shared" si="13"/>
        <v>#N/A</v>
      </c>
      <c r="V31" s="700" t="s">
        <v>14</v>
      </c>
      <c r="W31" s="701" t="e">
        <f t="shared" si="14"/>
        <v>#N/A</v>
      </c>
      <c r="X31" s="702"/>
      <c r="Y31" s="4147"/>
      <c r="Z31" s="52" t="str">
        <f t="shared" si="15"/>
        <v>停车位面积</v>
      </c>
      <c r="AA31" s="703" t="e">
        <f t="shared" si="3"/>
        <v>#N/A</v>
      </c>
      <c r="AB31" s="703" t="e">
        <f t="shared" si="4"/>
        <v>#N/A</v>
      </c>
      <c r="AC31" s="703" t="e">
        <f t="shared" si="5"/>
        <v>#N/A</v>
      </c>
    </row>
    <row r="32" spans="1:29" ht="15">
      <c r="A32" s="604"/>
      <c r="B32" s="602" t="s">
        <v>1840</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4147" t="s">
        <v>1694</v>
      </c>
      <c r="Q32" s="1351" t="str">
        <f t="shared" si="11"/>
        <v>车位类型</v>
      </c>
      <c r="R32" s="704" t="s">
        <v>14</v>
      </c>
      <c r="S32" s="705">
        <f t="shared" si="12"/>
        <v>100</v>
      </c>
      <c r="T32" s="704" t="s">
        <v>14</v>
      </c>
      <c r="U32" s="705">
        <f t="shared" si="13"/>
        <v>100</v>
      </c>
      <c r="V32" s="704" t="s">
        <v>14</v>
      </c>
      <c r="W32" s="705">
        <f t="shared" si="14"/>
        <v>100</v>
      </c>
      <c r="X32" s="1354"/>
      <c r="Y32" s="4147" t="s">
        <v>1694</v>
      </c>
      <c r="Z32" s="1355" t="str">
        <f t="shared" si="15"/>
        <v>车位类型</v>
      </c>
      <c r="AA32" s="1352">
        <f t="shared" si="3"/>
        <v>1</v>
      </c>
      <c r="AB32" s="1352">
        <f t="shared" si="4"/>
        <v>1</v>
      </c>
      <c r="AC32" s="1352">
        <f t="shared" si="5"/>
        <v>1</v>
      </c>
    </row>
    <row r="33" spans="1:29" ht="15">
      <c r="A33" s="604"/>
      <c r="B33" s="602" t="s">
        <v>1841</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4147"/>
      <c r="Q33" s="1351" t="str">
        <f t="shared" si="11"/>
        <v>是否直接入户</v>
      </c>
      <c r="R33" s="704" t="s">
        <v>14</v>
      </c>
      <c r="S33" s="705">
        <f t="shared" si="12"/>
        <v>100</v>
      </c>
      <c r="T33" s="704" t="s">
        <v>14</v>
      </c>
      <c r="U33" s="705">
        <f t="shared" si="13"/>
        <v>100</v>
      </c>
      <c r="V33" s="704" t="s">
        <v>14</v>
      </c>
      <c r="W33" s="705">
        <f t="shared" si="14"/>
        <v>100</v>
      </c>
      <c r="X33" s="1354"/>
      <c r="Y33" s="4147"/>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4147"/>
      <c r="Q34" s="1351">
        <f t="shared" si="11"/>
        <v>111</v>
      </c>
      <c r="R34" s="704" t="s">
        <v>14</v>
      </c>
      <c r="S34" s="705">
        <f t="shared" si="12"/>
        <v>100</v>
      </c>
      <c r="T34" s="704" t="s">
        <v>14</v>
      </c>
      <c r="U34" s="705">
        <f t="shared" si="13"/>
        <v>100</v>
      </c>
      <c r="V34" s="704" t="s">
        <v>14</v>
      </c>
      <c r="W34" s="705">
        <f t="shared" si="14"/>
        <v>100</v>
      </c>
      <c r="X34" s="1354"/>
      <c r="Y34" s="4147"/>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4147"/>
      <c r="Q35" s="706">
        <f t="shared" si="11"/>
        <v>111</v>
      </c>
      <c r="R35" s="707" t="s">
        <v>14</v>
      </c>
      <c r="S35" s="708">
        <f t="shared" si="12"/>
        <v>100</v>
      </c>
      <c r="T35" s="707" t="s">
        <v>14</v>
      </c>
      <c r="U35" s="708">
        <f t="shared" si="13"/>
        <v>100</v>
      </c>
      <c r="V35" s="707" t="s">
        <v>14</v>
      </c>
      <c r="W35" s="708">
        <f t="shared" si="14"/>
        <v>100</v>
      </c>
      <c r="X35" s="709"/>
      <c r="Y35" s="4147"/>
      <c r="Z35" s="710">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4147"/>
      <c r="Q36" s="1351">
        <f t="shared" si="11"/>
        <v>111</v>
      </c>
      <c r="R36" s="704" t="s">
        <v>14</v>
      </c>
      <c r="S36" s="705">
        <f t="shared" si="12"/>
        <v>100</v>
      </c>
      <c r="T36" s="704" t="s">
        <v>14</v>
      </c>
      <c r="U36" s="705">
        <f t="shared" si="13"/>
        <v>100</v>
      </c>
      <c r="V36" s="704" t="s">
        <v>14</v>
      </c>
      <c r="W36" s="705">
        <f t="shared" si="14"/>
        <v>100</v>
      </c>
      <c r="X36" s="1354"/>
      <c r="Y36" s="4147"/>
      <c r="Z36" s="1355">
        <f t="shared" si="15"/>
        <v>111</v>
      </c>
      <c r="AA36" s="1352">
        <f t="shared" si="3"/>
        <v>1</v>
      </c>
      <c r="AB36" s="1352">
        <f t="shared" si="4"/>
        <v>1</v>
      </c>
      <c r="AC36" s="1352">
        <f t="shared" si="5"/>
        <v>1</v>
      </c>
    </row>
    <row r="37" spans="1:29" ht="15">
      <c r="A37" s="430" t="s">
        <v>1842</v>
      </c>
      <c r="B37" s="1972" t="s">
        <v>3353</v>
      </c>
      <c r="C37" s="1153" t="s">
        <v>0</v>
      </c>
      <c r="D37" s="1154"/>
      <c r="E37" s="1155"/>
      <c r="F37" s="1156"/>
      <c r="G37" s="1157"/>
      <c r="H37" s="1158"/>
      <c r="I37" s="1155"/>
      <c r="J37" s="1158"/>
      <c r="K37" s="568"/>
      <c r="L37" s="2722"/>
      <c r="M37" s="2723"/>
      <c r="N37" s="2714"/>
      <c r="O37" s="2723"/>
      <c r="P37" s="4140" t="str">
        <f>A37</f>
        <v>成交单价</v>
      </c>
      <c r="Q37" s="4140"/>
      <c r="R37" s="4141">
        <f>E37</f>
        <v>0</v>
      </c>
      <c r="S37" s="4141"/>
      <c r="T37" s="4141">
        <f>G37</f>
        <v>0</v>
      </c>
      <c r="U37" s="4141"/>
      <c r="V37" s="4141">
        <f>I37</f>
        <v>0</v>
      </c>
      <c r="W37" s="4141"/>
      <c r="X37" s="689"/>
      <c r="Y37" s="711"/>
      <c r="Z37" s="689"/>
      <c r="AA37" s="689"/>
      <c r="AB37" s="689"/>
      <c r="AC37" s="689"/>
    </row>
    <row r="38" spans="1:29" ht="15.75" thickBot="1">
      <c r="A38" s="437" t="s">
        <v>1843</v>
      </c>
      <c r="B38" s="438" t="str">
        <f>B37</f>
        <v>元/平方米</v>
      </c>
      <c r="C38" s="1159" t="e">
        <f>R39</f>
        <v>#DIV/0!</v>
      </c>
      <c r="D38" s="2316" t="s">
        <v>2135</v>
      </c>
      <c r="E38" s="1160" t="e">
        <f>R38</f>
        <v>#DIV/0!</v>
      </c>
      <c r="F38" s="2317"/>
      <c r="G38" s="1159" t="e">
        <f>T38</f>
        <v>#DIV/0!</v>
      </c>
      <c r="H38" s="2317"/>
      <c r="I38" s="1160" t="e">
        <f>V38</f>
        <v>#DIV/0!</v>
      </c>
      <c r="J38" s="2317"/>
      <c r="K38" s="2319">
        <f>F38+H38+J38</f>
        <v>0</v>
      </c>
      <c r="L38" s="2722"/>
      <c r="M38" s="2723"/>
      <c r="N38" s="2723"/>
      <c r="O38" s="2723"/>
      <c r="P38" s="4140" t="str">
        <f>A38</f>
        <v>比较价值（元/平方米）</v>
      </c>
      <c r="Q38" s="4140"/>
      <c r="R38" s="4141" t="e">
        <f>IF(F1="售价",ROUND(PRODUCT(R37,AA7:AA36),0),ROUND(PRODUCT(R37,AA7:AA36),1))</f>
        <v>#DIV/0!</v>
      </c>
      <c r="S38" s="4141"/>
      <c r="T38" s="4141" t="e">
        <f>IF(F1="售价",ROUND(PRODUCT(T37,AB7:AB36),0),ROUND(PRODUCT(T37,AB7:AB36),1))</f>
        <v>#DIV/0!</v>
      </c>
      <c r="U38" s="4141"/>
      <c r="V38" s="4141" t="e">
        <f>IF(F1="售价",ROUND(PRODUCT(V37,AC7:AC36),0),ROUND(PRODUCT(V37,AC7:AC36),1))</f>
        <v>#DIV/0!</v>
      </c>
      <c r="W38" s="4141"/>
      <c r="X38" s="689"/>
      <c r="Y38" s="689"/>
      <c r="Z38" s="689"/>
      <c r="AA38" s="689"/>
      <c r="AB38" s="689"/>
      <c r="AC38" s="689"/>
    </row>
    <row r="39" spans="1:29" ht="15.75" thickBot="1">
      <c r="A39" s="441" t="s">
        <v>1844</v>
      </c>
      <c r="B39" s="442"/>
      <c r="C39" s="1162" t="e">
        <f>R39</f>
        <v>#DIV/0!</v>
      </c>
      <c r="D39" s="1162"/>
      <c r="E39" s="1162"/>
      <c r="F39" s="1162"/>
      <c r="G39" s="1162"/>
      <c r="H39" s="1162"/>
      <c r="I39" s="1162"/>
      <c r="J39" s="1162"/>
      <c r="K39" s="569"/>
      <c r="L39" s="2722"/>
      <c r="M39" s="2723"/>
      <c r="N39" s="2723"/>
      <c r="O39" s="2723"/>
      <c r="P39" s="4137" t="str">
        <f>A39</f>
        <v>估价对象XX用房的比较价值（楼面单价，元/平方米）</v>
      </c>
      <c r="Q39" s="4138"/>
      <c r="R39" s="4194" t="e">
        <f>IF(F1="售价",ROUND(IF(D38="简单平均",AVERAGE(R38:W38),R38*F38+T38*H38+V38*J38),0),ROUND(IF(D38="简单平均",AVERAGE(R38:V38),R38*F38+T38*H38+V38*J38),1))</f>
        <v>#DIV/0!</v>
      </c>
      <c r="S39" s="4194"/>
      <c r="T39" s="4194"/>
      <c r="U39" s="4194"/>
      <c r="V39" s="4194"/>
      <c r="W39" s="4194"/>
      <c r="X39" s="689"/>
      <c r="Y39" s="689"/>
      <c r="Z39" s="689"/>
      <c r="AA39" s="689"/>
      <c r="AB39" s="689"/>
      <c r="AC39" s="689"/>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1845</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1846</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1847</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5" t="s">
        <v>1848</v>
      </c>
      <c r="B47" s="926"/>
      <c r="C47" s="939"/>
      <c r="D47" s="939"/>
      <c r="E47" s="939"/>
      <c r="F47" s="1166"/>
      <c r="G47" s="1166"/>
      <c r="H47" s="939"/>
      <c r="I47" s="939"/>
      <c r="J47" s="939"/>
      <c r="K47" s="940"/>
      <c r="L47" s="941"/>
      <c r="M47" s="939"/>
      <c r="N47" s="2767"/>
      <c r="O47" s="2767"/>
      <c r="P47" s="2756"/>
      <c r="Q47" s="2737"/>
      <c r="R47" s="2723"/>
      <c r="S47" s="2723"/>
      <c r="T47" s="2723"/>
      <c r="U47" s="2723"/>
      <c r="V47" s="2723"/>
      <c r="W47" s="2723"/>
      <c r="X47" s="2723"/>
      <c r="Y47" s="2723"/>
      <c r="Z47" s="2723"/>
      <c r="AA47" s="2723"/>
      <c r="AB47" s="2723"/>
      <c r="AC47" s="2723"/>
    </row>
    <row r="48" spans="1:29" s="457" customFormat="1" ht="15">
      <c r="A48" s="454" t="s">
        <v>1849</v>
      </c>
      <c r="B48" s="455"/>
      <c r="C48" s="1183" t="str">
        <f>YEAR(C7)&amp;"-"&amp;MONTH(C7)</f>
        <v>2024-10</v>
      </c>
      <c r="D48" s="1184">
        <f>EDATE(C48,-1)</f>
        <v>45536</v>
      </c>
      <c r="E48" s="1184">
        <f t="shared" ref="E48:O48" si="16">EDATE(D48,-1)</f>
        <v>45505</v>
      </c>
      <c r="F48" s="1184">
        <f t="shared" si="16"/>
        <v>45474</v>
      </c>
      <c r="G48" s="1184">
        <f t="shared" si="16"/>
        <v>45444</v>
      </c>
      <c r="H48" s="1184">
        <f t="shared" si="16"/>
        <v>45413</v>
      </c>
      <c r="I48" s="1184">
        <f t="shared" si="16"/>
        <v>45383</v>
      </c>
      <c r="J48" s="1184">
        <f t="shared" si="16"/>
        <v>45352</v>
      </c>
      <c r="K48" s="1184">
        <f t="shared" si="16"/>
        <v>45323</v>
      </c>
      <c r="L48" s="1184">
        <f t="shared" si="16"/>
        <v>45292</v>
      </c>
      <c r="M48" s="1184">
        <f t="shared" si="16"/>
        <v>45261</v>
      </c>
      <c r="N48" s="1184">
        <f t="shared" si="16"/>
        <v>45231</v>
      </c>
      <c r="O48" s="1184">
        <f t="shared" si="16"/>
        <v>45200</v>
      </c>
      <c r="P48" s="2757"/>
      <c r="Q48" s="2739"/>
      <c r="R48" s="2739"/>
      <c r="S48" s="2739"/>
      <c r="T48" s="2739"/>
      <c r="U48" s="2739"/>
      <c r="V48" s="2739"/>
      <c r="W48" s="2739"/>
      <c r="X48" s="2739"/>
      <c r="Y48" s="2739"/>
      <c r="Z48" s="2739"/>
      <c r="AA48" s="2739"/>
      <c r="AB48" s="2739"/>
      <c r="AC48" s="2739"/>
    </row>
    <row r="49" spans="1:29" s="108" customFormat="1" ht="15">
      <c r="A49" s="458"/>
      <c r="B49" s="459"/>
      <c r="C49" s="1176">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1714</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1679</v>
      </c>
      <c r="B51" s="459"/>
      <c r="C51" s="471" t="s">
        <v>1774</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1717</v>
      </c>
      <c r="B53" s="477" t="s">
        <v>1683</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1686</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1688</v>
      </c>
      <c r="B63" s="477" t="s">
        <v>1724</v>
      </c>
      <c r="C63" s="522" t="s">
        <v>1719</v>
      </c>
      <c r="D63" s="522" t="s">
        <v>1720</v>
      </c>
      <c r="E63" s="522" t="s">
        <v>1721</v>
      </c>
      <c r="F63" s="522" t="s">
        <v>1722</v>
      </c>
      <c r="G63" s="522" t="s">
        <v>1723</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1725</v>
      </c>
      <c r="C65" s="527" t="s">
        <v>1719</v>
      </c>
      <c r="D65" s="527" t="s">
        <v>1720</v>
      </c>
      <c r="E65" s="527" t="s">
        <v>1721</v>
      </c>
      <c r="F65" s="527" t="s">
        <v>1722</v>
      </c>
      <c r="G65" s="527" t="s">
        <v>1723</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1811</v>
      </c>
      <c r="C67" s="608" t="s">
        <v>1797</v>
      </c>
      <c r="D67" s="608" t="s">
        <v>1798</v>
      </c>
      <c r="E67" s="608" t="s">
        <v>1799</v>
      </c>
      <c r="F67" s="608" t="s">
        <v>1800</v>
      </c>
      <c r="G67" s="608" t="s">
        <v>1801</v>
      </c>
      <c r="H67" s="488"/>
      <c r="I67" s="488"/>
      <c r="J67" s="488"/>
      <c r="K67" s="488"/>
      <c r="L67" s="488"/>
      <c r="M67" s="1128"/>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1731</v>
      </c>
      <c r="C69" s="527" t="s">
        <v>1719</v>
      </c>
      <c r="D69" s="527" t="s">
        <v>1720</v>
      </c>
      <c r="E69" s="527" t="s">
        <v>1721</v>
      </c>
      <c r="F69" s="527" t="s">
        <v>1722</v>
      </c>
      <c r="G69" s="527" t="s">
        <v>1723</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1850</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1692</v>
      </c>
      <c r="B79" s="477" t="s">
        <v>1851</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1852</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1738</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1853</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1854</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1855</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1856</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1857</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1" priority="18" stopIfTrue="1" operator="containsText" text="超过">
      <formula>NOT(ISERROR(SEARCH("超过",F42)))</formula>
    </cfRule>
  </conditionalFormatting>
  <conditionalFormatting sqref="J44">
    <cfRule type="containsText" dxfId="70" priority="17" stopIfTrue="1" operator="containsText" text="超过">
      <formula>NOT(ISERROR(SEARCH("超过",J44)))</formula>
    </cfRule>
  </conditionalFormatting>
  <conditionalFormatting sqref="H44">
    <cfRule type="containsText" dxfId="69" priority="16" stopIfTrue="1" operator="containsText" text="超过">
      <formula>NOT(ISERROR(SEARCH("超过",H44)))</formula>
    </cfRule>
  </conditionalFormatting>
  <conditionalFormatting sqref="F44">
    <cfRule type="containsText" dxfId="68" priority="15" stopIfTrue="1" operator="containsText" text="超过">
      <formula>NOT(ISERROR(SEARCH("超过",F44)))</formula>
    </cfRule>
  </conditionalFormatting>
  <conditionalFormatting sqref="F43 H43 J43">
    <cfRule type="containsText" dxfId="67" priority="14" stopIfTrue="1" operator="containsText" text="超过">
      <formula>NOT(ISERROR(SEARCH("超过",F43)))</formula>
    </cfRule>
  </conditionalFormatting>
  <conditionalFormatting sqref="E42">
    <cfRule type="expression" dxfId="66" priority="13" stopIfTrue="1">
      <formula>$F$42="超过30%"</formula>
    </cfRule>
  </conditionalFormatting>
  <conditionalFormatting sqref="G44">
    <cfRule type="expression" dxfId="65" priority="12" stopIfTrue="1">
      <formula>$H$54+$H$44="超过30%"</formula>
    </cfRule>
  </conditionalFormatting>
  <conditionalFormatting sqref="E43">
    <cfRule type="expression" dxfId="64" priority="11" stopIfTrue="1">
      <formula>$F$43="超过20%"</formula>
    </cfRule>
  </conditionalFormatting>
  <conditionalFormatting sqref="E44">
    <cfRule type="expression" dxfId="63" priority="10" stopIfTrue="1">
      <formula>$F$44="超过30%"</formula>
    </cfRule>
  </conditionalFormatting>
  <conditionalFormatting sqref="G42">
    <cfRule type="expression" dxfId="62" priority="9" stopIfTrue="1">
      <formula>$H$52+$H$42="超过30%"</formula>
    </cfRule>
  </conditionalFormatting>
  <conditionalFormatting sqref="G43">
    <cfRule type="expression" dxfId="61" priority="8" stopIfTrue="1">
      <formula>$H$43="超过20%"</formula>
    </cfRule>
  </conditionalFormatting>
  <conditionalFormatting sqref="I42">
    <cfRule type="expression" dxfId="60" priority="7" stopIfTrue="1">
      <formula>$J$52+$J$42="超过30%"</formula>
    </cfRule>
  </conditionalFormatting>
  <conditionalFormatting sqref="I43">
    <cfRule type="expression" dxfId="59" priority="6" stopIfTrue="1">
      <formula>$J$53+$J$43="超过20%"</formula>
    </cfRule>
  </conditionalFormatting>
  <conditionalFormatting sqref="I44">
    <cfRule type="expression" dxfId="58" priority="5" stopIfTrue="1">
      <formula>$J$44="超过30%"</formula>
    </cfRule>
  </conditionalFormatting>
  <conditionalFormatting sqref="F38">
    <cfRule type="expression" dxfId="57" priority="4">
      <formula>$D$38="简单平均"</formula>
    </cfRule>
  </conditionalFormatting>
  <conditionalFormatting sqref="H38">
    <cfRule type="expression" dxfId="56" priority="3">
      <formula>$D$38="简单平均"</formula>
    </cfRule>
  </conditionalFormatting>
  <conditionalFormatting sqref="J38">
    <cfRule type="expression" dxfId="55" priority="2">
      <formula>$D$38="简单平均"</formula>
    </cfRule>
  </conditionalFormatting>
  <conditionalFormatting sqref="F7:F36 H7:H36 J7:J36">
    <cfRule type="cellIs" dxfId="5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1829</v>
      </c>
      <c r="B1" s="1222" t="s">
        <v>3333</v>
      </c>
      <c r="C1" s="1223" t="s">
        <v>1660</v>
      </c>
      <c r="D1" s="1224"/>
      <c r="E1" s="3431"/>
      <c r="F1" s="1878"/>
      <c r="G1" s="1234" t="s">
        <v>1765</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1460</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1461</v>
      </c>
      <c r="F2" s="1882"/>
      <c r="G2" s="907"/>
      <c r="H2" s="907"/>
      <c r="I2" s="907"/>
      <c r="J2" s="907"/>
      <c r="K2" s="909"/>
      <c r="L2" s="2732"/>
      <c r="M2" s="2733"/>
      <c r="N2" s="2733"/>
      <c r="O2" s="2733"/>
      <c r="P2" s="698"/>
      <c r="Q2" s="698"/>
      <c r="R2" s="698"/>
      <c r="S2" s="698"/>
      <c r="T2" s="698"/>
      <c r="U2" s="698"/>
      <c r="V2" s="698"/>
      <c r="W2" s="698"/>
      <c r="X2" s="698"/>
      <c r="Y2" s="698"/>
      <c r="Z2" s="698"/>
      <c r="AA2" s="698"/>
      <c r="AB2" s="698"/>
      <c r="AC2" s="699"/>
    </row>
    <row r="3" spans="1:29" s="352" customFormat="1" ht="28.5" customHeight="1" thickBot="1">
      <c r="A3" s="203" t="s">
        <v>1462</v>
      </c>
      <c r="B3" s="558" t="e">
        <f>IF(C2="——",C37,ROUND(B2*10000/D3,0))</f>
        <v>#DIV/0!</v>
      </c>
      <c r="C3" s="354" t="s">
        <v>1766</v>
      </c>
      <c r="D3" s="353">
        <f>SUMIF('数据-汇总表'!$C19:$C33,D1,'数据-汇总表'!$E19:$E33)</f>
        <v>0</v>
      </c>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29" ht="15">
      <c r="A4" s="355" t="s">
        <v>1767</v>
      </c>
      <c r="B4" s="356"/>
      <c r="C4" s="4123" t="s">
        <v>1768</v>
      </c>
      <c r="D4" s="4124"/>
      <c r="E4" s="4125" t="s">
        <v>1769</v>
      </c>
      <c r="F4" s="4126"/>
      <c r="G4" s="4123" t="s">
        <v>1770</v>
      </c>
      <c r="H4" s="4124"/>
      <c r="I4" s="4123" t="s">
        <v>1771</v>
      </c>
      <c r="J4" s="4124"/>
      <c r="K4" s="559" t="s">
        <v>1772</v>
      </c>
      <c r="L4" s="2713"/>
      <c r="M4" s="2714"/>
      <c r="N4" s="2714"/>
      <c r="O4" s="2714"/>
      <c r="P4" s="4127" t="s">
        <v>1773</v>
      </c>
      <c r="Q4" s="4128"/>
      <c r="R4" s="4110" t="s">
        <v>1769</v>
      </c>
      <c r="S4" s="4111"/>
      <c r="T4" s="4110" t="s">
        <v>1770</v>
      </c>
      <c r="U4" s="4111"/>
      <c r="V4" s="4135" t="s">
        <v>1771</v>
      </c>
      <c r="W4" s="4135"/>
      <c r="X4" s="1354"/>
      <c r="Y4" s="4110" t="s">
        <v>1773</v>
      </c>
      <c r="Z4" s="4111"/>
      <c r="AA4" s="4105" t="s">
        <v>1769</v>
      </c>
      <c r="AB4" s="4106" t="s">
        <v>1770</v>
      </c>
      <c r="AC4" s="4105" t="s">
        <v>1771</v>
      </c>
    </row>
    <row r="5" spans="1:29" ht="15">
      <c r="A5" s="358"/>
      <c r="B5" s="359"/>
      <c r="C5" s="4116" t="s">
        <v>1671</v>
      </c>
      <c r="D5" s="4117"/>
      <c r="E5" s="4114" t="s">
        <v>1672</v>
      </c>
      <c r="F5" s="4115"/>
      <c r="G5" s="4116" t="s">
        <v>1673</v>
      </c>
      <c r="H5" s="4117"/>
      <c r="I5" s="4116" t="s">
        <v>1674</v>
      </c>
      <c r="J5" s="4117"/>
      <c r="K5" s="559"/>
      <c r="L5" s="2713"/>
      <c r="M5" s="2714"/>
      <c r="N5" s="2714"/>
      <c r="O5" s="2714"/>
      <c r="P5" s="4129"/>
      <c r="Q5" s="4130"/>
      <c r="R5" s="4112"/>
      <c r="S5" s="4113"/>
      <c r="T5" s="4112"/>
      <c r="U5" s="4113"/>
      <c r="V5" s="4135"/>
      <c r="W5" s="4135"/>
      <c r="X5" s="1354"/>
      <c r="Y5" s="4112"/>
      <c r="Z5" s="4113"/>
      <c r="AA5" s="4106"/>
      <c r="AB5" s="4106"/>
      <c r="AC5" s="4106"/>
    </row>
    <row r="6" spans="1:29" ht="15.75" thickBot="1">
      <c r="A6" s="360"/>
      <c r="B6" s="361"/>
      <c r="C6" s="4118" t="s">
        <v>1675</v>
      </c>
      <c r="D6" s="4119"/>
      <c r="E6" s="4120" t="s">
        <v>1675</v>
      </c>
      <c r="F6" s="4121"/>
      <c r="G6" s="4118" t="s">
        <v>1675</v>
      </c>
      <c r="H6" s="4119"/>
      <c r="I6" s="4118" t="s">
        <v>1675</v>
      </c>
      <c r="J6" s="4119"/>
      <c r="K6" s="559" t="s">
        <v>1676</v>
      </c>
      <c r="L6" s="2713"/>
      <c r="M6" s="2714"/>
      <c r="N6" s="2714"/>
      <c r="O6" s="2714"/>
      <c r="P6" s="4131"/>
      <c r="Q6" s="4132"/>
      <c r="R6" s="4112"/>
      <c r="S6" s="4113"/>
      <c r="T6" s="4133"/>
      <c r="U6" s="4134"/>
      <c r="V6" s="4135"/>
      <c r="W6" s="4135"/>
      <c r="X6" s="1354"/>
      <c r="Y6" s="4133"/>
      <c r="Z6" s="4134"/>
      <c r="AA6" s="4107"/>
      <c r="AB6" s="4107"/>
      <c r="AC6" s="4107"/>
    </row>
    <row r="7" spans="1:29" s="108" customFormat="1" ht="15.75" thickBot="1">
      <c r="A7" s="362" t="s">
        <v>1677</v>
      </c>
      <c r="B7" s="363"/>
      <c r="C7" s="364">
        <f>'数据-取费表'!B2</f>
        <v>45575</v>
      </c>
      <c r="D7" s="365">
        <v>100</v>
      </c>
      <c r="E7" s="366"/>
      <c r="F7" s="367">
        <f>SUMIF(46:46,YEAR(E7)&amp;"-"&amp;MONTH(E7),47:47)</f>
        <v>0</v>
      </c>
      <c r="G7" s="1973"/>
      <c r="H7" s="365">
        <f>SUMIF(46:46,YEAR(G7)&amp;"-"&amp;MONTH(G7),47:47)</f>
        <v>0</v>
      </c>
      <c r="I7" s="366"/>
      <c r="J7" s="365">
        <f>SUMIF(46:46,YEAR(I7)&amp;"-"&amp;MONTH(I7),47:47)</f>
        <v>0</v>
      </c>
      <c r="K7" s="560"/>
      <c r="L7" s="2715"/>
      <c r="M7" s="2716"/>
      <c r="N7" s="2716"/>
      <c r="O7" s="2716"/>
      <c r="P7" s="4108" t="s">
        <v>1678</v>
      </c>
      <c r="Q7" s="4136"/>
      <c r="R7" s="700" t="s">
        <v>14</v>
      </c>
      <c r="S7" s="701">
        <f t="shared" ref="S7:S14" si="0">F7</f>
        <v>0</v>
      </c>
      <c r="T7" s="700" t="s">
        <v>14</v>
      </c>
      <c r="U7" s="701">
        <f t="shared" ref="U7:U14" si="1">H7</f>
        <v>0</v>
      </c>
      <c r="V7" s="700" t="s">
        <v>14</v>
      </c>
      <c r="W7" s="701">
        <f t="shared" ref="W7:W14" si="2">J7</f>
        <v>0</v>
      </c>
      <c r="X7" s="702"/>
      <c r="Y7" s="4108" t="s">
        <v>1678</v>
      </c>
      <c r="Z7" s="4109"/>
      <c r="AA7" s="703" t="e">
        <f>D7/F7</f>
        <v>#DIV/0!</v>
      </c>
      <c r="AB7" s="703" t="e">
        <f>D7/H7</f>
        <v>#DIV/0!</v>
      </c>
      <c r="AC7" s="703" t="e">
        <f>D7/J7</f>
        <v>#DIV/0!</v>
      </c>
    </row>
    <row r="8" spans="1:29" s="108" customFormat="1" ht="15.75" thickBot="1">
      <c r="A8" s="362" t="s">
        <v>1679</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4108" t="s">
        <v>1681</v>
      </c>
      <c r="Q8" s="4109"/>
      <c r="R8" s="700" t="s">
        <v>14</v>
      </c>
      <c r="S8" s="701">
        <f t="shared" si="0"/>
        <v>100</v>
      </c>
      <c r="T8" s="700" t="s">
        <v>14</v>
      </c>
      <c r="U8" s="701">
        <f t="shared" si="1"/>
        <v>100</v>
      </c>
      <c r="V8" s="700" t="s">
        <v>14</v>
      </c>
      <c r="W8" s="701">
        <f t="shared" si="2"/>
        <v>100</v>
      </c>
      <c r="X8" s="702"/>
      <c r="Y8" s="4108" t="s">
        <v>1681</v>
      </c>
      <c r="Z8" s="4109"/>
      <c r="AA8" s="703">
        <f t="shared" ref="AA8:AA34" si="3">D8/F8</f>
        <v>1</v>
      </c>
      <c r="AB8" s="703">
        <f t="shared" ref="AB8:AB34" si="4">D8/H8</f>
        <v>1</v>
      </c>
      <c r="AC8" s="703">
        <f t="shared" ref="AC8:AC34" si="5">D8/J8</f>
        <v>1</v>
      </c>
    </row>
    <row r="9" spans="1:29" s="108" customFormat="1">
      <c r="A9" s="369" t="s">
        <v>1682</v>
      </c>
      <c r="B9" s="63" t="s">
        <v>1683</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4140" t="s">
        <v>1684</v>
      </c>
      <c r="Q9" s="1342" t="str">
        <f t="shared" ref="Q9:Q14" si="6">B9</f>
        <v>用途</v>
      </c>
      <c r="R9" s="700" t="s">
        <v>14</v>
      </c>
      <c r="S9" s="701">
        <f t="shared" si="0"/>
        <v>100</v>
      </c>
      <c r="T9" s="700" t="s">
        <v>14</v>
      </c>
      <c r="U9" s="701">
        <f t="shared" si="1"/>
        <v>100</v>
      </c>
      <c r="V9" s="700" t="s">
        <v>14</v>
      </c>
      <c r="W9" s="701">
        <f t="shared" si="2"/>
        <v>100</v>
      </c>
      <c r="X9" s="702"/>
      <c r="Y9" s="4052" t="s">
        <v>1685</v>
      </c>
      <c r="Z9" s="52" t="str">
        <f t="shared" ref="Z9:Z14" si="7">Q9</f>
        <v>用途</v>
      </c>
      <c r="AA9" s="703">
        <f t="shared" si="3"/>
        <v>1</v>
      </c>
      <c r="AB9" s="703">
        <f t="shared" si="4"/>
        <v>1</v>
      </c>
      <c r="AC9" s="703">
        <f t="shared" si="5"/>
        <v>1</v>
      </c>
    </row>
    <row r="10" spans="1:29" s="378" customFormat="1" ht="27">
      <c r="A10" s="374"/>
      <c r="B10" s="375" t="s">
        <v>1686</v>
      </c>
      <c r="C10" s="3432"/>
      <c r="D10" s="127">
        <v>100</v>
      </c>
      <c r="E10" s="3432"/>
      <c r="F10" s="376">
        <f>SUMIF(53:53,E10,54:54)-SUMIF(53:53,C10,54:54)+100</f>
        <v>100</v>
      </c>
      <c r="G10" s="3432"/>
      <c r="H10" s="127">
        <f>SUMIF(53:53,G10,54:54)-SUMIF(53:53,C10,54:54)+100</f>
        <v>100</v>
      </c>
      <c r="I10" s="3432"/>
      <c r="J10" s="127">
        <f>SUMIF(53:53,I10,54:54)-SUMIF(53:53,C10,54:54)+100</f>
        <v>100</v>
      </c>
      <c r="K10" s="560"/>
      <c r="L10" s="2717"/>
      <c r="M10" s="2718"/>
      <c r="N10" s="2718"/>
      <c r="O10" s="2771"/>
      <c r="P10" s="4140"/>
      <c r="Q10" s="1342" t="str">
        <f t="shared" si="6"/>
        <v>土地使用年限（年）</v>
      </c>
      <c r="R10" s="700" t="s">
        <v>14</v>
      </c>
      <c r="S10" s="701">
        <f t="shared" si="0"/>
        <v>100</v>
      </c>
      <c r="T10" s="700" t="s">
        <v>14</v>
      </c>
      <c r="U10" s="701">
        <f t="shared" si="1"/>
        <v>100</v>
      </c>
      <c r="V10" s="700" t="s">
        <v>14</v>
      </c>
      <c r="W10" s="701">
        <f t="shared" si="2"/>
        <v>100</v>
      </c>
      <c r="X10" s="702"/>
      <c r="Y10" s="4052"/>
      <c r="Z10" s="52" t="str">
        <f t="shared" si="7"/>
        <v>土地使用年限（年）</v>
      </c>
      <c r="AA10" s="703">
        <f t="shared" si="3"/>
        <v>1</v>
      </c>
      <c r="AB10" s="703">
        <f t="shared" si="4"/>
        <v>1</v>
      </c>
      <c r="AC10" s="703">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4140"/>
      <c r="Q11" s="1342">
        <f t="shared" si="6"/>
        <v>111</v>
      </c>
      <c r="R11" s="700" t="s">
        <v>14</v>
      </c>
      <c r="S11" s="701">
        <f t="shared" si="0"/>
        <v>100</v>
      </c>
      <c r="T11" s="700" t="s">
        <v>14</v>
      </c>
      <c r="U11" s="701">
        <f t="shared" si="1"/>
        <v>100</v>
      </c>
      <c r="V11" s="700" t="s">
        <v>14</v>
      </c>
      <c r="W11" s="701">
        <f t="shared" si="2"/>
        <v>100</v>
      </c>
      <c r="X11" s="702"/>
      <c r="Y11" s="4052"/>
      <c r="Z11" s="52">
        <f t="shared" si="7"/>
        <v>111</v>
      </c>
      <c r="AA11" s="703">
        <f t="shared" si="3"/>
        <v>1</v>
      </c>
      <c r="AB11" s="703">
        <f t="shared" si="4"/>
        <v>1</v>
      </c>
      <c r="AC11" s="703">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4140"/>
      <c r="Q12" s="1342">
        <f t="shared" si="6"/>
        <v>111</v>
      </c>
      <c r="R12" s="700" t="s">
        <v>14</v>
      </c>
      <c r="S12" s="701">
        <f t="shared" si="0"/>
        <v>100</v>
      </c>
      <c r="T12" s="700" t="s">
        <v>14</v>
      </c>
      <c r="U12" s="701">
        <f t="shared" si="1"/>
        <v>100</v>
      </c>
      <c r="V12" s="700" t="s">
        <v>14</v>
      </c>
      <c r="W12" s="701">
        <f t="shared" si="2"/>
        <v>100</v>
      </c>
      <c r="X12" s="702"/>
      <c r="Y12" s="4052"/>
      <c r="Z12" s="52">
        <f t="shared" si="7"/>
        <v>111</v>
      </c>
      <c r="AA12" s="703">
        <f>D12/F12</f>
        <v>1</v>
      </c>
      <c r="AB12" s="703">
        <f>D12/H12</f>
        <v>1</v>
      </c>
      <c r="AC12" s="703">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720"/>
      <c r="M13" s="2714"/>
      <c r="N13" s="2714"/>
      <c r="O13" s="2772"/>
      <c r="P13" s="4140"/>
      <c r="Q13" s="1342">
        <f t="shared" si="6"/>
        <v>111</v>
      </c>
      <c r="R13" s="700" t="s">
        <v>14</v>
      </c>
      <c r="S13" s="701">
        <f t="shared" si="0"/>
        <v>100</v>
      </c>
      <c r="T13" s="700" t="s">
        <v>14</v>
      </c>
      <c r="U13" s="701">
        <f t="shared" si="1"/>
        <v>100</v>
      </c>
      <c r="V13" s="700" t="s">
        <v>14</v>
      </c>
      <c r="W13" s="701">
        <f t="shared" si="2"/>
        <v>100</v>
      </c>
      <c r="X13" s="702"/>
      <c r="Y13" s="4052"/>
      <c r="Z13" s="52">
        <f t="shared" si="7"/>
        <v>111</v>
      </c>
      <c r="AA13" s="703">
        <f t="shared" si="3"/>
        <v>1</v>
      </c>
      <c r="AB13" s="703">
        <f t="shared" si="4"/>
        <v>1</v>
      </c>
      <c r="AC13" s="703">
        <f t="shared" si="5"/>
        <v>1</v>
      </c>
    </row>
    <row r="14" spans="1:29" ht="85.5">
      <c r="A14" s="391" t="s">
        <v>1688</v>
      </c>
      <c r="B14" s="61" t="s">
        <v>1831</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4142" t="s">
        <v>1689</v>
      </c>
      <c r="Q14" s="1351" t="str">
        <f t="shared" si="6"/>
        <v>交通便捷度</v>
      </c>
      <c r="R14" s="704" t="s">
        <v>14</v>
      </c>
      <c r="S14" s="705">
        <f t="shared" si="0"/>
        <v>100</v>
      </c>
      <c r="T14" s="704" t="s">
        <v>14</v>
      </c>
      <c r="U14" s="705">
        <f t="shared" si="1"/>
        <v>100</v>
      </c>
      <c r="V14" s="704" t="s">
        <v>14</v>
      </c>
      <c r="W14" s="705">
        <f t="shared" si="2"/>
        <v>100</v>
      </c>
      <c r="X14" s="1354"/>
      <c r="Y14" s="4142" t="s">
        <v>1689</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720"/>
      <c r="M15" s="2714"/>
      <c r="N15" s="2714"/>
      <c r="O15" s="2772"/>
      <c r="P15" s="4143"/>
      <c r="Q15" s="1351"/>
      <c r="R15" s="704"/>
      <c r="S15" s="705"/>
      <c r="T15" s="704"/>
      <c r="U15" s="705"/>
      <c r="V15" s="704"/>
      <c r="W15" s="705"/>
      <c r="X15" s="1354"/>
      <c r="Y15" s="4143"/>
      <c r="Z15" s="1355"/>
      <c r="AA15" s="1352">
        <v>1</v>
      </c>
      <c r="AB15" s="1352">
        <v>1</v>
      </c>
      <c r="AC15" s="1352">
        <v>1</v>
      </c>
    </row>
    <row r="16" spans="1:29" ht="42.75">
      <c r="A16" s="379"/>
      <c r="B16" s="402" t="s">
        <v>1810</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4143"/>
      <c r="Q16" s="1351" t="str">
        <f>B16</f>
        <v>公共配套设施</v>
      </c>
      <c r="R16" s="704" t="s">
        <v>14</v>
      </c>
      <c r="S16" s="705">
        <f>F16</f>
        <v>100</v>
      </c>
      <c r="T16" s="704" t="s">
        <v>14</v>
      </c>
      <c r="U16" s="705">
        <f>H16</f>
        <v>100</v>
      </c>
      <c r="V16" s="704" t="s">
        <v>14</v>
      </c>
      <c r="W16" s="705">
        <f>J16</f>
        <v>100</v>
      </c>
      <c r="X16" s="1354"/>
      <c r="Y16" s="4143"/>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720"/>
      <c r="M17" s="2714"/>
      <c r="N17" s="2714"/>
      <c r="O17" s="2772"/>
      <c r="P17" s="4143"/>
      <c r="Q17" s="1351"/>
      <c r="R17" s="704"/>
      <c r="S17" s="705"/>
      <c r="T17" s="704"/>
      <c r="U17" s="705"/>
      <c r="V17" s="704"/>
      <c r="W17" s="705"/>
      <c r="X17" s="1354"/>
      <c r="Y17" s="4143"/>
      <c r="Z17" s="1355"/>
      <c r="AA17" s="1352">
        <v>1</v>
      </c>
      <c r="AB17" s="1352">
        <v>1</v>
      </c>
      <c r="AC17" s="1352">
        <v>1</v>
      </c>
    </row>
    <row r="18" spans="1:29" ht="28.5">
      <c r="A18" s="379"/>
      <c r="B18" s="1130" t="s">
        <v>1811</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4143"/>
      <c r="Q18" s="1351" t="str">
        <f>B18</f>
        <v>基础设施水平</v>
      </c>
      <c r="R18" s="704" t="s">
        <v>14</v>
      </c>
      <c r="S18" s="705">
        <f>F18</f>
        <v>100</v>
      </c>
      <c r="T18" s="704" t="s">
        <v>14</v>
      </c>
      <c r="U18" s="705">
        <f>H18</f>
        <v>100</v>
      </c>
      <c r="V18" s="704" t="s">
        <v>14</v>
      </c>
      <c r="W18" s="705">
        <f>J18</f>
        <v>100</v>
      </c>
      <c r="X18" s="1354"/>
      <c r="Y18" s="4143"/>
      <c r="Z18" s="1355" t="str">
        <f>Q18</f>
        <v>基础设施水平</v>
      </c>
      <c r="AA18" s="1352">
        <f t="shared" ref="AA18" si="8">D18/F18</f>
        <v>1</v>
      </c>
      <c r="AB18" s="1352">
        <f t="shared" ref="AB18" si="9">D18/H18</f>
        <v>1</v>
      </c>
      <c r="AC18" s="1352">
        <f t="shared" ref="AC18" si="10">D18/J18</f>
        <v>1</v>
      </c>
    </row>
    <row r="19" spans="1:29" ht="15">
      <c r="A19" s="379"/>
      <c r="B19" s="1130"/>
      <c r="C19" s="1900"/>
      <c r="D19" s="401"/>
      <c r="E19" s="1900"/>
      <c r="F19" s="404"/>
      <c r="G19" s="1900"/>
      <c r="H19" s="399"/>
      <c r="I19" s="398"/>
      <c r="J19" s="399"/>
      <c r="K19" s="1129"/>
      <c r="L19" s="2720"/>
      <c r="M19" s="2714"/>
      <c r="N19" s="2714"/>
      <c r="O19" s="2772"/>
      <c r="P19" s="4143"/>
      <c r="Q19" s="1351"/>
      <c r="R19" s="704"/>
      <c r="S19" s="705"/>
      <c r="T19" s="704"/>
      <c r="U19" s="705"/>
      <c r="V19" s="704"/>
      <c r="W19" s="705"/>
      <c r="X19" s="1354"/>
      <c r="Y19" s="4143"/>
      <c r="Z19" s="1355"/>
      <c r="AA19" s="1352">
        <v>1</v>
      </c>
      <c r="AB19" s="1352">
        <v>1</v>
      </c>
      <c r="AC19" s="1352">
        <v>1</v>
      </c>
    </row>
    <row r="20" spans="1:29" ht="57">
      <c r="A20" s="379"/>
      <c r="B20" s="402" t="s">
        <v>1832</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4143"/>
      <c r="Q20" s="1351" t="str">
        <f>B20</f>
        <v>自然及人文环境</v>
      </c>
      <c r="R20" s="704" t="s">
        <v>14</v>
      </c>
      <c r="S20" s="705">
        <f>F20</f>
        <v>100</v>
      </c>
      <c r="T20" s="704" t="s">
        <v>14</v>
      </c>
      <c r="U20" s="705">
        <f>H20</f>
        <v>100</v>
      </c>
      <c r="V20" s="704" t="s">
        <v>14</v>
      </c>
      <c r="W20" s="705">
        <f>J20</f>
        <v>100</v>
      </c>
      <c r="X20" s="1354"/>
      <c r="Y20" s="4143"/>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720"/>
      <c r="M21" s="2714"/>
      <c r="N21" s="2714"/>
      <c r="O21" s="2772"/>
      <c r="P21" s="4143"/>
      <c r="Q21" s="1351"/>
      <c r="R21" s="704"/>
      <c r="S21" s="705"/>
      <c r="T21" s="704"/>
      <c r="U21" s="705"/>
      <c r="V21" s="704"/>
      <c r="W21" s="705"/>
      <c r="X21" s="1354"/>
      <c r="Y21" s="4143"/>
      <c r="Z21" s="1355"/>
      <c r="AA21" s="1352">
        <v>1</v>
      </c>
      <c r="AB21" s="1352">
        <v>1</v>
      </c>
      <c r="AC21" s="1352">
        <v>1</v>
      </c>
    </row>
    <row r="22" spans="1:29" ht="15">
      <c r="A22" s="379"/>
      <c r="B22" s="402" t="s">
        <v>1833</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4143"/>
      <c r="Q22" s="1351" t="str">
        <f>B22</f>
        <v>楼层</v>
      </c>
      <c r="R22" s="704" t="s">
        <v>14</v>
      </c>
      <c r="S22" s="705">
        <f>F22</f>
        <v>100</v>
      </c>
      <c r="T22" s="704" t="s">
        <v>14</v>
      </c>
      <c r="U22" s="705">
        <f>H22</f>
        <v>100</v>
      </c>
      <c r="V22" s="704" t="s">
        <v>14</v>
      </c>
      <c r="W22" s="705">
        <f>J22</f>
        <v>100</v>
      </c>
      <c r="X22" s="1354"/>
      <c r="Y22" s="4143"/>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4143"/>
      <c r="Q23" s="1351">
        <f>B23</f>
        <v>111</v>
      </c>
      <c r="R23" s="704" t="s">
        <v>14</v>
      </c>
      <c r="S23" s="705">
        <f>F23</f>
        <v>100</v>
      </c>
      <c r="T23" s="704" t="s">
        <v>14</v>
      </c>
      <c r="U23" s="705">
        <f>H23</f>
        <v>100</v>
      </c>
      <c r="V23" s="704" t="s">
        <v>14</v>
      </c>
      <c r="W23" s="705">
        <f>J23</f>
        <v>100</v>
      </c>
      <c r="X23" s="1354"/>
      <c r="Y23" s="4143"/>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4143"/>
      <c r="Q24" s="1351">
        <f t="shared" ref="Q24:Q34" si="11">B24</f>
        <v>111</v>
      </c>
      <c r="R24" s="704" t="s">
        <v>14</v>
      </c>
      <c r="S24" s="705">
        <f>F24</f>
        <v>100</v>
      </c>
      <c r="T24" s="704" t="s">
        <v>14</v>
      </c>
      <c r="U24" s="705">
        <f>H24</f>
        <v>100</v>
      </c>
      <c r="V24" s="704" t="s">
        <v>14</v>
      </c>
      <c r="W24" s="705">
        <f>J24</f>
        <v>100</v>
      </c>
      <c r="X24" s="1354"/>
      <c r="Y24" s="4143"/>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715"/>
      <c r="M25" s="2716"/>
      <c r="N25" s="2716"/>
      <c r="O25" s="2770"/>
      <c r="P25" s="4143"/>
      <c r="Q25" s="1342">
        <f t="shared" si="11"/>
        <v>111</v>
      </c>
      <c r="R25" s="700" t="s">
        <v>14</v>
      </c>
      <c r="S25" s="701">
        <f>F25</f>
        <v>100</v>
      </c>
      <c r="T25" s="700" t="s">
        <v>14</v>
      </c>
      <c r="U25" s="701">
        <f>H25</f>
        <v>100</v>
      </c>
      <c r="V25" s="700" t="s">
        <v>14</v>
      </c>
      <c r="W25" s="701">
        <f>J25</f>
        <v>100</v>
      </c>
      <c r="X25" s="702"/>
      <c r="Y25" s="4143"/>
      <c r="Z25" s="52">
        <f>Q25</f>
        <v>111</v>
      </c>
      <c r="AA25" s="1352">
        <f>D25/F25</f>
        <v>1</v>
      </c>
      <c r="AB25" s="1352">
        <f>D25/H25</f>
        <v>1</v>
      </c>
      <c r="AC25" s="1352">
        <f>D25/J25</f>
        <v>1</v>
      </c>
    </row>
    <row r="26" spans="1:29" ht="28.5">
      <c r="A26" s="417" t="s">
        <v>1692</v>
      </c>
      <c r="B26" s="63" t="s">
        <v>1836</v>
      </c>
      <c r="C26" s="1966"/>
      <c r="D26" s="418">
        <v>100</v>
      </c>
      <c r="E26" s="1966"/>
      <c r="F26" s="615">
        <f>SUMIF(77:77,E26,78:78)-SUMIF(77:77,C26,78:78)+100</f>
        <v>100</v>
      </c>
      <c r="G26" s="1966"/>
      <c r="H26" s="418">
        <f>SUMIF(77:77,G26,78:78)-SUMIF(77:77,C26,78:78)+100</f>
        <v>100</v>
      </c>
      <c r="I26" s="1966"/>
      <c r="J26" s="418">
        <f>SUMIF(77:77,I26,78:78)-SUMIF(77:77,C26,78:78)+100</f>
        <v>100</v>
      </c>
      <c r="K26" s="561"/>
      <c r="L26" s="2720"/>
      <c r="M26" s="2714"/>
      <c r="N26" s="2714"/>
      <c r="O26" s="2772"/>
      <c r="P26" s="4168" t="s">
        <v>1694</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4147" t="s">
        <v>1694</v>
      </c>
      <c r="Z26" s="1355" t="str">
        <f t="shared" ref="Z26:Z34" si="15">Q26</f>
        <v>公共部分装修</v>
      </c>
      <c r="AA26" s="1352">
        <f t="shared" si="3"/>
        <v>1</v>
      </c>
      <c r="AB26" s="1352">
        <f t="shared" si="4"/>
        <v>1</v>
      </c>
      <c r="AC26" s="1352">
        <f t="shared" si="5"/>
        <v>1</v>
      </c>
    </row>
    <row r="27" spans="1:29" s="422" customFormat="1" ht="15">
      <c r="A27" s="419"/>
      <c r="B27" s="375" t="s">
        <v>1837</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4147"/>
      <c r="Q27" s="706" t="str">
        <f t="shared" si="11"/>
        <v>成新率</v>
      </c>
      <c r="R27" s="707" t="s">
        <v>14</v>
      </c>
      <c r="S27" s="708" t="e">
        <f t="shared" si="12"/>
        <v>#N/A</v>
      </c>
      <c r="T27" s="707" t="s">
        <v>14</v>
      </c>
      <c r="U27" s="708" t="e">
        <f t="shared" si="13"/>
        <v>#N/A</v>
      </c>
      <c r="V27" s="707" t="s">
        <v>14</v>
      </c>
      <c r="W27" s="708" t="e">
        <f t="shared" si="14"/>
        <v>#N/A</v>
      </c>
      <c r="X27" s="709"/>
      <c r="Y27" s="4147"/>
      <c r="Z27" s="710" t="str">
        <f t="shared" si="15"/>
        <v>成新率</v>
      </c>
      <c r="AA27" s="1352" t="e">
        <f t="shared" si="3"/>
        <v>#N/A</v>
      </c>
      <c r="AB27" s="1352" t="e">
        <f t="shared" si="4"/>
        <v>#N/A</v>
      </c>
      <c r="AC27" s="1352" t="e">
        <f t="shared" si="5"/>
        <v>#N/A</v>
      </c>
    </row>
    <row r="28" spans="1:29" ht="15">
      <c r="A28" s="423"/>
      <c r="B28" s="375" t="s">
        <v>1838</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4147"/>
      <c r="Q28" s="1351" t="str">
        <f t="shared" si="11"/>
        <v>物业等级</v>
      </c>
      <c r="R28" s="704" t="s">
        <v>14</v>
      </c>
      <c r="S28" s="705">
        <f t="shared" si="12"/>
        <v>100</v>
      </c>
      <c r="T28" s="704" t="s">
        <v>14</v>
      </c>
      <c r="U28" s="705">
        <f t="shared" si="13"/>
        <v>100</v>
      </c>
      <c r="V28" s="704" t="s">
        <v>14</v>
      </c>
      <c r="W28" s="705">
        <f t="shared" si="14"/>
        <v>100</v>
      </c>
      <c r="X28" s="1354"/>
      <c r="Y28" s="4147"/>
      <c r="Z28" s="1355" t="str">
        <f t="shared" si="15"/>
        <v>物业等级</v>
      </c>
      <c r="AA28" s="1352">
        <f t="shared" si="3"/>
        <v>1</v>
      </c>
      <c r="AB28" s="1352">
        <f t="shared" si="4"/>
        <v>1</v>
      </c>
      <c r="AC28" s="1352">
        <f t="shared" si="5"/>
        <v>1</v>
      </c>
    </row>
    <row r="29" spans="1:29" ht="15">
      <c r="A29" s="423"/>
      <c r="B29" s="375" t="s">
        <v>1858</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4147"/>
      <c r="Q29" s="1351" t="str">
        <f t="shared" si="11"/>
        <v>有无电梯</v>
      </c>
      <c r="R29" s="704" t="s">
        <v>14</v>
      </c>
      <c r="S29" s="705">
        <f t="shared" si="12"/>
        <v>100</v>
      </c>
      <c r="T29" s="704" t="s">
        <v>14</v>
      </c>
      <c r="U29" s="705">
        <f t="shared" si="13"/>
        <v>100</v>
      </c>
      <c r="V29" s="704" t="s">
        <v>14</v>
      </c>
      <c r="W29" s="705">
        <f t="shared" si="14"/>
        <v>100</v>
      </c>
      <c r="X29" s="1354"/>
      <c r="Y29" s="4147"/>
      <c r="Z29" s="1355" t="str">
        <f t="shared" si="15"/>
        <v>有无电梯</v>
      </c>
      <c r="AA29" s="1352">
        <f t="shared" si="3"/>
        <v>1</v>
      </c>
      <c r="AB29" s="1352">
        <f t="shared" si="4"/>
        <v>1</v>
      </c>
      <c r="AC29" s="1352">
        <f t="shared" si="5"/>
        <v>1</v>
      </c>
    </row>
    <row r="30" spans="1:29" ht="15">
      <c r="A30" s="423"/>
      <c r="B30" s="375" t="s">
        <v>1859</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4147"/>
      <c r="Q30" s="1351" t="str">
        <f t="shared" si="11"/>
        <v>建筑面积</v>
      </c>
      <c r="R30" s="704" t="s">
        <v>14</v>
      </c>
      <c r="S30" s="705" t="e">
        <f t="shared" si="12"/>
        <v>#N/A</v>
      </c>
      <c r="T30" s="704" t="s">
        <v>14</v>
      </c>
      <c r="U30" s="705" t="e">
        <f t="shared" si="13"/>
        <v>#N/A</v>
      </c>
      <c r="V30" s="704" t="s">
        <v>14</v>
      </c>
      <c r="W30" s="705" t="e">
        <f t="shared" si="14"/>
        <v>#N/A</v>
      </c>
      <c r="X30" s="1354"/>
      <c r="Y30" s="4147"/>
      <c r="Z30" s="1355" t="str">
        <f t="shared" si="15"/>
        <v>建筑面积</v>
      </c>
      <c r="AA30" s="1352" t="e">
        <f t="shared" si="3"/>
        <v>#N/A</v>
      </c>
      <c r="AB30" s="1352" t="e">
        <f t="shared" si="4"/>
        <v>#N/A</v>
      </c>
      <c r="AC30" s="1352" t="e">
        <f t="shared" si="5"/>
        <v>#N/A</v>
      </c>
    </row>
    <row r="31" spans="1:29" s="108" customFormat="1" ht="15">
      <c r="A31" s="424"/>
      <c r="B31" s="375" t="s">
        <v>1860</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4147"/>
      <c r="Q31" s="1342" t="str">
        <f t="shared" si="11"/>
        <v>是否封闭</v>
      </c>
      <c r="R31" s="700" t="s">
        <v>14</v>
      </c>
      <c r="S31" s="701">
        <f t="shared" si="12"/>
        <v>100</v>
      </c>
      <c r="T31" s="700" t="s">
        <v>14</v>
      </c>
      <c r="U31" s="701">
        <f t="shared" si="13"/>
        <v>100</v>
      </c>
      <c r="V31" s="700" t="s">
        <v>14</v>
      </c>
      <c r="W31" s="701">
        <f t="shared" si="14"/>
        <v>100</v>
      </c>
      <c r="X31" s="702"/>
      <c r="Y31" s="4147"/>
      <c r="Z31" s="52" t="str">
        <f t="shared" si="15"/>
        <v>是否封闭</v>
      </c>
      <c r="AA31" s="703">
        <f t="shared" si="3"/>
        <v>1</v>
      </c>
      <c r="AB31" s="703">
        <f t="shared" si="4"/>
        <v>1</v>
      </c>
      <c r="AC31" s="703">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4147" t="s">
        <v>1694</v>
      </c>
      <c r="Q32" s="1351">
        <f t="shared" si="11"/>
        <v>111</v>
      </c>
      <c r="R32" s="704" t="s">
        <v>14</v>
      </c>
      <c r="S32" s="705">
        <f t="shared" si="12"/>
        <v>100</v>
      </c>
      <c r="T32" s="704" t="s">
        <v>14</v>
      </c>
      <c r="U32" s="705">
        <f t="shared" si="13"/>
        <v>100</v>
      </c>
      <c r="V32" s="704" t="s">
        <v>14</v>
      </c>
      <c r="W32" s="705">
        <f t="shared" si="14"/>
        <v>100</v>
      </c>
      <c r="X32" s="1354"/>
      <c r="Y32" s="4147" t="s">
        <v>1694</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4147"/>
      <c r="Q33" s="1351">
        <f t="shared" si="11"/>
        <v>111</v>
      </c>
      <c r="R33" s="704" t="s">
        <v>14</v>
      </c>
      <c r="S33" s="705">
        <f t="shared" si="12"/>
        <v>100</v>
      </c>
      <c r="T33" s="704" t="s">
        <v>14</v>
      </c>
      <c r="U33" s="705">
        <f t="shared" si="13"/>
        <v>100</v>
      </c>
      <c r="V33" s="704" t="s">
        <v>14</v>
      </c>
      <c r="W33" s="705">
        <f t="shared" si="14"/>
        <v>100</v>
      </c>
      <c r="X33" s="1354"/>
      <c r="Y33" s="4147"/>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720"/>
      <c r="M34" s="2714"/>
      <c r="N34" s="2714"/>
      <c r="O34" s="2772"/>
      <c r="P34" s="4147"/>
      <c r="Q34" s="1351">
        <f t="shared" si="11"/>
        <v>111</v>
      </c>
      <c r="R34" s="704" t="s">
        <v>14</v>
      </c>
      <c r="S34" s="705">
        <f t="shared" si="12"/>
        <v>100</v>
      </c>
      <c r="T34" s="704" t="s">
        <v>14</v>
      </c>
      <c r="U34" s="705">
        <f t="shared" si="13"/>
        <v>100</v>
      </c>
      <c r="V34" s="704" t="s">
        <v>14</v>
      </c>
      <c r="W34" s="705">
        <f t="shared" si="14"/>
        <v>100</v>
      </c>
      <c r="X34" s="1354"/>
      <c r="Y34" s="4147"/>
      <c r="Z34" s="1355">
        <f t="shared" si="15"/>
        <v>111</v>
      </c>
      <c r="AA34" s="1352">
        <f t="shared" si="3"/>
        <v>1</v>
      </c>
      <c r="AB34" s="1352">
        <f t="shared" si="4"/>
        <v>1</v>
      </c>
      <c r="AC34" s="1352">
        <f t="shared" si="5"/>
        <v>1</v>
      </c>
    </row>
    <row r="35" spans="1:30" ht="15">
      <c r="A35" s="430" t="s">
        <v>1706</v>
      </c>
      <c r="B35" s="431"/>
      <c r="C35" s="1153" t="s">
        <v>0</v>
      </c>
      <c r="D35" s="1154"/>
      <c r="E35" s="1155"/>
      <c r="F35" s="1156"/>
      <c r="G35" s="1157"/>
      <c r="H35" s="1158"/>
      <c r="I35" s="1155"/>
      <c r="J35" s="1158"/>
      <c r="K35" s="713"/>
      <c r="L35" s="2722"/>
      <c r="M35" s="2723"/>
      <c r="N35" s="2714"/>
      <c r="O35" s="2723"/>
      <c r="P35" s="4140" t="str">
        <f>A35</f>
        <v>成交单价（元/平方米）</v>
      </c>
      <c r="Q35" s="4140"/>
      <c r="R35" s="4141">
        <f>E35</f>
        <v>0</v>
      </c>
      <c r="S35" s="4141"/>
      <c r="T35" s="4141">
        <f>G35</f>
        <v>0</v>
      </c>
      <c r="U35" s="4141"/>
      <c r="V35" s="4141">
        <f>I35</f>
        <v>0</v>
      </c>
      <c r="W35" s="4141"/>
      <c r="X35" s="689"/>
      <c r="Y35" s="711"/>
      <c r="Z35" s="689"/>
      <c r="AA35" s="689"/>
      <c r="AB35" s="689"/>
      <c r="AC35" s="689"/>
    </row>
    <row r="36" spans="1:30" ht="15.75" thickBot="1">
      <c r="A36" s="437" t="s">
        <v>1791</v>
      </c>
      <c r="B36" s="438"/>
      <c r="C36" s="1159" t="e">
        <f>R37</f>
        <v>#DIV/0!</v>
      </c>
      <c r="D36" s="2316" t="s">
        <v>2135</v>
      </c>
      <c r="E36" s="1160" t="e">
        <f>R36</f>
        <v>#DIV/0!</v>
      </c>
      <c r="F36" s="2317"/>
      <c r="G36" s="1159" t="e">
        <f>T36</f>
        <v>#DIV/0!</v>
      </c>
      <c r="H36" s="2317"/>
      <c r="I36" s="1160" t="e">
        <f>V36</f>
        <v>#DIV/0!</v>
      </c>
      <c r="J36" s="2317"/>
      <c r="K36" s="2319">
        <f>F36+H36+J36</f>
        <v>0</v>
      </c>
      <c r="L36" s="2722"/>
      <c r="M36" s="2723"/>
      <c r="N36" s="2714"/>
      <c r="O36" s="2723"/>
      <c r="P36" s="4140" t="str">
        <f>A36</f>
        <v>比较价值（元/平方米）</v>
      </c>
      <c r="Q36" s="4140"/>
      <c r="R36" s="4141" t="e">
        <f>IF(F1="售价",ROUND(PRODUCT(R35,AA7:AA34),0),ROUND(PRODUCT(R35,AA7:AA34),1))</f>
        <v>#DIV/0!</v>
      </c>
      <c r="S36" s="4141"/>
      <c r="T36" s="4141" t="e">
        <f>IF(F1="售价",ROUND(PRODUCT(T35,AB7:AB34),0),ROUND(PRODUCT(T35,AB7:AB34),1))</f>
        <v>#DIV/0!</v>
      </c>
      <c r="U36" s="4141"/>
      <c r="V36" s="4141" t="e">
        <f>IF(F1="售价",ROUND(PRODUCT(V35,AC7:AC34),0),ROUND(PRODUCT(V35,AC7:AC34),1))</f>
        <v>#DIV/0!</v>
      </c>
      <c r="W36" s="4141"/>
      <c r="X36" s="689"/>
      <c r="Y36" s="689"/>
      <c r="Z36" s="689"/>
      <c r="AA36" s="689"/>
      <c r="AB36" s="689"/>
      <c r="AC36" s="689"/>
    </row>
    <row r="37" spans="1:30" ht="15.75" thickBot="1">
      <c r="A37" s="441" t="s">
        <v>1792</v>
      </c>
      <c r="B37" s="442"/>
      <c r="C37" s="1162" t="e">
        <f>R37</f>
        <v>#DIV/0!</v>
      </c>
      <c r="D37" s="1162"/>
      <c r="E37" s="1162"/>
      <c r="F37" s="1162"/>
      <c r="G37" s="1162"/>
      <c r="H37" s="1162"/>
      <c r="I37" s="1162"/>
      <c r="J37" s="1162"/>
      <c r="K37" s="714"/>
      <c r="L37" s="2722"/>
      <c r="M37" s="2723"/>
      <c r="N37" s="2723"/>
      <c r="O37" s="2723"/>
      <c r="P37" s="4137" t="str">
        <f>A37</f>
        <v>估价对象XX用房的比较价值（楼面单价，元/平方米）</v>
      </c>
      <c r="Q37" s="4138"/>
      <c r="R37" s="4194" t="e">
        <f>IF(F1="售价",ROUND(IF(D36="简单平均",AVERAGE(R36:W36),R36*F36+T36*H36+V36*J36),0),ROUND(IF(D36="简单平均",AVERAGE(R36:V36),R36*F36+T36*H36+V36*J36),1))</f>
        <v>#DIV/0!</v>
      </c>
      <c r="S37" s="4194"/>
      <c r="T37" s="4194"/>
      <c r="U37" s="4194"/>
      <c r="V37" s="4194"/>
      <c r="W37" s="4194"/>
      <c r="X37" s="689"/>
      <c r="Y37" s="689"/>
      <c r="Z37" s="689"/>
      <c r="AA37" s="689"/>
      <c r="AB37" s="689"/>
      <c r="AC37" s="689"/>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1793</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1794</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1795</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3" t="s">
        <v>1796</v>
      </c>
      <c r="B45" s="689"/>
      <c r="C45" s="694"/>
      <c r="D45" s="694"/>
      <c r="E45" s="694"/>
      <c r="F45" s="695"/>
      <c r="G45" s="695"/>
      <c r="H45" s="694"/>
      <c r="I45" s="694"/>
      <c r="J45" s="694"/>
      <c r="K45" s="696"/>
      <c r="L45" s="697"/>
      <c r="M45" s="694"/>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1677</v>
      </c>
      <c r="B46" s="455"/>
      <c r="C46" s="1183" t="str">
        <f>YEAR(C7)&amp;"-"&amp;MONTH(C7)</f>
        <v>2024-10</v>
      </c>
      <c r="D46" s="1184">
        <f>EDATE(C46,-1)</f>
        <v>45536</v>
      </c>
      <c r="E46" s="1184">
        <f t="shared" ref="E46:O46" si="16">EDATE(D46,-1)</f>
        <v>45505</v>
      </c>
      <c r="F46" s="1184">
        <f t="shared" si="16"/>
        <v>45474</v>
      </c>
      <c r="G46" s="1184">
        <f t="shared" si="16"/>
        <v>45444</v>
      </c>
      <c r="H46" s="1184">
        <f t="shared" si="16"/>
        <v>45413</v>
      </c>
      <c r="I46" s="1184">
        <f t="shared" si="16"/>
        <v>45383</v>
      </c>
      <c r="J46" s="1184">
        <f t="shared" si="16"/>
        <v>45352</v>
      </c>
      <c r="K46" s="1184">
        <f t="shared" si="16"/>
        <v>45323</v>
      </c>
      <c r="L46" s="1184">
        <f t="shared" si="16"/>
        <v>45292</v>
      </c>
      <c r="M46" s="1184">
        <f t="shared" si="16"/>
        <v>45261</v>
      </c>
      <c r="N46" s="1184">
        <f t="shared" si="16"/>
        <v>45231</v>
      </c>
      <c r="O46" s="1184">
        <f t="shared" si="16"/>
        <v>45200</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2">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1714</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1679</v>
      </c>
      <c r="B49" s="459"/>
      <c r="C49" s="471" t="s">
        <v>1774</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1717</v>
      </c>
      <c r="B51" s="477" t="s">
        <v>1683</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1686</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1688</v>
      </c>
      <c r="B61" s="477" t="s">
        <v>1724</v>
      </c>
      <c r="C61" s="522" t="s">
        <v>1719</v>
      </c>
      <c r="D61" s="522" t="s">
        <v>1720</v>
      </c>
      <c r="E61" s="522" t="s">
        <v>1721</v>
      </c>
      <c r="F61" s="522" t="s">
        <v>1722</v>
      </c>
      <c r="G61" s="522" t="s">
        <v>1723</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1861</v>
      </c>
      <c r="C63" s="527" t="s">
        <v>1719</v>
      </c>
      <c r="D63" s="527" t="s">
        <v>1720</v>
      </c>
      <c r="E63" s="527" t="s">
        <v>1721</v>
      </c>
      <c r="F63" s="527" t="s">
        <v>1722</v>
      </c>
      <c r="G63" s="527" t="s">
        <v>1723</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1811</v>
      </c>
      <c r="C65" s="608" t="s">
        <v>1797</v>
      </c>
      <c r="D65" s="608" t="s">
        <v>1798</v>
      </c>
      <c r="E65" s="608" t="s">
        <v>1799</v>
      </c>
      <c r="F65" s="608" t="s">
        <v>1800</v>
      </c>
      <c r="G65" s="608" t="s">
        <v>1801</v>
      </c>
      <c r="H65" s="488"/>
      <c r="I65" s="488"/>
      <c r="J65" s="488"/>
      <c r="K65" s="488"/>
      <c r="L65" s="488"/>
      <c r="M65" s="1128"/>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1731</v>
      </c>
      <c r="C67" s="527" t="s">
        <v>1719</v>
      </c>
      <c r="D67" s="527" t="s">
        <v>1720</v>
      </c>
      <c r="E67" s="527" t="s">
        <v>1721</v>
      </c>
      <c r="F67" s="527" t="s">
        <v>1722</v>
      </c>
      <c r="G67" s="527" t="s">
        <v>1723</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1850</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1692</v>
      </c>
      <c r="B77" s="477" t="s">
        <v>1738</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1853</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1854</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1862</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1863</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1864</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5"/>
      <c r="B98" s="935"/>
      <c r="C98" s="935"/>
      <c r="D98" s="935"/>
      <c r="E98" s="935"/>
      <c r="F98" s="935"/>
      <c r="G98" s="935"/>
      <c r="H98" s="935"/>
      <c r="I98" s="935"/>
      <c r="J98" s="935"/>
      <c r="K98" s="936"/>
      <c r="L98" s="937"/>
      <c r="M98" s="935"/>
      <c r="N98" s="2723"/>
      <c r="O98" s="2723"/>
      <c r="P98" s="2723"/>
      <c r="Q98" s="2723"/>
      <c r="R98" s="2723"/>
      <c r="S98" s="2723"/>
      <c r="T98" s="2723"/>
      <c r="U98" s="2723"/>
      <c r="V98" s="2723"/>
      <c r="W98" s="2723"/>
      <c r="X98" s="2723"/>
      <c r="Y98" s="2723"/>
      <c r="Z98" s="2723"/>
      <c r="AA98" s="2723"/>
      <c r="AB98" s="2723"/>
      <c r="AC98" s="2723"/>
      <c r="AD98" s="2723"/>
    </row>
    <row r="99" spans="1:30">
      <c r="A99" s="935"/>
      <c r="B99" s="935"/>
      <c r="C99" s="935"/>
      <c r="D99" s="935"/>
      <c r="E99" s="935"/>
      <c r="F99" s="935"/>
      <c r="G99" s="935"/>
      <c r="H99" s="935"/>
      <c r="I99" s="935"/>
      <c r="J99" s="935"/>
      <c r="K99" s="936"/>
      <c r="L99" s="937"/>
      <c r="M99" s="935"/>
      <c r="N99" s="2723"/>
      <c r="O99" s="2723"/>
      <c r="P99" s="2723"/>
      <c r="Q99" s="2723"/>
      <c r="R99" s="2723"/>
      <c r="S99" s="2723"/>
      <c r="T99" s="2723"/>
      <c r="U99" s="2723"/>
      <c r="V99" s="2723"/>
      <c r="W99" s="2723"/>
      <c r="X99" s="2723"/>
      <c r="Y99" s="2723"/>
      <c r="Z99" s="2723"/>
      <c r="AA99" s="2723"/>
      <c r="AB99" s="2723"/>
      <c r="AC99" s="2723"/>
      <c r="AD99" s="2723"/>
    </row>
    <row r="100" spans="1:30">
      <c r="A100" s="935"/>
      <c r="B100" s="935"/>
      <c r="C100" s="935"/>
      <c r="D100" s="935"/>
      <c r="E100" s="935"/>
      <c r="F100" s="935"/>
      <c r="G100" s="935"/>
      <c r="H100" s="935"/>
      <c r="I100" s="935"/>
      <c r="J100" s="935"/>
      <c r="K100" s="936"/>
      <c r="L100" s="937"/>
      <c r="M100" s="935"/>
      <c r="N100" s="2723"/>
      <c r="O100" s="2723"/>
      <c r="P100" s="2723"/>
      <c r="Q100" s="2723"/>
      <c r="R100" s="2723"/>
      <c r="S100" s="2723"/>
      <c r="T100" s="2723"/>
      <c r="U100" s="2723"/>
      <c r="V100" s="2723"/>
      <c r="W100" s="2723"/>
      <c r="X100" s="2723"/>
      <c r="Y100" s="2723"/>
      <c r="Z100" s="2723"/>
      <c r="AA100" s="2723"/>
      <c r="AB100" s="2723"/>
      <c r="AC100" s="2723"/>
      <c r="AD100" s="2723"/>
    </row>
    <row r="101" spans="1:30">
      <c r="A101" s="935"/>
      <c r="B101" s="935"/>
      <c r="C101" s="935"/>
      <c r="D101" s="935"/>
      <c r="E101" s="935"/>
      <c r="F101" s="935"/>
      <c r="G101" s="935"/>
      <c r="H101" s="935"/>
      <c r="I101" s="935"/>
      <c r="J101" s="935"/>
      <c r="K101" s="936"/>
      <c r="L101" s="937"/>
      <c r="M101" s="935"/>
      <c r="N101" s="2723"/>
      <c r="O101" s="2723"/>
      <c r="P101" s="2723"/>
      <c r="Q101" s="2723"/>
      <c r="R101" s="2723"/>
      <c r="S101" s="2723"/>
      <c r="T101" s="2723"/>
      <c r="U101" s="2723"/>
      <c r="V101" s="2723"/>
      <c r="W101" s="2723"/>
      <c r="X101" s="2723"/>
      <c r="Y101" s="2723"/>
      <c r="Z101" s="2723"/>
      <c r="AA101" s="2723"/>
      <c r="AB101" s="2723"/>
      <c r="AC101" s="2723"/>
      <c r="AD101" s="2723"/>
    </row>
    <row r="102" spans="1:30">
      <c r="A102" s="935"/>
      <c r="B102" s="935"/>
      <c r="C102" s="935"/>
      <c r="D102" s="935"/>
      <c r="E102" s="935"/>
      <c r="F102" s="935"/>
      <c r="G102" s="935"/>
      <c r="H102" s="935"/>
      <c r="I102" s="935"/>
      <c r="J102" s="935"/>
      <c r="K102" s="936"/>
      <c r="L102" s="937"/>
      <c r="M102" s="935"/>
      <c r="N102" s="2723"/>
      <c r="O102" s="2723"/>
      <c r="P102" s="2723"/>
      <c r="Q102" s="2723"/>
      <c r="R102" s="2723"/>
      <c r="S102" s="2723"/>
      <c r="T102" s="2723"/>
      <c r="U102" s="2723"/>
      <c r="V102" s="2723"/>
      <c r="W102" s="2723"/>
      <c r="X102" s="2723"/>
      <c r="Y102" s="2723"/>
      <c r="Z102" s="2723"/>
      <c r="AA102" s="2723"/>
      <c r="AB102" s="2723"/>
      <c r="AC102" s="2723"/>
      <c r="AD102" s="2723"/>
    </row>
    <row r="103" spans="1:30">
      <c r="A103" s="935"/>
      <c r="B103" s="935"/>
      <c r="C103" s="935"/>
      <c r="D103" s="935"/>
      <c r="E103" s="935"/>
      <c r="F103" s="935"/>
      <c r="G103" s="935"/>
      <c r="H103" s="935"/>
      <c r="I103" s="935"/>
      <c r="J103" s="935"/>
      <c r="K103" s="936"/>
      <c r="L103" s="937"/>
      <c r="M103" s="935"/>
      <c r="N103" s="935"/>
      <c r="O103" s="935"/>
      <c r="P103" s="2723"/>
      <c r="Q103" s="2723"/>
      <c r="R103" s="2723"/>
      <c r="S103" s="2723"/>
      <c r="T103" s="2723"/>
      <c r="U103" s="2723"/>
      <c r="V103" s="2723"/>
      <c r="W103" s="2723"/>
      <c r="X103" s="2723"/>
      <c r="Y103" s="2723"/>
      <c r="Z103" s="2723"/>
      <c r="AA103" s="2723"/>
      <c r="AB103" s="2723"/>
      <c r="AC103" s="2723"/>
      <c r="AD103" s="2723"/>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3" priority="18" stopIfTrue="1" operator="containsText" text="超过">
      <formula>NOT(ISERROR(SEARCH("超过",F40)))</formula>
    </cfRule>
  </conditionalFormatting>
  <conditionalFormatting sqref="J42">
    <cfRule type="containsText" dxfId="52" priority="17" stopIfTrue="1" operator="containsText" text="超过">
      <formula>NOT(ISERROR(SEARCH("超过",J42)))</formula>
    </cfRule>
  </conditionalFormatting>
  <conditionalFormatting sqref="H42">
    <cfRule type="containsText" dxfId="51" priority="16" stopIfTrue="1" operator="containsText" text="超过">
      <formula>NOT(ISERROR(SEARCH("超过",H42)))</formula>
    </cfRule>
  </conditionalFormatting>
  <conditionalFormatting sqref="F42">
    <cfRule type="containsText" dxfId="50" priority="15" stopIfTrue="1" operator="containsText" text="超过">
      <formula>NOT(ISERROR(SEARCH("超过",F42)))</formula>
    </cfRule>
  </conditionalFormatting>
  <conditionalFormatting sqref="F41 H41 J41">
    <cfRule type="containsText" dxfId="49" priority="14" stopIfTrue="1" operator="containsText" text="超过">
      <formula>NOT(ISERROR(SEARCH("超过",F41)))</formula>
    </cfRule>
  </conditionalFormatting>
  <conditionalFormatting sqref="E40">
    <cfRule type="expression" dxfId="48" priority="13" stopIfTrue="1">
      <formula>$F$40="超过30%"</formula>
    </cfRule>
  </conditionalFormatting>
  <conditionalFormatting sqref="G42">
    <cfRule type="expression" dxfId="47" priority="12" stopIfTrue="1">
      <formula>$H$54+$H$42="超过30%"</formula>
    </cfRule>
  </conditionalFormatting>
  <conditionalFormatting sqref="E41">
    <cfRule type="expression" dxfId="46" priority="11" stopIfTrue="1">
      <formula>$F$41="超过20%"</formula>
    </cfRule>
  </conditionalFormatting>
  <conditionalFormatting sqref="E42">
    <cfRule type="expression" dxfId="45" priority="10" stopIfTrue="1">
      <formula>$F$42="超过30%"</formula>
    </cfRule>
  </conditionalFormatting>
  <conditionalFormatting sqref="G40">
    <cfRule type="expression" dxfId="44" priority="9" stopIfTrue="1">
      <formula>$H$52+$H$40="超过30%"</formula>
    </cfRule>
  </conditionalFormatting>
  <conditionalFormatting sqref="G41">
    <cfRule type="expression" dxfId="43" priority="8" stopIfTrue="1">
      <formula>$H$53+$H$41="超过20%"</formula>
    </cfRule>
  </conditionalFormatting>
  <conditionalFormatting sqref="I40">
    <cfRule type="expression" dxfId="42" priority="7" stopIfTrue="1">
      <formula>$J$40="超过30%"</formula>
    </cfRule>
  </conditionalFormatting>
  <conditionalFormatting sqref="I41">
    <cfRule type="expression" dxfId="41" priority="6" stopIfTrue="1">
      <formula>$J$41="超过20%"</formula>
    </cfRule>
  </conditionalFormatting>
  <conditionalFormatting sqref="I42">
    <cfRule type="expression" dxfId="40" priority="5" stopIfTrue="1">
      <formula>$J$42="超过30%"</formula>
    </cfRule>
  </conditionalFormatting>
  <conditionalFormatting sqref="F36">
    <cfRule type="expression" dxfId="39" priority="4">
      <formula>$D$36="简单平均"</formula>
    </cfRule>
  </conditionalFormatting>
  <conditionalFormatting sqref="H36">
    <cfRule type="expression" dxfId="38" priority="3">
      <formula>$D$36="简单平均"</formula>
    </cfRule>
  </conditionalFormatting>
  <conditionalFormatting sqref="J36">
    <cfRule type="expression" dxfId="37" priority="2">
      <formula>$D$36="简单平均"</formula>
    </cfRule>
  </conditionalFormatting>
  <conditionalFormatting sqref="F7:F34 H7:H34 J7:J34">
    <cfRule type="cellIs" dxfId="36"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1865</v>
      </c>
      <c r="B1" s="349"/>
      <c r="C1" s="350" t="s">
        <v>1866</v>
      </c>
      <c r="D1" s="685"/>
      <c r="E1" s="685"/>
      <c r="F1" s="684" t="s">
        <v>1765</v>
      </c>
      <c r="G1" s="685"/>
      <c r="H1" s="685"/>
      <c r="I1" s="685"/>
      <c r="J1" s="685"/>
      <c r="K1" s="686"/>
      <c r="L1" s="687"/>
      <c r="M1" s="688"/>
      <c r="N1" s="688"/>
      <c r="O1" s="688"/>
      <c r="P1" s="698"/>
      <c r="Q1" s="698"/>
      <c r="R1" s="698"/>
      <c r="S1" s="698"/>
      <c r="T1" s="698"/>
      <c r="U1" s="698"/>
      <c r="V1" s="698"/>
      <c r="W1" s="698"/>
      <c r="X1" s="698"/>
      <c r="Y1" s="698"/>
      <c r="Z1" s="698"/>
      <c r="AA1" s="698"/>
      <c r="AB1" s="698"/>
      <c r="AC1" s="699"/>
      <c r="AD1" s="351"/>
    </row>
    <row r="2" spans="1:30" s="352" customFormat="1" ht="28.5" customHeight="1">
      <c r="A2" s="201" t="s">
        <v>1460</v>
      </c>
      <c r="B2" s="619" t="e">
        <f>F65</f>
        <v>#DIV/0!</v>
      </c>
      <c r="C2" s="906"/>
      <c r="D2" s="906"/>
      <c r="E2" s="907"/>
      <c r="F2" s="908"/>
      <c r="G2" s="907"/>
      <c r="H2" s="907"/>
      <c r="I2" s="907"/>
      <c r="J2" s="907"/>
      <c r="K2" s="909"/>
      <c r="L2" s="2732"/>
      <c r="M2" s="2733"/>
      <c r="N2" s="2733"/>
      <c r="O2" s="2733"/>
      <c r="P2" s="698"/>
      <c r="Q2" s="698"/>
      <c r="R2" s="698"/>
      <c r="S2" s="698"/>
      <c r="T2" s="698"/>
      <c r="U2" s="698"/>
      <c r="V2" s="698"/>
      <c r="W2" s="698"/>
      <c r="X2" s="698"/>
      <c r="Y2" s="698"/>
      <c r="Z2" s="698"/>
      <c r="AA2" s="698"/>
      <c r="AB2" s="698"/>
      <c r="AC2" s="699"/>
      <c r="AD2" s="351"/>
    </row>
    <row r="3" spans="1:30" s="352" customFormat="1" ht="28.5" customHeight="1" thickBot="1">
      <c r="A3" s="203" t="s">
        <v>1462</v>
      </c>
      <c r="B3" s="558" t="e">
        <f>ROUND(IF(D3="",B2*10000/'数据-汇总表'!E3,B2*10000/D3),0)</f>
        <v>#DIV/0!</v>
      </c>
      <c r="C3" s="203" t="s">
        <v>1867</v>
      </c>
      <c r="D3" s="1192"/>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30" ht="15">
      <c r="A4" s="355" t="s">
        <v>1767</v>
      </c>
      <c r="B4" s="356"/>
      <c r="C4" s="4123" t="s">
        <v>1768</v>
      </c>
      <c r="D4" s="4124"/>
      <c r="E4" s="4125" t="s">
        <v>1769</v>
      </c>
      <c r="F4" s="4126"/>
      <c r="G4" s="4123" t="s">
        <v>1770</v>
      </c>
      <c r="H4" s="4124"/>
      <c r="I4" s="4123" t="s">
        <v>1771</v>
      </c>
      <c r="J4" s="4124"/>
      <c r="K4" s="559" t="s">
        <v>1772</v>
      </c>
      <c r="L4" s="2713"/>
      <c r="M4" s="2714"/>
      <c r="N4" s="2714"/>
      <c r="O4" s="2714"/>
      <c r="P4" s="4127" t="s">
        <v>1773</v>
      </c>
      <c r="Q4" s="4128"/>
      <c r="R4" s="4110" t="s">
        <v>1769</v>
      </c>
      <c r="S4" s="4111"/>
      <c r="T4" s="4110" t="s">
        <v>1770</v>
      </c>
      <c r="U4" s="4111"/>
      <c r="V4" s="4135" t="s">
        <v>1771</v>
      </c>
      <c r="W4" s="4135"/>
      <c r="X4" s="1354"/>
      <c r="Y4" s="4110" t="s">
        <v>1773</v>
      </c>
      <c r="Z4" s="4111"/>
      <c r="AA4" s="4105" t="s">
        <v>1769</v>
      </c>
      <c r="AB4" s="4106" t="s">
        <v>1770</v>
      </c>
      <c r="AC4" s="4105" t="s">
        <v>1771</v>
      </c>
    </row>
    <row r="5" spans="1:30" ht="15">
      <c r="A5" s="358"/>
      <c r="B5" s="359"/>
      <c r="C5" s="4116" t="s">
        <v>1671</v>
      </c>
      <c r="D5" s="4117"/>
      <c r="E5" s="4114" t="s">
        <v>1672</v>
      </c>
      <c r="F5" s="4115"/>
      <c r="G5" s="4116" t="s">
        <v>1673</v>
      </c>
      <c r="H5" s="4117"/>
      <c r="I5" s="4116" t="s">
        <v>1674</v>
      </c>
      <c r="J5" s="4117"/>
      <c r="K5" s="559"/>
      <c r="L5" s="2713"/>
      <c r="M5" s="2714"/>
      <c r="N5" s="2714"/>
      <c r="O5" s="2714"/>
      <c r="P5" s="4129"/>
      <c r="Q5" s="4130"/>
      <c r="R5" s="4112"/>
      <c r="S5" s="4113"/>
      <c r="T5" s="4112"/>
      <c r="U5" s="4113"/>
      <c r="V5" s="4135"/>
      <c r="W5" s="4135"/>
      <c r="X5" s="1354"/>
      <c r="Y5" s="4112"/>
      <c r="Z5" s="4113"/>
      <c r="AA5" s="4106"/>
      <c r="AB5" s="4106"/>
      <c r="AC5" s="4106"/>
    </row>
    <row r="6" spans="1:30" ht="15.75" thickBot="1">
      <c r="A6" s="360"/>
      <c r="B6" s="361"/>
      <c r="C6" s="4118" t="s">
        <v>1675</v>
      </c>
      <c r="D6" s="4119"/>
      <c r="E6" s="4120" t="s">
        <v>1675</v>
      </c>
      <c r="F6" s="4121"/>
      <c r="G6" s="4118" t="s">
        <v>1675</v>
      </c>
      <c r="H6" s="4119"/>
      <c r="I6" s="4118" t="s">
        <v>1675</v>
      </c>
      <c r="J6" s="4119"/>
      <c r="K6" s="559" t="s">
        <v>1676</v>
      </c>
      <c r="L6" s="2713"/>
      <c r="M6" s="2714"/>
      <c r="N6" s="2714"/>
      <c r="O6" s="2714"/>
      <c r="P6" s="4131"/>
      <c r="Q6" s="4132"/>
      <c r="R6" s="4112"/>
      <c r="S6" s="4113"/>
      <c r="T6" s="4133"/>
      <c r="U6" s="4134"/>
      <c r="V6" s="4135"/>
      <c r="W6" s="4135"/>
      <c r="X6" s="1354"/>
      <c r="Y6" s="4133"/>
      <c r="Z6" s="4134"/>
      <c r="AA6" s="4107"/>
      <c r="AB6" s="4107"/>
      <c r="AC6" s="4107"/>
    </row>
    <row r="7" spans="1:30" s="108" customFormat="1" ht="15.75" thickBot="1">
      <c r="A7" s="362" t="s">
        <v>1677</v>
      </c>
      <c r="B7" s="363"/>
      <c r="C7" s="364">
        <f>'数据-取费表'!B2</f>
        <v>45575</v>
      </c>
      <c r="D7" s="365">
        <v>100</v>
      </c>
      <c r="E7" s="366"/>
      <c r="F7" s="367">
        <f>SUMIF(69:69,YEAR(E7)&amp;"-"&amp;INT((MONTH(E7)+2)/3),70:70)</f>
        <v>0</v>
      </c>
      <c r="G7" s="1973"/>
      <c r="H7" s="365">
        <f>SUMIF(69:69,YEAR(G7)&amp;"-"&amp;INT((MONTH(G7)+2)/3),70:70)</f>
        <v>0</v>
      </c>
      <c r="I7" s="1973"/>
      <c r="J7" s="365">
        <f>SUMIF(69:69,YEAR(I7)&amp;"-"&amp;INT((MONTH(I7)+2)/3),70:70)</f>
        <v>0</v>
      </c>
      <c r="K7" s="560"/>
      <c r="L7" s="2715"/>
      <c r="M7" s="2716"/>
      <c r="N7" s="2716"/>
      <c r="O7" s="2716"/>
      <c r="P7" s="4108" t="s">
        <v>1678</v>
      </c>
      <c r="Q7" s="4136"/>
      <c r="R7" s="700" t="s">
        <v>14</v>
      </c>
      <c r="S7" s="701">
        <f t="shared" ref="S7:S15" si="0">F7</f>
        <v>0</v>
      </c>
      <c r="T7" s="700" t="s">
        <v>14</v>
      </c>
      <c r="U7" s="701">
        <f t="shared" ref="U7:U15" si="1">H7</f>
        <v>0</v>
      </c>
      <c r="V7" s="700" t="s">
        <v>14</v>
      </c>
      <c r="W7" s="701">
        <f t="shared" ref="W7:W15" si="2">J7</f>
        <v>0</v>
      </c>
      <c r="X7" s="702"/>
      <c r="Y7" s="4108" t="s">
        <v>1678</v>
      </c>
      <c r="Z7" s="4109"/>
      <c r="AA7" s="703" t="e">
        <f>D7/F7</f>
        <v>#DIV/0!</v>
      </c>
      <c r="AB7" s="703" t="e">
        <f>D7/H7</f>
        <v>#DIV/0!</v>
      </c>
      <c r="AC7" s="703" t="e">
        <f>D7/J7</f>
        <v>#DIV/0!</v>
      </c>
    </row>
    <row r="8" spans="1:30" s="108" customFormat="1" ht="15.75" thickBot="1">
      <c r="A8" s="362" t="s">
        <v>1679</v>
      </c>
      <c r="B8" s="363"/>
      <c r="C8" s="368" t="s">
        <v>1680</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4108" t="s">
        <v>1681</v>
      </c>
      <c r="Q8" s="4109"/>
      <c r="R8" s="700" t="s">
        <v>14</v>
      </c>
      <c r="S8" s="701">
        <f t="shared" si="0"/>
        <v>0</v>
      </c>
      <c r="T8" s="700" t="s">
        <v>14</v>
      </c>
      <c r="U8" s="701">
        <f t="shared" si="1"/>
        <v>0</v>
      </c>
      <c r="V8" s="700" t="s">
        <v>14</v>
      </c>
      <c r="W8" s="701">
        <f t="shared" si="2"/>
        <v>0</v>
      </c>
      <c r="X8" s="702"/>
      <c r="Y8" s="4108" t="s">
        <v>1681</v>
      </c>
      <c r="Z8" s="4109"/>
      <c r="AA8" s="703" t="e">
        <f t="shared" ref="AA8:AA45" si="3">D8/F8</f>
        <v>#DIV/0!</v>
      </c>
      <c r="AB8" s="703" t="e">
        <f t="shared" ref="AB8:AB45" si="4">D8/H8</f>
        <v>#DIV/0!</v>
      </c>
      <c r="AC8" s="703" t="e">
        <f t="shared" ref="AC8:AC45" si="5">D8/J8</f>
        <v>#DIV/0!</v>
      </c>
    </row>
    <row r="9" spans="1:30" s="108" customFormat="1">
      <c r="A9" s="369" t="s">
        <v>1682</v>
      </c>
      <c r="B9" s="63" t="s">
        <v>1683</v>
      </c>
      <c r="C9" s="1976"/>
      <c r="D9" s="126">
        <v>100</v>
      </c>
      <c r="E9" s="1976"/>
      <c r="F9" s="126">
        <f>SUMIF(74:74,E9,75:75)-SUMIF(74:74,C9,75:75)+100</f>
        <v>100</v>
      </c>
      <c r="G9" s="1976"/>
      <c r="H9" s="126">
        <f>SUMIF(74:74,G9,75:75)-SUMIF(74:74,C9,75:75)+100</f>
        <v>100</v>
      </c>
      <c r="I9" s="1976"/>
      <c r="J9" s="126">
        <f>SUMIF(74:74,I9,75:75)-SUMIF(74:74,C9,75:75)+100</f>
        <v>100</v>
      </c>
      <c r="K9" s="560"/>
      <c r="L9" s="2715"/>
      <c r="M9" s="2716"/>
      <c r="N9" s="2716"/>
      <c r="O9" s="2770"/>
      <c r="P9" s="4140" t="s">
        <v>1684</v>
      </c>
      <c r="Q9" s="1342" t="str">
        <f t="shared" ref="Q9:Q15" si="6">B9</f>
        <v>用途</v>
      </c>
      <c r="R9" s="700" t="s">
        <v>14</v>
      </c>
      <c r="S9" s="701">
        <f t="shared" si="0"/>
        <v>100</v>
      </c>
      <c r="T9" s="700" t="s">
        <v>14</v>
      </c>
      <c r="U9" s="701">
        <f t="shared" si="1"/>
        <v>100</v>
      </c>
      <c r="V9" s="700" t="s">
        <v>14</v>
      </c>
      <c r="W9" s="701">
        <f t="shared" si="2"/>
        <v>100</v>
      </c>
      <c r="X9" s="702"/>
      <c r="Y9" s="4052" t="s">
        <v>1685</v>
      </c>
      <c r="Z9" s="52" t="str">
        <f t="shared" ref="Z9:Z15" si="7">Q9</f>
        <v>用途</v>
      </c>
      <c r="AA9" s="703">
        <f t="shared" si="3"/>
        <v>1</v>
      </c>
      <c r="AB9" s="703">
        <f t="shared" si="4"/>
        <v>1</v>
      </c>
      <c r="AC9" s="703">
        <f t="shared" si="5"/>
        <v>1</v>
      </c>
    </row>
    <row r="10" spans="1:30" s="378" customFormat="1" ht="27">
      <c r="A10" s="374"/>
      <c r="B10" s="375" t="s">
        <v>1686</v>
      </c>
      <c r="C10" s="383"/>
      <c r="D10" s="127">
        <v>100</v>
      </c>
      <c r="E10" s="416"/>
      <c r="F10" s="127">
        <f>ROUND(100/'数据-取费表'!G16,0)</f>
        <v>137</v>
      </c>
      <c r="G10" s="414"/>
      <c r="H10" s="127">
        <f>ROUND(100/'数据-取费表'!G16,0)</f>
        <v>137</v>
      </c>
      <c r="I10" s="414"/>
      <c r="J10" s="127">
        <f>ROUND(100/'数据-取费表'!G16,0)</f>
        <v>137</v>
      </c>
      <c r="K10" s="620"/>
      <c r="L10" s="2717"/>
      <c r="M10" s="2718"/>
      <c r="N10" s="2718"/>
      <c r="O10" s="2771"/>
      <c r="P10" s="4140"/>
      <c r="Q10" s="1342" t="str">
        <f t="shared" si="6"/>
        <v>土地使用年限（年）</v>
      </c>
      <c r="R10" s="700" t="s">
        <v>14</v>
      </c>
      <c r="S10" s="701">
        <f t="shared" si="0"/>
        <v>137</v>
      </c>
      <c r="T10" s="700" t="s">
        <v>14</v>
      </c>
      <c r="U10" s="701">
        <f t="shared" si="1"/>
        <v>137</v>
      </c>
      <c r="V10" s="700" t="s">
        <v>14</v>
      </c>
      <c r="W10" s="701">
        <f t="shared" si="2"/>
        <v>137</v>
      </c>
      <c r="X10" s="702"/>
      <c r="Y10" s="4052"/>
      <c r="Z10" s="52" t="str">
        <f t="shared" si="7"/>
        <v>土地使用年限（年）</v>
      </c>
      <c r="AA10" s="703">
        <f t="shared" si="3"/>
        <v>0.72992700729927007</v>
      </c>
      <c r="AB10" s="703">
        <f t="shared" si="4"/>
        <v>0.72992700729927007</v>
      </c>
      <c r="AC10" s="703">
        <f t="shared" si="5"/>
        <v>0.72992700729927007</v>
      </c>
    </row>
    <row r="11" spans="1:30" ht="15">
      <c r="A11" s="379"/>
      <c r="B11" s="375" t="s">
        <v>1687</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4140"/>
      <c r="Q11" s="1342" t="str">
        <f t="shared" si="6"/>
        <v>容积率</v>
      </c>
      <c r="R11" s="700" t="s">
        <v>14</v>
      </c>
      <c r="S11" s="701" t="e">
        <f t="shared" si="0"/>
        <v>#N/A</v>
      </c>
      <c r="T11" s="700" t="s">
        <v>14</v>
      </c>
      <c r="U11" s="701" t="e">
        <f t="shared" si="1"/>
        <v>#N/A</v>
      </c>
      <c r="V11" s="700" t="s">
        <v>14</v>
      </c>
      <c r="W11" s="701" t="e">
        <f t="shared" si="2"/>
        <v>#N/A</v>
      </c>
      <c r="X11" s="702"/>
      <c r="Y11" s="4052"/>
      <c r="Z11" s="52" t="str">
        <f t="shared" si="7"/>
        <v>容积率</v>
      </c>
      <c r="AA11" s="703" t="e">
        <f t="shared" si="3"/>
        <v>#N/A</v>
      </c>
      <c r="AB11" s="703" t="e">
        <f t="shared" si="4"/>
        <v>#N/A</v>
      </c>
      <c r="AC11" s="703" t="e">
        <f t="shared" si="5"/>
        <v>#N/A</v>
      </c>
    </row>
    <row r="12" spans="1:30" s="108" customFormat="1" ht="15">
      <c r="A12" s="382"/>
      <c r="B12" s="1892" t="s">
        <v>1868</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4140"/>
      <c r="Q12" s="1342" t="str">
        <f t="shared" si="6"/>
        <v>配建</v>
      </c>
      <c r="R12" s="700" t="s">
        <v>14</v>
      </c>
      <c r="S12" s="701">
        <f t="shared" si="0"/>
        <v>100</v>
      </c>
      <c r="T12" s="700" t="s">
        <v>14</v>
      </c>
      <c r="U12" s="701">
        <f t="shared" si="1"/>
        <v>100</v>
      </c>
      <c r="V12" s="700" t="s">
        <v>14</v>
      </c>
      <c r="W12" s="701">
        <f t="shared" si="2"/>
        <v>100</v>
      </c>
      <c r="X12" s="702"/>
      <c r="Y12" s="4052"/>
      <c r="Z12" s="52" t="str">
        <f t="shared" si="7"/>
        <v>配建</v>
      </c>
      <c r="AA12" s="703">
        <f>D12/F12</f>
        <v>1</v>
      </c>
      <c r="AB12" s="703">
        <f>D12/H12</f>
        <v>1</v>
      </c>
      <c r="AC12" s="703">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4140"/>
      <c r="Q13" s="1342">
        <f t="shared" si="6"/>
        <v>111</v>
      </c>
      <c r="R13" s="700" t="s">
        <v>14</v>
      </c>
      <c r="S13" s="701">
        <f t="shared" si="0"/>
        <v>100</v>
      </c>
      <c r="T13" s="700" t="s">
        <v>14</v>
      </c>
      <c r="U13" s="701">
        <f t="shared" si="1"/>
        <v>100</v>
      </c>
      <c r="V13" s="700" t="s">
        <v>14</v>
      </c>
      <c r="W13" s="701">
        <f t="shared" si="2"/>
        <v>100</v>
      </c>
      <c r="X13" s="702"/>
      <c r="Y13" s="4052"/>
      <c r="Z13" s="52">
        <f t="shared" si="7"/>
        <v>111</v>
      </c>
      <c r="AA13" s="703">
        <f>D13/F13</f>
        <v>1</v>
      </c>
      <c r="AB13" s="703">
        <f>D13/H13</f>
        <v>1</v>
      </c>
      <c r="AC13" s="703">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4140"/>
      <c r="Q14" s="1342">
        <f t="shared" si="6"/>
        <v>111</v>
      </c>
      <c r="R14" s="700" t="s">
        <v>14</v>
      </c>
      <c r="S14" s="701">
        <f t="shared" si="0"/>
        <v>100</v>
      </c>
      <c r="T14" s="700" t="s">
        <v>14</v>
      </c>
      <c r="U14" s="701">
        <f t="shared" si="1"/>
        <v>100</v>
      </c>
      <c r="V14" s="700" t="s">
        <v>14</v>
      </c>
      <c r="W14" s="701">
        <f t="shared" si="2"/>
        <v>100</v>
      </c>
      <c r="X14" s="702"/>
      <c r="Y14" s="4052"/>
      <c r="Z14" s="52">
        <f t="shared" si="7"/>
        <v>111</v>
      </c>
      <c r="AA14" s="703">
        <f>D14/F14</f>
        <v>1</v>
      </c>
      <c r="AB14" s="703">
        <f>D14/H14</f>
        <v>1</v>
      </c>
      <c r="AC14" s="703">
        <f>D14/J14</f>
        <v>1</v>
      </c>
    </row>
    <row r="15" spans="1:30" ht="99.75">
      <c r="A15" s="391" t="s">
        <v>1688</v>
      </c>
      <c r="B15" s="61" t="s">
        <v>1255</v>
      </c>
      <c r="C15" s="1895"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4142" t="s">
        <v>1689</v>
      </c>
      <c r="Q15" s="1351" t="str">
        <f t="shared" si="6"/>
        <v>居住社区成熟度</v>
      </c>
      <c r="R15" s="704" t="s">
        <v>14</v>
      </c>
      <c r="S15" s="705">
        <f t="shared" si="0"/>
        <v>100</v>
      </c>
      <c r="T15" s="704" t="s">
        <v>14</v>
      </c>
      <c r="U15" s="705">
        <f t="shared" si="1"/>
        <v>100</v>
      </c>
      <c r="V15" s="704" t="s">
        <v>14</v>
      </c>
      <c r="W15" s="705">
        <f t="shared" si="2"/>
        <v>100</v>
      </c>
      <c r="X15" s="1354"/>
      <c r="Y15" s="4142" t="s">
        <v>1689</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720"/>
      <c r="M16" s="2714"/>
      <c r="N16" s="2714"/>
      <c r="O16" s="2772"/>
      <c r="P16" s="4143"/>
      <c r="Q16" s="1351"/>
      <c r="R16" s="704"/>
      <c r="S16" s="705"/>
      <c r="T16" s="704"/>
      <c r="U16" s="705"/>
      <c r="V16" s="704"/>
      <c r="W16" s="705"/>
      <c r="X16" s="1354"/>
      <c r="Y16" s="4143"/>
      <c r="Z16" s="1355"/>
      <c r="AA16" s="1352">
        <v>1</v>
      </c>
      <c r="AB16" s="1352">
        <v>1</v>
      </c>
      <c r="AC16" s="1352">
        <v>1</v>
      </c>
    </row>
    <row r="17" spans="1:29" ht="71.25">
      <c r="A17" s="379"/>
      <c r="B17" s="402" t="s">
        <v>1775</v>
      </c>
      <c r="C17" s="1954"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4143"/>
      <c r="Q17" s="1351" t="str">
        <f>B17</f>
        <v>商业繁华度</v>
      </c>
      <c r="R17" s="704" t="s">
        <v>14</v>
      </c>
      <c r="S17" s="705">
        <f>F17</f>
        <v>100</v>
      </c>
      <c r="T17" s="704" t="s">
        <v>14</v>
      </c>
      <c r="U17" s="705">
        <f>H17</f>
        <v>100</v>
      </c>
      <c r="V17" s="704" t="s">
        <v>14</v>
      </c>
      <c r="W17" s="705">
        <f>J17</f>
        <v>100</v>
      </c>
      <c r="X17" s="1354"/>
      <c r="Y17" s="4143"/>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720"/>
      <c r="M18" s="2714"/>
      <c r="N18" s="2714"/>
      <c r="O18" s="2772"/>
      <c r="P18" s="4143"/>
      <c r="Q18" s="1351"/>
      <c r="R18" s="704"/>
      <c r="S18" s="705"/>
      <c r="T18" s="704"/>
      <c r="U18" s="705"/>
      <c r="V18" s="704"/>
      <c r="W18" s="705"/>
      <c r="X18" s="1354"/>
      <c r="Y18" s="4143"/>
      <c r="Z18" s="1355"/>
      <c r="AA18" s="1352">
        <v>1</v>
      </c>
      <c r="AB18" s="1352">
        <v>1</v>
      </c>
      <c r="AC18" s="1352">
        <v>1</v>
      </c>
    </row>
    <row r="19" spans="1:29" ht="71.25">
      <c r="A19" s="379"/>
      <c r="B19" s="402" t="s">
        <v>1809</v>
      </c>
      <c r="C19" s="1954"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4143"/>
      <c r="Q19" s="1351" t="str">
        <f>B19</f>
        <v>办公集聚程度</v>
      </c>
      <c r="R19" s="704" t="s">
        <v>14</v>
      </c>
      <c r="S19" s="705">
        <f>F19</f>
        <v>100</v>
      </c>
      <c r="T19" s="704" t="s">
        <v>14</v>
      </c>
      <c r="U19" s="705">
        <f>H19</f>
        <v>100</v>
      </c>
      <c r="V19" s="704" t="s">
        <v>14</v>
      </c>
      <c r="W19" s="705">
        <f>J19</f>
        <v>100</v>
      </c>
      <c r="X19" s="1354"/>
      <c r="Y19" s="4143"/>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720"/>
      <c r="M20" s="2714"/>
      <c r="N20" s="2714"/>
      <c r="O20" s="2772"/>
      <c r="P20" s="4143"/>
      <c r="Q20" s="1351"/>
      <c r="R20" s="704"/>
      <c r="S20" s="705"/>
      <c r="T20" s="704"/>
      <c r="U20" s="705"/>
      <c r="V20" s="704"/>
      <c r="W20" s="705"/>
      <c r="X20" s="1354"/>
      <c r="Y20" s="4143"/>
      <c r="Z20" s="1355"/>
      <c r="AA20" s="1352">
        <v>1</v>
      </c>
      <c r="AB20" s="1352">
        <v>1</v>
      </c>
      <c r="AC20" s="1352">
        <v>1</v>
      </c>
    </row>
    <row r="21" spans="1:29" ht="85.5">
      <c r="A21" s="379"/>
      <c r="B21" s="402" t="s">
        <v>1831</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4143"/>
      <c r="Q21" s="1351" t="str">
        <f>B21</f>
        <v>交通便捷度</v>
      </c>
      <c r="R21" s="704" t="s">
        <v>14</v>
      </c>
      <c r="S21" s="705">
        <f>F21</f>
        <v>100</v>
      </c>
      <c r="T21" s="704" t="s">
        <v>14</v>
      </c>
      <c r="U21" s="705">
        <f>H21</f>
        <v>100</v>
      </c>
      <c r="V21" s="704" t="s">
        <v>14</v>
      </c>
      <c r="W21" s="705">
        <f>J21</f>
        <v>100</v>
      </c>
      <c r="X21" s="1354"/>
      <c r="Y21" s="4143"/>
      <c r="Z21" s="1355" t="str">
        <f>Q21</f>
        <v>交通便捷度</v>
      </c>
      <c r="AA21" s="1352">
        <f t="shared" si="3"/>
        <v>1</v>
      </c>
      <c r="AB21" s="1352">
        <f t="shared" si="4"/>
        <v>1</v>
      </c>
      <c r="AC21" s="1352">
        <f t="shared" si="5"/>
        <v>1</v>
      </c>
    </row>
    <row r="22" spans="1:29" ht="15">
      <c r="A22" s="379"/>
      <c r="B22" s="1130"/>
      <c r="C22" s="398"/>
      <c r="D22" s="401"/>
      <c r="E22" s="1897"/>
      <c r="F22" s="399"/>
      <c r="G22" s="1897"/>
      <c r="H22" s="399"/>
      <c r="I22" s="1896"/>
      <c r="J22" s="399"/>
      <c r="K22" s="620"/>
      <c r="L22" s="2720"/>
      <c r="M22" s="2714"/>
      <c r="N22" s="2714"/>
      <c r="O22" s="2772"/>
      <c r="P22" s="4143"/>
      <c r="Q22" s="1351"/>
      <c r="R22" s="704"/>
      <c r="S22" s="705"/>
      <c r="T22" s="704"/>
      <c r="U22" s="705"/>
      <c r="V22" s="704"/>
      <c r="W22" s="705"/>
      <c r="X22" s="1354"/>
      <c r="Y22" s="4143"/>
      <c r="Z22" s="1355"/>
      <c r="AA22" s="1352">
        <v>1</v>
      </c>
      <c r="AB22" s="1352">
        <v>1</v>
      </c>
      <c r="AC22" s="1352">
        <v>1</v>
      </c>
    </row>
    <row r="23" spans="1:29" ht="15">
      <c r="A23" s="358"/>
      <c r="B23" s="402" t="s">
        <v>1869</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4143"/>
      <c r="Q23" s="1351" t="str">
        <f t="shared" ref="Q23:Q37" si="8">B23</f>
        <v>区域土地利用方向</v>
      </c>
      <c r="R23" s="704" t="s">
        <v>14</v>
      </c>
      <c r="S23" s="705">
        <f>F23</f>
        <v>100</v>
      </c>
      <c r="T23" s="704" t="s">
        <v>14</v>
      </c>
      <c r="U23" s="705">
        <f>H23</f>
        <v>100</v>
      </c>
      <c r="V23" s="704" t="s">
        <v>14</v>
      </c>
      <c r="W23" s="705">
        <f>J23</f>
        <v>100</v>
      </c>
      <c r="X23" s="1354"/>
      <c r="Y23" s="4143"/>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39"/>
      <c r="L24" s="2720"/>
      <c r="M24" s="2714"/>
      <c r="N24" s="2714"/>
      <c r="O24" s="2772"/>
      <c r="P24" s="4143"/>
      <c r="Q24" s="1351"/>
      <c r="R24" s="704"/>
      <c r="S24" s="705"/>
      <c r="T24" s="704"/>
      <c r="U24" s="705"/>
      <c r="V24" s="704"/>
      <c r="W24" s="705"/>
      <c r="X24" s="1354"/>
      <c r="Y24" s="4143"/>
      <c r="Z24" s="1355"/>
      <c r="AA24" s="1352"/>
      <c r="AB24" s="1352"/>
      <c r="AC24" s="1352"/>
    </row>
    <row r="25" spans="1:29" ht="57">
      <c r="A25" s="358"/>
      <c r="B25" s="1130" t="s">
        <v>1870</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4143"/>
      <c r="Q25" s="1351" t="str">
        <f t="shared" si="8"/>
        <v>自然及人文环境状况</v>
      </c>
      <c r="R25" s="704" t="s">
        <v>14</v>
      </c>
      <c r="S25" s="705">
        <f>F25</f>
        <v>100</v>
      </c>
      <c r="T25" s="704" t="s">
        <v>14</v>
      </c>
      <c r="U25" s="705">
        <f>H25</f>
        <v>100</v>
      </c>
      <c r="V25" s="704" t="s">
        <v>14</v>
      </c>
      <c r="W25" s="705">
        <f>J25</f>
        <v>100</v>
      </c>
      <c r="X25" s="1354"/>
      <c r="Y25" s="4143"/>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720"/>
      <c r="M26" s="2714"/>
      <c r="N26" s="2714"/>
      <c r="O26" s="2772"/>
      <c r="P26" s="4143"/>
      <c r="Q26" s="1351"/>
      <c r="R26" s="704"/>
      <c r="S26" s="705"/>
      <c r="T26" s="704"/>
      <c r="U26" s="705"/>
      <c r="V26" s="704"/>
      <c r="W26" s="705"/>
      <c r="X26" s="1354"/>
      <c r="Y26" s="4143"/>
      <c r="Z26" s="1355"/>
      <c r="AA26" s="1352">
        <v>1</v>
      </c>
      <c r="AB26" s="1352">
        <v>1</v>
      </c>
      <c r="AC26" s="1352">
        <v>1</v>
      </c>
    </row>
    <row r="27" spans="1:29" s="108" customFormat="1" ht="42.75">
      <c r="A27" s="597"/>
      <c r="B27" s="1130" t="s">
        <v>1776</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4143"/>
      <c r="Q27" s="1342" t="str">
        <f t="shared" si="8"/>
        <v>公共配套设施</v>
      </c>
      <c r="R27" s="700" t="s">
        <v>14</v>
      </c>
      <c r="S27" s="701">
        <f>F27</f>
        <v>100</v>
      </c>
      <c r="T27" s="700" t="s">
        <v>14</v>
      </c>
      <c r="U27" s="701">
        <f>H27</f>
        <v>100</v>
      </c>
      <c r="V27" s="700" t="s">
        <v>14</v>
      </c>
      <c r="W27" s="701">
        <f>J27</f>
        <v>100</v>
      </c>
      <c r="X27" s="702"/>
      <c r="Y27" s="4143"/>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715"/>
      <c r="M28" s="2716"/>
      <c r="N28" s="2716"/>
      <c r="O28" s="2770"/>
      <c r="P28" s="4143"/>
      <c r="Q28" s="1342"/>
      <c r="R28" s="700"/>
      <c r="S28" s="701"/>
      <c r="T28" s="700"/>
      <c r="U28" s="701"/>
      <c r="V28" s="700"/>
      <c r="W28" s="701"/>
      <c r="X28" s="702"/>
      <c r="Y28" s="4143"/>
      <c r="Z28" s="52"/>
      <c r="AA28" s="1352">
        <v>1</v>
      </c>
      <c r="AB28" s="1352">
        <v>1</v>
      </c>
      <c r="AC28" s="1352">
        <v>1</v>
      </c>
    </row>
    <row r="29" spans="1:29" s="108" customFormat="1" ht="28.5">
      <c r="A29" s="597"/>
      <c r="B29" s="1130" t="s">
        <v>1777</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4143"/>
      <c r="Q29" s="1342" t="str">
        <f t="shared" ref="Q29" si="9">B29</f>
        <v>基础设施水平</v>
      </c>
      <c r="R29" s="700" t="s">
        <v>14</v>
      </c>
      <c r="S29" s="701">
        <f>F29</f>
        <v>100</v>
      </c>
      <c r="T29" s="700" t="s">
        <v>14</v>
      </c>
      <c r="U29" s="701">
        <f>H29</f>
        <v>100</v>
      </c>
      <c r="V29" s="700" t="s">
        <v>14</v>
      </c>
      <c r="W29" s="701">
        <f>J29</f>
        <v>100</v>
      </c>
      <c r="X29" s="702"/>
      <c r="Y29" s="4143"/>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715"/>
      <c r="M30" s="2716"/>
      <c r="N30" s="2716"/>
      <c r="O30" s="2770"/>
      <c r="P30" s="4143"/>
      <c r="Q30" s="1342"/>
      <c r="R30" s="700"/>
      <c r="S30" s="701"/>
      <c r="T30" s="700"/>
      <c r="U30" s="701"/>
      <c r="V30" s="700"/>
      <c r="W30" s="701"/>
      <c r="X30" s="702"/>
      <c r="Y30" s="4143"/>
      <c r="Z30" s="52"/>
      <c r="AA30" s="1352">
        <v>1</v>
      </c>
      <c r="AB30" s="1352">
        <v>1</v>
      </c>
      <c r="AC30" s="1352">
        <v>1</v>
      </c>
    </row>
    <row r="31" spans="1:29" ht="15">
      <c r="A31" s="379"/>
      <c r="B31" s="407" t="s">
        <v>1778</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4143"/>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4143"/>
      <c r="Z31" s="1355" t="str">
        <f t="shared" ref="Z31:Z45" si="13">Q31</f>
        <v>临街状况</v>
      </c>
      <c r="AA31" s="1352">
        <f t="shared" si="3"/>
        <v>1</v>
      </c>
      <c r="AB31" s="1352">
        <f t="shared" si="4"/>
        <v>1</v>
      </c>
      <c r="AC31" s="1352">
        <f t="shared" si="5"/>
        <v>1</v>
      </c>
    </row>
    <row r="32" spans="1:29" ht="27">
      <c r="A32" s="379"/>
      <c r="B32" s="1130" t="s">
        <v>1813</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4143"/>
      <c r="Q32" s="1351" t="str">
        <f t="shared" si="8"/>
        <v>毗邻道路的类型与等级</v>
      </c>
      <c r="R32" s="704" t="s">
        <v>14</v>
      </c>
      <c r="S32" s="705">
        <f t="shared" si="10"/>
        <v>100</v>
      </c>
      <c r="T32" s="704" t="s">
        <v>14</v>
      </c>
      <c r="U32" s="705">
        <f t="shared" si="11"/>
        <v>100</v>
      </c>
      <c r="V32" s="704" t="s">
        <v>14</v>
      </c>
      <c r="W32" s="705">
        <f t="shared" si="12"/>
        <v>100</v>
      </c>
      <c r="X32" s="1354"/>
      <c r="Y32" s="4143"/>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720"/>
      <c r="M33" s="2714"/>
      <c r="N33" s="2714"/>
      <c r="O33" s="2772"/>
      <c r="P33" s="4143"/>
      <c r="Q33" s="1351"/>
      <c r="R33" s="704"/>
      <c r="S33" s="705"/>
      <c r="T33" s="704"/>
      <c r="U33" s="705"/>
      <c r="V33" s="704"/>
      <c r="W33" s="705"/>
      <c r="X33" s="1354"/>
      <c r="Y33" s="4143"/>
      <c r="Z33" s="1355"/>
      <c r="AA33" s="1352">
        <v>1</v>
      </c>
      <c r="AB33" s="1352">
        <v>1</v>
      </c>
      <c r="AC33" s="1352">
        <v>1</v>
      </c>
    </row>
    <row r="34" spans="1:29" ht="15">
      <c r="A34" s="379"/>
      <c r="B34" s="375" t="s">
        <v>1871</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4143"/>
      <c r="Q34" s="1351" t="str">
        <f t="shared" si="8"/>
        <v>土地级别</v>
      </c>
      <c r="R34" s="704" t="s">
        <v>14</v>
      </c>
      <c r="S34" s="705">
        <f t="shared" si="10"/>
        <v>100</v>
      </c>
      <c r="T34" s="704" t="s">
        <v>14</v>
      </c>
      <c r="U34" s="705">
        <f t="shared" si="11"/>
        <v>100</v>
      </c>
      <c r="V34" s="704" t="s">
        <v>14</v>
      </c>
      <c r="W34" s="705">
        <f t="shared" si="12"/>
        <v>100</v>
      </c>
      <c r="X34" s="1354"/>
      <c r="Y34" s="4143"/>
      <c r="Z34" s="1355" t="str">
        <f t="shared" si="13"/>
        <v>土地级别</v>
      </c>
      <c r="AA34" s="1352">
        <f t="shared" si="3"/>
        <v>1</v>
      </c>
      <c r="AB34" s="1352">
        <f t="shared" si="4"/>
        <v>1</v>
      </c>
      <c r="AC34" s="1352">
        <f t="shared" si="5"/>
        <v>1</v>
      </c>
    </row>
    <row r="35" spans="1:29" ht="15">
      <c r="A35" s="358"/>
      <c r="B35" s="1132">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4143"/>
      <c r="Q35" s="1351">
        <f t="shared" si="8"/>
        <v>111</v>
      </c>
      <c r="R35" s="704" t="s">
        <v>14</v>
      </c>
      <c r="S35" s="705">
        <f t="shared" si="10"/>
        <v>100</v>
      </c>
      <c r="T35" s="704" t="s">
        <v>14</v>
      </c>
      <c r="U35" s="705">
        <f t="shared" si="11"/>
        <v>100</v>
      </c>
      <c r="V35" s="704" t="s">
        <v>14</v>
      </c>
      <c r="W35" s="705">
        <f t="shared" si="12"/>
        <v>100</v>
      </c>
      <c r="X35" s="1354"/>
      <c r="Y35" s="4143"/>
      <c r="Z35" s="1355">
        <f t="shared" si="13"/>
        <v>111</v>
      </c>
      <c r="AA35" s="1352">
        <f t="shared" si="3"/>
        <v>1</v>
      </c>
      <c r="AB35" s="1352">
        <f t="shared" si="4"/>
        <v>1</v>
      </c>
      <c r="AC35" s="1352">
        <f t="shared" si="5"/>
        <v>1</v>
      </c>
    </row>
    <row r="36" spans="1:29" ht="15">
      <c r="A36" s="623"/>
      <c r="B36" s="1133">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4168" t="s">
        <v>1694</v>
      </c>
      <c r="Q36" s="1351">
        <f t="shared" si="8"/>
        <v>111</v>
      </c>
      <c r="R36" s="704" t="s">
        <v>14</v>
      </c>
      <c r="S36" s="705">
        <f t="shared" si="10"/>
        <v>100</v>
      </c>
      <c r="T36" s="704" t="s">
        <v>14</v>
      </c>
      <c r="U36" s="705">
        <f t="shared" si="11"/>
        <v>100</v>
      </c>
      <c r="V36" s="704" t="s">
        <v>14</v>
      </c>
      <c r="W36" s="705">
        <f t="shared" si="12"/>
        <v>100</v>
      </c>
      <c r="X36" s="1354"/>
      <c r="Y36" s="4147" t="s">
        <v>1694</v>
      </c>
      <c r="Z36" s="1355">
        <f t="shared" si="13"/>
        <v>111</v>
      </c>
      <c r="AA36" s="1352">
        <f t="shared" si="3"/>
        <v>1</v>
      </c>
      <c r="AB36" s="1352">
        <f t="shared" si="4"/>
        <v>1</v>
      </c>
      <c r="AC36" s="1352">
        <f t="shared" si="5"/>
        <v>1</v>
      </c>
    </row>
    <row r="37" spans="1:29" s="422" customFormat="1" ht="15.75" thickBot="1">
      <c r="A37" s="624"/>
      <c r="B37" s="1134">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4147"/>
      <c r="Q37" s="1351">
        <f t="shared" si="8"/>
        <v>111</v>
      </c>
      <c r="R37" s="707" t="s">
        <v>14</v>
      </c>
      <c r="S37" s="708">
        <f t="shared" si="10"/>
        <v>100</v>
      </c>
      <c r="T37" s="707" t="s">
        <v>14</v>
      </c>
      <c r="U37" s="708">
        <f t="shared" si="11"/>
        <v>100</v>
      </c>
      <c r="V37" s="707" t="s">
        <v>14</v>
      </c>
      <c r="W37" s="708">
        <f t="shared" si="12"/>
        <v>100</v>
      </c>
      <c r="X37" s="709"/>
      <c r="Y37" s="4147"/>
      <c r="Z37" s="710">
        <f t="shared" si="13"/>
        <v>111</v>
      </c>
      <c r="AA37" s="1352">
        <f t="shared" si="3"/>
        <v>1</v>
      </c>
      <c r="AB37" s="1352">
        <f t="shared" si="4"/>
        <v>1</v>
      </c>
      <c r="AC37" s="1352">
        <f t="shared" si="5"/>
        <v>1</v>
      </c>
    </row>
    <row r="38" spans="1:29" ht="15">
      <c r="A38" s="423" t="s">
        <v>1692</v>
      </c>
      <c r="B38" s="407" t="s">
        <v>1872</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4147"/>
      <c r="Q38" s="1351" t="str">
        <f>B38</f>
        <v>宗地面积</v>
      </c>
      <c r="R38" s="704" t="s">
        <v>14</v>
      </c>
      <c r="S38" s="705" t="e">
        <f t="shared" si="10"/>
        <v>#N/A</v>
      </c>
      <c r="T38" s="704" t="s">
        <v>14</v>
      </c>
      <c r="U38" s="705" t="e">
        <f t="shared" si="11"/>
        <v>#N/A</v>
      </c>
      <c r="V38" s="704" t="s">
        <v>14</v>
      </c>
      <c r="W38" s="705" t="e">
        <f t="shared" si="12"/>
        <v>#N/A</v>
      </c>
      <c r="X38" s="1354"/>
      <c r="Y38" s="4147"/>
      <c r="Z38" s="1355" t="str">
        <f t="shared" si="13"/>
        <v>宗地面积</v>
      </c>
      <c r="AA38" s="1352" t="e">
        <f t="shared" si="3"/>
        <v>#N/A</v>
      </c>
      <c r="AB38" s="1352" t="e">
        <f t="shared" si="4"/>
        <v>#N/A</v>
      </c>
      <c r="AC38" s="1352" t="e">
        <f t="shared" si="5"/>
        <v>#N/A</v>
      </c>
    </row>
    <row r="39" spans="1:29" ht="15">
      <c r="A39" s="423"/>
      <c r="B39" s="375" t="s">
        <v>1873</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720"/>
      <c r="M39" s="2714"/>
      <c r="N39" s="2714"/>
      <c r="O39" s="2772"/>
      <c r="P39" s="4147"/>
      <c r="Q39" s="1351" t="str">
        <f t="shared" ref="Q39:Q45" si="14">B39</f>
        <v>宗地形状</v>
      </c>
      <c r="R39" s="704" t="s">
        <v>14</v>
      </c>
      <c r="S39" s="705">
        <f t="shared" si="10"/>
        <v>100</v>
      </c>
      <c r="T39" s="704" t="s">
        <v>14</v>
      </c>
      <c r="U39" s="705">
        <f t="shared" si="11"/>
        <v>100</v>
      </c>
      <c r="V39" s="704" t="s">
        <v>14</v>
      </c>
      <c r="W39" s="705">
        <f t="shared" si="12"/>
        <v>100</v>
      </c>
      <c r="X39" s="1354"/>
      <c r="Y39" s="4147"/>
      <c r="Z39" s="1355" t="str">
        <f t="shared" si="13"/>
        <v>宗地形状</v>
      </c>
      <c r="AA39" s="1352">
        <f t="shared" si="3"/>
        <v>1</v>
      </c>
      <c r="AB39" s="1352">
        <f t="shared" si="4"/>
        <v>1</v>
      </c>
      <c r="AC39" s="1352">
        <f t="shared" si="5"/>
        <v>1</v>
      </c>
    </row>
    <row r="40" spans="1:29" ht="15">
      <c r="A40" s="423"/>
      <c r="B40" s="375" t="s">
        <v>1874</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720"/>
      <c r="M40" s="2714"/>
      <c r="N40" s="2714"/>
      <c r="O40" s="2772"/>
      <c r="P40" s="4147"/>
      <c r="Q40" s="1351" t="str">
        <f t="shared" si="14"/>
        <v>临街宽度及深度</v>
      </c>
      <c r="R40" s="704" t="s">
        <v>14</v>
      </c>
      <c r="S40" s="705">
        <f t="shared" si="10"/>
        <v>100</v>
      </c>
      <c r="T40" s="704" t="s">
        <v>14</v>
      </c>
      <c r="U40" s="705">
        <f t="shared" si="11"/>
        <v>100</v>
      </c>
      <c r="V40" s="704" t="s">
        <v>14</v>
      </c>
      <c r="W40" s="705">
        <f t="shared" si="12"/>
        <v>100</v>
      </c>
      <c r="X40" s="1354"/>
      <c r="Y40" s="4147"/>
      <c r="Z40" s="1355" t="str">
        <f t="shared" si="13"/>
        <v>临街宽度及深度</v>
      </c>
      <c r="AA40" s="1352">
        <f t="shared" si="3"/>
        <v>1</v>
      </c>
      <c r="AB40" s="1352">
        <f t="shared" si="4"/>
        <v>1</v>
      </c>
      <c r="AC40" s="1352">
        <f t="shared" si="5"/>
        <v>1</v>
      </c>
    </row>
    <row r="41" spans="1:29" s="108" customFormat="1" ht="15">
      <c r="A41" s="424"/>
      <c r="B41" s="375" t="s">
        <v>1875</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715"/>
      <c r="M41" s="2716"/>
      <c r="N41" s="2716"/>
      <c r="O41" s="2770"/>
      <c r="P41" s="4147"/>
      <c r="Q41" s="1351" t="str">
        <f t="shared" si="14"/>
        <v>宗地开发程度</v>
      </c>
      <c r="R41" s="700" t="s">
        <v>14</v>
      </c>
      <c r="S41" s="701">
        <f t="shared" si="10"/>
        <v>100</v>
      </c>
      <c r="T41" s="700" t="s">
        <v>14</v>
      </c>
      <c r="U41" s="701">
        <f t="shared" si="11"/>
        <v>100</v>
      </c>
      <c r="V41" s="700" t="s">
        <v>14</v>
      </c>
      <c r="W41" s="701">
        <f t="shared" si="12"/>
        <v>100</v>
      </c>
      <c r="X41" s="702"/>
      <c r="Y41" s="4147"/>
      <c r="Z41" s="52" t="str">
        <f t="shared" si="13"/>
        <v>宗地开发程度</v>
      </c>
      <c r="AA41" s="703">
        <f t="shared" si="3"/>
        <v>1</v>
      </c>
      <c r="AB41" s="703">
        <f t="shared" si="4"/>
        <v>1</v>
      </c>
      <c r="AC41" s="703">
        <f t="shared" si="5"/>
        <v>1</v>
      </c>
    </row>
    <row r="42" spans="1:29" ht="15">
      <c r="A42" s="423"/>
      <c r="B42" s="375" t="s">
        <v>1876</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720"/>
      <c r="M42" s="2714"/>
      <c r="N42" s="2714"/>
      <c r="O42" s="2772"/>
      <c r="P42" s="4147" t="s">
        <v>1694</v>
      </c>
      <c r="Q42" s="1351" t="str">
        <f t="shared" si="14"/>
        <v>工程地质条件</v>
      </c>
      <c r="R42" s="704" t="s">
        <v>14</v>
      </c>
      <c r="S42" s="705">
        <f t="shared" si="10"/>
        <v>100</v>
      </c>
      <c r="T42" s="704" t="s">
        <v>14</v>
      </c>
      <c r="U42" s="705">
        <f t="shared" si="11"/>
        <v>100</v>
      </c>
      <c r="V42" s="704" t="s">
        <v>14</v>
      </c>
      <c r="W42" s="705">
        <f t="shared" si="12"/>
        <v>100</v>
      </c>
      <c r="X42" s="1354"/>
      <c r="Y42" s="4147" t="s">
        <v>1694</v>
      </c>
      <c r="Z42" s="1355" t="str">
        <f t="shared" si="13"/>
        <v>工程地质条件</v>
      </c>
      <c r="AA42" s="1352">
        <f t="shared" si="3"/>
        <v>1</v>
      </c>
      <c r="AB42" s="1352">
        <f t="shared" si="4"/>
        <v>1</v>
      </c>
      <c r="AC42" s="1352">
        <f t="shared" si="5"/>
        <v>1</v>
      </c>
    </row>
    <row r="43" spans="1:29" ht="15">
      <c r="A43" s="423"/>
      <c r="B43" s="1133">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4147"/>
      <c r="Q43" s="1351">
        <f t="shared" si="14"/>
        <v>111</v>
      </c>
      <c r="R43" s="704" t="s">
        <v>14</v>
      </c>
      <c r="S43" s="705">
        <f t="shared" si="10"/>
        <v>100</v>
      </c>
      <c r="T43" s="704" t="s">
        <v>14</v>
      </c>
      <c r="U43" s="705">
        <f t="shared" si="11"/>
        <v>100</v>
      </c>
      <c r="V43" s="704" t="s">
        <v>14</v>
      </c>
      <c r="W43" s="705">
        <f t="shared" si="12"/>
        <v>100</v>
      </c>
      <c r="X43" s="1354"/>
      <c r="Y43" s="4147"/>
      <c r="Z43" s="1355">
        <f t="shared" si="13"/>
        <v>111</v>
      </c>
      <c r="AA43" s="1352">
        <f t="shared" si="3"/>
        <v>1</v>
      </c>
      <c r="AB43" s="1352">
        <f t="shared" si="4"/>
        <v>1</v>
      </c>
      <c r="AC43" s="1352">
        <f t="shared" si="5"/>
        <v>1</v>
      </c>
    </row>
    <row r="44" spans="1:29" ht="15">
      <c r="A44" s="423"/>
      <c r="B44" s="1133">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4147"/>
      <c r="Q44" s="1351">
        <f t="shared" si="14"/>
        <v>111</v>
      </c>
      <c r="R44" s="704" t="s">
        <v>14</v>
      </c>
      <c r="S44" s="705">
        <f t="shared" si="10"/>
        <v>100</v>
      </c>
      <c r="T44" s="704" t="s">
        <v>14</v>
      </c>
      <c r="U44" s="705">
        <f t="shared" si="11"/>
        <v>100</v>
      </c>
      <c r="V44" s="704" t="s">
        <v>14</v>
      </c>
      <c r="W44" s="705">
        <f t="shared" si="12"/>
        <v>100</v>
      </c>
      <c r="X44" s="1354"/>
      <c r="Y44" s="4147"/>
      <c r="Z44" s="1355">
        <f t="shared" si="13"/>
        <v>111</v>
      </c>
      <c r="AA44" s="1352">
        <f t="shared" si="3"/>
        <v>1</v>
      </c>
      <c r="AB44" s="1352">
        <f t="shared" si="4"/>
        <v>1</v>
      </c>
      <c r="AC44" s="1352">
        <f t="shared" si="5"/>
        <v>1</v>
      </c>
    </row>
    <row r="45" spans="1:29" s="422" customFormat="1" ht="15.75" thickBot="1">
      <c r="A45" s="419"/>
      <c r="B45" s="1133">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4147"/>
      <c r="Q45" s="1351">
        <f t="shared" si="14"/>
        <v>111</v>
      </c>
      <c r="R45" s="707" t="s">
        <v>14</v>
      </c>
      <c r="S45" s="708">
        <f t="shared" si="10"/>
        <v>100</v>
      </c>
      <c r="T45" s="707" t="s">
        <v>14</v>
      </c>
      <c r="U45" s="708">
        <f t="shared" si="11"/>
        <v>100</v>
      </c>
      <c r="V45" s="707" t="s">
        <v>14</v>
      </c>
      <c r="W45" s="708">
        <f t="shared" si="12"/>
        <v>100</v>
      </c>
      <c r="X45" s="709"/>
      <c r="Y45" s="4147"/>
      <c r="Z45" s="710">
        <f t="shared" si="13"/>
        <v>111</v>
      </c>
      <c r="AA45" s="1352">
        <f t="shared" si="3"/>
        <v>1</v>
      </c>
      <c r="AB45" s="1352">
        <f t="shared" si="4"/>
        <v>1</v>
      </c>
      <c r="AC45" s="1352">
        <f t="shared" si="5"/>
        <v>1</v>
      </c>
    </row>
    <row r="46" spans="1:29" ht="15">
      <c r="A46" s="430" t="s">
        <v>1842</v>
      </c>
      <c r="B46" s="1981" t="s">
        <v>1877</v>
      </c>
      <c r="C46" s="630" t="s">
        <v>0</v>
      </c>
      <c r="D46" s="432"/>
      <c r="E46" s="433"/>
      <c r="F46" s="434"/>
      <c r="G46" s="435"/>
      <c r="H46" s="436"/>
      <c r="I46" s="433"/>
      <c r="J46" s="436"/>
      <c r="K46" s="713"/>
      <c r="L46" s="2722"/>
      <c r="M46" s="2723"/>
      <c r="N46" s="2714"/>
      <c r="O46" s="2723"/>
      <c r="P46" s="4140" t="str">
        <f>A46</f>
        <v>成交单价</v>
      </c>
      <c r="Q46" s="4140"/>
      <c r="R46" s="4135">
        <f>E46</f>
        <v>0</v>
      </c>
      <c r="S46" s="4135"/>
      <c r="T46" s="4135">
        <f>G46</f>
        <v>0</v>
      </c>
      <c r="U46" s="4135"/>
      <c r="V46" s="4135">
        <f>I46</f>
        <v>0</v>
      </c>
      <c r="W46" s="4135"/>
      <c r="X46" s="689"/>
      <c r="Y46" s="711"/>
      <c r="Z46" s="689"/>
      <c r="AA46" s="689"/>
      <c r="AB46" s="689"/>
      <c r="AC46" s="689"/>
    </row>
    <row r="47" spans="1:29" ht="15.75" thickBot="1">
      <c r="A47" s="437" t="s">
        <v>1791</v>
      </c>
      <c r="B47" s="631"/>
      <c r="C47" s="440" t="e">
        <f>R48</f>
        <v>#DIV/0!</v>
      </c>
      <c r="D47" s="2316" t="s">
        <v>2135</v>
      </c>
      <c r="E47" s="440" t="e">
        <f>R47</f>
        <v>#DIV/0!</v>
      </c>
      <c r="F47" s="2317"/>
      <c r="G47" s="439" t="e">
        <f>T47</f>
        <v>#DIV/0!</v>
      </c>
      <c r="H47" s="2317"/>
      <c r="I47" s="440" t="e">
        <f>V47</f>
        <v>#DIV/0!</v>
      </c>
      <c r="J47" s="2317"/>
      <c r="K47" s="2319">
        <f>F47+H47+J47</f>
        <v>0</v>
      </c>
      <c r="L47" s="2722"/>
      <c r="M47" s="2723"/>
      <c r="N47" s="2723"/>
      <c r="O47" s="2723"/>
      <c r="P47" s="4140" t="str">
        <f>A47</f>
        <v>比较价值（元/平方米）</v>
      </c>
      <c r="Q47" s="4140"/>
      <c r="R47" s="4195" t="e">
        <f>ROUND(PRODUCT(R46,AA7:AA45),0)</f>
        <v>#DIV/0!</v>
      </c>
      <c r="S47" s="4195"/>
      <c r="T47" s="4195" t="e">
        <f>ROUND(PRODUCT(T46,AB7:AB45),0)</f>
        <v>#DIV/0!</v>
      </c>
      <c r="U47" s="4195"/>
      <c r="V47" s="4195" t="e">
        <f>ROUND(PRODUCT(V46,AC7:AC45),0)</f>
        <v>#DIV/0!</v>
      </c>
      <c r="W47" s="4195"/>
      <c r="X47" s="689"/>
      <c r="Y47" s="689"/>
      <c r="Z47" s="689"/>
      <c r="AA47" s="689"/>
      <c r="AB47" s="689"/>
      <c r="AC47" s="689"/>
    </row>
    <row r="48" spans="1:29" ht="15.75" thickBot="1">
      <c r="A48" s="441" t="s">
        <v>1878</v>
      </c>
      <c r="B48" s="442"/>
      <c r="C48" s="443" t="e">
        <f>R48</f>
        <v>#DIV/0!</v>
      </c>
      <c r="D48" s="443"/>
      <c r="E48" s="443"/>
      <c r="F48" s="443"/>
      <c r="G48" s="443"/>
      <c r="H48" s="443"/>
      <c r="I48" s="443"/>
      <c r="J48" s="443"/>
      <c r="K48" s="714"/>
      <c r="L48" s="2722"/>
      <c r="M48" s="2723"/>
      <c r="N48" s="2723"/>
      <c r="O48" s="2723"/>
      <c r="P48" s="4137" t="str">
        <f>A48</f>
        <v>估价对象XX用房的比较价值（楼面单价，元/平方米）</v>
      </c>
      <c r="Q48" s="4138"/>
      <c r="R48" s="4196" t="e">
        <f>ROUND(IF(D47="简单平均",AVERAGE(R47:W47),R47*F47+T47*H47+V47*J47),0)</f>
        <v>#DIV/0!</v>
      </c>
      <c r="S48" s="4196"/>
      <c r="T48" s="4196"/>
      <c r="U48" s="4196"/>
      <c r="V48" s="4196"/>
      <c r="W48" s="4196"/>
      <c r="X48" s="689"/>
      <c r="Y48" s="689"/>
      <c r="Z48" s="689"/>
      <c r="AA48" s="689"/>
      <c r="AB48" s="689"/>
      <c r="AC48" s="689"/>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1793</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1794</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1795</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2"/>
      <c r="D54" s="690"/>
      <c r="E54" s="690"/>
      <c r="F54" s="690"/>
      <c r="G54" s="690"/>
      <c r="H54" s="690"/>
      <c r="I54" s="690"/>
      <c r="J54" s="690"/>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1879</v>
      </c>
      <c r="B55" s="633" t="s">
        <v>1880</v>
      </c>
      <c r="C55" s="1982" t="s">
        <v>1881</v>
      </c>
      <c r="D55" s="1983" t="s">
        <v>1882</v>
      </c>
      <c r="E55" s="634" t="s">
        <v>1883</v>
      </c>
      <c r="F55" s="889" t="s">
        <v>1884</v>
      </c>
      <c r="G55" s="4123" t="s">
        <v>1885</v>
      </c>
      <c r="H55" s="4197"/>
      <c r="I55" s="135" t="s">
        <v>1886</v>
      </c>
      <c r="J55" s="1984">
        <f>项目基本情况!F35</f>
        <v>0</v>
      </c>
      <c r="K55" s="1985" t="s">
        <v>1887</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1888</v>
      </c>
      <c r="B56" s="637" t="e">
        <f>C48</f>
        <v>#DIV/0!</v>
      </c>
      <c r="C56" s="638">
        <v>1</v>
      </c>
      <c r="D56" s="943">
        <v>1</v>
      </c>
      <c r="E56" s="638">
        <f>'数据-汇总表'!E8+'数据-汇总表'!E9</f>
        <v>28350.240000000002</v>
      </c>
      <c r="F56" s="885" t="e">
        <f t="shared" ref="F56:F64" si="15">ROUND(B56*E56/10000,0)</f>
        <v>#DIV/0!</v>
      </c>
      <c r="G56" s="4122"/>
      <c r="H56" s="4140"/>
      <c r="I56" s="890">
        <v>1</v>
      </c>
      <c r="J56" s="893">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1889</v>
      </c>
      <c r="B57" s="218" t="e">
        <f>ROUND($C$48*C57*D57,0)</f>
        <v>#DIV/0!</v>
      </c>
      <c r="C57" s="171">
        <f t="shared" ref="C57:C64" si="16">IF($C$55="北京市系数",I57,J57)</f>
        <v>0</v>
      </c>
      <c r="D57" s="944">
        <v>0.25</v>
      </c>
      <c r="E57" s="642"/>
      <c r="F57" s="885" t="e">
        <f t="shared" si="15"/>
        <v>#DIV/0!</v>
      </c>
      <c r="G57" s="3004" t="s">
        <v>1890</v>
      </c>
      <c r="H57" s="886">
        <f>项目基本情况!B37</f>
        <v>0</v>
      </c>
      <c r="I57" s="890">
        <f>SUMIF(修正!A57:A68,H57,修正!B57:B68)</f>
        <v>0</v>
      </c>
      <c r="J57" s="894"/>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1891</v>
      </c>
      <c r="B58" s="218" t="e">
        <f t="shared" ref="B58:B64" si="17">ROUND($C$48*C58*D58,0)</f>
        <v>#DIV/0!</v>
      </c>
      <c r="C58" s="171">
        <f t="shared" si="16"/>
        <v>0</v>
      </c>
      <c r="D58" s="944">
        <v>0.25</v>
      </c>
      <c r="E58" s="642"/>
      <c r="F58" s="885" t="e">
        <f t="shared" si="15"/>
        <v>#DIV/0!</v>
      </c>
      <c r="G58" s="3005"/>
      <c r="H58" s="886">
        <f>项目基本情况!B37</f>
        <v>0</v>
      </c>
      <c r="I58" s="890">
        <f>SUMIF(修正!A57:A68,H58,修正!C57:C68)</f>
        <v>0</v>
      </c>
      <c r="J58" s="894"/>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1892</v>
      </c>
      <c r="B59" s="218" t="e">
        <f t="shared" si="17"/>
        <v>#DIV/0!</v>
      </c>
      <c r="C59" s="171">
        <f t="shared" si="16"/>
        <v>0</v>
      </c>
      <c r="D59" s="944">
        <v>0.25</v>
      </c>
      <c r="E59" s="642"/>
      <c r="F59" s="885" t="e">
        <f t="shared" si="15"/>
        <v>#DIV/0!</v>
      </c>
      <c r="G59" s="3005"/>
      <c r="H59" s="886">
        <f>项目基本情况!B37</f>
        <v>0</v>
      </c>
      <c r="I59" s="890">
        <f>SUMIF(修正!A57:A68,H59,修正!D57:D68)</f>
        <v>0</v>
      </c>
      <c r="J59" s="894"/>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1893</v>
      </c>
      <c r="B60" s="218" t="e">
        <f t="shared" si="17"/>
        <v>#DIV/0!</v>
      </c>
      <c r="C60" s="171">
        <f t="shared" si="16"/>
        <v>0.3</v>
      </c>
      <c r="D60" s="944">
        <v>0.25</v>
      </c>
      <c r="E60" s="217">
        <f>'数据-汇总表'!E11</f>
        <v>0</v>
      </c>
      <c r="F60" s="885" t="e">
        <f t="shared" si="15"/>
        <v>#DIV/0!</v>
      </c>
      <c r="G60" s="1986" t="s">
        <v>1894</v>
      </c>
      <c r="H60" s="886" t="str">
        <f>项目基本情况!C37</f>
        <v>二级</v>
      </c>
      <c r="I60" s="890">
        <f>SUMIF(修正!A57:A68,H60,修正!E57:E68)</f>
        <v>0.3</v>
      </c>
      <c r="J60" s="894"/>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1895</v>
      </c>
      <c r="B61" s="218" t="e">
        <f t="shared" si="17"/>
        <v>#DIV/0!</v>
      </c>
      <c r="C61" s="171">
        <f t="shared" si="16"/>
        <v>0.3</v>
      </c>
      <c r="D61" s="944">
        <v>0.25</v>
      </c>
      <c r="E61" s="217">
        <f>'数据-汇总表'!E12</f>
        <v>0</v>
      </c>
      <c r="F61" s="885" t="e">
        <f t="shared" si="15"/>
        <v>#DIV/0!</v>
      </c>
      <c r="G61" s="891" t="s">
        <v>1896</v>
      </c>
      <c r="H61" s="886" t="str">
        <f>IF(G61="商业",项目基本情况!B37,IF(G61="办公",项目基本情况!C37,IF(G61="住宅",项目基本情况!D37,项目基本情况!E37)))</f>
        <v>二级</v>
      </c>
      <c r="I61" s="890">
        <f>SUMIF(修正!A57:A68,H61,修正!F57:F68)</f>
        <v>0.3</v>
      </c>
      <c r="J61" s="894"/>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1897</v>
      </c>
      <c r="B62" s="218" t="e">
        <f t="shared" si="17"/>
        <v>#DIV/0!</v>
      </c>
      <c r="C62" s="171">
        <f t="shared" si="16"/>
        <v>0</v>
      </c>
      <c r="D62" s="944">
        <v>0.25</v>
      </c>
      <c r="E62" s="217">
        <f>'数据-汇总表'!E13</f>
        <v>0</v>
      </c>
      <c r="F62" s="885" t="e">
        <f t="shared" si="15"/>
        <v>#DIV/0!</v>
      </c>
      <c r="G62" s="891" t="s">
        <v>1898</v>
      </c>
      <c r="H62" s="886">
        <f>IF(G62="商业",项目基本情况!B37,IF(G62="办公",项目基本情况!C37,IF(G62="住宅",项目基本情况!D37,项目基本情况!E37)))</f>
        <v>0</v>
      </c>
      <c r="I62" s="890">
        <f>SUMIF(修正!A57:A68,H62,修正!G57:G68)</f>
        <v>0</v>
      </c>
      <c r="J62" s="894"/>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1899</v>
      </c>
      <c r="B63" s="218" t="e">
        <f t="shared" si="17"/>
        <v>#DIV/0!</v>
      </c>
      <c r="C63" s="171">
        <f t="shared" si="16"/>
        <v>0</v>
      </c>
      <c r="D63" s="944">
        <v>0.25</v>
      </c>
      <c r="E63" s="217">
        <f>'数据-汇总表'!E14</f>
        <v>0</v>
      </c>
      <c r="F63" s="885" t="e">
        <f t="shared" si="15"/>
        <v>#DIV/0!</v>
      </c>
      <c r="G63" s="1986" t="s">
        <v>1890</v>
      </c>
      <c r="H63" s="886">
        <f>项目基本情况!B37</f>
        <v>0</v>
      </c>
      <c r="I63" s="890">
        <f>SUMIF(修正!A57:A68,H63,修正!G57:G68)</f>
        <v>0</v>
      </c>
      <c r="J63" s="894"/>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1900</v>
      </c>
      <c r="B64" s="218" t="e">
        <f t="shared" si="17"/>
        <v>#DIV/0!</v>
      </c>
      <c r="C64" s="171">
        <f t="shared" si="16"/>
        <v>0.2</v>
      </c>
      <c r="D64" s="944">
        <v>0.25</v>
      </c>
      <c r="E64" s="217">
        <f>'数据-汇总表'!E15</f>
        <v>5760.93</v>
      </c>
      <c r="F64" s="885" t="e">
        <f t="shared" si="15"/>
        <v>#DIV/0!</v>
      </c>
      <c r="G64" s="1987" t="s">
        <v>1894</v>
      </c>
      <c r="H64" s="896" t="str">
        <f>项目基本情况!C37</f>
        <v>二级</v>
      </c>
      <c r="I64" s="892">
        <f>SUMIF(修正!A57:A68,H64,修正!G57:G68)</f>
        <v>0.2</v>
      </c>
      <c r="J64" s="895"/>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1901</v>
      </c>
      <c r="B65" s="644" t="s">
        <v>22</v>
      </c>
      <c r="C65" s="644" t="s">
        <v>23</v>
      </c>
      <c r="D65" s="644" t="s">
        <v>392</v>
      </c>
      <c r="E65" s="644">
        <f>IF(B46="楼面地价",SUM(E56:E64),'数据-汇总表'!D3)</f>
        <v>34111.17</v>
      </c>
      <c r="F65" s="645" t="e">
        <f>IF(B46="楼面地价",SUM(F56:F64),ROUND(C48*E65/10000,0))</f>
        <v>#DIV/0!</v>
      </c>
      <c r="G65" s="716"/>
      <c r="H65" s="716"/>
      <c r="I65" s="716"/>
      <c r="J65" s="716"/>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89"/>
      <c r="B66" s="691"/>
      <c r="C66" s="692"/>
      <c r="D66" s="689"/>
      <c r="E66" s="689"/>
      <c r="F66" s="689"/>
      <c r="G66" s="689"/>
      <c r="H66" s="689"/>
      <c r="I66" s="689"/>
      <c r="J66" s="926"/>
      <c r="K66" s="887"/>
      <c r="L66" s="888"/>
      <c r="M66" s="926"/>
      <c r="N66" s="926"/>
      <c r="O66" s="926"/>
      <c r="P66" s="2723"/>
      <c r="Q66" s="2723"/>
      <c r="R66" s="2723"/>
      <c r="S66" s="2723"/>
      <c r="T66" s="2723"/>
      <c r="U66" s="2723"/>
      <c r="V66" s="2723"/>
      <c r="W66" s="2723"/>
      <c r="X66" s="2723"/>
      <c r="Y66" s="2723"/>
      <c r="Z66" s="2723"/>
      <c r="AA66" s="2723"/>
      <c r="AB66" s="2723"/>
      <c r="AC66" s="2723"/>
    </row>
    <row r="67" spans="1:29">
      <c r="A67" s="689"/>
      <c r="B67" s="691"/>
      <c r="C67" s="691" t="str">
        <f>YEAR(C7)&amp;"-"&amp;MONTH(C7)&amp;"-1"</f>
        <v>2024-10-1</v>
      </c>
      <c r="D67" s="691">
        <f>EDATE(C67,-3)</f>
        <v>45474</v>
      </c>
      <c r="E67" s="691">
        <f>EDATE(D67,-3)</f>
        <v>45383</v>
      </c>
      <c r="F67" s="691">
        <f t="shared" ref="F67:O67" si="18">EDATE(E67,-3)</f>
        <v>45292</v>
      </c>
      <c r="G67" s="691">
        <f t="shared" si="18"/>
        <v>45200</v>
      </c>
      <c r="H67" s="691">
        <f t="shared" si="18"/>
        <v>45108</v>
      </c>
      <c r="I67" s="691">
        <f t="shared" si="18"/>
        <v>45017</v>
      </c>
      <c r="J67" s="691">
        <f t="shared" si="18"/>
        <v>44927</v>
      </c>
      <c r="K67" s="691">
        <f t="shared" si="18"/>
        <v>44835</v>
      </c>
      <c r="L67" s="691">
        <f t="shared" si="18"/>
        <v>44743</v>
      </c>
      <c r="M67" s="691">
        <f t="shared" si="18"/>
        <v>44652</v>
      </c>
      <c r="N67" s="691">
        <f t="shared" si="18"/>
        <v>44562</v>
      </c>
      <c r="O67" s="691">
        <f t="shared" si="18"/>
        <v>44470</v>
      </c>
      <c r="P67" s="2723"/>
      <c r="Q67" s="2723"/>
      <c r="R67" s="2723"/>
      <c r="S67" s="2723"/>
      <c r="T67" s="2723"/>
      <c r="U67" s="2723"/>
      <c r="V67" s="2723"/>
      <c r="W67" s="2723"/>
      <c r="X67" s="2723"/>
      <c r="Y67" s="2723"/>
      <c r="Z67" s="2723"/>
      <c r="AA67" s="2723"/>
      <c r="AB67" s="2723"/>
      <c r="AC67" s="2723"/>
    </row>
    <row r="68" spans="1:29" ht="21.75" thickBot="1">
      <c r="A68" s="693" t="s">
        <v>1796</v>
      </c>
      <c r="B68" s="689"/>
      <c r="C68" s="694"/>
      <c r="D68" s="694"/>
      <c r="E68" s="694"/>
      <c r="F68" s="695"/>
      <c r="G68" s="695"/>
      <c r="H68" s="694"/>
      <c r="I68" s="694"/>
      <c r="J68" s="939"/>
      <c r="K68" s="940"/>
      <c r="L68" s="941"/>
      <c r="M68" s="939"/>
      <c r="N68" s="2767"/>
      <c r="O68" s="2767"/>
      <c r="P68" s="2767"/>
      <c r="Q68" s="2737"/>
      <c r="R68" s="2723"/>
      <c r="S68" s="2723"/>
      <c r="T68" s="2723"/>
      <c r="U68" s="2723"/>
      <c r="V68" s="2723"/>
      <c r="W68" s="2723"/>
      <c r="X68" s="2723"/>
      <c r="Y68" s="2723"/>
      <c r="Z68" s="2723"/>
      <c r="AA68" s="2723"/>
      <c r="AB68" s="2723"/>
      <c r="AC68" s="2723"/>
    </row>
    <row r="69" spans="1:29" s="457" customFormat="1" ht="15">
      <c r="A69" s="1988" t="s">
        <v>1902</v>
      </c>
      <c r="B69" s="1108"/>
      <c r="C69" s="1181" t="str">
        <f>YEAR(C67)&amp;"-"&amp;ROUNDUP(MONTH(C67)/3,0)</f>
        <v>2024-4</v>
      </c>
      <c r="D69" s="1181" t="str">
        <f>YEAR(D67)&amp;"-"&amp;ROUNDUP(MONTH(D67)/3,0)</f>
        <v>2024-3</v>
      </c>
      <c r="E69" s="1181" t="str">
        <f t="shared" ref="E69:O69" si="19">YEAR(E67)&amp;"-"&amp;ROUNDUP(MONTH(E67)/3,0)</f>
        <v>2024-2</v>
      </c>
      <c r="F69" s="1181" t="str">
        <f t="shared" si="19"/>
        <v>2024-1</v>
      </c>
      <c r="G69" s="1181" t="str">
        <f t="shared" si="19"/>
        <v>2023-4</v>
      </c>
      <c r="H69" s="1181" t="str">
        <f t="shared" si="19"/>
        <v>2023-3</v>
      </c>
      <c r="I69" s="1181" t="str">
        <f t="shared" si="19"/>
        <v>2023-2</v>
      </c>
      <c r="J69" s="1181" t="str">
        <f t="shared" si="19"/>
        <v>2023-1</v>
      </c>
      <c r="K69" s="1181" t="str">
        <f t="shared" si="19"/>
        <v>2022-4</v>
      </c>
      <c r="L69" s="1181" t="str">
        <f t="shared" si="19"/>
        <v>2022-3</v>
      </c>
      <c r="M69" s="1181" t="str">
        <f t="shared" si="19"/>
        <v>2022-2</v>
      </c>
      <c r="N69" s="1181" t="str">
        <f t="shared" si="19"/>
        <v>2022-1</v>
      </c>
      <c r="O69" s="1181" t="str">
        <f t="shared" si="19"/>
        <v>2021-4</v>
      </c>
      <c r="P69" s="2774"/>
      <c r="Q69" s="2739"/>
      <c r="R69" s="2739"/>
      <c r="S69" s="2739"/>
      <c r="T69" s="2739"/>
      <c r="U69" s="2739"/>
      <c r="V69" s="2739"/>
      <c r="W69" s="2739"/>
      <c r="X69" s="2739"/>
      <c r="Y69" s="2739"/>
      <c r="Z69" s="2739"/>
      <c r="AA69" s="2739"/>
      <c r="AB69" s="2739"/>
      <c r="AC69" s="2739"/>
    </row>
    <row r="70" spans="1:29" s="108" customFormat="1" ht="30" customHeight="1">
      <c r="A70" s="1989" t="s">
        <v>1903</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7"/>
      <c r="Q70" s="2659"/>
      <c r="R70" s="2659"/>
      <c r="S70" s="2659"/>
      <c r="T70" s="2659"/>
      <c r="U70" s="2659"/>
      <c r="V70" s="2659"/>
      <c r="W70" s="2659"/>
      <c r="X70" s="2659"/>
      <c r="Y70" s="2659"/>
      <c r="Z70" s="2659"/>
      <c r="AA70" s="2659"/>
      <c r="AB70" s="2659"/>
      <c r="AC70" s="2659"/>
    </row>
    <row r="71" spans="1:29" s="108" customFormat="1" ht="15.75" thickBot="1">
      <c r="A71" s="464" t="s">
        <v>1714</v>
      </c>
      <c r="B71" s="465"/>
      <c r="C71" s="466"/>
      <c r="D71" s="467"/>
      <c r="E71" s="467"/>
      <c r="F71" s="467"/>
      <c r="G71" s="467"/>
      <c r="H71" s="467"/>
      <c r="I71" s="467"/>
      <c r="J71" s="467"/>
      <c r="K71" s="467"/>
      <c r="L71" s="467"/>
      <c r="M71" s="468"/>
      <c r="N71" s="467"/>
      <c r="O71" s="942"/>
      <c r="P71" s="2737"/>
      <c r="Q71" s="2737"/>
      <c r="R71" s="2659"/>
      <c r="S71" s="2659"/>
      <c r="T71" s="2659"/>
      <c r="U71" s="2659"/>
      <c r="V71" s="2659"/>
      <c r="W71" s="2659"/>
      <c r="X71" s="2659"/>
      <c r="Y71" s="2659"/>
      <c r="Z71" s="2659"/>
      <c r="AA71" s="2659"/>
      <c r="AB71" s="2659"/>
      <c r="AC71" s="2659"/>
    </row>
    <row r="72" spans="1:29" s="108" customFormat="1" ht="15">
      <c r="A72" s="470" t="s">
        <v>1679</v>
      </c>
      <c r="B72" s="459"/>
      <c r="C72" s="471" t="s">
        <v>1774</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1717</v>
      </c>
      <c r="B74" s="477" t="s">
        <v>1683</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1686</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1687</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1688</v>
      </c>
      <c r="B87" s="477" t="s">
        <v>1718</v>
      </c>
      <c r="C87" s="522" t="s">
        <v>1719</v>
      </c>
      <c r="D87" s="522" t="s">
        <v>1720</v>
      </c>
      <c r="E87" s="522" t="s">
        <v>1721</v>
      </c>
      <c r="F87" s="522" t="s">
        <v>1722</v>
      </c>
      <c r="G87" s="522" t="s">
        <v>1723</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1904</v>
      </c>
      <c r="C89" s="527" t="s">
        <v>1719</v>
      </c>
      <c r="D89" s="527" t="s">
        <v>1720</v>
      </c>
      <c r="E89" s="527" t="s">
        <v>1721</v>
      </c>
      <c r="F89" s="527" t="s">
        <v>1722</v>
      </c>
      <c r="G89" s="527" t="s">
        <v>1723</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1819</v>
      </c>
      <c r="C91" s="527" t="s">
        <v>1719</v>
      </c>
      <c r="D91" s="527" t="s">
        <v>1720</v>
      </c>
      <c r="E91" s="527" t="s">
        <v>1721</v>
      </c>
      <c r="F91" s="527" t="s">
        <v>1722</v>
      </c>
      <c r="G91" s="527" t="s">
        <v>1723</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1724</v>
      </c>
      <c r="C93" s="527" t="s">
        <v>1719</v>
      </c>
      <c r="D93" s="527" t="s">
        <v>1720</v>
      </c>
      <c r="E93" s="527" t="s">
        <v>1721</v>
      </c>
      <c r="F93" s="527" t="s">
        <v>1722</v>
      </c>
      <c r="G93" s="527" t="s">
        <v>1723</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1905</v>
      </c>
      <c r="C95" s="527" t="s">
        <v>1719</v>
      </c>
      <c r="D95" s="527" t="s">
        <v>1720</v>
      </c>
      <c r="E95" s="527" t="s">
        <v>1721</v>
      </c>
      <c r="F95" s="527" t="s">
        <v>1722</v>
      </c>
      <c r="G95" s="527" t="s">
        <v>1723</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1906</v>
      </c>
      <c r="C97" s="522" t="s">
        <v>1719</v>
      </c>
      <c r="D97" s="522" t="s">
        <v>1720</v>
      </c>
      <c r="E97" s="522" t="s">
        <v>1721</v>
      </c>
      <c r="F97" s="522" t="s">
        <v>1722</v>
      </c>
      <c r="G97" s="522" t="s">
        <v>1723</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1776</v>
      </c>
      <c r="C99" s="522" t="s">
        <v>1719</v>
      </c>
      <c r="D99" s="522" t="s">
        <v>1720</v>
      </c>
      <c r="E99" s="522" t="s">
        <v>1721</v>
      </c>
      <c r="F99" s="522" t="s">
        <v>1722</v>
      </c>
      <c r="G99" s="522" t="s">
        <v>1723</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1777</v>
      </c>
      <c r="C101" s="608" t="s">
        <v>1797</v>
      </c>
      <c r="D101" s="608" t="s">
        <v>1798</v>
      </c>
      <c r="E101" s="608" t="s">
        <v>1799</v>
      </c>
      <c r="F101" s="608" t="s">
        <v>1800</v>
      </c>
      <c r="G101" s="608" t="s">
        <v>1801</v>
      </c>
      <c r="H101" s="549"/>
      <c r="I101" s="549"/>
      <c r="J101" s="549"/>
      <c r="K101" s="549"/>
      <c r="L101" s="549"/>
      <c r="M101" s="1131"/>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1907</v>
      </c>
      <c r="D103" s="488" t="s">
        <v>1908</v>
      </c>
      <c r="E103" s="488" t="s">
        <v>1909</v>
      </c>
      <c r="F103" s="488" t="s">
        <v>1910</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1813</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1871</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1692</v>
      </c>
      <c r="B115" s="477" t="s">
        <v>1911</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1912</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1913</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1914</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1915</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5" priority="18" stopIfTrue="1" operator="containsText" text="超过">
      <formula>NOT(ISERROR(SEARCH("超过",F51)))</formula>
    </cfRule>
  </conditionalFormatting>
  <conditionalFormatting sqref="J53">
    <cfRule type="containsText" dxfId="34" priority="17" stopIfTrue="1" operator="containsText" text="超过">
      <formula>NOT(ISERROR(SEARCH("超过",J53)))</formula>
    </cfRule>
  </conditionalFormatting>
  <conditionalFormatting sqref="H53">
    <cfRule type="containsText" dxfId="33" priority="16" stopIfTrue="1" operator="containsText" text="超过">
      <formula>NOT(ISERROR(SEARCH("超过",H53)))</formula>
    </cfRule>
  </conditionalFormatting>
  <conditionalFormatting sqref="F53">
    <cfRule type="containsText" dxfId="32" priority="15" stopIfTrue="1" operator="containsText" text="超过">
      <formula>NOT(ISERROR(SEARCH("超过",F53)))</formula>
    </cfRule>
  </conditionalFormatting>
  <conditionalFormatting sqref="F52 H52 J52">
    <cfRule type="containsText" dxfId="31" priority="14" stopIfTrue="1" operator="containsText" text="超过">
      <formula>NOT(ISERROR(SEARCH("超过",F52)))</formula>
    </cfRule>
  </conditionalFormatting>
  <conditionalFormatting sqref="E51">
    <cfRule type="expression" dxfId="30" priority="13" stopIfTrue="1">
      <formula>$F$51="超过30%"</formula>
    </cfRule>
  </conditionalFormatting>
  <conditionalFormatting sqref="G53">
    <cfRule type="expression" dxfId="29" priority="12" stopIfTrue="1">
      <formula>$H$53="超过30%"</formula>
    </cfRule>
  </conditionalFormatting>
  <conditionalFormatting sqref="E52">
    <cfRule type="expression" dxfId="28" priority="11" stopIfTrue="1">
      <formula>$F$52="超过20%"</formula>
    </cfRule>
  </conditionalFormatting>
  <conditionalFormatting sqref="E53">
    <cfRule type="expression" dxfId="27" priority="10" stopIfTrue="1">
      <formula>$F$53="超过30%"</formula>
    </cfRule>
  </conditionalFormatting>
  <conditionalFormatting sqref="G51">
    <cfRule type="expression" dxfId="26" priority="9" stopIfTrue="1">
      <formula>$H$53+$H$51="超过30%"</formula>
    </cfRule>
  </conditionalFormatting>
  <conditionalFormatting sqref="G52">
    <cfRule type="expression" dxfId="25" priority="8" stopIfTrue="1">
      <formula>$H$52="超过20%"</formula>
    </cfRule>
  </conditionalFormatting>
  <conditionalFormatting sqref="I51">
    <cfRule type="expression" dxfId="24" priority="7" stopIfTrue="1">
      <formula>$J$51="超过30%"</formula>
    </cfRule>
  </conditionalFormatting>
  <conditionalFormatting sqref="I52">
    <cfRule type="expression" dxfId="23" priority="6" stopIfTrue="1">
      <formula>$J$52="超过20%"</formula>
    </cfRule>
  </conditionalFormatting>
  <conditionalFormatting sqref="I53">
    <cfRule type="expression" dxfId="22" priority="5" stopIfTrue="1">
      <formula>$J$53="超过30%"</formula>
    </cfRule>
  </conditionalFormatting>
  <conditionalFormatting sqref="F47">
    <cfRule type="expression" dxfId="21" priority="4">
      <formula>$D$47="简单平均"</formula>
    </cfRule>
  </conditionalFormatting>
  <conditionalFormatting sqref="H47">
    <cfRule type="expression" dxfId="20" priority="3">
      <formula>$D$47="简单平均"</formula>
    </cfRule>
  </conditionalFormatting>
  <conditionalFormatting sqref="J47">
    <cfRule type="expression" dxfId="19" priority="2">
      <formula>$D$47="简单平均"</formula>
    </cfRule>
  </conditionalFormatting>
  <conditionalFormatting sqref="F7:F45 H7:H45 J7:J45">
    <cfRule type="cellIs" dxfId="18"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1865</v>
      </c>
      <c r="B1" s="349"/>
      <c r="C1" s="350" t="s">
        <v>1916</v>
      </c>
      <c r="D1" s="685"/>
      <c r="E1" s="685"/>
      <c r="F1" s="684" t="s">
        <v>1765</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2" customFormat="1" ht="28.5" customHeight="1">
      <c r="A2" s="201" t="s">
        <v>1460</v>
      </c>
      <c r="B2" s="619" t="e">
        <f>F61</f>
        <v>#DIV/0!</v>
      </c>
      <c r="C2" s="907"/>
      <c r="D2" s="907"/>
      <c r="E2" s="907"/>
      <c r="F2" s="908"/>
      <c r="G2" s="907"/>
      <c r="H2" s="907"/>
      <c r="I2" s="907"/>
      <c r="J2" s="907"/>
      <c r="K2" s="909"/>
      <c r="L2" s="2732"/>
      <c r="M2" s="2733"/>
      <c r="N2" s="2733"/>
      <c r="O2" s="2733"/>
      <c r="P2" s="698"/>
      <c r="Q2" s="698"/>
      <c r="R2" s="698"/>
      <c r="S2" s="698"/>
      <c r="T2" s="698"/>
      <c r="U2" s="698"/>
      <c r="V2" s="698"/>
      <c r="W2" s="698"/>
      <c r="X2" s="698"/>
      <c r="Y2" s="698"/>
      <c r="Z2" s="698"/>
      <c r="AA2" s="698"/>
      <c r="AB2" s="698"/>
      <c r="AC2" s="699"/>
    </row>
    <row r="3" spans="1:29" s="352" customFormat="1" ht="28.5" customHeight="1" thickBot="1">
      <c r="A3" s="203" t="s">
        <v>1462</v>
      </c>
      <c r="B3" s="558" t="e">
        <f>ROUND(IF(D3="",B2*10000/'数据-汇总表'!E3,B2*10000/D3),0)</f>
        <v>#DIV/0!</v>
      </c>
      <c r="C3" s="203" t="s">
        <v>1867</v>
      </c>
      <c r="D3" s="1192"/>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29" ht="15">
      <c r="A4" s="355" t="s">
        <v>1767</v>
      </c>
      <c r="B4" s="356"/>
      <c r="C4" s="4123" t="s">
        <v>1768</v>
      </c>
      <c r="D4" s="4124"/>
      <c r="E4" s="4125" t="s">
        <v>1769</v>
      </c>
      <c r="F4" s="4126"/>
      <c r="G4" s="4123" t="s">
        <v>1770</v>
      </c>
      <c r="H4" s="4124"/>
      <c r="I4" s="4123" t="s">
        <v>1771</v>
      </c>
      <c r="J4" s="4124"/>
      <c r="K4" s="559" t="s">
        <v>1772</v>
      </c>
      <c r="L4" s="2713"/>
      <c r="M4" s="2714"/>
      <c r="N4" s="2714"/>
      <c r="O4" s="2714"/>
      <c r="P4" s="4127" t="s">
        <v>1773</v>
      </c>
      <c r="Q4" s="4128"/>
      <c r="R4" s="4110" t="s">
        <v>1769</v>
      </c>
      <c r="S4" s="4111"/>
      <c r="T4" s="4110" t="s">
        <v>1770</v>
      </c>
      <c r="U4" s="4111"/>
      <c r="V4" s="4135" t="s">
        <v>1771</v>
      </c>
      <c r="W4" s="4135"/>
      <c r="X4" s="1354"/>
      <c r="Y4" s="4110" t="s">
        <v>1773</v>
      </c>
      <c r="Z4" s="4111"/>
      <c r="AA4" s="4105" t="s">
        <v>1769</v>
      </c>
      <c r="AB4" s="4106" t="s">
        <v>1770</v>
      </c>
      <c r="AC4" s="4105" t="s">
        <v>1771</v>
      </c>
    </row>
    <row r="5" spans="1:29" ht="15">
      <c r="A5" s="358"/>
      <c r="B5" s="359"/>
      <c r="C5" s="4116" t="s">
        <v>1671</v>
      </c>
      <c r="D5" s="4117"/>
      <c r="E5" s="4114" t="s">
        <v>1672</v>
      </c>
      <c r="F5" s="4115"/>
      <c r="G5" s="4116" t="s">
        <v>1673</v>
      </c>
      <c r="H5" s="4117"/>
      <c r="I5" s="4116" t="s">
        <v>1674</v>
      </c>
      <c r="J5" s="4117"/>
      <c r="K5" s="559"/>
      <c r="L5" s="2713"/>
      <c r="M5" s="2714"/>
      <c r="N5" s="2714"/>
      <c r="O5" s="2714"/>
      <c r="P5" s="4129"/>
      <c r="Q5" s="4130"/>
      <c r="R5" s="4112"/>
      <c r="S5" s="4113"/>
      <c r="T5" s="4112"/>
      <c r="U5" s="4113"/>
      <c r="V5" s="4135"/>
      <c r="W5" s="4135"/>
      <c r="X5" s="1354"/>
      <c r="Y5" s="4112"/>
      <c r="Z5" s="4113"/>
      <c r="AA5" s="4106"/>
      <c r="AB5" s="4106"/>
      <c r="AC5" s="4106"/>
    </row>
    <row r="6" spans="1:29" ht="15.75" thickBot="1">
      <c r="A6" s="360"/>
      <c r="B6" s="361"/>
      <c r="C6" s="4198" t="s">
        <v>1917</v>
      </c>
      <c r="D6" s="4199"/>
      <c r="E6" s="4200" t="s">
        <v>1917</v>
      </c>
      <c r="F6" s="4201"/>
      <c r="G6" s="4198" t="s">
        <v>1917</v>
      </c>
      <c r="H6" s="4199"/>
      <c r="I6" s="4198" t="s">
        <v>1917</v>
      </c>
      <c r="J6" s="4199"/>
      <c r="K6" s="559" t="s">
        <v>1676</v>
      </c>
      <c r="L6" s="2713"/>
      <c r="M6" s="2714"/>
      <c r="N6" s="2714"/>
      <c r="O6" s="2714"/>
      <c r="P6" s="4131"/>
      <c r="Q6" s="4132"/>
      <c r="R6" s="4112"/>
      <c r="S6" s="4113"/>
      <c r="T6" s="4133"/>
      <c r="U6" s="4134"/>
      <c r="V6" s="4135"/>
      <c r="W6" s="4135"/>
      <c r="X6" s="1354"/>
      <c r="Y6" s="4133"/>
      <c r="Z6" s="4134"/>
      <c r="AA6" s="4107"/>
      <c r="AB6" s="4107"/>
      <c r="AC6" s="4107"/>
    </row>
    <row r="7" spans="1:29" s="108" customFormat="1" ht="15.75" thickBot="1">
      <c r="A7" s="362" t="s">
        <v>1677</v>
      </c>
      <c r="B7" s="363"/>
      <c r="C7" s="364">
        <f>'数据-取费表'!B2</f>
        <v>45575</v>
      </c>
      <c r="D7" s="365">
        <v>100</v>
      </c>
      <c r="E7" s="366"/>
      <c r="F7" s="367">
        <f>SUMIF(65:65,YEAR(E7)&amp;"-"&amp;INT((MONTH(E7)+2)/3),66:66)</f>
        <v>0</v>
      </c>
      <c r="G7" s="1973"/>
      <c r="H7" s="365">
        <f>SUMIF(65:65,YEAR(G7)&amp;"-"&amp;INT((MONTH(G7)+2)/3),66:66)</f>
        <v>0</v>
      </c>
      <c r="I7" s="1973"/>
      <c r="J7" s="365">
        <f>SUMIF(65:65,YEAR(I7)&amp;"-"&amp;INT((MONTH(I7)+2)/3),66:66)</f>
        <v>0</v>
      </c>
      <c r="K7" s="560"/>
      <c r="L7" s="2715"/>
      <c r="M7" s="2716"/>
      <c r="N7" s="2716"/>
      <c r="O7" s="2716"/>
      <c r="P7" s="4108" t="s">
        <v>1678</v>
      </c>
      <c r="Q7" s="4136"/>
      <c r="R7" s="700" t="s">
        <v>14</v>
      </c>
      <c r="S7" s="701">
        <f t="shared" ref="S7:S15" si="0">F7</f>
        <v>0</v>
      </c>
      <c r="T7" s="700" t="s">
        <v>14</v>
      </c>
      <c r="U7" s="701">
        <f t="shared" ref="U7:U15" si="1">H7</f>
        <v>0</v>
      </c>
      <c r="V7" s="700" t="s">
        <v>14</v>
      </c>
      <c r="W7" s="701">
        <f t="shared" ref="W7:W15" si="2">J7</f>
        <v>0</v>
      </c>
      <c r="X7" s="702"/>
      <c r="Y7" s="4108" t="s">
        <v>1678</v>
      </c>
      <c r="Z7" s="4109"/>
      <c r="AA7" s="703" t="e">
        <f>D7/F7</f>
        <v>#DIV/0!</v>
      </c>
      <c r="AB7" s="703" t="e">
        <f>D7/H7</f>
        <v>#DIV/0!</v>
      </c>
      <c r="AC7" s="703" t="e">
        <f>D7/J7</f>
        <v>#DIV/0!</v>
      </c>
    </row>
    <row r="8" spans="1:29" s="108" customFormat="1" ht="15.75" thickBot="1">
      <c r="A8" s="362" t="s">
        <v>1679</v>
      </c>
      <c r="B8" s="363"/>
      <c r="C8" s="368" t="s">
        <v>1680</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4108" t="s">
        <v>1681</v>
      </c>
      <c r="Q8" s="4109"/>
      <c r="R8" s="700" t="s">
        <v>14</v>
      </c>
      <c r="S8" s="701">
        <f t="shared" si="0"/>
        <v>0</v>
      </c>
      <c r="T8" s="700" t="s">
        <v>14</v>
      </c>
      <c r="U8" s="701">
        <f t="shared" si="1"/>
        <v>0</v>
      </c>
      <c r="V8" s="700" t="s">
        <v>14</v>
      </c>
      <c r="W8" s="701">
        <f t="shared" si="2"/>
        <v>0</v>
      </c>
      <c r="X8" s="702"/>
      <c r="Y8" s="4108" t="s">
        <v>1681</v>
      </c>
      <c r="Z8" s="4109"/>
      <c r="AA8" s="703" t="e">
        <f t="shared" ref="AA8:AA40" si="3">D8/F8</f>
        <v>#DIV/0!</v>
      </c>
      <c r="AB8" s="703" t="e">
        <f t="shared" ref="AB8:AB40" si="4">D8/H8</f>
        <v>#DIV/0!</v>
      </c>
      <c r="AC8" s="703" t="e">
        <f t="shared" ref="AC8:AC40" si="5">D8/J8</f>
        <v>#DIV/0!</v>
      </c>
    </row>
    <row r="9" spans="1:29" s="108" customFormat="1">
      <c r="A9" s="369" t="s">
        <v>1682</v>
      </c>
      <c r="B9" s="63" t="s">
        <v>1683</v>
      </c>
      <c r="C9" s="1976"/>
      <c r="D9" s="126">
        <v>100</v>
      </c>
      <c r="E9" s="1976"/>
      <c r="F9" s="126">
        <f>SUMIF(70:70,E9,71:71)-SUMIF(70:70,C9,71:71)+100</f>
        <v>100</v>
      </c>
      <c r="G9" s="1976"/>
      <c r="H9" s="126">
        <f>SUMIF(70:70,G9,71:71)-SUMIF(70:70,C9,71:71)+100</f>
        <v>100</v>
      </c>
      <c r="I9" s="1976"/>
      <c r="J9" s="126">
        <f>SUMIF(70:70,I9,71:71)-SUMIF(70:70,C9,71:71)+100</f>
        <v>100</v>
      </c>
      <c r="K9" s="560"/>
      <c r="L9" s="2715"/>
      <c r="M9" s="2716"/>
      <c r="N9" s="2716"/>
      <c r="O9" s="2770"/>
      <c r="P9" s="4140" t="s">
        <v>1684</v>
      </c>
      <c r="Q9" s="1342" t="str">
        <f t="shared" ref="Q9:Q15" si="6">B9</f>
        <v>用途</v>
      </c>
      <c r="R9" s="700" t="s">
        <v>14</v>
      </c>
      <c r="S9" s="701">
        <f t="shared" si="0"/>
        <v>100</v>
      </c>
      <c r="T9" s="700" t="s">
        <v>14</v>
      </c>
      <c r="U9" s="701">
        <f t="shared" si="1"/>
        <v>100</v>
      </c>
      <c r="V9" s="700" t="s">
        <v>14</v>
      </c>
      <c r="W9" s="701">
        <f t="shared" si="2"/>
        <v>100</v>
      </c>
      <c r="X9" s="702"/>
      <c r="Y9" s="4052" t="s">
        <v>1685</v>
      </c>
      <c r="Z9" s="52" t="str">
        <f t="shared" ref="Z9:Z15" si="7">Q9</f>
        <v>用途</v>
      </c>
      <c r="AA9" s="703">
        <f t="shared" si="3"/>
        <v>1</v>
      </c>
      <c r="AB9" s="703">
        <f t="shared" si="4"/>
        <v>1</v>
      </c>
      <c r="AC9" s="703">
        <f t="shared" si="5"/>
        <v>1</v>
      </c>
    </row>
    <row r="10" spans="1:29" s="378" customFormat="1" ht="27">
      <c r="A10" s="374"/>
      <c r="B10" s="375" t="s">
        <v>1686</v>
      </c>
      <c r="C10" s="383"/>
      <c r="D10" s="127">
        <v>100</v>
      </c>
      <c r="E10" s="383"/>
      <c r="F10" s="127">
        <f>ROUND(100/'数据-取费表'!G16,0)</f>
        <v>137</v>
      </c>
      <c r="G10" s="383"/>
      <c r="H10" s="127">
        <f>ROUND(100/'数据-取费表'!G16,0)</f>
        <v>137</v>
      </c>
      <c r="I10" s="383"/>
      <c r="J10" s="127">
        <f>ROUND(100/'数据-取费表'!G16,0)</f>
        <v>137</v>
      </c>
      <c r="K10" s="620"/>
      <c r="L10" s="2717"/>
      <c r="M10" s="2718"/>
      <c r="N10" s="2718"/>
      <c r="O10" s="2771"/>
      <c r="P10" s="4140"/>
      <c r="Q10" s="1342" t="str">
        <f t="shared" si="6"/>
        <v>土地使用年限（年）</v>
      </c>
      <c r="R10" s="700" t="s">
        <v>14</v>
      </c>
      <c r="S10" s="701">
        <f t="shared" si="0"/>
        <v>137</v>
      </c>
      <c r="T10" s="700" t="s">
        <v>14</v>
      </c>
      <c r="U10" s="701">
        <f t="shared" si="1"/>
        <v>137</v>
      </c>
      <c r="V10" s="700" t="s">
        <v>14</v>
      </c>
      <c r="W10" s="701">
        <f t="shared" si="2"/>
        <v>137</v>
      </c>
      <c r="X10" s="702"/>
      <c r="Y10" s="4052"/>
      <c r="Z10" s="52" t="str">
        <f t="shared" si="7"/>
        <v>土地使用年限（年）</v>
      </c>
      <c r="AA10" s="703">
        <f t="shared" si="3"/>
        <v>0.72992700729927007</v>
      </c>
      <c r="AB10" s="703">
        <f t="shared" si="4"/>
        <v>0.72992700729927007</v>
      </c>
      <c r="AC10" s="703">
        <f t="shared" si="5"/>
        <v>0.72992700729927007</v>
      </c>
    </row>
    <row r="11" spans="1:29" ht="15">
      <c r="A11" s="379"/>
      <c r="B11" s="375" t="s">
        <v>1687</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4140"/>
      <c r="Q11" s="1342" t="str">
        <f t="shared" si="6"/>
        <v>容积率</v>
      </c>
      <c r="R11" s="700" t="s">
        <v>14</v>
      </c>
      <c r="S11" s="701" t="e">
        <f t="shared" si="0"/>
        <v>#N/A</v>
      </c>
      <c r="T11" s="700" t="s">
        <v>14</v>
      </c>
      <c r="U11" s="701" t="e">
        <f t="shared" si="1"/>
        <v>#N/A</v>
      </c>
      <c r="V11" s="700" t="s">
        <v>14</v>
      </c>
      <c r="W11" s="701" t="e">
        <f t="shared" si="2"/>
        <v>#N/A</v>
      </c>
      <c r="X11" s="702"/>
      <c r="Y11" s="4052"/>
      <c r="Z11" s="52" t="str">
        <f t="shared" si="7"/>
        <v>容积率</v>
      </c>
      <c r="AA11" s="703" t="e">
        <f t="shared" si="3"/>
        <v>#N/A</v>
      </c>
      <c r="AB11" s="703" t="e">
        <f t="shared" si="4"/>
        <v>#N/A</v>
      </c>
      <c r="AC11" s="703" t="e">
        <f t="shared" si="5"/>
        <v>#N/A</v>
      </c>
    </row>
    <row r="12" spans="1:29" s="108" customFormat="1" ht="15">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4140"/>
      <c r="Q12" s="1342">
        <f t="shared" si="6"/>
        <v>111</v>
      </c>
      <c r="R12" s="700" t="s">
        <v>14</v>
      </c>
      <c r="S12" s="701">
        <f t="shared" si="0"/>
        <v>100</v>
      </c>
      <c r="T12" s="700" t="s">
        <v>14</v>
      </c>
      <c r="U12" s="701">
        <f t="shared" si="1"/>
        <v>100</v>
      </c>
      <c r="V12" s="700" t="s">
        <v>14</v>
      </c>
      <c r="W12" s="701">
        <f t="shared" si="2"/>
        <v>100</v>
      </c>
      <c r="X12" s="702"/>
      <c r="Y12" s="4052"/>
      <c r="Z12" s="52">
        <f t="shared" si="7"/>
        <v>111</v>
      </c>
      <c r="AA12" s="703">
        <f>D12/F12</f>
        <v>1</v>
      </c>
      <c r="AB12" s="703">
        <f>D12/H12</f>
        <v>1</v>
      </c>
      <c r="AC12" s="703">
        <f>D12/J12</f>
        <v>1</v>
      </c>
    </row>
    <row r="13" spans="1:29" ht="15">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4140"/>
      <c r="Q13" s="1342">
        <f t="shared" si="6"/>
        <v>111</v>
      </c>
      <c r="R13" s="700" t="s">
        <v>14</v>
      </c>
      <c r="S13" s="701">
        <f t="shared" si="0"/>
        <v>100</v>
      </c>
      <c r="T13" s="700" t="s">
        <v>14</v>
      </c>
      <c r="U13" s="701">
        <f t="shared" si="1"/>
        <v>100</v>
      </c>
      <c r="V13" s="700" t="s">
        <v>14</v>
      </c>
      <c r="W13" s="701">
        <f t="shared" si="2"/>
        <v>100</v>
      </c>
      <c r="X13" s="702"/>
      <c r="Y13" s="4052"/>
      <c r="Z13" s="52">
        <f t="shared" si="7"/>
        <v>111</v>
      </c>
      <c r="AA13" s="703">
        <f t="shared" si="3"/>
        <v>1</v>
      </c>
      <c r="AB13" s="703">
        <f t="shared" si="4"/>
        <v>1</v>
      </c>
      <c r="AC13" s="703">
        <f t="shared" si="5"/>
        <v>1</v>
      </c>
    </row>
    <row r="14" spans="1:29" ht="15.75"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4140"/>
      <c r="Q14" s="1342">
        <f t="shared" si="6"/>
        <v>111</v>
      </c>
      <c r="R14" s="700" t="s">
        <v>14</v>
      </c>
      <c r="S14" s="701">
        <f t="shared" si="0"/>
        <v>100</v>
      </c>
      <c r="T14" s="700" t="s">
        <v>14</v>
      </c>
      <c r="U14" s="701">
        <f t="shared" si="1"/>
        <v>100</v>
      </c>
      <c r="V14" s="700" t="s">
        <v>14</v>
      </c>
      <c r="W14" s="701">
        <f t="shared" si="2"/>
        <v>100</v>
      </c>
      <c r="X14" s="702"/>
      <c r="Y14" s="4052"/>
      <c r="Z14" s="52">
        <f t="shared" si="7"/>
        <v>111</v>
      </c>
      <c r="AA14" s="703">
        <f t="shared" si="3"/>
        <v>1</v>
      </c>
      <c r="AB14" s="703">
        <f t="shared" si="4"/>
        <v>1</v>
      </c>
      <c r="AC14" s="703">
        <f t="shared" si="5"/>
        <v>1</v>
      </c>
    </row>
    <row r="15" spans="1:29" ht="57">
      <c r="A15" s="391" t="s">
        <v>1688</v>
      </c>
      <c r="B15" s="577" t="s">
        <v>1918</v>
      </c>
      <c r="C15" s="1970"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4142" t="s">
        <v>1689</v>
      </c>
      <c r="Q15" s="1351" t="str">
        <f t="shared" si="6"/>
        <v>产业集聚程度</v>
      </c>
      <c r="R15" s="704" t="s">
        <v>14</v>
      </c>
      <c r="S15" s="705">
        <f t="shared" si="0"/>
        <v>100</v>
      </c>
      <c r="T15" s="704" t="s">
        <v>14</v>
      </c>
      <c r="U15" s="705">
        <f t="shared" si="1"/>
        <v>100</v>
      </c>
      <c r="V15" s="704" t="s">
        <v>14</v>
      </c>
      <c r="W15" s="705">
        <f t="shared" si="2"/>
        <v>100</v>
      </c>
      <c r="X15" s="1354"/>
      <c r="Y15" s="4142" t="s">
        <v>1689</v>
      </c>
      <c r="Z15" s="1355" t="str">
        <f t="shared" si="7"/>
        <v>产业集聚程度</v>
      </c>
      <c r="AA15" s="1352">
        <f t="shared" si="3"/>
        <v>1</v>
      </c>
      <c r="AB15" s="1352">
        <f t="shared" si="4"/>
        <v>1</v>
      </c>
      <c r="AC15" s="1352">
        <f t="shared" si="5"/>
        <v>1</v>
      </c>
    </row>
    <row r="16" spans="1:29" ht="15">
      <c r="A16" s="379"/>
      <c r="B16" s="578"/>
      <c r="C16" s="398"/>
      <c r="D16" s="399"/>
      <c r="E16" s="1903"/>
      <c r="F16" s="399"/>
      <c r="G16" s="1903"/>
      <c r="H16" s="401"/>
      <c r="I16" s="1903"/>
      <c r="J16" s="399"/>
      <c r="K16" s="620"/>
      <c r="L16" s="2720"/>
      <c r="M16" s="2714"/>
      <c r="N16" s="2714"/>
      <c r="O16" s="2772"/>
      <c r="P16" s="4143"/>
      <c r="Q16" s="1351"/>
      <c r="R16" s="704"/>
      <c r="S16" s="705"/>
      <c r="T16" s="704"/>
      <c r="U16" s="705"/>
      <c r="V16" s="704"/>
      <c r="W16" s="705"/>
      <c r="X16" s="1354"/>
      <c r="Y16" s="4143"/>
      <c r="Z16" s="1355"/>
      <c r="AA16" s="1352">
        <v>1</v>
      </c>
      <c r="AB16" s="1352">
        <v>1</v>
      </c>
      <c r="AC16" s="1352">
        <v>1</v>
      </c>
    </row>
    <row r="17" spans="1:29" ht="85.5">
      <c r="A17" s="379"/>
      <c r="B17" s="579" t="s">
        <v>1831</v>
      </c>
      <c r="C17" s="1899"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4143"/>
      <c r="Q17" s="1351" t="str">
        <f>B17</f>
        <v>交通便捷度</v>
      </c>
      <c r="R17" s="704" t="s">
        <v>14</v>
      </c>
      <c r="S17" s="705">
        <f>F17</f>
        <v>100</v>
      </c>
      <c r="T17" s="704" t="s">
        <v>14</v>
      </c>
      <c r="U17" s="705">
        <f>H17</f>
        <v>100</v>
      </c>
      <c r="V17" s="704" t="s">
        <v>14</v>
      </c>
      <c r="W17" s="705">
        <f>J17</f>
        <v>100</v>
      </c>
      <c r="X17" s="1354"/>
      <c r="Y17" s="4143"/>
      <c r="Z17" s="1355" t="str">
        <f>Q17</f>
        <v>交通便捷度</v>
      </c>
      <c r="AA17" s="1352">
        <f t="shared" si="3"/>
        <v>1</v>
      </c>
      <c r="AB17" s="1352">
        <f t="shared" si="4"/>
        <v>1</v>
      </c>
      <c r="AC17" s="1352">
        <f t="shared" si="5"/>
        <v>1</v>
      </c>
    </row>
    <row r="18" spans="1:29" ht="15">
      <c r="A18" s="379"/>
      <c r="B18" s="580"/>
      <c r="C18" s="398"/>
      <c r="D18" s="399"/>
      <c r="E18" s="1897"/>
      <c r="F18" s="399"/>
      <c r="G18" s="1897"/>
      <c r="H18" s="399"/>
      <c r="I18" s="1896"/>
      <c r="J18" s="399"/>
      <c r="K18" s="620"/>
      <c r="L18" s="2720"/>
      <c r="M18" s="2714"/>
      <c r="N18" s="2714"/>
      <c r="O18" s="2772"/>
      <c r="P18" s="4143"/>
      <c r="Q18" s="1351"/>
      <c r="R18" s="704"/>
      <c r="S18" s="705"/>
      <c r="T18" s="704"/>
      <c r="U18" s="705"/>
      <c r="V18" s="704"/>
      <c r="W18" s="705"/>
      <c r="X18" s="1354"/>
      <c r="Y18" s="4143"/>
      <c r="Z18" s="1355"/>
      <c r="AA18" s="1352">
        <v>1</v>
      </c>
      <c r="AB18" s="1352">
        <v>1</v>
      </c>
      <c r="AC18" s="1352">
        <v>1</v>
      </c>
    </row>
    <row r="19" spans="1:29" ht="15">
      <c r="A19" s="379"/>
      <c r="B19" s="579" t="s">
        <v>1869</v>
      </c>
      <c r="C19" s="1899">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4143"/>
      <c r="Q19" s="1351" t="str">
        <f t="shared" ref="Q19:Q33" si="8">B19</f>
        <v>区域土地利用方向</v>
      </c>
      <c r="R19" s="704" t="s">
        <v>14</v>
      </c>
      <c r="S19" s="705">
        <f>F19</f>
        <v>100</v>
      </c>
      <c r="T19" s="704" t="s">
        <v>14</v>
      </c>
      <c r="U19" s="705">
        <f>H19</f>
        <v>100</v>
      </c>
      <c r="V19" s="704" t="s">
        <v>14</v>
      </c>
      <c r="W19" s="705">
        <f>J19</f>
        <v>100</v>
      </c>
      <c r="X19" s="1354"/>
      <c r="Y19" s="4143"/>
      <c r="Z19" s="1355" t="str">
        <f>Q19</f>
        <v>区域土地利用方向</v>
      </c>
      <c r="AA19" s="1352">
        <f t="shared" si="3"/>
        <v>1</v>
      </c>
      <c r="AB19" s="1352">
        <f t="shared" si="4"/>
        <v>1</v>
      </c>
      <c r="AC19" s="1352">
        <f t="shared" si="5"/>
        <v>1</v>
      </c>
    </row>
    <row r="20" spans="1:29" ht="15">
      <c r="A20" s="358"/>
      <c r="B20" s="580"/>
      <c r="C20" s="398"/>
      <c r="D20" s="399"/>
      <c r="E20" s="1897"/>
      <c r="F20" s="399"/>
      <c r="G20" s="1897"/>
      <c r="H20" s="399"/>
      <c r="I20" s="1897"/>
      <c r="J20" s="399"/>
      <c r="K20" s="739"/>
      <c r="L20" s="2720"/>
      <c r="M20" s="2714"/>
      <c r="N20" s="2714"/>
      <c r="O20" s="2772"/>
      <c r="P20" s="4143"/>
      <c r="Q20" s="1351"/>
      <c r="R20" s="704"/>
      <c r="S20" s="705"/>
      <c r="T20" s="704"/>
      <c r="U20" s="705"/>
      <c r="V20" s="704"/>
      <c r="W20" s="705"/>
      <c r="X20" s="1354"/>
      <c r="Y20" s="4143"/>
      <c r="Z20" s="1355"/>
      <c r="AA20" s="1352"/>
      <c r="AB20" s="1352"/>
      <c r="AC20" s="1352"/>
    </row>
    <row r="21" spans="1:29" ht="71.25">
      <c r="A21" s="358"/>
      <c r="B21" s="579" t="s">
        <v>1919</v>
      </c>
      <c r="C21" s="1899"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4143"/>
      <c r="Q21" s="1351" t="str">
        <f t="shared" si="8"/>
        <v>环境状况</v>
      </c>
      <c r="R21" s="704" t="s">
        <v>14</v>
      </c>
      <c r="S21" s="705">
        <f>F21</f>
        <v>100</v>
      </c>
      <c r="T21" s="704" t="s">
        <v>14</v>
      </c>
      <c r="U21" s="705">
        <f>H21</f>
        <v>100</v>
      </c>
      <c r="V21" s="704" t="s">
        <v>14</v>
      </c>
      <c r="W21" s="705">
        <f>J21</f>
        <v>100</v>
      </c>
      <c r="X21" s="1354"/>
      <c r="Y21" s="4143"/>
      <c r="Z21" s="1355" t="str">
        <f>Q21</f>
        <v>环境状况</v>
      </c>
      <c r="AA21" s="1352">
        <f t="shared" si="3"/>
        <v>1</v>
      </c>
      <c r="AB21" s="1352">
        <f t="shared" si="4"/>
        <v>1</v>
      </c>
      <c r="AC21" s="1352">
        <f t="shared" si="5"/>
        <v>1</v>
      </c>
    </row>
    <row r="22" spans="1:29" ht="15">
      <c r="A22" s="358"/>
      <c r="B22" s="580"/>
      <c r="C22" s="398"/>
      <c r="D22" s="399"/>
      <c r="E22" s="1903"/>
      <c r="F22" s="399"/>
      <c r="G22" s="1903"/>
      <c r="H22" s="399"/>
      <c r="I22" s="398"/>
      <c r="J22" s="399"/>
      <c r="K22" s="620"/>
      <c r="L22" s="2720"/>
      <c r="M22" s="2714"/>
      <c r="N22" s="2714"/>
      <c r="O22" s="2772"/>
      <c r="P22" s="4143"/>
      <c r="Q22" s="1351"/>
      <c r="R22" s="704"/>
      <c r="S22" s="705"/>
      <c r="T22" s="704"/>
      <c r="U22" s="705"/>
      <c r="V22" s="704"/>
      <c r="W22" s="705"/>
      <c r="X22" s="1354"/>
      <c r="Y22" s="4143"/>
      <c r="Z22" s="1355"/>
      <c r="AA22" s="1352">
        <v>1</v>
      </c>
      <c r="AB22" s="1352">
        <v>1</v>
      </c>
      <c r="AC22" s="1352">
        <v>1</v>
      </c>
    </row>
    <row r="23" spans="1:29" s="108" customFormat="1" ht="42.75">
      <c r="A23" s="597"/>
      <c r="B23" s="581" t="s">
        <v>1776</v>
      </c>
      <c r="C23" s="1899"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4143"/>
      <c r="Q23" s="1342" t="str">
        <f t="shared" si="8"/>
        <v>公共配套设施</v>
      </c>
      <c r="R23" s="700" t="s">
        <v>14</v>
      </c>
      <c r="S23" s="701">
        <f>F23</f>
        <v>100</v>
      </c>
      <c r="T23" s="700" t="s">
        <v>14</v>
      </c>
      <c r="U23" s="701">
        <f>H23</f>
        <v>100</v>
      </c>
      <c r="V23" s="700" t="s">
        <v>14</v>
      </c>
      <c r="W23" s="701">
        <f>J23</f>
        <v>100</v>
      </c>
      <c r="X23" s="702"/>
      <c r="Y23" s="4143"/>
      <c r="Z23" s="52" t="str">
        <f>Q23</f>
        <v>公共配套设施</v>
      </c>
      <c r="AA23" s="1352">
        <f>D23/F23</f>
        <v>1</v>
      </c>
      <c r="AB23" s="1352">
        <f>D23/H23</f>
        <v>1</v>
      </c>
      <c r="AC23" s="1352">
        <f>D23/J23</f>
        <v>1</v>
      </c>
    </row>
    <row r="24" spans="1:29" s="108" customFormat="1" ht="15">
      <c r="A24" s="597"/>
      <c r="B24" s="580"/>
      <c r="C24" s="1977"/>
      <c r="D24" s="399"/>
      <c r="E24" s="1903"/>
      <c r="F24" s="399"/>
      <c r="G24" s="1903"/>
      <c r="H24" s="399"/>
      <c r="I24" s="398"/>
      <c r="J24" s="399"/>
      <c r="K24" s="620"/>
      <c r="L24" s="2715"/>
      <c r="M24" s="2716"/>
      <c r="N24" s="2716"/>
      <c r="O24" s="2770"/>
      <c r="P24" s="4143"/>
      <c r="Q24" s="1342"/>
      <c r="R24" s="700"/>
      <c r="S24" s="701"/>
      <c r="T24" s="700"/>
      <c r="U24" s="701"/>
      <c r="V24" s="700"/>
      <c r="W24" s="701"/>
      <c r="X24" s="702"/>
      <c r="Y24" s="4143"/>
      <c r="Z24" s="52"/>
      <c r="AA24" s="703">
        <v>1</v>
      </c>
      <c r="AB24" s="703">
        <v>1</v>
      </c>
      <c r="AC24" s="703">
        <v>1</v>
      </c>
    </row>
    <row r="25" spans="1:29" s="108" customFormat="1" ht="28.5">
      <c r="A25" s="597"/>
      <c r="B25" s="581" t="s">
        <v>1777</v>
      </c>
      <c r="C25" s="1899"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4143"/>
      <c r="Q25" s="1342" t="str">
        <f t="shared" ref="Q25" si="9">B25</f>
        <v>基础设施水平</v>
      </c>
      <c r="R25" s="700" t="s">
        <v>14</v>
      </c>
      <c r="S25" s="701">
        <f>F25</f>
        <v>100</v>
      </c>
      <c r="T25" s="700" t="s">
        <v>14</v>
      </c>
      <c r="U25" s="701">
        <f>H25</f>
        <v>100</v>
      </c>
      <c r="V25" s="700" t="s">
        <v>14</v>
      </c>
      <c r="W25" s="701">
        <f>J25</f>
        <v>100</v>
      </c>
      <c r="X25" s="702"/>
      <c r="Y25" s="4143"/>
      <c r="Z25" s="52" t="str">
        <f>Q25</f>
        <v>基础设施水平</v>
      </c>
      <c r="AA25" s="1352">
        <f>D25/F25</f>
        <v>1</v>
      </c>
      <c r="AB25" s="1352">
        <f>D25/H25</f>
        <v>1</v>
      </c>
      <c r="AC25" s="1352">
        <f>D25/J25</f>
        <v>1</v>
      </c>
    </row>
    <row r="26" spans="1:29" s="108" customFormat="1" ht="15">
      <c r="A26" s="597"/>
      <c r="B26" s="580"/>
      <c r="C26" s="1977"/>
      <c r="D26" s="399"/>
      <c r="E26" s="1978"/>
      <c r="F26" s="399"/>
      <c r="G26" s="1978"/>
      <c r="H26" s="399"/>
      <c r="I26" s="1978"/>
      <c r="J26" s="399"/>
      <c r="K26" s="620"/>
      <c r="L26" s="2715"/>
      <c r="M26" s="2716"/>
      <c r="N26" s="2716"/>
      <c r="O26" s="2770"/>
      <c r="P26" s="4143"/>
      <c r="Q26" s="1342"/>
      <c r="R26" s="700"/>
      <c r="S26" s="701"/>
      <c r="T26" s="700"/>
      <c r="U26" s="701"/>
      <c r="V26" s="700"/>
      <c r="W26" s="701"/>
      <c r="X26" s="702"/>
      <c r="Y26" s="4143"/>
      <c r="Z26" s="52"/>
      <c r="AA26" s="703">
        <v>1</v>
      </c>
      <c r="AB26" s="703">
        <v>1</v>
      </c>
      <c r="AC26" s="703">
        <v>1</v>
      </c>
    </row>
    <row r="27" spans="1:29" ht="15">
      <c r="A27" s="379"/>
      <c r="B27" s="580" t="s">
        <v>1778</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4143"/>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4143"/>
      <c r="Z27" s="1355" t="str">
        <f t="shared" ref="Z27:Z40" si="13">Q27</f>
        <v>临街状况</v>
      </c>
      <c r="AA27" s="1352">
        <f t="shared" si="3"/>
        <v>1</v>
      </c>
      <c r="AB27" s="1352">
        <f t="shared" si="4"/>
        <v>1</v>
      </c>
      <c r="AC27" s="1352">
        <f t="shared" si="5"/>
        <v>1</v>
      </c>
    </row>
    <row r="28" spans="1:29" ht="27">
      <c r="A28" s="379"/>
      <c r="B28" s="581" t="s">
        <v>1813</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4143"/>
      <c r="Q28" s="1351" t="str">
        <f t="shared" si="8"/>
        <v>毗邻道路的类型与等级</v>
      </c>
      <c r="R28" s="704" t="s">
        <v>14</v>
      </c>
      <c r="S28" s="705">
        <f t="shared" si="10"/>
        <v>100</v>
      </c>
      <c r="T28" s="704" t="s">
        <v>14</v>
      </c>
      <c r="U28" s="705">
        <f t="shared" si="11"/>
        <v>100</v>
      </c>
      <c r="V28" s="704" t="s">
        <v>14</v>
      </c>
      <c r="W28" s="705">
        <f t="shared" si="12"/>
        <v>100</v>
      </c>
      <c r="X28" s="1354"/>
      <c r="Y28" s="4143"/>
      <c r="Z28" s="1355" t="str">
        <f t="shared" si="13"/>
        <v>毗邻道路的类型与等级</v>
      </c>
      <c r="AA28" s="1352">
        <f t="shared" si="3"/>
        <v>1</v>
      </c>
      <c r="AB28" s="1352">
        <f t="shared" si="4"/>
        <v>1</v>
      </c>
      <c r="AC28" s="1352">
        <f t="shared" si="5"/>
        <v>1</v>
      </c>
    </row>
    <row r="29" spans="1:29" ht="15">
      <c r="A29" s="379"/>
      <c r="B29" s="580"/>
      <c r="C29" s="398"/>
      <c r="D29" s="399"/>
      <c r="E29" s="1903"/>
      <c r="F29" s="399"/>
      <c r="G29" s="1903"/>
      <c r="H29" s="399"/>
      <c r="I29" s="1903"/>
      <c r="J29" s="399"/>
      <c r="K29" s="562"/>
      <c r="L29" s="2720"/>
      <c r="M29" s="2714"/>
      <c r="N29" s="2714"/>
      <c r="O29" s="2772"/>
      <c r="P29" s="4143"/>
      <c r="Q29" s="1351"/>
      <c r="R29" s="704"/>
      <c r="S29" s="705"/>
      <c r="T29" s="704"/>
      <c r="U29" s="705"/>
      <c r="V29" s="704"/>
      <c r="W29" s="705"/>
      <c r="X29" s="1354"/>
      <c r="Y29" s="4143"/>
      <c r="Z29" s="1355"/>
      <c r="AA29" s="1352">
        <v>1</v>
      </c>
      <c r="AB29" s="1352">
        <v>1</v>
      </c>
      <c r="AC29" s="1352">
        <v>1</v>
      </c>
    </row>
    <row r="30" spans="1:29" ht="15">
      <c r="A30" s="379"/>
      <c r="B30" s="602" t="s">
        <v>1871</v>
      </c>
      <c r="C30" s="1135">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4143"/>
      <c r="Q30" s="1351" t="str">
        <f t="shared" si="8"/>
        <v>土地级别</v>
      </c>
      <c r="R30" s="704" t="s">
        <v>14</v>
      </c>
      <c r="S30" s="705">
        <f t="shared" si="10"/>
        <v>100</v>
      </c>
      <c r="T30" s="704" t="s">
        <v>14</v>
      </c>
      <c r="U30" s="705">
        <f t="shared" si="11"/>
        <v>100</v>
      </c>
      <c r="V30" s="704" t="s">
        <v>14</v>
      </c>
      <c r="W30" s="705">
        <f t="shared" si="12"/>
        <v>100</v>
      </c>
      <c r="X30" s="1354"/>
      <c r="Y30" s="4143"/>
      <c r="Z30" s="1355" t="str">
        <f t="shared" si="13"/>
        <v>土地级别</v>
      </c>
      <c r="AA30" s="1352">
        <f t="shared" si="3"/>
        <v>1</v>
      </c>
      <c r="AB30" s="1352">
        <f t="shared" si="4"/>
        <v>1</v>
      </c>
      <c r="AC30" s="1352">
        <f t="shared" si="5"/>
        <v>1</v>
      </c>
    </row>
    <row r="31" spans="1:29" ht="15">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4143"/>
      <c r="Q31" s="1351">
        <f t="shared" si="8"/>
        <v>111</v>
      </c>
      <c r="R31" s="704" t="s">
        <v>14</v>
      </c>
      <c r="S31" s="705">
        <f t="shared" si="10"/>
        <v>100</v>
      </c>
      <c r="T31" s="704" t="s">
        <v>14</v>
      </c>
      <c r="U31" s="705">
        <f t="shared" si="11"/>
        <v>100</v>
      </c>
      <c r="V31" s="704" t="s">
        <v>14</v>
      </c>
      <c r="W31" s="705">
        <f t="shared" si="12"/>
        <v>100</v>
      </c>
      <c r="X31" s="1354"/>
      <c r="Y31" s="4143"/>
      <c r="Z31" s="1355">
        <f t="shared" si="13"/>
        <v>111</v>
      </c>
      <c r="AA31" s="1352">
        <f t="shared" si="3"/>
        <v>1</v>
      </c>
      <c r="AB31" s="1352">
        <f t="shared" si="4"/>
        <v>1</v>
      </c>
      <c r="AC31" s="1352">
        <f t="shared" si="5"/>
        <v>1</v>
      </c>
    </row>
    <row r="32" spans="1:29" ht="15">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4168" t="s">
        <v>1694</v>
      </c>
      <c r="Q32" s="1351">
        <f t="shared" si="8"/>
        <v>111</v>
      </c>
      <c r="R32" s="704" t="s">
        <v>14</v>
      </c>
      <c r="S32" s="705">
        <f t="shared" si="10"/>
        <v>100</v>
      </c>
      <c r="T32" s="704" t="s">
        <v>14</v>
      </c>
      <c r="U32" s="705">
        <f t="shared" si="11"/>
        <v>100</v>
      </c>
      <c r="V32" s="704" t="s">
        <v>14</v>
      </c>
      <c r="W32" s="705">
        <f t="shared" si="12"/>
        <v>100</v>
      </c>
      <c r="X32" s="1354"/>
      <c r="Y32" s="4147" t="s">
        <v>1694</v>
      </c>
      <c r="Z32" s="1355">
        <f t="shared" si="13"/>
        <v>111</v>
      </c>
      <c r="AA32" s="1352">
        <f t="shared" si="3"/>
        <v>1</v>
      </c>
      <c r="AB32" s="1352">
        <f t="shared" si="4"/>
        <v>1</v>
      </c>
      <c r="AC32" s="1352">
        <f t="shared" si="5"/>
        <v>1</v>
      </c>
    </row>
    <row r="33" spans="1:31" s="422" customFormat="1" ht="15.75"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4147"/>
      <c r="Q33" s="1351">
        <f t="shared" si="8"/>
        <v>111</v>
      </c>
      <c r="R33" s="707" t="s">
        <v>14</v>
      </c>
      <c r="S33" s="708">
        <f t="shared" si="10"/>
        <v>100</v>
      </c>
      <c r="T33" s="707" t="s">
        <v>14</v>
      </c>
      <c r="U33" s="708">
        <f t="shared" si="11"/>
        <v>100</v>
      </c>
      <c r="V33" s="707" t="s">
        <v>14</v>
      </c>
      <c r="W33" s="708">
        <f t="shared" si="12"/>
        <v>100</v>
      </c>
      <c r="X33" s="709"/>
      <c r="Y33" s="4147"/>
      <c r="Z33" s="710">
        <f t="shared" si="13"/>
        <v>111</v>
      </c>
      <c r="AA33" s="1352">
        <f t="shared" si="3"/>
        <v>1</v>
      </c>
      <c r="AB33" s="1352">
        <f t="shared" si="4"/>
        <v>1</v>
      </c>
      <c r="AC33" s="1352">
        <f t="shared" si="5"/>
        <v>1</v>
      </c>
    </row>
    <row r="34" spans="1:31" ht="15">
      <c r="A34" s="391" t="s">
        <v>1692</v>
      </c>
      <c r="B34" s="407" t="s">
        <v>1872</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4147"/>
      <c r="Q34" s="1351" t="str">
        <f>B34</f>
        <v>宗地面积</v>
      </c>
      <c r="R34" s="704" t="s">
        <v>14</v>
      </c>
      <c r="S34" s="705" t="e">
        <f t="shared" si="10"/>
        <v>#N/A</v>
      </c>
      <c r="T34" s="704" t="s">
        <v>14</v>
      </c>
      <c r="U34" s="705" t="e">
        <f t="shared" si="11"/>
        <v>#N/A</v>
      </c>
      <c r="V34" s="704" t="s">
        <v>14</v>
      </c>
      <c r="W34" s="705" t="e">
        <f t="shared" si="12"/>
        <v>#N/A</v>
      </c>
      <c r="X34" s="1354"/>
      <c r="Y34" s="4147"/>
      <c r="Z34" s="1355" t="str">
        <f t="shared" si="13"/>
        <v>宗地面积</v>
      </c>
      <c r="AA34" s="1352" t="e">
        <f t="shared" si="3"/>
        <v>#N/A</v>
      </c>
      <c r="AB34" s="1352" t="e">
        <f t="shared" si="4"/>
        <v>#N/A</v>
      </c>
      <c r="AC34" s="1352" t="e">
        <f t="shared" si="5"/>
        <v>#N/A</v>
      </c>
    </row>
    <row r="35" spans="1:31" ht="15">
      <c r="A35" s="423"/>
      <c r="B35" s="375" t="s">
        <v>1873</v>
      </c>
      <c r="C35" s="1905"/>
      <c r="D35" s="386">
        <v>100</v>
      </c>
      <c r="E35" s="1905"/>
      <c r="F35" s="386">
        <f>SUMIF(110:110,E35,111:111)-SUMIF(110:110,C35,111:111)+100</f>
        <v>100</v>
      </c>
      <c r="G35" s="1905"/>
      <c r="H35" s="386">
        <f>SUMIF(110:110,G35,111:111)-SUMIF(110:110,C35,111:111)+100</f>
        <v>100</v>
      </c>
      <c r="I35" s="1905"/>
      <c r="J35" s="386">
        <f>SUMIF(110:110,I35,111:111)-SUMIF(110:110,C35,111:111)+100</f>
        <v>100</v>
      </c>
      <c r="K35" s="561"/>
      <c r="L35" s="2720"/>
      <c r="M35" s="2714"/>
      <c r="N35" s="2714"/>
      <c r="O35" s="2772"/>
      <c r="P35" s="4147"/>
      <c r="Q35" s="1351" t="str">
        <f t="shared" ref="Q35:Q40" si="14">B35</f>
        <v>宗地形状</v>
      </c>
      <c r="R35" s="704" t="s">
        <v>14</v>
      </c>
      <c r="S35" s="705">
        <f t="shared" si="10"/>
        <v>100</v>
      </c>
      <c r="T35" s="704" t="s">
        <v>14</v>
      </c>
      <c r="U35" s="705">
        <f t="shared" si="11"/>
        <v>100</v>
      </c>
      <c r="V35" s="704" t="s">
        <v>14</v>
      </c>
      <c r="W35" s="705">
        <f t="shared" si="12"/>
        <v>100</v>
      </c>
      <c r="X35" s="1354"/>
      <c r="Y35" s="4147"/>
      <c r="Z35" s="1355" t="str">
        <f t="shared" si="13"/>
        <v>宗地形状</v>
      </c>
      <c r="AA35" s="1352">
        <f t="shared" si="3"/>
        <v>1</v>
      </c>
      <c r="AB35" s="1352">
        <f t="shared" si="4"/>
        <v>1</v>
      </c>
      <c r="AC35" s="1352">
        <f t="shared" si="5"/>
        <v>1</v>
      </c>
    </row>
    <row r="36" spans="1:31" s="108" customFormat="1" ht="15">
      <c r="A36" s="424"/>
      <c r="B36" s="375" t="s">
        <v>1875</v>
      </c>
      <c r="C36" s="1979"/>
      <c r="D36" s="127">
        <v>100</v>
      </c>
      <c r="E36" s="1979"/>
      <c r="F36" s="386">
        <f>SUMIF(112:112,E36,113:113)-SUMIF(112:112,C36,113:113)+100</f>
        <v>100</v>
      </c>
      <c r="G36" s="1979"/>
      <c r="H36" s="386">
        <f>SUMIF(112:112,G36,113:113)-SUMIF(112:112,C36,113:113)+100</f>
        <v>100</v>
      </c>
      <c r="I36" s="1979"/>
      <c r="J36" s="386">
        <f>SUMIF(112:112,I36,113:113)-SUMIF(112:112,C36,113:113)+100</f>
        <v>100</v>
      </c>
      <c r="K36" s="561"/>
      <c r="L36" s="2715"/>
      <c r="M36" s="2716"/>
      <c r="N36" s="2716"/>
      <c r="O36" s="2770"/>
      <c r="P36" s="4147"/>
      <c r="Q36" s="1351" t="str">
        <f t="shared" si="14"/>
        <v>宗地开发程度</v>
      </c>
      <c r="R36" s="700" t="s">
        <v>14</v>
      </c>
      <c r="S36" s="701">
        <f t="shared" si="10"/>
        <v>100</v>
      </c>
      <c r="T36" s="700" t="s">
        <v>14</v>
      </c>
      <c r="U36" s="701">
        <f t="shared" si="11"/>
        <v>100</v>
      </c>
      <c r="V36" s="700" t="s">
        <v>14</v>
      </c>
      <c r="W36" s="701">
        <f t="shared" si="12"/>
        <v>100</v>
      </c>
      <c r="X36" s="702"/>
      <c r="Y36" s="4147"/>
      <c r="Z36" s="52" t="str">
        <f t="shared" si="13"/>
        <v>宗地开发程度</v>
      </c>
      <c r="AA36" s="703">
        <f t="shared" si="3"/>
        <v>1</v>
      </c>
      <c r="AB36" s="703">
        <f t="shared" si="4"/>
        <v>1</v>
      </c>
      <c r="AC36" s="703">
        <f t="shared" si="5"/>
        <v>1</v>
      </c>
    </row>
    <row r="37" spans="1:31" ht="15">
      <c r="A37" s="423"/>
      <c r="B37" s="375" t="s">
        <v>1876</v>
      </c>
      <c r="C37" s="1905"/>
      <c r="D37" s="386">
        <v>100</v>
      </c>
      <c r="E37" s="1905"/>
      <c r="F37" s="386">
        <f>SUMIF(114:114,E37,115:115)-SUMIF(114:114,C37,115:115)+100</f>
        <v>100</v>
      </c>
      <c r="G37" s="1905"/>
      <c r="H37" s="386">
        <f>SUMIF(114:114,G37,115:115)-SUMIF(114:114,C37,115:115)+100</f>
        <v>100</v>
      </c>
      <c r="I37" s="1905"/>
      <c r="J37" s="386">
        <f>SUMIF(114:114,I37,115:115)-SUMIF(114:114,C37,115:115)+100</f>
        <v>100</v>
      </c>
      <c r="K37" s="561"/>
      <c r="L37" s="2720"/>
      <c r="M37" s="2714"/>
      <c r="N37" s="2714"/>
      <c r="O37" s="2772"/>
      <c r="P37" s="4147" t="s">
        <v>1694</v>
      </c>
      <c r="Q37" s="1351" t="str">
        <f t="shared" si="14"/>
        <v>工程地质条件</v>
      </c>
      <c r="R37" s="704" t="s">
        <v>14</v>
      </c>
      <c r="S37" s="705">
        <f t="shared" si="10"/>
        <v>100</v>
      </c>
      <c r="T37" s="704" t="s">
        <v>14</v>
      </c>
      <c r="U37" s="705">
        <f t="shared" si="11"/>
        <v>100</v>
      </c>
      <c r="V37" s="704" t="s">
        <v>14</v>
      </c>
      <c r="W37" s="705">
        <f t="shared" si="12"/>
        <v>100</v>
      </c>
      <c r="X37" s="1354"/>
      <c r="Y37" s="4147" t="s">
        <v>1694</v>
      </c>
      <c r="Z37" s="1355" t="str">
        <f t="shared" si="13"/>
        <v>工程地质条件</v>
      </c>
      <c r="AA37" s="1352">
        <f t="shared" si="3"/>
        <v>1</v>
      </c>
      <c r="AB37" s="1352">
        <f t="shared" si="4"/>
        <v>1</v>
      </c>
      <c r="AC37" s="1352">
        <f t="shared" si="5"/>
        <v>1</v>
      </c>
    </row>
    <row r="38" spans="1:31" ht="15">
      <c r="A38" s="423"/>
      <c r="B38" s="1133">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4147"/>
      <c r="Q38" s="1351">
        <f t="shared" si="14"/>
        <v>111</v>
      </c>
      <c r="R38" s="704" t="s">
        <v>14</v>
      </c>
      <c r="S38" s="705">
        <f t="shared" si="10"/>
        <v>100</v>
      </c>
      <c r="T38" s="704" t="s">
        <v>14</v>
      </c>
      <c r="U38" s="705">
        <f t="shared" si="11"/>
        <v>100</v>
      </c>
      <c r="V38" s="704" t="s">
        <v>14</v>
      </c>
      <c r="W38" s="705">
        <f t="shared" si="12"/>
        <v>100</v>
      </c>
      <c r="X38" s="1354"/>
      <c r="Y38" s="4147"/>
      <c r="Z38" s="1355">
        <f t="shared" si="13"/>
        <v>111</v>
      </c>
      <c r="AA38" s="1352">
        <f t="shared" si="3"/>
        <v>1</v>
      </c>
      <c r="AB38" s="1352">
        <f t="shared" si="4"/>
        <v>1</v>
      </c>
      <c r="AC38" s="1352">
        <f t="shared" si="5"/>
        <v>1</v>
      </c>
    </row>
    <row r="39" spans="1:31" ht="15">
      <c r="A39" s="423"/>
      <c r="B39" s="1133">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4147"/>
      <c r="Q39" s="1351">
        <f t="shared" si="14"/>
        <v>111</v>
      </c>
      <c r="R39" s="704" t="s">
        <v>14</v>
      </c>
      <c r="S39" s="705">
        <f t="shared" si="10"/>
        <v>100</v>
      </c>
      <c r="T39" s="704" t="s">
        <v>14</v>
      </c>
      <c r="U39" s="705">
        <f t="shared" si="11"/>
        <v>100</v>
      </c>
      <c r="V39" s="704" t="s">
        <v>14</v>
      </c>
      <c r="W39" s="705">
        <f t="shared" si="12"/>
        <v>100</v>
      </c>
      <c r="X39" s="1354"/>
      <c r="Y39" s="4147"/>
      <c r="Z39" s="1355">
        <f t="shared" si="13"/>
        <v>111</v>
      </c>
      <c r="AA39" s="1352">
        <f t="shared" si="3"/>
        <v>1</v>
      </c>
      <c r="AB39" s="1352">
        <f t="shared" si="4"/>
        <v>1</v>
      </c>
      <c r="AC39" s="1352">
        <f t="shared" si="5"/>
        <v>1</v>
      </c>
    </row>
    <row r="40" spans="1:31" s="422" customFormat="1" ht="15.75" thickBot="1">
      <c r="A40" s="419"/>
      <c r="B40" s="1133">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4147"/>
      <c r="Q40" s="1351">
        <f t="shared" si="14"/>
        <v>111</v>
      </c>
      <c r="R40" s="707" t="s">
        <v>14</v>
      </c>
      <c r="S40" s="708">
        <f t="shared" si="10"/>
        <v>100</v>
      </c>
      <c r="T40" s="707" t="s">
        <v>14</v>
      </c>
      <c r="U40" s="708">
        <f t="shared" si="11"/>
        <v>100</v>
      </c>
      <c r="V40" s="707" t="s">
        <v>14</v>
      </c>
      <c r="W40" s="708">
        <f t="shared" si="12"/>
        <v>100</v>
      </c>
      <c r="X40" s="709"/>
      <c r="Y40" s="4147"/>
      <c r="Z40" s="710">
        <f t="shared" si="13"/>
        <v>111</v>
      </c>
      <c r="AA40" s="1352">
        <f t="shared" si="3"/>
        <v>1</v>
      </c>
      <c r="AB40" s="1352">
        <f t="shared" si="4"/>
        <v>1</v>
      </c>
      <c r="AC40" s="1352">
        <f t="shared" si="5"/>
        <v>1</v>
      </c>
    </row>
    <row r="41" spans="1:31" ht="15">
      <c r="A41" s="430" t="s">
        <v>1842</v>
      </c>
      <c r="B41" s="1981" t="s">
        <v>1920</v>
      </c>
      <c r="C41" s="630" t="s">
        <v>0</v>
      </c>
      <c r="D41" s="432"/>
      <c r="E41" s="433"/>
      <c r="F41" s="434"/>
      <c r="G41" s="435"/>
      <c r="H41" s="436"/>
      <c r="I41" s="433"/>
      <c r="J41" s="436"/>
      <c r="K41" s="713"/>
      <c r="L41" s="2722"/>
      <c r="M41" s="2714"/>
      <c r="N41" s="2714"/>
      <c r="O41" s="2723"/>
      <c r="P41" s="4140" t="str">
        <f>A41</f>
        <v>成交单价</v>
      </c>
      <c r="Q41" s="4140"/>
      <c r="R41" s="4135">
        <f>E41</f>
        <v>0</v>
      </c>
      <c r="S41" s="4135"/>
      <c r="T41" s="4135">
        <f>G41</f>
        <v>0</v>
      </c>
      <c r="U41" s="4135"/>
      <c r="V41" s="4135">
        <f>I41</f>
        <v>0</v>
      </c>
      <c r="W41" s="4135"/>
      <c r="X41" s="689"/>
      <c r="Y41" s="711"/>
      <c r="Z41" s="689"/>
      <c r="AA41" s="689"/>
      <c r="AB41" s="689"/>
      <c r="AC41" s="689"/>
    </row>
    <row r="42" spans="1:31" ht="15.75" thickBot="1">
      <c r="A42" s="437" t="s">
        <v>1791</v>
      </c>
      <c r="B42" s="631"/>
      <c r="C42" s="440" t="e">
        <f>R43</f>
        <v>#DIV/0!</v>
      </c>
      <c r="D42" s="2316" t="s">
        <v>2135</v>
      </c>
      <c r="E42" s="440" t="e">
        <f>R42</f>
        <v>#DIV/0!</v>
      </c>
      <c r="F42" s="2317"/>
      <c r="G42" s="439" t="e">
        <f>T42</f>
        <v>#DIV/0!</v>
      </c>
      <c r="H42" s="2317"/>
      <c r="I42" s="440" t="e">
        <f>V42</f>
        <v>#DIV/0!</v>
      </c>
      <c r="J42" s="2317"/>
      <c r="K42" s="2319">
        <f>F42+H42+J42</f>
        <v>0</v>
      </c>
      <c r="L42" s="2722"/>
      <c r="M42" s="2714"/>
      <c r="N42" s="2714"/>
      <c r="O42" s="2723"/>
      <c r="P42" s="4140" t="str">
        <f>A42</f>
        <v>比较价值（元/平方米）</v>
      </c>
      <c r="Q42" s="4140"/>
      <c r="R42" s="4195" t="e">
        <f>ROUND(PRODUCT(R41,AA7:AA40),0)</f>
        <v>#DIV/0!</v>
      </c>
      <c r="S42" s="4195"/>
      <c r="T42" s="4195" t="e">
        <f>ROUND(PRODUCT(T41,AB7:AB40),0)</f>
        <v>#DIV/0!</v>
      </c>
      <c r="U42" s="4195"/>
      <c r="V42" s="4195" t="e">
        <f>ROUND(PRODUCT(V41,AC7:AC40),0)</f>
        <v>#DIV/0!</v>
      </c>
      <c r="W42" s="4195"/>
      <c r="X42" s="689"/>
      <c r="Y42" s="689"/>
      <c r="Z42" s="689"/>
      <c r="AA42" s="689"/>
      <c r="AB42" s="689"/>
      <c r="AC42" s="689"/>
    </row>
    <row r="43" spans="1:31" ht="15.75" thickBot="1">
      <c r="A43" s="441" t="s">
        <v>1792</v>
      </c>
      <c r="B43" s="442"/>
      <c r="C43" s="443" t="e">
        <f>R43</f>
        <v>#DIV/0!</v>
      </c>
      <c r="D43" s="443"/>
      <c r="E43" s="443"/>
      <c r="F43" s="443"/>
      <c r="G43" s="443"/>
      <c r="H43" s="443"/>
      <c r="I43" s="443"/>
      <c r="J43" s="443"/>
      <c r="K43" s="714"/>
      <c r="L43" s="2722"/>
      <c r="M43" s="2714"/>
      <c r="N43" s="2714"/>
      <c r="O43" s="2723"/>
      <c r="P43" s="4137" t="str">
        <f>A43</f>
        <v>估价对象XX用房的比较价值（楼面单价，元/平方米）</v>
      </c>
      <c r="Q43" s="4138"/>
      <c r="R43" s="4196" t="e">
        <f>ROUND(IF(D42="简单平均",AVERAGE(R42:W42),R42*F42+T42*H42+V42*J42),0)</f>
        <v>#DIV/0!</v>
      </c>
      <c r="S43" s="4196"/>
      <c r="T43" s="4196"/>
      <c r="U43" s="4196"/>
      <c r="V43" s="4196"/>
      <c r="W43" s="4196"/>
      <c r="X43" s="689"/>
      <c r="Y43" s="689"/>
      <c r="Z43" s="689"/>
      <c r="AA43" s="689"/>
      <c r="AB43" s="689"/>
      <c r="AC43" s="689"/>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1793</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1794</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1795</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2"/>
      <c r="D49" s="690"/>
      <c r="E49" s="690"/>
      <c r="F49" s="690"/>
      <c r="G49" s="690"/>
      <c r="H49" s="690"/>
      <c r="I49" s="690"/>
      <c r="J49" s="690"/>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1879</v>
      </c>
      <c r="B50" s="633" t="s">
        <v>1880</v>
      </c>
      <c r="C50" s="1982" t="s">
        <v>1881</v>
      </c>
      <c r="D50" s="1983" t="s">
        <v>1882</v>
      </c>
      <c r="E50" s="634" t="s">
        <v>1883</v>
      </c>
      <c r="F50" s="635" t="s">
        <v>1884</v>
      </c>
      <c r="G50" s="4123" t="s">
        <v>1885</v>
      </c>
      <c r="H50" s="4197"/>
      <c r="I50" s="1355" t="s">
        <v>1921</v>
      </c>
      <c r="J50" s="1355">
        <f>项目基本情况!F35</f>
        <v>0</v>
      </c>
      <c r="K50" s="1985" t="s">
        <v>1887</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1888</v>
      </c>
      <c r="B51" s="637" t="e">
        <f>C43</f>
        <v>#DIV/0!</v>
      </c>
      <c r="C51" s="638">
        <v>1</v>
      </c>
      <c r="D51" s="943">
        <v>1</v>
      </c>
      <c r="E51" s="638">
        <f>'数据-汇总表'!E8+'数据-汇总表'!E9</f>
        <v>28350.240000000002</v>
      </c>
      <c r="F51" s="639" t="e">
        <f t="shared" ref="F51:F60" si="15">ROUND(B51*E51/10000,0)</f>
        <v>#DIV/0!</v>
      </c>
      <c r="G51" s="4122"/>
      <c r="H51" s="4140"/>
      <c r="I51" s="772">
        <v>1</v>
      </c>
      <c r="J51" s="772">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1889</v>
      </c>
      <c r="B52" s="218" t="e">
        <f>ROUND($C$43*C52*D52,0)</f>
        <v>#DIV/0!</v>
      </c>
      <c r="C52" s="171">
        <f t="shared" ref="C52:C60" si="16">IF($C$50="北京市系数",I52,J52)</f>
        <v>0</v>
      </c>
      <c r="D52" s="944">
        <v>0.25</v>
      </c>
      <c r="E52" s="642"/>
      <c r="F52" s="639" t="e">
        <f t="shared" si="15"/>
        <v>#DIV/0!</v>
      </c>
      <c r="G52" s="3004" t="s">
        <v>1890</v>
      </c>
      <c r="H52" s="886">
        <f>项目基本情况!B37</f>
        <v>0</v>
      </c>
      <c r="I52" s="772">
        <f>SUMIF(修正!A57:A68,H52,修正!B57:B68)</f>
        <v>0</v>
      </c>
      <c r="J52" s="773"/>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1891</v>
      </c>
      <c r="B53" s="218" t="e">
        <f t="shared" ref="B53:B60" si="17">ROUND($C$43*C53*D53,0)</f>
        <v>#DIV/0!</v>
      </c>
      <c r="C53" s="171">
        <f t="shared" si="16"/>
        <v>0</v>
      </c>
      <c r="D53" s="944">
        <v>0.25</v>
      </c>
      <c r="E53" s="642"/>
      <c r="F53" s="639" t="e">
        <f t="shared" si="15"/>
        <v>#DIV/0!</v>
      </c>
      <c r="G53" s="3005"/>
      <c r="H53" s="886">
        <f>项目基本情况!B37</f>
        <v>0</v>
      </c>
      <c r="I53" s="772">
        <f>SUMIF(修正!A57:A68,H53,修正!C57:C68)</f>
        <v>0</v>
      </c>
      <c r="J53" s="773"/>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1892</v>
      </c>
      <c r="B54" s="218" t="e">
        <f t="shared" si="17"/>
        <v>#DIV/0!</v>
      </c>
      <c r="C54" s="171">
        <f t="shared" si="16"/>
        <v>0</v>
      </c>
      <c r="D54" s="944">
        <v>0.25</v>
      </c>
      <c r="E54" s="642"/>
      <c r="F54" s="639" t="e">
        <f t="shared" si="15"/>
        <v>#DIV/0!</v>
      </c>
      <c r="G54" s="3005"/>
      <c r="H54" s="886">
        <f>项目基本情况!B37</f>
        <v>0</v>
      </c>
      <c r="I54" s="772">
        <f>SUMIF(修正!A57:A68,H54,修正!D57:D68)</f>
        <v>0</v>
      </c>
      <c r="J54" s="773"/>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4"/>
      <c r="E55" s="642"/>
      <c r="F55" s="639"/>
      <c r="G55" s="3006"/>
      <c r="H55" s="886"/>
      <c r="I55" s="772"/>
      <c r="J55" s="773"/>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1893</v>
      </c>
      <c r="B56" s="218" t="e">
        <f t="shared" si="17"/>
        <v>#DIV/0!</v>
      </c>
      <c r="C56" s="171">
        <f t="shared" si="16"/>
        <v>0.3</v>
      </c>
      <c r="D56" s="944">
        <v>0.25</v>
      </c>
      <c r="E56" s="217">
        <f>'数据-汇总表'!E11</f>
        <v>0</v>
      </c>
      <c r="F56" s="639" t="e">
        <f t="shared" si="15"/>
        <v>#DIV/0!</v>
      </c>
      <c r="G56" s="1986" t="s">
        <v>1894</v>
      </c>
      <c r="H56" s="886" t="str">
        <f>项目基本情况!C37</f>
        <v>二级</v>
      </c>
      <c r="I56" s="772">
        <f>SUMIF(修正!A57:A68,H56,修正!E57:E68)</f>
        <v>0.3</v>
      </c>
      <c r="J56" s="773"/>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1895</v>
      </c>
      <c r="B57" s="218" t="e">
        <f t="shared" si="17"/>
        <v>#DIV/0!</v>
      </c>
      <c r="C57" s="171">
        <f t="shared" si="16"/>
        <v>0.3</v>
      </c>
      <c r="D57" s="944">
        <v>0.25</v>
      </c>
      <c r="E57" s="217">
        <f>'数据-汇总表'!E12</f>
        <v>0</v>
      </c>
      <c r="F57" s="639" t="e">
        <f t="shared" si="15"/>
        <v>#DIV/0!</v>
      </c>
      <c r="G57" s="891" t="s">
        <v>1896</v>
      </c>
      <c r="H57" s="886" t="str">
        <f>IF(G57="商业",项目基本情况!B37,IF(G57="办公",项目基本情况!C37,IF(G57="住宅",项目基本情况!D37,项目基本情况!E37)))</f>
        <v>二级</v>
      </c>
      <c r="I57" s="772">
        <f>SUMIF(修正!A57:A68,H57,修正!F57:F68)</f>
        <v>0.3</v>
      </c>
      <c r="J57" s="773"/>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1897</v>
      </c>
      <c r="B58" s="218" t="e">
        <f t="shared" si="17"/>
        <v>#DIV/0!</v>
      </c>
      <c r="C58" s="171">
        <f t="shared" si="16"/>
        <v>0</v>
      </c>
      <c r="D58" s="944">
        <v>0.25</v>
      </c>
      <c r="E58" s="217">
        <f>'数据-汇总表'!E13</f>
        <v>0</v>
      </c>
      <c r="F58" s="639" t="e">
        <f t="shared" si="15"/>
        <v>#DIV/0!</v>
      </c>
      <c r="G58" s="891" t="s">
        <v>1898</v>
      </c>
      <c r="H58" s="886">
        <f>IF(G58="商业",项目基本情况!B37,IF(G58="办公",项目基本情况!C37,IF(G58="住宅",项目基本情况!D37,项目基本情况!E37)))</f>
        <v>0</v>
      </c>
      <c r="I58" s="772">
        <f>SUMIF(修正!A57:A68,H58,修正!G57:G68)</f>
        <v>0</v>
      </c>
      <c r="J58" s="773"/>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1899</v>
      </c>
      <c r="B59" s="218" t="e">
        <f t="shared" si="17"/>
        <v>#DIV/0!</v>
      </c>
      <c r="C59" s="171">
        <f t="shared" si="16"/>
        <v>0</v>
      </c>
      <c r="D59" s="944">
        <v>0.25</v>
      </c>
      <c r="E59" s="217">
        <f>'数据-汇总表'!E14</f>
        <v>0</v>
      </c>
      <c r="F59" s="639" t="e">
        <f t="shared" si="15"/>
        <v>#DIV/0!</v>
      </c>
      <c r="G59" s="1986" t="s">
        <v>1890</v>
      </c>
      <c r="H59" s="886">
        <f>项目基本情况!B37</f>
        <v>0</v>
      </c>
      <c r="I59" s="772">
        <f>SUMIF(修正!A57:A68,H59,修正!G57:G68)</f>
        <v>0</v>
      </c>
      <c r="J59" s="773"/>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1900</v>
      </c>
      <c r="B60" s="218" t="e">
        <f t="shared" si="17"/>
        <v>#DIV/0!</v>
      </c>
      <c r="C60" s="171">
        <f t="shared" si="16"/>
        <v>0.2</v>
      </c>
      <c r="D60" s="944">
        <v>0.25</v>
      </c>
      <c r="E60" s="217">
        <f>'数据-汇总表'!E15</f>
        <v>5760.93</v>
      </c>
      <c r="F60" s="639" t="e">
        <f t="shared" si="15"/>
        <v>#DIV/0!</v>
      </c>
      <c r="G60" s="1987" t="s">
        <v>1894</v>
      </c>
      <c r="H60" s="896" t="str">
        <f>项目基本情况!C37</f>
        <v>二级</v>
      </c>
      <c r="I60" s="772">
        <f>SUMIF(修正!A57:A68,H60,修正!G57:G68)</f>
        <v>0.2</v>
      </c>
      <c r="J60" s="773"/>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1901</v>
      </c>
      <c r="B61" s="644" t="s">
        <v>22</v>
      </c>
      <c r="C61" s="644" t="s">
        <v>23</v>
      </c>
      <c r="D61" s="644" t="s">
        <v>392</v>
      </c>
      <c r="E61" s="644">
        <f>IF(B41="楼面地价",SUM(E51:E60),'数据-汇总表'!D3)</f>
        <v>3697.41</v>
      </c>
      <c r="F61" s="645" t="e">
        <f>IF(B41="楼面地价",SUM(F51:F60),ROUND(C43*E61/10000,0))</f>
        <v>#DIV/0!</v>
      </c>
      <c r="G61" s="938"/>
      <c r="H61" s="938"/>
      <c r="I61" s="938"/>
      <c r="J61" s="938"/>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6"/>
      <c r="B62" s="928"/>
      <c r="C62" s="930"/>
      <c r="D62" s="926"/>
      <c r="E62" s="926"/>
      <c r="F62" s="926"/>
      <c r="G62" s="926"/>
      <c r="H62" s="926"/>
      <c r="I62" s="926"/>
      <c r="J62" s="926"/>
      <c r="K62" s="887"/>
      <c r="L62" s="888"/>
      <c r="M62" s="926"/>
      <c r="N62" s="926"/>
      <c r="O62" s="926"/>
      <c r="P62" s="2723"/>
      <c r="Q62" s="2723"/>
      <c r="R62" s="2723"/>
      <c r="S62" s="2723"/>
      <c r="T62" s="2723"/>
      <c r="U62" s="2723"/>
      <c r="V62" s="2723"/>
      <c r="W62" s="2723"/>
      <c r="X62" s="2723"/>
      <c r="Y62" s="2723"/>
      <c r="Z62" s="2723"/>
      <c r="AA62" s="2723"/>
      <c r="AB62" s="2723"/>
      <c r="AC62" s="2723"/>
      <c r="AD62" s="2723"/>
      <c r="AE62" s="2723"/>
    </row>
    <row r="63" spans="1:31">
      <c r="A63" s="926"/>
      <c r="B63" s="928"/>
      <c r="C63" s="691" t="str">
        <f>YEAR(C7)&amp;"-"&amp;MONTH(C7)&amp;"-1"</f>
        <v>2024-10-1</v>
      </c>
      <c r="D63" s="691">
        <f>EDATE(C63,-3)</f>
        <v>45474</v>
      </c>
      <c r="E63" s="691">
        <f>EDATE(D63,-3)</f>
        <v>45383</v>
      </c>
      <c r="F63" s="691">
        <f t="shared" ref="F63:O63" si="18">EDATE(E63,-3)</f>
        <v>45292</v>
      </c>
      <c r="G63" s="691">
        <f t="shared" si="18"/>
        <v>45200</v>
      </c>
      <c r="H63" s="691">
        <f t="shared" si="18"/>
        <v>45108</v>
      </c>
      <c r="I63" s="691">
        <f t="shared" si="18"/>
        <v>45017</v>
      </c>
      <c r="J63" s="691">
        <f t="shared" si="18"/>
        <v>44927</v>
      </c>
      <c r="K63" s="691">
        <f t="shared" si="18"/>
        <v>44835</v>
      </c>
      <c r="L63" s="691">
        <f t="shared" si="18"/>
        <v>44743</v>
      </c>
      <c r="M63" s="691">
        <f t="shared" si="18"/>
        <v>44652</v>
      </c>
      <c r="N63" s="691">
        <f t="shared" si="18"/>
        <v>44562</v>
      </c>
      <c r="O63" s="691">
        <f t="shared" si="18"/>
        <v>44470</v>
      </c>
      <c r="P63" s="2723"/>
      <c r="Q63" s="2723"/>
      <c r="R63" s="2723"/>
      <c r="S63" s="2723"/>
      <c r="T63" s="2723"/>
      <c r="U63" s="2723"/>
      <c r="V63" s="2723"/>
      <c r="W63" s="2723"/>
      <c r="X63" s="2723"/>
      <c r="Y63" s="2723"/>
      <c r="Z63" s="2723"/>
      <c r="AA63" s="2723"/>
      <c r="AB63" s="2723"/>
      <c r="AC63" s="2723"/>
      <c r="AD63" s="2723"/>
      <c r="AE63" s="2723"/>
    </row>
    <row r="64" spans="1:31" ht="21.75" thickBot="1">
      <c r="A64" s="693" t="s">
        <v>1796</v>
      </c>
      <c r="B64" s="689"/>
      <c r="C64" s="694"/>
      <c r="D64" s="694"/>
      <c r="E64" s="694"/>
      <c r="F64" s="695"/>
      <c r="G64" s="695"/>
      <c r="H64" s="694"/>
      <c r="I64" s="694"/>
      <c r="J64" s="694"/>
      <c r="K64" s="696"/>
      <c r="L64" s="697"/>
      <c r="M64" s="694"/>
      <c r="N64" s="694"/>
      <c r="O64" s="939"/>
      <c r="P64" s="2767"/>
      <c r="Q64" s="2737"/>
      <c r="R64" s="2723"/>
      <c r="S64" s="2723"/>
      <c r="T64" s="2723"/>
      <c r="U64" s="2723"/>
      <c r="V64" s="2723"/>
      <c r="W64" s="2723"/>
      <c r="X64" s="2723"/>
      <c r="Y64" s="2723"/>
      <c r="Z64" s="2723"/>
      <c r="AA64" s="2723"/>
      <c r="AB64" s="2723"/>
      <c r="AC64" s="2723"/>
      <c r="AD64" s="2723"/>
      <c r="AE64" s="2723"/>
    </row>
    <row r="65" spans="1:31" s="457" customFormat="1" ht="15">
      <c r="A65" s="1988" t="s">
        <v>1902</v>
      </c>
      <c r="B65" s="1108"/>
      <c r="C65" s="1181" t="str">
        <f>YEAR(C63)&amp;"-"&amp;ROUNDUP(MONTH(C63)/3,0)</f>
        <v>2024-4</v>
      </c>
      <c r="D65" s="1181" t="str">
        <f t="shared" ref="D65:O65" si="19">YEAR(D63)&amp;"-"&amp;ROUNDUP(MONTH(D63)/3,0)</f>
        <v>2024-3</v>
      </c>
      <c r="E65" s="1181" t="str">
        <f t="shared" si="19"/>
        <v>2024-2</v>
      </c>
      <c r="F65" s="1181" t="str">
        <f t="shared" si="19"/>
        <v>2024-1</v>
      </c>
      <c r="G65" s="1181" t="str">
        <f t="shared" si="19"/>
        <v>2023-4</v>
      </c>
      <c r="H65" s="1181" t="str">
        <f t="shared" si="19"/>
        <v>2023-3</v>
      </c>
      <c r="I65" s="1181" t="str">
        <f t="shared" si="19"/>
        <v>2023-2</v>
      </c>
      <c r="J65" s="1181" t="str">
        <f t="shared" si="19"/>
        <v>2023-1</v>
      </c>
      <c r="K65" s="1181" t="str">
        <f t="shared" si="19"/>
        <v>2022-4</v>
      </c>
      <c r="L65" s="1181" t="str">
        <f t="shared" si="19"/>
        <v>2022-3</v>
      </c>
      <c r="M65" s="1181" t="str">
        <f t="shared" si="19"/>
        <v>2022-2</v>
      </c>
      <c r="N65" s="1181" t="str">
        <f t="shared" si="19"/>
        <v>2022-1</v>
      </c>
      <c r="O65" s="1181" t="str">
        <f t="shared" si="19"/>
        <v>2021-4</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3" t="s">
        <v>1922</v>
      </c>
      <c r="B66" s="288" t="str">
        <f>"北京市平均增长率"&amp;TEXT(基准地价修正!P28,"0.00%")</f>
        <v>北京市平均增长率0.00%</v>
      </c>
      <c r="C66" s="552">
        <v>100</v>
      </c>
      <c r="D66" s="544"/>
      <c r="E66" s="544"/>
      <c r="F66" s="544"/>
      <c r="G66" s="544"/>
      <c r="H66" s="544"/>
      <c r="I66" s="544"/>
      <c r="J66" s="544"/>
      <c r="K66" s="544"/>
      <c r="L66" s="544"/>
      <c r="M66" s="1177"/>
      <c r="N66" s="1177"/>
      <c r="O66" s="1179"/>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1714</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1679</v>
      </c>
      <c r="B68" s="459"/>
      <c r="C68" s="471" t="s">
        <v>1774</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1717</v>
      </c>
      <c r="B70" s="477" t="s">
        <v>1683</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1686</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1687</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1688</v>
      </c>
      <c r="B83" s="477" t="s">
        <v>1827</v>
      </c>
      <c r="C83" s="522" t="s">
        <v>1719</v>
      </c>
      <c r="D83" s="522" t="s">
        <v>1720</v>
      </c>
      <c r="E83" s="522" t="s">
        <v>1721</v>
      </c>
      <c r="F83" s="522" t="s">
        <v>1722</v>
      </c>
      <c r="G83" s="522" t="s">
        <v>1723</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1724</v>
      </c>
      <c r="C85" s="527" t="s">
        <v>1719</v>
      </c>
      <c r="D85" s="527" t="s">
        <v>1720</v>
      </c>
      <c r="E85" s="527" t="s">
        <v>1721</v>
      </c>
      <c r="F85" s="527" t="s">
        <v>1722</v>
      </c>
      <c r="G85" s="527" t="s">
        <v>1723</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1905</v>
      </c>
      <c r="C87" s="522" t="s">
        <v>1719</v>
      </c>
      <c r="D87" s="522" t="s">
        <v>1720</v>
      </c>
      <c r="E87" s="522" t="s">
        <v>1721</v>
      </c>
      <c r="F87" s="522" t="s">
        <v>1722</v>
      </c>
      <c r="G87" s="522" t="s">
        <v>1723</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1906</v>
      </c>
      <c r="C89" s="522" t="s">
        <v>1719</v>
      </c>
      <c r="D89" s="522" t="s">
        <v>1720</v>
      </c>
      <c r="E89" s="522" t="s">
        <v>1721</v>
      </c>
      <c r="F89" s="522" t="s">
        <v>1722</v>
      </c>
      <c r="G89" s="522" t="s">
        <v>1723</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1776</v>
      </c>
      <c r="C91" s="522" t="s">
        <v>1719</v>
      </c>
      <c r="D91" s="522" t="s">
        <v>1720</v>
      </c>
      <c r="E91" s="522" t="s">
        <v>1721</v>
      </c>
      <c r="F91" s="522" t="s">
        <v>1722</v>
      </c>
      <c r="G91" s="522" t="s">
        <v>1723</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1923</v>
      </c>
      <c r="C93" s="608" t="s">
        <v>1797</v>
      </c>
      <c r="D93" s="608" t="s">
        <v>1798</v>
      </c>
      <c r="E93" s="608" t="s">
        <v>1799</v>
      </c>
      <c r="F93" s="608" t="s">
        <v>1800</v>
      </c>
      <c r="G93" s="608" t="s">
        <v>1801</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1907</v>
      </c>
      <c r="D95" s="488" t="s">
        <v>1908</v>
      </c>
      <c r="E95" s="488" t="s">
        <v>1909</v>
      </c>
      <c r="F95" s="488" t="s">
        <v>1910</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1813</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1871</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1692</v>
      </c>
      <c r="B107" s="477" t="s">
        <v>1911</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2" t="str">
        <f t="shared" si="25"/>
        <v>(含)-</v>
      </c>
      <c r="L107" s="1332" t="str">
        <f t="shared" si="25"/>
        <v>(含)-</v>
      </c>
      <c r="M107" s="1333"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1912</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1914</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1915</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7" priority="18" stopIfTrue="1" operator="containsText" text="超过">
      <formula>NOT(ISERROR(SEARCH("超过",F46)))</formula>
    </cfRule>
  </conditionalFormatting>
  <conditionalFormatting sqref="J48">
    <cfRule type="containsText" dxfId="16" priority="17" stopIfTrue="1" operator="containsText" text="超过">
      <formula>NOT(ISERROR(SEARCH("超过",J48)))</formula>
    </cfRule>
  </conditionalFormatting>
  <conditionalFormatting sqref="H48">
    <cfRule type="containsText" dxfId="15" priority="16" stopIfTrue="1" operator="containsText" text="超过">
      <formula>NOT(ISERROR(SEARCH("超过",H48)))</formula>
    </cfRule>
  </conditionalFormatting>
  <conditionalFormatting sqref="F48">
    <cfRule type="containsText" dxfId="14" priority="15" stopIfTrue="1" operator="containsText" text="超过">
      <formula>NOT(ISERROR(SEARCH("超过",F48)))</formula>
    </cfRule>
  </conditionalFormatting>
  <conditionalFormatting sqref="F47 H47 J47">
    <cfRule type="containsText" dxfId="13" priority="14" stopIfTrue="1" operator="containsText" text="超过">
      <formula>NOT(ISERROR(SEARCH("超过",F47)))</formula>
    </cfRule>
  </conditionalFormatting>
  <conditionalFormatting sqref="E46">
    <cfRule type="expression" dxfId="12" priority="13" stopIfTrue="1">
      <formula>$F$46="超过30%"</formula>
    </cfRule>
  </conditionalFormatting>
  <conditionalFormatting sqref="G48">
    <cfRule type="expression" dxfId="11" priority="12" stopIfTrue="1">
      <formula>$H$48="超过30%"</formula>
    </cfRule>
  </conditionalFormatting>
  <conditionalFormatting sqref="E48">
    <cfRule type="expression" dxfId="10" priority="10" stopIfTrue="1">
      <formula>$F$48="超过30%"</formula>
    </cfRule>
  </conditionalFormatting>
  <conditionalFormatting sqref="G46">
    <cfRule type="expression" dxfId="9" priority="9" stopIfTrue="1">
      <formula>$H$46="超过30%"</formula>
    </cfRule>
  </conditionalFormatting>
  <conditionalFormatting sqref="G47">
    <cfRule type="expression" dxfId="8" priority="8" stopIfTrue="1">
      <formula>$H$47="超过20%"</formula>
    </cfRule>
  </conditionalFormatting>
  <conditionalFormatting sqref="I46">
    <cfRule type="expression" dxfId="7" priority="7" stopIfTrue="1">
      <formula>$J$46="超过30%"</formula>
    </cfRule>
  </conditionalFormatting>
  <conditionalFormatting sqref="I47">
    <cfRule type="expression" dxfId="6" priority="6" stopIfTrue="1">
      <formula>$J$47="超过20%"</formula>
    </cfRule>
  </conditionalFormatting>
  <conditionalFormatting sqref="I48">
    <cfRule type="expression" dxfId="5" priority="5" stopIfTrue="1">
      <formula>$J$48="超过30%"</formula>
    </cfRule>
  </conditionalFormatting>
  <conditionalFormatting sqref="E47">
    <cfRule type="expression" dxfId="4" priority="53" stopIfTrue="1">
      <formula>#REF!+$F$47="超过20%"</formula>
    </cfRule>
  </conditionalFormatting>
  <conditionalFormatting sqref="F42">
    <cfRule type="expression" dxfId="3" priority="4">
      <formula>$D$42="简单平均"</formula>
    </cfRule>
  </conditionalFormatting>
  <conditionalFormatting sqref="H42">
    <cfRule type="expression" dxfId="2" priority="3">
      <formula>$D$42="简单平均"</formula>
    </cfRule>
  </conditionalFormatting>
  <conditionalFormatting sqref="J42">
    <cfRule type="expression" dxfId="1" priority="2">
      <formula>$D$42="简单平均"</formula>
    </cfRule>
  </conditionalFormatting>
  <conditionalFormatting sqref="F7:F40 H7:H40 J7:J40">
    <cfRule type="cellIs" dxfId="0"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2079</v>
      </c>
      <c r="B1" s="2146"/>
      <c r="C1" s="2146"/>
      <c r="D1" s="2146"/>
      <c r="E1" s="2146"/>
      <c r="F1" s="2791"/>
      <c r="G1" s="2791"/>
      <c r="H1" s="2791"/>
      <c r="I1" s="2791"/>
      <c r="J1" s="2791"/>
      <c r="K1" s="2791"/>
      <c r="L1" s="2791"/>
      <c r="M1" s="2791"/>
      <c r="N1" s="2791"/>
      <c r="O1" s="2791"/>
      <c r="P1" s="2791"/>
    </row>
    <row r="2" spans="1:16" ht="15.75">
      <c r="A2" s="2144" t="s">
        <v>2071</v>
      </c>
      <c r="B2" s="2600">
        <f ca="1">SUMIF(B6:B13,"&lt;&gt;#ref!",B6:B13)</f>
        <v>915</v>
      </c>
      <c r="C2" s="2144" t="s">
        <v>2072</v>
      </c>
      <c r="D2" s="2144" t="s">
        <v>2073</v>
      </c>
      <c r="E2" s="2610">
        <f ca="1">SUMIF(E6:E13,"&lt;&gt;#ref!",E6:E13)</f>
        <v>1899.58</v>
      </c>
      <c r="F2" s="2791"/>
      <c r="G2" s="2791"/>
      <c r="H2" s="2791"/>
      <c r="I2" s="2791"/>
      <c r="J2" s="2791"/>
      <c r="K2" s="2791"/>
      <c r="L2" s="2791"/>
      <c r="M2" s="2791"/>
      <c r="N2" s="2791"/>
      <c r="O2" s="2791"/>
      <c r="P2" s="2791"/>
    </row>
    <row r="3" spans="1:16" ht="15.75">
      <c r="A3" s="2144" t="s">
        <v>2074</v>
      </c>
      <c r="B3" s="2600">
        <f ca="1">ROUND(B2*10000/E2,0)</f>
        <v>4817</v>
      </c>
      <c r="C3" s="2144" t="s">
        <v>2080</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2075</v>
      </c>
      <c r="B5" s="2608" t="s">
        <v>2076</v>
      </c>
      <c r="C5" s="2145"/>
      <c r="D5" s="2791"/>
      <c r="E5" s="2609" t="s">
        <v>2077</v>
      </c>
      <c r="F5" s="2791"/>
      <c r="G5" s="2791"/>
      <c r="H5" s="2791"/>
      <c r="I5" s="2791"/>
      <c r="J5" s="2791"/>
      <c r="K5" s="2791"/>
      <c r="L5" s="2791"/>
      <c r="M5" s="2791"/>
      <c r="N5" s="2791"/>
      <c r="O5" s="2791"/>
      <c r="P5" s="2791"/>
    </row>
    <row r="6" spans="1:16" ht="15.75">
      <c r="A6" s="2607" t="s">
        <v>2078</v>
      </c>
      <c r="B6" s="2600">
        <f ca="1">SUMIF(INDIRECT("'"&amp;A6&amp;"'"&amp;"!A:A"),"总价",INDIRECT("'"&amp;A6&amp;"'"&amp;"!B:B"))</f>
        <v>915</v>
      </c>
      <c r="C6" s="2144" t="s">
        <v>2072</v>
      </c>
      <c r="D6" s="2791"/>
      <c r="E6" s="2610">
        <f ca="1">SUMIF(INDIRECT("'"&amp;A6&amp;"'"&amp;"!C:C"),"建筑面积",INDIRECT("'"&amp;A6&amp;"'"&amp;"!D:D"))</f>
        <v>1899.58</v>
      </c>
      <c r="F6" s="2791"/>
      <c r="G6" s="2791"/>
      <c r="H6" s="2791"/>
      <c r="I6" s="2791"/>
      <c r="J6" s="2791"/>
      <c r="K6" s="2791"/>
      <c r="L6" s="2791"/>
      <c r="M6" s="2791"/>
      <c r="N6" s="2791"/>
      <c r="O6" s="2791"/>
      <c r="P6" s="2791"/>
    </row>
    <row r="7" spans="1:16" ht="15.75">
      <c r="A7" s="2607"/>
      <c r="B7" s="2600" t="e">
        <f ca="1">SUMIF(INDIRECT("'"&amp;A7&amp;"'"&amp;"!A:A"),"总价",INDIRECT("'"&amp;A7&amp;"'"&amp;"!B:B"))</f>
        <v>#REF!</v>
      </c>
      <c r="C7" s="2144" t="s">
        <v>2072</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4" t="s">
        <v>2072</v>
      </c>
      <c r="D8" s="2791"/>
      <c r="E8" s="2610" t="e">
        <f t="shared" ca="1" si="0"/>
        <v>#REF!</v>
      </c>
      <c r="F8" s="2791"/>
      <c r="G8" s="2791"/>
      <c r="H8" s="2791"/>
      <c r="I8" s="2791"/>
      <c r="J8" s="2791"/>
      <c r="K8" s="2791"/>
      <c r="L8" s="2791"/>
      <c r="M8" s="2791"/>
      <c r="N8" s="2791"/>
      <c r="O8" s="2791"/>
      <c r="P8" s="2791"/>
    </row>
    <row r="9" spans="1:16" ht="15.75">
      <c r="A9" s="2607"/>
      <c r="B9" s="2600" t="e">
        <f t="shared" ca="1" si="1"/>
        <v>#REF!</v>
      </c>
      <c r="C9" s="2144" t="s">
        <v>2072</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4" t="s">
        <v>2072</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4" t="s">
        <v>2072</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4" t="s">
        <v>2072</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4" t="s">
        <v>2072</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2593</v>
      </c>
      <c r="B1" s="3070" t="s">
        <v>2594</v>
      </c>
      <c r="C1" s="3070" t="s">
        <v>2595</v>
      </c>
      <c r="D1" s="3070" t="s">
        <v>2596</v>
      </c>
      <c r="E1" s="3070" t="s">
        <v>2597</v>
      </c>
      <c r="F1" s="3070" t="s">
        <v>2598</v>
      </c>
      <c r="G1" s="3070" t="s">
        <v>2599</v>
      </c>
      <c r="H1" s="3070" t="s">
        <v>2600</v>
      </c>
      <c r="I1" s="3070" t="s">
        <v>2601</v>
      </c>
      <c r="J1" s="3070" t="s">
        <v>2602</v>
      </c>
      <c r="K1" s="3070" t="s">
        <v>2603</v>
      </c>
      <c r="L1" s="3070" t="s">
        <v>2604</v>
      </c>
      <c r="M1" s="3071" t="s">
        <v>2605</v>
      </c>
    </row>
    <row r="2" spans="1:13" ht="19.5" customHeight="1">
      <c r="A2" s="3073" t="s">
        <v>2606</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2607</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2608</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2609</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2610</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2611</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2612</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2613</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2614</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2615</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2616</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2617</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2618</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2619</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2620</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2621</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 t="shared" ref="J17:M17" si="1">SUM(J8:J15)-J13-J14</f>
        <v>185</v>
      </c>
      <c r="K17" s="3021">
        <f t="shared" si="1"/>
        <v>185</v>
      </c>
      <c r="L17" s="3021">
        <f t="shared" si="1"/>
        <v>185</v>
      </c>
      <c r="M17" s="3021">
        <f t="shared" si="1"/>
        <v>185</v>
      </c>
    </row>
    <row r="18" spans="1:13" s="3097" customFormat="1" ht="19.5" customHeight="1">
      <c r="A18" s="3095" t="s">
        <v>2622</v>
      </c>
      <c r="B18" s="3095"/>
      <c r="C18" s="3096"/>
      <c r="D18" s="3096"/>
      <c r="E18" s="3095"/>
      <c r="F18" s="3096"/>
      <c r="G18" s="3096"/>
    </row>
    <row r="19" spans="1:13" ht="19.5" customHeight="1" thickBot="1">
      <c r="A19" s="3093" t="s">
        <v>2623</v>
      </c>
      <c r="B19" s="3098" t="s">
        <v>2624</v>
      </c>
      <c r="C19" s="3098" t="s">
        <v>2625</v>
      </c>
      <c r="D19" s="3099"/>
      <c r="E19" s="3093" t="s">
        <v>2626</v>
      </c>
      <c r="F19" s="3100"/>
      <c r="G19" s="3100"/>
    </row>
    <row r="20" spans="1:13" ht="19.5" customHeight="1">
      <c r="A20" s="4209" t="s">
        <v>2606</v>
      </c>
      <c r="B20" s="4202" t="s">
        <v>2627</v>
      </c>
      <c r="C20" s="3101" t="s">
        <v>2438</v>
      </c>
      <c r="D20" s="3102"/>
      <c r="E20" s="3103">
        <v>1</v>
      </c>
      <c r="F20" s="3104" t="s">
        <v>2439</v>
      </c>
      <c r="G20" s="3104"/>
    </row>
    <row r="21" spans="1:13" ht="19.5" customHeight="1">
      <c r="A21" s="4210"/>
      <c r="B21" s="4203"/>
      <c r="C21" s="3105" t="s">
        <v>2440</v>
      </c>
      <c r="D21" s="3106"/>
      <c r="E21" s="3107">
        <v>1</v>
      </c>
      <c r="F21" s="3104" t="s">
        <v>2441</v>
      </c>
      <c r="G21" s="3104"/>
    </row>
    <row r="22" spans="1:13" ht="19.5" customHeight="1">
      <c r="A22" s="4210"/>
      <c r="B22" s="4203"/>
      <c r="C22" s="3105" t="s">
        <v>2442</v>
      </c>
      <c r="D22" s="3106"/>
      <c r="E22" s="3107">
        <v>0.9</v>
      </c>
      <c r="F22" s="3104" t="s">
        <v>2443</v>
      </c>
      <c r="G22" s="3104"/>
    </row>
    <row r="23" spans="1:13" ht="19.5" customHeight="1">
      <c r="A23" s="4210"/>
      <c r="B23" s="4203"/>
      <c r="C23" s="3105" t="s">
        <v>2444</v>
      </c>
      <c r="D23" s="3106"/>
      <c r="E23" s="3107">
        <v>0.9</v>
      </c>
      <c r="F23" s="3104" t="s">
        <v>2445</v>
      </c>
      <c r="G23" s="3104"/>
    </row>
    <row r="24" spans="1:13" ht="19.5" customHeight="1">
      <c r="A24" s="4210"/>
      <c r="B24" s="4203"/>
      <c r="C24" s="3105" t="s">
        <v>2446</v>
      </c>
      <c r="D24" s="3106"/>
      <c r="E24" s="3107">
        <v>0.8</v>
      </c>
      <c r="F24" s="3104" t="s">
        <v>2447</v>
      </c>
      <c r="G24" s="3104"/>
    </row>
    <row r="25" spans="1:13" ht="19.5" customHeight="1" thickBot="1">
      <c r="A25" s="4211"/>
      <c r="B25" s="4204"/>
      <c r="C25" s="3108" t="s">
        <v>2448</v>
      </c>
      <c r="D25" s="3109"/>
      <c r="E25" s="3110">
        <v>0.8</v>
      </c>
      <c r="F25" s="3104" t="s">
        <v>2449</v>
      </c>
      <c r="G25" s="3104"/>
    </row>
    <row r="26" spans="1:13" ht="19.5" customHeight="1" thickBot="1">
      <c r="A26" s="3111" t="s">
        <v>2628</v>
      </c>
      <c r="B26" s="3112" t="s">
        <v>2627</v>
      </c>
      <c r="C26" s="3113" t="s">
        <v>2629</v>
      </c>
      <c r="D26" s="3114"/>
      <c r="E26" s="3115">
        <v>1</v>
      </c>
      <c r="F26" s="3104" t="s">
        <v>2450</v>
      </c>
      <c r="G26" s="3104"/>
    </row>
    <row r="27" spans="1:13" ht="19.5" customHeight="1">
      <c r="A27" s="4205" t="s">
        <v>2630</v>
      </c>
      <c r="B27" s="4202" t="s">
        <v>2611</v>
      </c>
      <c r="C27" s="3101" t="s">
        <v>2451</v>
      </c>
      <c r="D27" s="3102"/>
      <c r="E27" s="3103">
        <v>1</v>
      </c>
      <c r="F27" s="3104" t="s">
        <v>2452</v>
      </c>
      <c r="G27" s="3104"/>
    </row>
    <row r="28" spans="1:13" ht="19.5" customHeight="1">
      <c r="A28" s="4206"/>
      <c r="B28" s="4203"/>
      <c r="C28" s="3105" t="s">
        <v>2453</v>
      </c>
      <c r="D28" s="3106"/>
      <c r="E28" s="3107">
        <v>1</v>
      </c>
      <c r="F28" s="3104" t="s">
        <v>2454</v>
      </c>
      <c r="G28" s="3104"/>
    </row>
    <row r="29" spans="1:13" ht="19.5" customHeight="1">
      <c r="A29" s="4206"/>
      <c r="B29" s="4203"/>
      <c r="C29" s="3105" t="s">
        <v>2455</v>
      </c>
      <c r="D29" s="3106"/>
      <c r="E29" s="3107">
        <v>0.8</v>
      </c>
      <c r="F29" s="3104" t="s">
        <v>2456</v>
      </c>
      <c r="G29" s="3104"/>
    </row>
    <row r="30" spans="1:13" ht="19.5" customHeight="1">
      <c r="A30" s="4206"/>
      <c r="B30" s="4203"/>
      <c r="C30" s="3105" t="s">
        <v>2457</v>
      </c>
      <c r="D30" s="3106"/>
      <c r="E30" s="3107">
        <v>0.8</v>
      </c>
      <c r="F30" s="3104" t="s">
        <v>2458</v>
      </c>
      <c r="G30" s="3104"/>
    </row>
    <row r="31" spans="1:13" ht="19.5" customHeight="1">
      <c r="A31" s="4206"/>
      <c r="B31" s="4203"/>
      <c r="C31" s="3105" t="s">
        <v>2459</v>
      </c>
      <c r="D31" s="3106"/>
      <c r="E31" s="3107">
        <v>0.8</v>
      </c>
      <c r="F31" s="3104" t="s">
        <v>2460</v>
      </c>
      <c r="G31" s="3104"/>
    </row>
    <row r="32" spans="1:13" ht="19.5" customHeight="1">
      <c r="A32" s="4206"/>
      <c r="B32" s="4203"/>
      <c r="C32" s="3105" t="s">
        <v>2461</v>
      </c>
      <c r="D32" s="3106"/>
      <c r="E32" s="3107">
        <v>0.7</v>
      </c>
      <c r="F32" s="3104" t="s">
        <v>2462</v>
      </c>
      <c r="G32" s="3104"/>
    </row>
    <row r="33" spans="1:7" ht="19.5" customHeight="1">
      <c r="A33" s="4206"/>
      <c r="B33" s="4203"/>
      <c r="C33" s="3105" t="s">
        <v>2463</v>
      </c>
      <c r="D33" s="3106"/>
      <c r="E33" s="3107">
        <v>0.8</v>
      </c>
      <c r="F33" s="3104" t="s">
        <v>2464</v>
      </c>
      <c r="G33" s="3104"/>
    </row>
    <row r="34" spans="1:7" ht="19.5" customHeight="1">
      <c r="A34" s="4206"/>
      <c r="B34" s="4203"/>
      <c r="C34" s="3105" t="s">
        <v>2465</v>
      </c>
      <c r="D34" s="3106"/>
      <c r="E34" s="3107">
        <v>0.6</v>
      </c>
      <c r="F34" s="3104" t="s">
        <v>2466</v>
      </c>
      <c r="G34" s="3104"/>
    </row>
    <row r="35" spans="1:7" ht="19.5" customHeight="1">
      <c r="A35" s="4206"/>
      <c r="B35" s="4203"/>
      <c r="C35" s="3105" t="s">
        <v>2467</v>
      </c>
      <c r="D35" s="3106"/>
      <c r="E35" s="3107">
        <v>0.2</v>
      </c>
      <c r="F35" s="3104" t="s">
        <v>2468</v>
      </c>
      <c r="G35" s="3104"/>
    </row>
    <row r="36" spans="1:7" ht="19.5" customHeight="1">
      <c r="A36" s="4206"/>
      <c r="B36" s="4203"/>
      <c r="C36" s="3105" t="s">
        <v>2469</v>
      </c>
      <c r="D36" s="3106"/>
      <c r="E36" s="3107">
        <v>0.2</v>
      </c>
      <c r="F36" s="3104" t="s">
        <v>2470</v>
      </c>
      <c r="G36" s="3104"/>
    </row>
    <row r="37" spans="1:7" ht="19.5" customHeight="1">
      <c r="A37" s="4206"/>
      <c r="B37" s="4208" t="s">
        <v>2631</v>
      </c>
      <c r="C37" s="3105" t="s">
        <v>2471</v>
      </c>
      <c r="D37" s="3106"/>
      <c r="E37" s="3107">
        <v>0.6</v>
      </c>
      <c r="F37" s="3104" t="s">
        <v>2472</v>
      </c>
      <c r="G37" s="3104"/>
    </row>
    <row r="38" spans="1:7" ht="19.5" customHeight="1">
      <c r="A38" s="4206"/>
      <c r="B38" s="4203"/>
      <c r="C38" s="3105" t="s">
        <v>2473</v>
      </c>
      <c r="D38" s="3106"/>
      <c r="E38" s="3107">
        <v>0.6</v>
      </c>
      <c r="F38" s="3104" t="s">
        <v>2474</v>
      </c>
      <c r="G38" s="3104"/>
    </row>
    <row r="39" spans="1:7" ht="19.5" customHeight="1" thickBot="1">
      <c r="A39" s="4207"/>
      <c r="B39" s="4204"/>
      <c r="C39" s="3108" t="s">
        <v>2475</v>
      </c>
      <c r="D39" s="3109"/>
      <c r="E39" s="3110">
        <v>0.6</v>
      </c>
      <c r="F39" s="3104" t="s">
        <v>2476</v>
      </c>
      <c r="G39" s="3104"/>
    </row>
    <row r="40" spans="1:7" ht="19.5" customHeight="1" thickBot="1">
      <c r="A40" s="3111" t="s">
        <v>2608</v>
      </c>
      <c r="B40" s="3112" t="s">
        <v>2608</v>
      </c>
      <c r="C40" s="3113" t="s">
        <v>2632</v>
      </c>
      <c r="D40" s="3114"/>
      <c r="E40" s="3115">
        <v>1</v>
      </c>
      <c r="F40" s="3104" t="s">
        <v>2477</v>
      </c>
      <c r="G40" s="3104"/>
    </row>
    <row r="41" spans="1:7" ht="19.5" customHeight="1">
      <c r="A41" s="4209" t="s">
        <v>2609</v>
      </c>
      <c r="B41" s="4202" t="s">
        <v>2633</v>
      </c>
      <c r="C41" s="3101" t="s">
        <v>2478</v>
      </c>
      <c r="D41" s="3102"/>
      <c r="E41" s="3103">
        <v>1</v>
      </c>
      <c r="F41" s="3104" t="s">
        <v>2479</v>
      </c>
      <c r="G41" s="3104"/>
    </row>
    <row r="42" spans="1:7" ht="19.5" customHeight="1">
      <c r="A42" s="4210"/>
      <c r="B42" s="4203"/>
      <c r="C42" s="3105" t="s">
        <v>2480</v>
      </c>
      <c r="D42" s="3106"/>
      <c r="E42" s="3107">
        <v>1</v>
      </c>
      <c r="F42" s="3104" t="s">
        <v>2481</v>
      </c>
      <c r="G42" s="3104"/>
    </row>
    <row r="43" spans="1:7" ht="19.5" customHeight="1">
      <c r="A43" s="4210"/>
      <c r="B43" s="4212"/>
      <c r="C43" s="3105" t="s">
        <v>2482</v>
      </c>
      <c r="D43" s="3106"/>
      <c r="E43" s="3107">
        <v>1.5</v>
      </c>
      <c r="F43" s="3104" t="s">
        <v>2483</v>
      </c>
      <c r="G43" s="3104"/>
    </row>
    <row r="44" spans="1:7" ht="19.5" customHeight="1">
      <c r="A44" s="4210"/>
      <c r="B44" s="3116" t="s">
        <v>2634</v>
      </c>
      <c r="C44" s="3105" t="s">
        <v>2635</v>
      </c>
      <c r="D44" s="3106"/>
      <c r="E44" s="3107">
        <v>2</v>
      </c>
      <c r="F44" s="3104" t="s">
        <v>2484</v>
      </c>
      <c r="G44" s="3104"/>
    </row>
    <row r="45" spans="1:7" ht="19.5" customHeight="1">
      <c r="A45" s="4210"/>
      <c r="B45" s="4208" t="s">
        <v>2636</v>
      </c>
      <c r="C45" s="3105" t="s">
        <v>2485</v>
      </c>
      <c r="D45" s="3106"/>
      <c r="E45" s="3107">
        <v>1</v>
      </c>
      <c r="F45" s="3104" t="s">
        <v>2486</v>
      </c>
      <c r="G45" s="3104"/>
    </row>
    <row r="46" spans="1:7" ht="19.5" customHeight="1">
      <c r="A46" s="4210"/>
      <c r="B46" s="4203"/>
      <c r="C46" s="3105" t="s">
        <v>2487</v>
      </c>
      <c r="D46" s="3106"/>
      <c r="E46" s="3107">
        <v>1</v>
      </c>
      <c r="F46" s="3104" t="s">
        <v>2488</v>
      </c>
      <c r="G46" s="3104"/>
    </row>
    <row r="47" spans="1:7" ht="19.5" customHeight="1">
      <c r="A47" s="4210"/>
      <c r="B47" s="4203"/>
      <c r="C47" s="3105" t="s">
        <v>2489</v>
      </c>
      <c r="D47" s="3106"/>
      <c r="E47" s="3107">
        <v>1</v>
      </c>
      <c r="F47" s="3104" t="s">
        <v>2490</v>
      </c>
      <c r="G47" s="3104"/>
    </row>
    <row r="48" spans="1:7" ht="19.5" customHeight="1">
      <c r="A48" s="4210"/>
      <c r="B48" s="4203"/>
      <c r="C48" s="3105" t="s">
        <v>2491</v>
      </c>
      <c r="D48" s="3106"/>
      <c r="E48" s="3107">
        <v>1</v>
      </c>
      <c r="F48" s="3104" t="s">
        <v>2492</v>
      </c>
      <c r="G48" s="3104"/>
    </row>
    <row r="49" spans="1:7" ht="19.5" customHeight="1">
      <c r="A49" s="4210"/>
      <c r="B49" s="4203"/>
      <c r="C49" s="3105" t="s">
        <v>2493</v>
      </c>
      <c r="D49" s="3106"/>
      <c r="E49" s="3107">
        <v>1</v>
      </c>
      <c r="F49" s="3104" t="s">
        <v>2494</v>
      </c>
      <c r="G49" s="3104"/>
    </row>
    <row r="50" spans="1:7" ht="19.5" customHeight="1">
      <c r="A50" s="4210"/>
      <c r="B50" s="4203"/>
      <c r="C50" s="3105" t="s">
        <v>2495</v>
      </c>
      <c r="D50" s="3106"/>
      <c r="E50" s="3107">
        <v>1</v>
      </c>
      <c r="F50" s="3104" t="s">
        <v>2496</v>
      </c>
      <c r="G50" s="3104"/>
    </row>
    <row r="51" spans="1:7" ht="19.5" customHeight="1" thickBot="1">
      <c r="A51" s="4211"/>
      <c r="B51" s="4204"/>
      <c r="C51" s="3108" t="s">
        <v>2497</v>
      </c>
      <c r="D51" s="3109"/>
      <c r="E51" s="3110">
        <v>1</v>
      </c>
      <c r="F51" s="3104" t="s">
        <v>2498</v>
      </c>
      <c r="G51" s="3104"/>
    </row>
    <row r="52" spans="1:7" ht="19.5" customHeight="1">
      <c r="A52" s="3117"/>
      <c r="B52" s="3117"/>
      <c r="C52" s="3117"/>
      <c r="D52" s="3117"/>
      <c r="E52" s="3117"/>
      <c r="F52" s="3117"/>
      <c r="G52" s="3117"/>
    </row>
    <row r="54" spans="1:7" ht="19.5" customHeight="1">
      <c r="A54" s="3118"/>
      <c r="B54" s="3090" t="s">
        <v>2637</v>
      </c>
      <c r="C54" s="3090" t="s">
        <v>2637</v>
      </c>
      <c r="D54" s="3090" t="s">
        <v>2637</v>
      </c>
      <c r="E54" s="3093" t="s">
        <v>2637</v>
      </c>
      <c r="F54" s="3093" t="s">
        <v>2638</v>
      </c>
      <c r="G54" s="3093" t="s">
        <v>2639</v>
      </c>
    </row>
    <row r="55" spans="1:7" ht="19.5" customHeight="1">
      <c r="A55" s="3119"/>
      <c r="B55" s="3093" t="s">
        <v>2606</v>
      </c>
      <c r="C55" s="3093" t="s">
        <v>2606</v>
      </c>
      <c r="D55" s="3093" t="s">
        <v>2606</v>
      </c>
      <c r="E55" s="3090" t="s">
        <v>2607</v>
      </c>
      <c r="F55" s="3090" t="s">
        <v>2609</v>
      </c>
      <c r="G55" s="3090" t="s">
        <v>2640</v>
      </c>
    </row>
    <row r="56" spans="1:7" ht="19.5" customHeight="1">
      <c r="A56" s="3120"/>
      <c r="B56" s="3090">
        <v>1</v>
      </c>
      <c r="C56" s="3090">
        <v>2</v>
      </c>
      <c r="D56" s="3090">
        <v>3</v>
      </c>
      <c r="E56" s="3121" t="s">
        <v>2641</v>
      </c>
      <c r="F56" s="3121" t="s">
        <v>2641</v>
      </c>
      <c r="G56" s="3121" t="s">
        <v>2641</v>
      </c>
    </row>
    <row r="57" spans="1:7" ht="19.5" customHeight="1">
      <c r="A57" s="3122" t="s">
        <v>2594</v>
      </c>
      <c r="B57" s="3090">
        <v>0.7</v>
      </c>
      <c r="C57" s="3090">
        <v>0.4</v>
      </c>
      <c r="D57" s="3090">
        <v>0.3</v>
      </c>
      <c r="E57" s="3121">
        <v>0.3</v>
      </c>
      <c r="F57" s="3090">
        <v>0.3</v>
      </c>
      <c r="G57" s="3090">
        <v>0.2</v>
      </c>
    </row>
    <row r="58" spans="1:7" ht="19.5" customHeight="1">
      <c r="A58" s="3122" t="s">
        <v>2595</v>
      </c>
      <c r="B58" s="3090">
        <v>0.7</v>
      </c>
      <c r="C58" s="3090">
        <v>0.4</v>
      </c>
      <c r="D58" s="3090">
        <v>0.3</v>
      </c>
      <c r="E58" s="3090">
        <v>0.3</v>
      </c>
      <c r="F58" s="3090">
        <v>0.3</v>
      </c>
      <c r="G58" s="3090">
        <v>0.2</v>
      </c>
    </row>
    <row r="59" spans="1:7" ht="19.5" customHeight="1">
      <c r="A59" s="3122" t="s">
        <v>2596</v>
      </c>
      <c r="B59" s="3090">
        <v>0.6</v>
      </c>
      <c r="C59" s="3090">
        <v>0.3</v>
      </c>
      <c r="D59" s="3090">
        <v>0.25</v>
      </c>
      <c r="E59" s="3090">
        <v>0.25</v>
      </c>
      <c r="F59" s="3090">
        <v>0.25</v>
      </c>
      <c r="G59" s="3090">
        <v>0.15</v>
      </c>
    </row>
    <row r="60" spans="1:7" ht="19.5" customHeight="1">
      <c r="A60" s="3122" t="s">
        <v>2597</v>
      </c>
      <c r="B60" s="3090">
        <v>0.6</v>
      </c>
      <c r="C60" s="3090">
        <v>0.3</v>
      </c>
      <c r="D60" s="3090">
        <v>0.25</v>
      </c>
      <c r="E60" s="3090">
        <v>0.25</v>
      </c>
      <c r="F60" s="3090">
        <v>0.25</v>
      </c>
      <c r="G60" s="3090">
        <v>0.15</v>
      </c>
    </row>
    <row r="61" spans="1:7" ht="19.5" customHeight="1">
      <c r="A61" s="3122" t="s">
        <v>2598</v>
      </c>
      <c r="B61" s="3090">
        <v>0.6</v>
      </c>
      <c r="C61" s="3090">
        <v>0.3</v>
      </c>
      <c r="D61" s="3090">
        <v>0.25</v>
      </c>
      <c r="E61" s="3090">
        <v>0.25</v>
      </c>
      <c r="F61" s="3090">
        <v>0.25</v>
      </c>
      <c r="G61" s="3090">
        <v>0.15</v>
      </c>
    </row>
    <row r="62" spans="1:7" ht="19.5" customHeight="1">
      <c r="A62" s="3122" t="s">
        <v>2599</v>
      </c>
      <c r="B62" s="3090">
        <v>0.6</v>
      </c>
      <c r="C62" s="3090">
        <v>0.3</v>
      </c>
      <c r="D62" s="3090">
        <v>0.25</v>
      </c>
      <c r="E62" s="3090">
        <v>0.25</v>
      </c>
      <c r="F62" s="3090">
        <v>0.25</v>
      </c>
      <c r="G62" s="3090">
        <v>0.15</v>
      </c>
    </row>
    <row r="63" spans="1:7" ht="19.5" customHeight="1">
      <c r="A63" s="3122" t="s">
        <v>2600</v>
      </c>
      <c r="B63" s="3090">
        <v>0.6</v>
      </c>
      <c r="C63" s="3090">
        <v>0.3</v>
      </c>
      <c r="D63" s="3090">
        <v>0.25</v>
      </c>
      <c r="E63" s="3090">
        <v>0.25</v>
      </c>
      <c r="F63" s="3090">
        <v>0.25</v>
      </c>
      <c r="G63" s="3090">
        <v>0.15</v>
      </c>
    </row>
    <row r="64" spans="1:7" ht="19.5" customHeight="1">
      <c r="A64" s="3122" t="s">
        <v>2601</v>
      </c>
      <c r="B64" s="3090">
        <v>0.5</v>
      </c>
      <c r="C64" s="3090">
        <v>0.2</v>
      </c>
      <c r="D64" s="3090">
        <v>0.2</v>
      </c>
      <c r="E64" s="3090">
        <v>0.2</v>
      </c>
      <c r="F64" s="3090">
        <v>0.2</v>
      </c>
      <c r="G64" s="3090">
        <v>0.1</v>
      </c>
    </row>
    <row r="65" spans="1:7" ht="19.5" customHeight="1">
      <c r="A65" s="3122" t="s">
        <v>2602</v>
      </c>
      <c r="B65" s="3090">
        <v>0.5</v>
      </c>
      <c r="C65" s="3090">
        <v>0.2</v>
      </c>
      <c r="D65" s="3090">
        <v>0.2</v>
      </c>
      <c r="E65" s="3090">
        <v>0.2</v>
      </c>
      <c r="F65" s="3090">
        <v>0.2</v>
      </c>
      <c r="G65" s="3090">
        <v>0.1</v>
      </c>
    </row>
    <row r="66" spans="1:7" ht="19.5" customHeight="1">
      <c r="A66" s="3122" t="s">
        <v>2603</v>
      </c>
      <c r="B66" s="3090">
        <v>0.5</v>
      </c>
      <c r="C66" s="3090">
        <v>0.2</v>
      </c>
      <c r="D66" s="3090">
        <v>0.2</v>
      </c>
      <c r="E66" s="3090">
        <v>0.2</v>
      </c>
      <c r="F66" s="3090">
        <v>0.2</v>
      </c>
      <c r="G66" s="3090">
        <v>0.1</v>
      </c>
    </row>
    <row r="67" spans="1:7" ht="19.5" customHeight="1">
      <c r="A67" s="3122" t="s">
        <v>2604</v>
      </c>
      <c r="B67" s="3090">
        <v>0.5</v>
      </c>
      <c r="C67" s="3090">
        <v>0.2</v>
      </c>
      <c r="D67" s="3090">
        <v>0.2</v>
      </c>
      <c r="E67" s="3090">
        <v>0.2</v>
      </c>
      <c r="F67" s="3090">
        <v>0.2</v>
      </c>
      <c r="G67" s="3090">
        <v>0.1</v>
      </c>
    </row>
    <row r="68" spans="1:7" ht="19.5" customHeight="1">
      <c r="A68" s="3122" t="s">
        <v>2605</v>
      </c>
      <c r="B68" s="3090">
        <v>0.5</v>
      </c>
      <c r="C68" s="3090">
        <v>0.2</v>
      </c>
      <c r="D68" s="3090">
        <v>0.2</v>
      </c>
      <c r="E68" s="3090">
        <v>0.2</v>
      </c>
      <c r="F68" s="3090">
        <v>0.2</v>
      </c>
      <c r="G68" s="3090">
        <v>0.1</v>
      </c>
    </row>
    <row r="70" spans="1:7" ht="19.5" customHeight="1">
      <c r="A70" s="3123"/>
      <c r="B70" s="3124"/>
      <c r="C70" s="3124"/>
      <c r="D70" s="3124" t="s">
        <v>2642</v>
      </c>
      <c r="E70" s="3124"/>
      <c r="F70" s="3124"/>
    </row>
    <row r="71" spans="1:7" ht="19.5" customHeight="1">
      <c r="A71" s="3116" t="s">
        <v>2643</v>
      </c>
      <c r="B71" s="3116" t="s">
        <v>2644</v>
      </c>
      <c r="C71" s="3116" t="s">
        <v>2645</v>
      </c>
      <c r="D71" s="3116" t="s">
        <v>2646</v>
      </c>
      <c r="E71" s="3116" t="s">
        <v>2647</v>
      </c>
      <c r="F71" s="3116" t="s">
        <v>2648</v>
      </c>
    </row>
    <row r="72" spans="1:7" ht="13.5">
      <c r="A72" s="3116"/>
      <c r="B72" s="3116"/>
      <c r="C72" s="3116" t="s">
        <v>2649</v>
      </c>
      <c r="D72" s="3116"/>
      <c r="E72" s="3116" t="s">
        <v>2620</v>
      </c>
      <c r="F72" s="3116" t="s">
        <v>2620</v>
      </c>
    </row>
    <row r="73" spans="1:7" ht="13.5">
      <c r="A73" s="3116">
        <v>1</v>
      </c>
      <c r="B73" s="4208" t="s">
        <v>2650</v>
      </c>
      <c r="C73" s="3090" t="s">
        <v>2651</v>
      </c>
      <c r="D73" s="3090" t="s">
        <v>2652</v>
      </c>
      <c r="E73" s="3116">
        <v>0.2</v>
      </c>
      <c r="F73" s="3116">
        <v>25</v>
      </c>
    </row>
    <row r="74" spans="1:7" ht="24">
      <c r="A74" s="3116">
        <v>2</v>
      </c>
      <c r="B74" s="4203"/>
      <c r="C74" s="3090" t="s">
        <v>2653</v>
      </c>
      <c r="D74" s="3090" t="s">
        <v>2654</v>
      </c>
      <c r="E74" s="3116">
        <v>0.2</v>
      </c>
      <c r="F74" s="3116">
        <v>25</v>
      </c>
    </row>
    <row r="75" spans="1:7" ht="24">
      <c r="A75" s="3116">
        <v>3</v>
      </c>
      <c r="B75" s="4203"/>
      <c r="C75" s="3090" t="s">
        <v>2655</v>
      </c>
      <c r="D75" s="3090" t="s">
        <v>2656</v>
      </c>
      <c r="E75" s="3116">
        <v>0.2</v>
      </c>
      <c r="F75" s="3116">
        <v>25</v>
      </c>
    </row>
    <row r="76" spans="1:7" ht="13.5">
      <c r="A76" s="3116">
        <v>4</v>
      </c>
      <c r="B76" s="4203"/>
      <c r="C76" s="3090" t="s">
        <v>2657</v>
      </c>
      <c r="D76" s="3090" t="s">
        <v>2658</v>
      </c>
      <c r="E76" s="3116">
        <v>0.15</v>
      </c>
      <c r="F76" s="3116">
        <v>20</v>
      </c>
    </row>
    <row r="77" spans="1:7" ht="24">
      <c r="A77" s="3116">
        <v>5</v>
      </c>
      <c r="B77" s="4203"/>
      <c r="C77" s="3090" t="s">
        <v>2659</v>
      </c>
      <c r="D77" s="3090" t="s">
        <v>2660</v>
      </c>
      <c r="E77" s="3116">
        <v>0.15</v>
      </c>
      <c r="F77" s="3116">
        <v>20</v>
      </c>
    </row>
    <row r="78" spans="1:7" ht="24">
      <c r="A78" s="3116">
        <v>6</v>
      </c>
      <c r="B78" s="4203"/>
      <c r="C78" s="3090" t="s">
        <v>2661</v>
      </c>
      <c r="D78" s="3090" t="s">
        <v>2662</v>
      </c>
      <c r="E78" s="3116">
        <v>0.15</v>
      </c>
      <c r="F78" s="3116">
        <v>20</v>
      </c>
    </row>
    <row r="79" spans="1:7" ht="24">
      <c r="A79" s="3116">
        <v>7</v>
      </c>
      <c r="B79" s="4203"/>
      <c r="C79" s="3090" t="s">
        <v>2663</v>
      </c>
      <c r="D79" s="3090" t="s">
        <v>2664</v>
      </c>
      <c r="E79" s="3116">
        <v>0.15</v>
      </c>
      <c r="F79" s="3116">
        <v>20</v>
      </c>
    </row>
    <row r="80" spans="1:7" ht="24">
      <c r="A80" s="3116">
        <v>8</v>
      </c>
      <c r="B80" s="4203"/>
      <c r="C80" s="3090" t="s">
        <v>2665</v>
      </c>
      <c r="D80" s="3090" t="s">
        <v>2666</v>
      </c>
      <c r="E80" s="3116">
        <v>0.1</v>
      </c>
      <c r="F80" s="3116">
        <v>15</v>
      </c>
    </row>
    <row r="81" spans="1:6" ht="24">
      <c r="A81" s="3116">
        <v>9</v>
      </c>
      <c r="B81" s="4203"/>
      <c r="C81" s="3090" t="s">
        <v>2667</v>
      </c>
      <c r="D81" s="3090" t="s">
        <v>2668</v>
      </c>
      <c r="E81" s="3116">
        <v>0.1</v>
      </c>
      <c r="F81" s="3116">
        <v>15</v>
      </c>
    </row>
    <row r="82" spans="1:6" ht="24">
      <c r="A82" s="3116">
        <v>10</v>
      </c>
      <c r="B82" s="4203"/>
      <c r="C82" s="3090" t="s">
        <v>2669</v>
      </c>
      <c r="D82" s="3090" t="s">
        <v>2670</v>
      </c>
      <c r="E82" s="3116">
        <v>0.1</v>
      </c>
      <c r="F82" s="3116">
        <v>15</v>
      </c>
    </row>
    <row r="83" spans="1:6" ht="24">
      <c r="A83" s="3116">
        <v>11</v>
      </c>
      <c r="B83" s="4203"/>
      <c r="C83" s="3090" t="s">
        <v>2671</v>
      </c>
      <c r="D83" s="3090" t="s">
        <v>2672</v>
      </c>
      <c r="E83" s="3116">
        <v>0.1</v>
      </c>
      <c r="F83" s="3116">
        <v>15</v>
      </c>
    </row>
    <row r="84" spans="1:6" ht="24">
      <c r="A84" s="3116">
        <v>12</v>
      </c>
      <c r="B84" s="4203"/>
      <c r="C84" s="3090" t="s">
        <v>2673</v>
      </c>
      <c r="D84" s="3090" t="s">
        <v>2674</v>
      </c>
      <c r="E84" s="3116">
        <v>0.1</v>
      </c>
      <c r="F84" s="3116">
        <v>15</v>
      </c>
    </row>
    <row r="85" spans="1:6" ht="13.5">
      <c r="A85" s="3116">
        <v>13</v>
      </c>
      <c r="B85" s="4203"/>
      <c r="C85" s="3090" t="s">
        <v>2675</v>
      </c>
      <c r="D85" s="3090" t="s">
        <v>2676</v>
      </c>
      <c r="E85" s="3116">
        <v>0.1</v>
      </c>
      <c r="F85" s="3116">
        <v>15</v>
      </c>
    </row>
    <row r="86" spans="1:6" ht="13.5">
      <c r="A86" s="3116">
        <v>14</v>
      </c>
      <c r="B86" s="4203"/>
      <c r="C86" s="3090" t="s">
        <v>2677</v>
      </c>
      <c r="D86" s="3090" t="s">
        <v>2678</v>
      </c>
      <c r="E86" s="3116">
        <v>0.1</v>
      </c>
      <c r="F86" s="3116">
        <v>15</v>
      </c>
    </row>
    <row r="87" spans="1:6" ht="13.5">
      <c r="A87" s="3116">
        <v>15</v>
      </c>
      <c r="B87" s="4203"/>
      <c r="C87" s="3090" t="s">
        <v>2679</v>
      </c>
      <c r="D87" s="3090" t="s">
        <v>2680</v>
      </c>
      <c r="E87" s="3116">
        <v>0.1</v>
      </c>
      <c r="F87" s="3116">
        <v>15</v>
      </c>
    </row>
    <row r="88" spans="1:6" ht="24">
      <c r="A88" s="3116">
        <v>16</v>
      </c>
      <c r="B88" s="4203"/>
      <c r="C88" s="3090" t="s">
        <v>2681</v>
      </c>
      <c r="D88" s="3090" t="s">
        <v>2682</v>
      </c>
      <c r="E88" s="3116">
        <v>0.1</v>
      </c>
      <c r="F88" s="3116">
        <v>15</v>
      </c>
    </row>
    <row r="89" spans="1:6" ht="24">
      <c r="A89" s="3116">
        <v>17</v>
      </c>
      <c r="B89" s="4212"/>
      <c r="C89" s="3090" t="s">
        <v>2683</v>
      </c>
      <c r="D89" s="3090" t="s">
        <v>2684</v>
      </c>
      <c r="E89" s="3116">
        <v>0.1</v>
      </c>
      <c r="F89" s="3116">
        <v>15</v>
      </c>
    </row>
    <row r="90" spans="1:6" ht="13.5">
      <c r="A90" s="3116">
        <v>18</v>
      </c>
      <c r="B90" s="4208" t="s">
        <v>2685</v>
      </c>
      <c r="C90" s="3090" t="s">
        <v>2686</v>
      </c>
      <c r="D90" s="3090" t="s">
        <v>2687</v>
      </c>
      <c r="E90" s="3116">
        <v>0.2</v>
      </c>
      <c r="F90" s="3116">
        <v>25</v>
      </c>
    </row>
    <row r="91" spans="1:6" ht="24">
      <c r="A91" s="3116">
        <v>19</v>
      </c>
      <c r="B91" s="4203"/>
      <c r="C91" s="3090" t="s">
        <v>2688</v>
      </c>
      <c r="D91" s="3090" t="s">
        <v>2689</v>
      </c>
      <c r="E91" s="3116">
        <v>0.2</v>
      </c>
      <c r="F91" s="3116">
        <v>25</v>
      </c>
    </row>
    <row r="92" spans="1:6" ht="13.5">
      <c r="A92" s="3116">
        <v>20</v>
      </c>
      <c r="B92" s="4203"/>
      <c r="C92" s="3090" t="s">
        <v>2690</v>
      </c>
      <c r="D92" s="3090" t="s">
        <v>2691</v>
      </c>
      <c r="E92" s="3116">
        <v>0.15</v>
      </c>
      <c r="F92" s="3116">
        <v>20</v>
      </c>
    </row>
    <row r="93" spans="1:6" ht="13.5">
      <c r="A93" s="3116">
        <v>21</v>
      </c>
      <c r="B93" s="4203"/>
      <c r="C93" s="3090" t="s">
        <v>2692</v>
      </c>
      <c r="D93" s="3090" t="s">
        <v>2693</v>
      </c>
      <c r="E93" s="3116">
        <v>0.15</v>
      </c>
      <c r="F93" s="3116">
        <v>20</v>
      </c>
    </row>
    <row r="94" spans="1:6" ht="13.5">
      <c r="A94" s="3116">
        <v>22</v>
      </c>
      <c r="B94" s="4203"/>
      <c r="C94" s="3090" t="s">
        <v>2694</v>
      </c>
      <c r="D94" s="3090" t="s">
        <v>2695</v>
      </c>
      <c r="E94" s="3116">
        <v>0.15</v>
      </c>
      <c r="F94" s="3116">
        <v>20</v>
      </c>
    </row>
    <row r="95" spans="1:6" ht="36">
      <c r="A95" s="3116">
        <v>23</v>
      </c>
      <c r="B95" s="4203"/>
      <c r="C95" s="3090" t="s">
        <v>2696</v>
      </c>
      <c r="D95" s="3090" t="s">
        <v>2697</v>
      </c>
      <c r="E95" s="3116">
        <v>0.15</v>
      </c>
      <c r="F95" s="3116">
        <v>20</v>
      </c>
    </row>
    <row r="96" spans="1:6" ht="13.5">
      <c r="A96" s="3116">
        <v>24</v>
      </c>
      <c r="B96" s="4203"/>
      <c r="C96" s="3090" t="s">
        <v>2698</v>
      </c>
      <c r="D96" s="3090" t="s">
        <v>2699</v>
      </c>
      <c r="E96" s="3116">
        <v>0.1</v>
      </c>
      <c r="F96" s="3116">
        <v>15</v>
      </c>
    </row>
    <row r="97" spans="1:6" ht="13.5">
      <c r="A97" s="3116">
        <v>25</v>
      </c>
      <c r="B97" s="4203"/>
      <c r="C97" s="3090" t="s">
        <v>2700</v>
      </c>
      <c r="D97" s="3090" t="s">
        <v>2701</v>
      </c>
      <c r="E97" s="3116">
        <v>0.1</v>
      </c>
      <c r="F97" s="3116">
        <v>15</v>
      </c>
    </row>
    <row r="98" spans="1:6" ht="24">
      <c r="A98" s="3116">
        <v>26</v>
      </c>
      <c r="B98" s="4203"/>
      <c r="C98" s="3090" t="s">
        <v>2702</v>
      </c>
      <c r="D98" s="3090" t="s">
        <v>2703</v>
      </c>
      <c r="E98" s="3116">
        <v>0.1</v>
      </c>
      <c r="F98" s="3116">
        <v>15</v>
      </c>
    </row>
    <row r="99" spans="1:6" ht="24">
      <c r="A99" s="3116">
        <v>27</v>
      </c>
      <c r="B99" s="4203"/>
      <c r="C99" s="3090" t="s">
        <v>2704</v>
      </c>
      <c r="D99" s="3090" t="s">
        <v>2705</v>
      </c>
      <c r="E99" s="3116">
        <v>0.1</v>
      </c>
      <c r="F99" s="3116">
        <v>15</v>
      </c>
    </row>
    <row r="100" spans="1:6" ht="13.5">
      <c r="A100" s="3116">
        <v>28</v>
      </c>
      <c r="B100" s="4203"/>
      <c r="C100" s="3090" t="s">
        <v>2706</v>
      </c>
      <c r="D100" s="3090" t="s">
        <v>2707</v>
      </c>
      <c r="E100" s="3116">
        <v>0.1</v>
      </c>
      <c r="F100" s="3116">
        <v>15</v>
      </c>
    </row>
    <row r="101" spans="1:6" ht="13.5">
      <c r="A101" s="3116">
        <v>29</v>
      </c>
      <c r="B101" s="4203"/>
      <c r="C101" s="3090" t="s">
        <v>2708</v>
      </c>
      <c r="D101" s="3090" t="s">
        <v>2709</v>
      </c>
      <c r="E101" s="3116">
        <v>0.1</v>
      </c>
      <c r="F101" s="3116">
        <v>15</v>
      </c>
    </row>
    <row r="102" spans="1:6" ht="13.5">
      <c r="A102" s="3116">
        <v>30</v>
      </c>
      <c r="B102" s="4203"/>
      <c r="C102" s="3090" t="s">
        <v>2710</v>
      </c>
      <c r="D102" s="3090" t="s">
        <v>2711</v>
      </c>
      <c r="E102" s="3116">
        <v>0.1</v>
      </c>
      <c r="F102" s="3116">
        <v>15</v>
      </c>
    </row>
    <row r="103" spans="1:6" ht="24">
      <c r="A103" s="3116">
        <v>31</v>
      </c>
      <c r="B103" s="4203"/>
      <c r="C103" s="3090" t="s">
        <v>2712</v>
      </c>
      <c r="D103" s="3090" t="s">
        <v>2713</v>
      </c>
      <c r="E103" s="3116">
        <v>0.1</v>
      </c>
      <c r="F103" s="3116">
        <v>15</v>
      </c>
    </row>
    <row r="104" spans="1:6" ht="24">
      <c r="A104" s="3116">
        <v>32</v>
      </c>
      <c r="B104" s="4203"/>
      <c r="C104" s="3090" t="s">
        <v>2714</v>
      </c>
      <c r="D104" s="3090" t="s">
        <v>2715</v>
      </c>
      <c r="E104" s="3116">
        <v>0.1</v>
      </c>
      <c r="F104" s="3116">
        <v>15</v>
      </c>
    </row>
    <row r="105" spans="1:6" ht="24">
      <c r="A105" s="3116">
        <v>33</v>
      </c>
      <c r="B105" s="4203"/>
      <c r="C105" s="3090" t="s">
        <v>2716</v>
      </c>
      <c r="D105" s="3090" t="s">
        <v>2717</v>
      </c>
      <c r="E105" s="3116">
        <v>0.1</v>
      </c>
      <c r="F105" s="3116">
        <v>15</v>
      </c>
    </row>
    <row r="106" spans="1:6" ht="24">
      <c r="A106" s="3116">
        <v>34</v>
      </c>
      <c r="B106" s="4212"/>
      <c r="C106" s="3090" t="s">
        <v>2718</v>
      </c>
      <c r="D106" s="3090" t="s">
        <v>2719</v>
      </c>
      <c r="E106" s="3116">
        <v>0.1</v>
      </c>
      <c r="F106" s="3116">
        <v>15</v>
      </c>
    </row>
    <row r="107" spans="1:6" ht="24">
      <c r="A107" s="3116">
        <v>35</v>
      </c>
      <c r="B107" s="4208" t="s">
        <v>2720</v>
      </c>
      <c r="C107" s="3116" t="s">
        <v>2721</v>
      </c>
      <c r="D107" s="3090" t="s">
        <v>2722</v>
      </c>
      <c r="E107" s="3116">
        <v>0.15</v>
      </c>
      <c r="F107" s="3116">
        <v>20</v>
      </c>
    </row>
    <row r="108" spans="1:6" ht="13.5">
      <c r="A108" s="3116">
        <v>36</v>
      </c>
      <c r="B108" s="4203"/>
      <c r="C108" s="3116" t="s">
        <v>2723</v>
      </c>
      <c r="D108" s="3090" t="s">
        <v>2724</v>
      </c>
      <c r="E108" s="3116">
        <v>0.15</v>
      </c>
      <c r="F108" s="3116">
        <v>20</v>
      </c>
    </row>
    <row r="109" spans="1:6" ht="13.5">
      <c r="A109" s="3116">
        <v>37</v>
      </c>
      <c r="B109" s="4203"/>
      <c r="C109" s="3116" t="s">
        <v>2725</v>
      </c>
      <c r="D109" s="3090" t="s">
        <v>2726</v>
      </c>
      <c r="E109" s="3116">
        <v>0.15</v>
      </c>
      <c r="F109" s="3116">
        <v>20</v>
      </c>
    </row>
    <row r="110" spans="1:6" ht="13.5">
      <c r="A110" s="3116">
        <v>38</v>
      </c>
      <c r="B110" s="4203"/>
      <c r="C110" s="3116" t="s">
        <v>2727</v>
      </c>
      <c r="D110" s="3090" t="s">
        <v>2728</v>
      </c>
      <c r="E110" s="3116">
        <v>0.1</v>
      </c>
      <c r="F110" s="3116">
        <v>15</v>
      </c>
    </row>
    <row r="111" spans="1:6" ht="24">
      <c r="A111" s="3116">
        <v>39</v>
      </c>
      <c r="B111" s="4203"/>
      <c r="C111" s="3116" t="s">
        <v>2729</v>
      </c>
      <c r="D111" s="3090" t="s">
        <v>2730</v>
      </c>
      <c r="E111" s="3116">
        <v>0.1</v>
      </c>
      <c r="F111" s="3116">
        <v>15</v>
      </c>
    </row>
    <row r="112" spans="1:6" ht="24">
      <c r="A112" s="3116">
        <v>40</v>
      </c>
      <c r="B112" s="4212"/>
      <c r="C112" s="3116" t="s">
        <v>2731</v>
      </c>
      <c r="D112" s="3090" t="s">
        <v>2732</v>
      </c>
      <c r="E112" s="3116">
        <v>0.1</v>
      </c>
      <c r="F112" s="3116">
        <v>15</v>
      </c>
    </row>
    <row r="113" spans="1:6" ht="13.5">
      <c r="A113" s="3116">
        <v>41</v>
      </c>
      <c r="B113" s="4213" t="s">
        <v>2733</v>
      </c>
      <c r="C113" s="3116" t="s">
        <v>2734</v>
      </c>
      <c r="D113" s="3090" t="s">
        <v>2735</v>
      </c>
      <c r="E113" s="3116">
        <v>0.1</v>
      </c>
      <c r="F113" s="3116">
        <v>15</v>
      </c>
    </row>
    <row r="114" spans="1:6" ht="13.5">
      <c r="A114" s="3116">
        <v>42</v>
      </c>
      <c r="B114" s="4213"/>
      <c r="C114" s="3116" t="s">
        <v>2736</v>
      </c>
      <c r="D114" s="3090" t="s">
        <v>2737</v>
      </c>
      <c r="E114" s="3116">
        <v>0.1</v>
      </c>
      <c r="F114" s="3116">
        <v>15</v>
      </c>
    </row>
    <row r="115" spans="1:6" ht="24">
      <c r="A115" s="3116">
        <v>43</v>
      </c>
      <c r="B115" s="4213"/>
      <c r="C115" s="3116" t="s">
        <v>2738</v>
      </c>
      <c r="D115" s="3090" t="s">
        <v>2739</v>
      </c>
      <c r="E115" s="3116">
        <v>0.1</v>
      </c>
      <c r="F115" s="3116">
        <v>15</v>
      </c>
    </row>
    <row r="116" spans="1:6" ht="13.5">
      <c r="A116" s="3116">
        <v>44</v>
      </c>
      <c r="B116" s="4208" t="s">
        <v>2740</v>
      </c>
      <c r="C116" s="3116" t="s">
        <v>2741</v>
      </c>
      <c r="D116" s="3090" t="s">
        <v>2742</v>
      </c>
      <c r="E116" s="3116">
        <v>0.1</v>
      </c>
      <c r="F116" s="3116">
        <v>15</v>
      </c>
    </row>
    <row r="117" spans="1:6" ht="24">
      <c r="A117" s="3116">
        <v>45</v>
      </c>
      <c r="B117" s="4212"/>
      <c r="C117" s="3090" t="s">
        <v>2743</v>
      </c>
      <c r="D117" s="3090" t="s">
        <v>2744</v>
      </c>
      <c r="E117" s="3116">
        <v>0.1</v>
      </c>
      <c r="F117" s="3116">
        <v>15</v>
      </c>
    </row>
    <row r="118" spans="1:6" ht="24">
      <c r="A118" s="3116">
        <v>46</v>
      </c>
      <c r="B118" s="4208" t="s">
        <v>2745</v>
      </c>
      <c r="C118" s="3116" t="s">
        <v>2746</v>
      </c>
      <c r="D118" s="3090" t="s">
        <v>2747</v>
      </c>
      <c r="E118" s="3116">
        <v>0.1</v>
      </c>
      <c r="F118" s="3116">
        <v>15</v>
      </c>
    </row>
    <row r="119" spans="1:6" ht="24">
      <c r="A119" s="3116">
        <v>47</v>
      </c>
      <c r="B119" s="4212"/>
      <c r="C119" s="3116" t="s">
        <v>2748</v>
      </c>
      <c r="D119" s="3090" t="s">
        <v>2749</v>
      </c>
      <c r="E119" s="3116">
        <v>0.1</v>
      </c>
      <c r="F119" s="3116">
        <v>15</v>
      </c>
    </row>
    <row r="120" spans="1:6" ht="13.5">
      <c r="A120" s="3116">
        <v>48</v>
      </c>
      <c r="B120" s="4208" t="s">
        <v>2750</v>
      </c>
      <c r="C120" s="3116" t="s">
        <v>2751</v>
      </c>
      <c r="D120" s="3090" t="s">
        <v>2752</v>
      </c>
      <c r="E120" s="3116">
        <v>0.1</v>
      </c>
      <c r="F120" s="3116">
        <v>15</v>
      </c>
    </row>
    <row r="121" spans="1:6" ht="13.5">
      <c r="A121" s="3116">
        <v>49</v>
      </c>
      <c r="B121" s="4212"/>
      <c r="C121" s="3116" t="s">
        <v>2753</v>
      </c>
      <c r="D121" s="3090" t="s">
        <v>2754</v>
      </c>
      <c r="E121" s="3116">
        <v>0.1</v>
      </c>
      <c r="F121" s="3116">
        <v>15</v>
      </c>
    </row>
    <row r="122" spans="1:6" ht="24">
      <c r="A122" s="3116">
        <v>50</v>
      </c>
      <c r="B122" s="4213" t="s">
        <v>2755</v>
      </c>
      <c r="C122" s="3116" t="s">
        <v>2756</v>
      </c>
      <c r="D122" s="3090" t="s">
        <v>2757</v>
      </c>
      <c r="E122" s="3116">
        <v>0.1</v>
      </c>
      <c r="F122" s="3116">
        <v>15</v>
      </c>
    </row>
    <row r="123" spans="1:6" ht="24">
      <c r="A123" s="3116">
        <v>51</v>
      </c>
      <c r="B123" s="4213"/>
      <c r="C123" s="3116" t="s">
        <v>2758</v>
      </c>
      <c r="D123" s="3090" t="s">
        <v>2759</v>
      </c>
      <c r="E123" s="3116">
        <v>0.1</v>
      </c>
      <c r="F123" s="3116">
        <v>15</v>
      </c>
    </row>
    <row r="124" spans="1:6" ht="24">
      <c r="A124" s="3116">
        <v>52</v>
      </c>
      <c r="B124" s="4213" t="s">
        <v>2760</v>
      </c>
      <c r="C124" s="3116" t="s">
        <v>2761</v>
      </c>
      <c r="D124" s="3090" t="s">
        <v>2762</v>
      </c>
      <c r="E124" s="3116">
        <v>0.1</v>
      </c>
      <c r="F124" s="3116">
        <v>15</v>
      </c>
    </row>
    <row r="125" spans="1:6" ht="24">
      <c r="A125" s="3116">
        <v>53</v>
      </c>
      <c r="B125" s="4213"/>
      <c r="C125" s="3116" t="s">
        <v>2763</v>
      </c>
      <c r="D125" s="3090" t="s">
        <v>2764</v>
      </c>
      <c r="E125" s="3116">
        <v>0.1</v>
      </c>
      <c r="F125" s="3116">
        <v>15</v>
      </c>
    </row>
    <row r="126" spans="1:6" ht="13.5">
      <c r="A126" s="3116">
        <v>54</v>
      </c>
      <c r="B126" s="3116" t="s">
        <v>2765</v>
      </c>
      <c r="C126" s="3116" t="s">
        <v>2766</v>
      </c>
      <c r="D126" s="3090" t="s">
        <v>2767</v>
      </c>
      <c r="E126" s="3116">
        <v>0.1</v>
      </c>
      <c r="F126" s="3116">
        <v>15</v>
      </c>
    </row>
    <row r="127" spans="1:6" ht="13.5">
      <c r="A127" s="3116">
        <v>55</v>
      </c>
      <c r="B127" s="4213" t="s">
        <v>2768</v>
      </c>
      <c r="C127" s="3116" t="s">
        <v>2769</v>
      </c>
      <c r="D127" s="3090" t="s">
        <v>2770</v>
      </c>
      <c r="E127" s="3116">
        <v>0.1</v>
      </c>
      <c r="F127" s="3116">
        <v>15</v>
      </c>
    </row>
    <row r="128" spans="1:6" ht="13.5">
      <c r="A128" s="3116">
        <v>56</v>
      </c>
      <c r="B128" s="4213"/>
      <c r="C128" s="3116" t="s">
        <v>2771</v>
      </c>
      <c r="D128" s="3090" t="s">
        <v>2772</v>
      </c>
      <c r="E128" s="3116">
        <v>0.1</v>
      </c>
      <c r="F128" s="3116">
        <v>15</v>
      </c>
    </row>
    <row r="129" spans="1:6" ht="24">
      <c r="A129" s="3116">
        <v>57</v>
      </c>
      <c r="B129" s="4213"/>
      <c r="C129" s="3116" t="s">
        <v>2773</v>
      </c>
      <c r="D129" s="3090" t="s">
        <v>2774</v>
      </c>
      <c r="E129" s="3116">
        <v>0.1</v>
      </c>
      <c r="F129" s="3116">
        <v>15</v>
      </c>
    </row>
    <row r="130" spans="1:6" ht="24">
      <c r="A130" s="3116">
        <v>58</v>
      </c>
      <c r="B130" s="4213" t="s">
        <v>2775</v>
      </c>
      <c r="C130" s="3116" t="s">
        <v>2776</v>
      </c>
      <c r="D130" s="3090" t="s">
        <v>2777</v>
      </c>
      <c r="E130" s="3116">
        <v>0.1</v>
      </c>
      <c r="F130" s="3116">
        <v>15</v>
      </c>
    </row>
    <row r="131" spans="1:6" ht="13.5">
      <c r="A131" s="3116">
        <v>59</v>
      </c>
      <c r="B131" s="4213"/>
      <c r="C131" s="3116" t="s">
        <v>2778</v>
      </c>
      <c r="D131" s="3090" t="s">
        <v>2779</v>
      </c>
      <c r="E131" s="3116">
        <v>0.1</v>
      </c>
      <c r="F131" s="3116">
        <v>15</v>
      </c>
    </row>
    <row r="132" spans="1:6" ht="13.5">
      <c r="A132" s="3116">
        <v>60</v>
      </c>
      <c r="B132" s="4208" t="s">
        <v>2780</v>
      </c>
      <c r="C132" s="3116" t="s">
        <v>2781</v>
      </c>
      <c r="D132" s="3090" t="s">
        <v>2782</v>
      </c>
      <c r="E132" s="3116">
        <v>0.1</v>
      </c>
      <c r="F132" s="3116">
        <v>15</v>
      </c>
    </row>
    <row r="133" spans="1:6" ht="13.5">
      <c r="A133" s="3116">
        <v>61</v>
      </c>
      <c r="B133" s="4212"/>
      <c r="C133" s="3116" t="s">
        <v>2783</v>
      </c>
      <c r="D133" s="3090" t="s">
        <v>2784</v>
      </c>
      <c r="E133" s="3116">
        <v>0.1</v>
      </c>
      <c r="F133" s="3116">
        <v>15</v>
      </c>
    </row>
    <row r="134" spans="1:6" ht="24">
      <c r="A134" s="3116">
        <v>62</v>
      </c>
      <c r="B134" s="3116" t="s">
        <v>2785</v>
      </c>
      <c r="C134" s="3116" t="s">
        <v>2786</v>
      </c>
      <c r="D134" s="3090" t="s">
        <v>2787</v>
      </c>
      <c r="E134" s="3116">
        <v>0.1</v>
      </c>
      <c r="F134" s="3116">
        <v>15</v>
      </c>
    </row>
    <row r="135" spans="1:6" ht="13.5">
      <c r="A135" s="3116">
        <v>63</v>
      </c>
      <c r="B135" s="4213" t="s">
        <v>2788</v>
      </c>
      <c r="C135" s="3116" t="s">
        <v>2789</v>
      </c>
      <c r="D135" s="3090" t="s">
        <v>2790</v>
      </c>
      <c r="E135" s="3116">
        <v>0.1</v>
      </c>
      <c r="F135" s="3116">
        <v>15</v>
      </c>
    </row>
    <row r="136" spans="1:6" ht="13.5">
      <c r="A136" s="3116">
        <v>64</v>
      </c>
      <c r="B136" s="4213"/>
      <c r="C136" s="3116" t="s">
        <v>2791</v>
      </c>
      <c r="D136" s="3090" t="s">
        <v>2792</v>
      </c>
      <c r="E136" s="3116">
        <v>0.1</v>
      </c>
      <c r="F136" s="3116">
        <v>15</v>
      </c>
    </row>
    <row r="137" spans="1:6" ht="13.5">
      <c r="A137" s="3116">
        <v>65</v>
      </c>
      <c r="B137" s="3116" t="s">
        <v>2793</v>
      </c>
      <c r="C137" s="3116" t="s">
        <v>2794</v>
      </c>
      <c r="D137" s="3090" t="s">
        <v>2795</v>
      </c>
      <c r="E137" s="3116">
        <v>0.1</v>
      </c>
      <c r="F137" s="3116">
        <v>15</v>
      </c>
    </row>
    <row r="138" spans="1:6" ht="13.5">
      <c r="A138" s="3116"/>
      <c r="B138" s="3116"/>
      <c r="C138" s="3116"/>
      <c r="D138" s="3116"/>
      <c r="E138" s="3116" t="s">
        <v>2796</v>
      </c>
      <c r="F138" s="3116"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49"/>
  </cols>
  <sheetData>
    <row r="1" spans="1:20" ht="15" thickBot="1">
      <c r="A1" s="3125" t="s">
        <v>2797</v>
      </c>
      <c r="B1" s="3125"/>
      <c r="C1" s="3125"/>
      <c r="D1" s="3125"/>
      <c r="E1" s="3125"/>
      <c r="F1" s="3125"/>
      <c r="G1" s="3125"/>
      <c r="H1" s="3125"/>
      <c r="I1" s="3125"/>
      <c r="J1" s="3125"/>
      <c r="K1" s="3125"/>
      <c r="L1" s="3125"/>
      <c r="M1" s="3125"/>
      <c r="N1" s="748"/>
    </row>
    <row r="2" spans="1:20">
      <c r="A2" s="3126" t="s">
        <v>2798</v>
      </c>
      <c r="B2" s="3127" t="s">
        <v>2594</v>
      </c>
      <c r="C2" s="3127" t="s">
        <v>2595</v>
      </c>
      <c r="D2" s="3127" t="s">
        <v>2596</v>
      </c>
      <c r="E2" s="3127" t="s">
        <v>2597</v>
      </c>
      <c r="F2" s="3127" t="s">
        <v>2598</v>
      </c>
      <c r="G2" s="3127" t="s">
        <v>2599</v>
      </c>
      <c r="H2" s="3128" t="s">
        <v>2600</v>
      </c>
      <c r="I2" s="3128" t="s">
        <v>2601</v>
      </c>
      <c r="J2" s="3129" t="s">
        <v>2602</v>
      </c>
      <c r="K2" s="3129" t="s">
        <v>2603</v>
      </c>
      <c r="L2" s="3129" t="s">
        <v>2604</v>
      </c>
      <c r="M2" s="3130" t="s">
        <v>2605</v>
      </c>
      <c r="Q2" s="3140" t="s">
        <v>2803</v>
      </c>
      <c r="R2" s="3140" t="s">
        <v>2804</v>
      </c>
      <c r="S2" s="3140" t="s">
        <v>2805</v>
      </c>
      <c r="T2" s="3140" t="s">
        <v>2806</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50"/>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50"/>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50"/>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2799</v>
      </c>
      <c r="B93" s="3125"/>
      <c r="C93" s="3125"/>
      <c r="D93" s="3125"/>
      <c r="E93" s="3125"/>
      <c r="F93" s="3125"/>
      <c r="G93" s="3125"/>
      <c r="H93" s="3125"/>
      <c r="I93" s="3125"/>
      <c r="J93" s="3125"/>
      <c r="K93" s="3125"/>
      <c r="L93" s="3125"/>
      <c r="M93" s="3125"/>
    </row>
    <row r="94" spans="1:20">
      <c r="A94" s="3126" t="s">
        <v>2798</v>
      </c>
      <c r="B94" s="3127" t="s">
        <v>2594</v>
      </c>
      <c r="C94" s="3127" t="s">
        <v>2595</v>
      </c>
      <c r="D94" s="3127" t="s">
        <v>2596</v>
      </c>
      <c r="E94" s="3127" t="s">
        <v>2597</v>
      </c>
      <c r="F94" s="3127" t="s">
        <v>2598</v>
      </c>
      <c r="G94" s="3127" t="s">
        <v>2599</v>
      </c>
      <c r="H94" s="3128" t="s">
        <v>2600</v>
      </c>
      <c r="I94" s="3128" t="s">
        <v>2601</v>
      </c>
      <c r="J94" s="3129" t="s">
        <v>2602</v>
      </c>
      <c r="K94" s="3129" t="s">
        <v>2603</v>
      </c>
      <c r="L94" s="3129" t="s">
        <v>2604</v>
      </c>
      <c r="M94" s="3130" t="s">
        <v>2605</v>
      </c>
      <c r="N94" s="749">
        <f>SUMPRODUCT((A95:A184=ROUNDDOWN(基准地价修正!G3,1))*(B94:M94=基准地价修正!G2)*(B95:M184))</f>
        <v>1</v>
      </c>
      <c r="Q94" s="3140" t="s">
        <v>2803</v>
      </c>
      <c r="R94" s="3140" t="s">
        <v>2804</v>
      </c>
      <c r="S94" s="3140" t="s">
        <v>2805</v>
      </c>
      <c r="T94" s="3140" t="s">
        <v>2806</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8"/>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8"/>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2800</v>
      </c>
      <c r="B185" s="3125"/>
      <c r="C185" s="3125"/>
      <c r="D185" s="3125"/>
      <c r="E185" s="3125"/>
      <c r="F185" s="3125"/>
      <c r="G185" s="3125"/>
      <c r="H185" s="3125"/>
      <c r="I185" s="3125"/>
      <c r="J185" s="3125"/>
      <c r="K185" s="3125"/>
      <c r="L185" s="3125"/>
      <c r="M185" s="3125"/>
    </row>
    <row r="186" spans="1:20">
      <c r="A186" s="3126" t="s">
        <v>2798</v>
      </c>
      <c r="B186" s="3127" t="s">
        <v>2594</v>
      </c>
      <c r="C186" s="3127" t="s">
        <v>2595</v>
      </c>
      <c r="D186" s="3127" t="s">
        <v>2596</v>
      </c>
      <c r="E186" s="3127" t="s">
        <v>2597</v>
      </c>
      <c r="F186" s="3127" t="s">
        <v>2598</v>
      </c>
      <c r="G186" s="3127" t="s">
        <v>2599</v>
      </c>
      <c r="H186" s="3128" t="s">
        <v>2600</v>
      </c>
      <c r="I186" s="3128" t="s">
        <v>2601</v>
      </c>
      <c r="J186" s="3129" t="s">
        <v>2602</v>
      </c>
      <c r="K186" s="3129" t="s">
        <v>2603</v>
      </c>
      <c r="L186" s="3129" t="s">
        <v>2604</v>
      </c>
      <c r="M186" s="3130" t="s">
        <v>2605</v>
      </c>
      <c r="Q186" s="3140" t="s">
        <v>2803</v>
      </c>
      <c r="R186" s="3140" t="s">
        <v>2804</v>
      </c>
      <c r="S186" s="3140" t="s">
        <v>2805</v>
      </c>
      <c r="T186" s="3140" t="s">
        <v>2806</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2801</v>
      </c>
      <c r="B277" s="3125"/>
      <c r="C277" s="3125"/>
      <c r="D277" s="3125"/>
      <c r="E277" s="3125"/>
      <c r="F277" s="3125"/>
      <c r="G277" s="3125"/>
      <c r="H277" s="3125"/>
      <c r="I277" s="3125"/>
      <c r="J277" s="3125"/>
      <c r="K277" s="3125"/>
      <c r="L277" s="3125"/>
      <c r="M277" s="3125"/>
    </row>
    <row r="278" spans="1:21">
      <c r="A278" s="3126" t="s">
        <v>2798</v>
      </c>
      <c r="B278" s="3127" t="s">
        <v>2594</v>
      </c>
      <c r="C278" s="3127" t="s">
        <v>2595</v>
      </c>
      <c r="D278" s="3127" t="s">
        <v>2596</v>
      </c>
      <c r="E278" s="3127" t="s">
        <v>2597</v>
      </c>
      <c r="F278" s="3127" t="s">
        <v>2598</v>
      </c>
      <c r="G278" s="3127" t="s">
        <v>2599</v>
      </c>
      <c r="H278" s="3128" t="s">
        <v>2600</v>
      </c>
      <c r="I278" s="3128" t="s">
        <v>2601</v>
      </c>
      <c r="J278" s="3129" t="s">
        <v>2602</v>
      </c>
      <c r="K278" s="3129" t="s">
        <v>2603</v>
      </c>
      <c r="L278" s="3129" t="s">
        <v>2604</v>
      </c>
      <c r="M278" s="3130" t="s">
        <v>2605</v>
      </c>
      <c r="Q278" s="3140" t="s">
        <v>2803</v>
      </c>
      <c r="R278" s="3140" t="s">
        <v>2804</v>
      </c>
      <c r="S278" s="3140" t="s">
        <v>2807</v>
      </c>
      <c r="T278" s="3140" t="s">
        <v>2808</v>
      </c>
      <c r="U278" s="3140" t="s">
        <v>2806</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2802</v>
      </c>
      <c r="B369" s="3138"/>
      <c r="C369" s="3138"/>
      <c r="D369" s="3138"/>
      <c r="E369" s="3138"/>
      <c r="F369" s="3138"/>
      <c r="G369" s="3138"/>
      <c r="H369" s="3138"/>
      <c r="I369" s="3138"/>
      <c r="J369" s="3138"/>
      <c r="K369" s="3138"/>
      <c r="L369" s="3138"/>
      <c r="M369" s="3138"/>
    </row>
    <row r="370" spans="1:20">
      <c r="A370" s="3126" t="s">
        <v>2798</v>
      </c>
      <c r="B370" s="3127" t="s">
        <v>2594</v>
      </c>
      <c r="C370" s="3127" t="s">
        <v>2595</v>
      </c>
      <c r="D370" s="3127" t="s">
        <v>2596</v>
      </c>
      <c r="E370" s="3127" t="s">
        <v>2597</v>
      </c>
      <c r="F370" s="3127" t="s">
        <v>2598</v>
      </c>
      <c r="G370" s="3127" t="s">
        <v>2599</v>
      </c>
      <c r="H370" s="3128" t="s">
        <v>2600</v>
      </c>
      <c r="I370" s="3128" t="s">
        <v>2601</v>
      </c>
      <c r="J370" s="3129" t="s">
        <v>2602</v>
      </c>
      <c r="K370" s="3129" t="s">
        <v>2603</v>
      </c>
      <c r="L370" s="3129" t="s">
        <v>2604</v>
      </c>
      <c r="M370" s="3130" t="s">
        <v>2605</v>
      </c>
      <c r="N370" s="749">
        <f>SUMPRODUCT((A371:A460=ROUNDDOWN(基准地价修正!G3,1))*(B370:M370=基准地价修正!G2)*(B371:M460))</f>
        <v>0.94710000000000005</v>
      </c>
      <c r="Q370" s="3140" t="s">
        <v>2803</v>
      </c>
      <c r="R370" s="3140" t="s">
        <v>2804</v>
      </c>
      <c r="S370" s="3140" t="s">
        <v>2805</v>
      </c>
      <c r="T370" s="3140" t="s">
        <v>2806</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31958</v>
      </c>
      <c r="C2" s="2" t="s">
        <v>106</v>
      </c>
      <c r="D2" s="199"/>
      <c r="E2" s="199"/>
      <c r="F2" s="199"/>
      <c r="G2" s="199"/>
    </row>
    <row r="3" spans="1:7" s="200" customFormat="1" ht="18" customHeight="1" thickBot="1">
      <c r="A3" s="203" t="s">
        <v>58</v>
      </c>
      <c r="B3" s="204">
        <f ca="1">ROUND(B2*10000/'数据-汇总表'!E3,0)</f>
        <v>9369</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20600</v>
      </c>
      <c r="D5" s="211" t="s">
        <v>61</v>
      </c>
      <c r="E5" s="212" t="s">
        <v>62</v>
      </c>
      <c r="F5" s="212" t="s">
        <v>63</v>
      </c>
      <c r="G5" s="213"/>
    </row>
    <row r="6" spans="1:7" s="214" customFormat="1" ht="13.5" customHeight="1">
      <c r="A6" s="777" t="s">
        <v>346</v>
      </c>
      <c r="B6" s="215" t="s">
        <v>64</v>
      </c>
      <c r="C6" s="216">
        <v>20000</v>
      </c>
      <c r="D6" s="217"/>
      <c r="E6" s="218"/>
      <c r="F6" s="218"/>
      <c r="G6" s="219"/>
    </row>
    <row r="7" spans="1:7" s="214" customFormat="1" ht="13.5" customHeight="1">
      <c r="A7" s="777" t="s">
        <v>347</v>
      </c>
      <c r="B7" s="215" t="s">
        <v>30</v>
      </c>
      <c r="C7" s="220">
        <f>ROUND(C6*F7,0)</f>
        <v>600</v>
      </c>
      <c r="D7" s="220"/>
      <c r="E7" s="218"/>
      <c r="F7" s="221">
        <f>'数据-取费表'!B48+'数据-取费表'!B49</f>
        <v>0.03</v>
      </c>
      <c r="G7" s="219"/>
    </row>
    <row r="8" spans="1:7" s="223" customFormat="1">
      <c r="A8" s="777" t="s">
        <v>348</v>
      </c>
      <c r="B8" s="215" t="s">
        <v>65</v>
      </c>
      <c r="C8" s="220" t="str">
        <f>IF(G8="已包含在土地购买价格中","0",'数据-取费表'!B29)</f>
        <v>0</v>
      </c>
      <c r="D8" s="222"/>
      <c r="E8" s="220"/>
      <c r="F8" s="221"/>
      <c r="G8" s="1" t="s">
        <v>451</v>
      </c>
    </row>
    <row r="9" spans="1:7" s="214" customFormat="1" ht="13.5" customHeight="1">
      <c r="A9" s="778" t="s">
        <v>355</v>
      </c>
      <c r="B9" s="224" t="s">
        <v>66</v>
      </c>
      <c r="C9" s="225">
        <f>ROUND(D9*E9/10000,0)</f>
        <v>0</v>
      </c>
      <c r="D9" s="844">
        <f>'数据-汇总表'!E5</f>
        <v>0</v>
      </c>
      <c r="E9" s="225">
        <f>'数据-取费表'!B27</f>
        <v>160</v>
      </c>
      <c r="F9" s="221"/>
      <c r="G9" s="226"/>
    </row>
    <row r="10" spans="1:7" s="214" customFormat="1" ht="13.5" customHeight="1">
      <c r="A10" s="778" t="s">
        <v>356</v>
      </c>
      <c r="B10" s="224" t="s">
        <v>67</v>
      </c>
      <c r="C10" s="225">
        <f>ROUND(D10*E10/10000,0)</f>
        <v>682</v>
      </c>
      <c r="D10" s="844">
        <f>'数据-汇总表'!E6</f>
        <v>34111.17</v>
      </c>
      <c r="E10" s="225">
        <f>'数据-取费表'!B28</f>
        <v>200</v>
      </c>
      <c r="F10" s="221"/>
      <c r="G10" s="226"/>
    </row>
    <row r="11" spans="1:7" s="214" customFormat="1" ht="13.5" hidden="1" customHeight="1">
      <c r="A11" s="227" t="s">
        <v>4</v>
      </c>
      <c r="B11" s="215" t="s">
        <v>68</v>
      </c>
      <c r="C11" s="211"/>
      <c r="D11" s="846"/>
      <c r="E11" s="218"/>
      <c r="F11" s="218"/>
      <c r="G11" s="219"/>
    </row>
    <row r="12" spans="1:7" s="214" customFormat="1" ht="13.5" hidden="1" customHeight="1">
      <c r="A12" s="227" t="s">
        <v>5</v>
      </c>
      <c r="B12" s="215" t="s">
        <v>69</v>
      </c>
      <c r="C12" s="211">
        <v>0</v>
      </c>
      <c r="D12" s="846"/>
      <c r="E12" s="228"/>
      <c r="F12" s="221">
        <v>3.0499999999999999E-2</v>
      </c>
      <c r="G12" s="219"/>
    </row>
    <row r="13" spans="1:7" s="214" customFormat="1" ht="13.5" hidden="1" customHeight="1">
      <c r="A13" s="227" t="s">
        <v>6</v>
      </c>
      <c r="B13" s="215" t="s">
        <v>70</v>
      </c>
      <c r="C13" s="211"/>
      <c r="D13" s="846"/>
      <c r="E13" s="218"/>
      <c r="F13" s="218"/>
      <c r="G13" s="219"/>
    </row>
    <row r="14" spans="1:7" s="214" customFormat="1" ht="13.5" hidden="1" customHeight="1">
      <c r="A14" s="227" t="s">
        <v>7</v>
      </c>
      <c r="B14" s="215" t="s">
        <v>65</v>
      </c>
      <c r="C14" s="211"/>
      <c r="D14" s="846"/>
      <c r="E14" s="218"/>
      <c r="F14" s="218"/>
      <c r="G14" s="219" t="s">
        <v>71</v>
      </c>
    </row>
    <row r="15" spans="1:7" s="214" customFormat="1" ht="13.5" hidden="1" customHeight="1">
      <c r="A15" s="227" t="s">
        <v>8</v>
      </c>
      <c r="B15" s="215" t="s">
        <v>72</v>
      </c>
      <c r="C15" s="220"/>
      <c r="D15" s="846"/>
      <c r="E15" s="218"/>
      <c r="F15" s="218"/>
      <c r="G15" s="219" t="s">
        <v>73</v>
      </c>
    </row>
    <row r="16" spans="1:7" s="214" customFormat="1" ht="13.5" hidden="1" customHeight="1">
      <c r="A16" s="227" t="s">
        <v>9</v>
      </c>
      <c r="B16" s="215" t="s">
        <v>65</v>
      </c>
      <c r="C16" s="220"/>
      <c r="D16" s="846"/>
      <c r="E16" s="218"/>
      <c r="F16" s="218"/>
      <c r="G16" s="219"/>
    </row>
    <row r="17" spans="1:7" s="214" customFormat="1" ht="13.5" hidden="1" customHeight="1">
      <c r="A17" s="227" t="s">
        <v>10</v>
      </c>
      <c r="B17" s="215" t="s">
        <v>74</v>
      </c>
      <c r="C17" s="229"/>
      <c r="D17" s="847"/>
      <c r="E17" s="229"/>
      <c r="F17" s="229"/>
      <c r="G17" s="219" t="s">
        <v>73</v>
      </c>
    </row>
    <row r="18" spans="1:7" s="214" customFormat="1" ht="13.5" hidden="1" customHeight="1">
      <c r="A18" s="227" t="s">
        <v>11</v>
      </c>
      <c r="B18" s="215" t="s">
        <v>75</v>
      </c>
      <c r="C18" s="220">
        <v>0</v>
      </c>
      <c r="D18" s="846"/>
      <c r="E18" s="218"/>
      <c r="F18" s="221">
        <v>3.0499999999999999E-2</v>
      </c>
      <c r="G18" s="219" t="s">
        <v>76</v>
      </c>
    </row>
    <row r="19" spans="1:7" s="223" customFormat="1" ht="13.5" customHeight="1">
      <c r="A19" s="776" t="s">
        <v>417</v>
      </c>
      <c r="B19" s="210" t="s">
        <v>84</v>
      </c>
      <c r="C19" s="211">
        <f>IF(G19="已包含在土地取得成本中","0",ROUND(D19*E19/10000,0))</f>
        <v>682</v>
      </c>
      <c r="D19" s="848">
        <f>'数据-汇总表'!E3</f>
        <v>34111.17</v>
      </c>
      <c r="E19" s="211">
        <f>'数据-取费表'!B31</f>
        <v>200</v>
      </c>
      <c r="F19" s="231"/>
      <c r="G19" s="1" t="s">
        <v>436</v>
      </c>
    </row>
    <row r="20" spans="1:7" s="214" customFormat="1" ht="13.5" customHeight="1">
      <c r="A20" s="776" t="s">
        <v>419</v>
      </c>
      <c r="B20" s="210" t="s">
        <v>77</v>
      </c>
      <c r="C20" s="232">
        <f>ROUND((C5+C19)*F20,0)</f>
        <v>426</v>
      </c>
      <c r="D20" s="232"/>
      <c r="E20" s="232"/>
      <c r="F20" s="233">
        <f>'数据-取费表'!B37</f>
        <v>0.02</v>
      </c>
      <c r="G20" s="1066" t="s">
        <v>430</v>
      </c>
    </row>
    <row r="21" spans="1:7" s="214" customFormat="1" ht="13.5" customHeight="1">
      <c r="A21" s="776" t="s">
        <v>421</v>
      </c>
      <c r="B21" s="210" t="s">
        <v>78</v>
      </c>
      <c r="C21" s="235">
        <f>F21</f>
        <v>0.02</v>
      </c>
      <c r="D21" s="236" t="s">
        <v>99</v>
      </c>
      <c r="E21" s="232"/>
      <c r="F21" s="233">
        <f>'数据-取费表'!B38</f>
        <v>0.02</v>
      </c>
      <c r="G21" s="234" t="s">
        <v>79</v>
      </c>
    </row>
    <row r="22" spans="1:7" s="214" customFormat="1" ht="13.5" customHeight="1">
      <c r="A22" s="776" t="s">
        <v>341</v>
      </c>
      <c r="B22" s="210" t="s">
        <v>80</v>
      </c>
      <c r="C22" s="1103">
        <f ca="1">ROUND(SUM(C23:C25),0)</f>
        <v>1463</v>
      </c>
      <c r="D22" s="235">
        <f ca="1">C26</f>
        <v>6.9999999999999999E-4</v>
      </c>
      <c r="E22" s="236" t="s">
        <v>99</v>
      </c>
      <c r="F22" s="237">
        <f ca="1">'数据-取费表'!B40</f>
        <v>3.3500000000000002E-2</v>
      </c>
      <c r="G22" s="1066" t="str">
        <f>IF('数据-取费表'!B22&lt;=1,"单利计息","复利计息")</f>
        <v>复利计息</v>
      </c>
    </row>
    <row r="23" spans="1:7" s="214" customFormat="1" ht="13.5" customHeight="1">
      <c r="A23" s="779" t="s">
        <v>349</v>
      </c>
      <c r="B23" s="215" t="s">
        <v>423</v>
      </c>
      <c r="C23" s="1104">
        <f ca="1">ROUND(IF('数据-取费表'!B22&lt;=1,C5*F22*'数据-取费表'!B23,C5*(POWER((1+F22),'数据-取费表'!B23)-1)),0)</f>
        <v>1403</v>
      </c>
      <c r="D23" s="238"/>
      <c r="E23" s="238"/>
      <c r="F23" s="239"/>
      <c r="G23" s="240" t="s">
        <v>81</v>
      </c>
    </row>
    <row r="24" spans="1:7" s="214" customFormat="1" ht="13.5" customHeight="1">
      <c r="A24" s="779" t="s">
        <v>347</v>
      </c>
      <c r="B24" s="215" t="s">
        <v>418</v>
      </c>
      <c r="C24" s="1104">
        <f ca="1">ROUND(IF('数据-取费表'!B22&lt;=1,C19*F22*('数据-取费表'!B19/2+'数据-取费表'!B21),C19*(POWER((1+F22),('数据-取费表'!B19/2+'数据-取费表'!B21))-1)),0)</f>
        <v>46</v>
      </c>
      <c r="D24" s="238"/>
      <c r="E24" s="238"/>
      <c r="F24" s="239"/>
      <c r="G24" s="240" t="s">
        <v>82</v>
      </c>
    </row>
    <row r="25" spans="1:7" s="214" customFormat="1" ht="24">
      <c r="A25" s="779" t="s">
        <v>348</v>
      </c>
      <c r="B25" s="215" t="s">
        <v>420</v>
      </c>
      <c r="C25" s="1104">
        <f ca="1">ROUND(IF('数据-取费表'!B22&lt;=1,C20*F22*'数据-取费表'!B23/2,C20*(POWER((1+F22),'数据-取费表'!B23/2)-1)),0)</f>
        <v>14</v>
      </c>
      <c r="D25" s="238"/>
      <c r="E25" s="241"/>
      <c r="F25" s="239"/>
      <c r="G25" s="242" t="s">
        <v>83</v>
      </c>
    </row>
    <row r="26" spans="1:7" s="214" customFormat="1">
      <c r="A26" s="779" t="s">
        <v>350</v>
      </c>
      <c r="B26" s="215" t="s">
        <v>422</v>
      </c>
      <c r="C26" s="238">
        <f ca="1">ROUND(IF('数据-取费表'!B22&lt;=1,F21*F22*'数据-取费表'!B23/2,F21*(POWER((1+F22),'数据-取费表'!B23/2)-1)),4)</f>
        <v>6.9999999999999999E-4</v>
      </c>
      <c r="D26" s="238"/>
      <c r="E26" s="241"/>
      <c r="F26" s="239"/>
      <c r="G26" s="243"/>
    </row>
    <row r="27" spans="1:7" s="214" customFormat="1" ht="24.75">
      <c r="A27" s="776" t="s">
        <v>342</v>
      </c>
      <c r="B27" s="244" t="s">
        <v>85</v>
      </c>
      <c r="C27" s="245">
        <f>C28</f>
        <v>1954</v>
      </c>
      <c r="D27" s="235">
        <f>C29</f>
        <v>1.8E-3</v>
      </c>
      <c r="E27" s="236" t="s">
        <v>99</v>
      </c>
      <c r="F27" s="246">
        <f>'数据-取费表'!Q16</f>
        <v>0.09</v>
      </c>
      <c r="G27" s="247" t="s">
        <v>431</v>
      </c>
    </row>
    <row r="28" spans="1:7" s="214" customFormat="1" ht="13.5" customHeight="1">
      <c r="A28" s="779" t="s">
        <v>349</v>
      </c>
      <c r="B28" s="248" t="s">
        <v>424</v>
      </c>
      <c r="C28" s="249">
        <f>ROUND((C5+C19+C20)*F27*'数据-取费表'!B21/'数据-取费表'!B20,0)</f>
        <v>1954</v>
      </c>
      <c r="D28" s="235"/>
      <c r="E28" s="236"/>
      <c r="F28" s="246"/>
      <c r="G28" s="247"/>
    </row>
    <row r="29" spans="1:7" s="214" customFormat="1" ht="13.5" customHeight="1">
      <c r="A29" s="779" t="s">
        <v>347</v>
      </c>
      <c r="B29" s="248" t="s">
        <v>425</v>
      </c>
      <c r="C29" s="238">
        <f>ROUND(C21*F27*'数据-取费表'!B21/'数据-取费表'!B20,4)</f>
        <v>1.8E-3</v>
      </c>
      <c r="D29" s="235"/>
      <c r="E29" s="236"/>
      <c r="F29" s="246"/>
      <c r="G29" s="247"/>
    </row>
    <row r="30" spans="1:7" s="214" customFormat="1" ht="13.5" customHeight="1">
      <c r="A30" s="776"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27187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5263</v>
      </c>
      <c r="D33" s="232"/>
      <c r="E33" s="212"/>
      <c r="F33" s="241"/>
      <c r="G33" s="234"/>
    </row>
    <row r="34" spans="1:7" s="258" customFormat="1" ht="13.5" customHeight="1">
      <c r="A34" s="779" t="s">
        <v>349</v>
      </c>
      <c r="B34" s="215" t="s">
        <v>32</v>
      </c>
      <c r="C34" s="220">
        <f>IF(F34=100%,'数据-取费表'!M16-SUMIF('数据-取费表'!C:C,"公共配套",'数据-取费表'!M:M),'数据-取费表'!O16-SUMIF('数据-取费表'!C:C,"公共配套",'数据-取费表'!O:O))</f>
        <v>4281</v>
      </c>
      <c r="D34" s="217"/>
      <c r="E34" s="220"/>
      <c r="F34" s="257">
        <f>IF('数据-取费表'!B24=0,1,'数据-取费表'!N16)</f>
        <v>1</v>
      </c>
      <c r="G34" s="219" t="s">
        <v>89</v>
      </c>
    </row>
    <row r="35" spans="1:7" ht="13.5" customHeight="1">
      <c r="A35" s="779" t="s">
        <v>351</v>
      </c>
      <c r="B35" s="215" t="s">
        <v>33</v>
      </c>
      <c r="C35" s="220">
        <f>ROUND(C34*F35,0)</f>
        <v>214</v>
      </c>
      <c r="D35" s="220"/>
      <c r="E35" s="220"/>
      <c r="F35" s="259">
        <f>'数据-取费表'!B33</f>
        <v>0.05</v>
      </c>
      <c r="G35" s="219" t="s">
        <v>90</v>
      </c>
    </row>
    <row r="36" spans="1:7" ht="24">
      <c r="A36" s="779"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9" t="s">
        <v>353</v>
      </c>
      <c r="B37" s="215" t="s">
        <v>91</v>
      </c>
      <c r="C37" s="249">
        <f>ROUND(E37*D37*F34/10000,0)</f>
        <v>682</v>
      </c>
      <c r="D37" s="217">
        <f>'数据-汇总表'!E3</f>
        <v>34111.17</v>
      </c>
      <c r="E37" s="249">
        <f>'数据-取费表'!B35</f>
        <v>200</v>
      </c>
      <c r="F37" s="259"/>
      <c r="G37" s="261" t="s">
        <v>92</v>
      </c>
    </row>
    <row r="38" spans="1:7" ht="13.5" customHeight="1">
      <c r="A38" s="779" t="s">
        <v>354</v>
      </c>
      <c r="B38" s="215" t="s">
        <v>36</v>
      </c>
      <c r="C38" s="220">
        <f>ROUND(C34*F38,0)</f>
        <v>86</v>
      </c>
      <c r="D38" s="220"/>
      <c r="E38" s="220"/>
      <c r="F38" s="259">
        <f>'数据-取费表'!B36</f>
        <v>0.02</v>
      </c>
      <c r="G38" s="219" t="s">
        <v>90</v>
      </c>
    </row>
    <row r="39" spans="1:7" s="214" customFormat="1" ht="13.5" customHeight="1">
      <c r="A39" s="776" t="s">
        <v>338</v>
      </c>
      <c r="B39" s="210" t="s">
        <v>77</v>
      </c>
      <c r="C39" s="232">
        <f>ROUND(C33*F20,0)</f>
        <v>105</v>
      </c>
      <c r="D39" s="232"/>
      <c r="E39" s="232"/>
      <c r="F39" s="233"/>
      <c r="G39" s="1066" t="s">
        <v>433</v>
      </c>
    </row>
    <row r="40" spans="1:7" s="214" customFormat="1" ht="13.5" customHeight="1">
      <c r="A40" s="776" t="s">
        <v>339</v>
      </c>
      <c r="B40" s="210" t="s">
        <v>78</v>
      </c>
      <c r="C40" s="262">
        <f>F21</f>
        <v>0.02</v>
      </c>
      <c r="D40" s="236" t="s">
        <v>102</v>
      </c>
      <c r="E40" s="232"/>
      <c r="F40" s="233"/>
      <c r="G40" s="234" t="s">
        <v>93</v>
      </c>
    </row>
    <row r="41" spans="1:7" s="214" customFormat="1" ht="13.5" customHeight="1">
      <c r="A41" s="776" t="s">
        <v>340</v>
      </c>
      <c r="B41" s="210" t="s">
        <v>80</v>
      </c>
      <c r="C41" s="232">
        <f ca="1">ROUND(SUM(C42:C43),0)</f>
        <v>180</v>
      </c>
      <c r="D41" s="235">
        <f ca="1">C44</f>
        <v>6.9999999999999999E-4</v>
      </c>
      <c r="E41" s="236" t="s">
        <v>102</v>
      </c>
      <c r="F41" s="237"/>
      <c r="G41" s="1066" t="str">
        <f>IF('数据-取费表'!B22&lt;=1,"单利计息","复利计息")</f>
        <v>复利计息</v>
      </c>
    </row>
    <row r="42" spans="1:7" ht="13.5" customHeight="1">
      <c r="A42" s="779" t="s">
        <v>349</v>
      </c>
      <c r="B42" s="215" t="s">
        <v>423</v>
      </c>
      <c r="C42" s="238">
        <f ca="1">ROUND(IF('数据-取费表'!B22&lt;=1,C33*F22*'数据-取费表'!B21/2,C33*(POWER((1+F22),'数据-取费表'!B21/2)-1)),0)</f>
        <v>176</v>
      </c>
      <c r="D42" s="238"/>
      <c r="E42" s="238"/>
      <c r="F42" s="239"/>
      <c r="G42" s="4076" t="s">
        <v>94</v>
      </c>
    </row>
    <row r="43" spans="1:7" ht="13.5" customHeight="1">
      <c r="A43" s="779" t="s">
        <v>347</v>
      </c>
      <c r="B43" s="215" t="s">
        <v>426</v>
      </c>
      <c r="C43" s="238">
        <f ca="1">ROUND(IF('数据-取费表'!B22&lt;=1,C39*F22*'数据-取费表'!B21/2,C39*(POWER((1+F22),'数据-取费表'!B21/2)-1)),0)</f>
        <v>4</v>
      </c>
      <c r="D43" s="238"/>
      <c r="E43" s="238"/>
      <c r="F43" s="239"/>
      <c r="G43" s="4077"/>
    </row>
    <row r="44" spans="1:7" ht="13.5" customHeight="1">
      <c r="A44" s="779" t="s">
        <v>348</v>
      </c>
      <c r="B44" s="215" t="s">
        <v>428</v>
      </c>
      <c r="C44" s="238">
        <f ca="1">ROUND(IF('数据-取费表'!B22&lt;=1,C40*F22*'数据-取费表'!B21/2,C40*(POWER((1+F22),'数据-取费表'!B21/2)-1)),4)</f>
        <v>6.9999999999999999E-4</v>
      </c>
      <c r="D44" s="238"/>
      <c r="E44" s="238"/>
      <c r="F44" s="239"/>
      <c r="G44" s="4078"/>
    </row>
    <row r="45" spans="1:7" s="214" customFormat="1" ht="13.5" customHeight="1">
      <c r="A45" s="776" t="s">
        <v>341</v>
      </c>
      <c r="B45" s="244" t="s">
        <v>85</v>
      </c>
      <c r="C45" s="245">
        <f>C46</f>
        <v>483</v>
      </c>
      <c r="D45" s="235">
        <f>C47</f>
        <v>1.8E-3</v>
      </c>
      <c r="E45" s="236" t="s">
        <v>102</v>
      </c>
      <c r="F45" s="246"/>
      <c r="G45" s="247" t="s">
        <v>434</v>
      </c>
    </row>
    <row r="46" spans="1:7" s="214" customFormat="1" ht="13.5" customHeight="1">
      <c r="A46" s="779" t="s">
        <v>349</v>
      </c>
      <c r="B46" s="248" t="s">
        <v>427</v>
      </c>
      <c r="C46" s="249">
        <f>ROUND((C33+C39)*F27,0)</f>
        <v>483</v>
      </c>
      <c r="D46" s="263"/>
      <c r="E46" s="236"/>
      <c r="F46" s="246"/>
      <c r="G46" s="247"/>
    </row>
    <row r="47" spans="1:7" s="214" customFormat="1" ht="13.5" customHeight="1">
      <c r="A47" s="779" t="s">
        <v>347</v>
      </c>
      <c r="B47" s="248" t="s">
        <v>429</v>
      </c>
      <c r="C47" s="238">
        <f>ROUND(C40*F27,4)</f>
        <v>1.8E-3</v>
      </c>
      <c r="D47" s="263"/>
      <c r="E47" s="236"/>
      <c r="F47" s="246"/>
      <c r="G47" s="247"/>
    </row>
    <row r="48" spans="1:7" s="214" customFormat="1" ht="13.5" customHeight="1">
      <c r="A48" s="776" t="s">
        <v>342</v>
      </c>
      <c r="B48" s="210" t="s">
        <v>95</v>
      </c>
      <c r="C48" s="262">
        <f>F30</f>
        <v>5.6000000000000001E-2</v>
      </c>
      <c r="D48" s="236" t="s">
        <v>103</v>
      </c>
      <c r="E48" s="232"/>
      <c r="F48" s="237"/>
      <c r="G48" s="234" t="s">
        <v>96</v>
      </c>
    </row>
    <row r="49" spans="1:7" ht="16.5" customHeight="1">
      <c r="A49" s="776" t="s">
        <v>343</v>
      </c>
      <c r="B49" s="210" t="s">
        <v>104</v>
      </c>
      <c r="C49" s="232">
        <f ca="1">ROUND((C33+C39+C41+C45)/(1-C40-D41-D45-C48/(1+'数据-取费表'!B42)),0)</f>
        <v>6526</v>
      </c>
      <c r="D49" s="232"/>
      <c r="E49" s="232"/>
      <c r="F49" s="264"/>
      <c r="G49" s="234" t="s">
        <v>435</v>
      </c>
    </row>
    <row r="50" spans="1:7" s="258" customFormat="1" ht="24">
      <c r="A50" s="776" t="s">
        <v>344</v>
      </c>
      <c r="B50" s="210" t="s">
        <v>97</v>
      </c>
      <c r="C50" s="232"/>
      <c r="D50" s="232"/>
      <c r="E50" s="232"/>
      <c r="F50" s="264">
        <f>IF('数据-取费表'!B24=0,'数据-取费表'!N16,1)</f>
        <v>0.73099999999999998</v>
      </c>
      <c r="G50" s="247" t="s">
        <v>98</v>
      </c>
    </row>
    <row r="51" spans="1:7" ht="16.5" customHeight="1">
      <c r="A51" s="776" t="s">
        <v>345</v>
      </c>
      <c r="B51" s="210" t="s">
        <v>105</v>
      </c>
      <c r="C51" s="232">
        <f ca="1">ROUND(C49*F50,0)</f>
        <v>4771</v>
      </c>
      <c r="D51" s="232"/>
      <c r="E51" s="232"/>
      <c r="F51" s="264"/>
      <c r="G51" s="234" t="s">
        <v>37</v>
      </c>
    </row>
    <row r="52" spans="1:7" s="208" customFormat="1" ht="16.5" thickBot="1">
      <c r="A52" s="265" t="s">
        <v>38</v>
      </c>
      <c r="B52" s="266"/>
      <c r="C52" s="267">
        <f ca="1">C31+C51</f>
        <v>31958</v>
      </c>
      <c r="D52" s="266"/>
      <c r="E52" s="266"/>
      <c r="F52" s="266"/>
      <c r="G52" s="268"/>
    </row>
    <row r="55" spans="1:7" ht="15">
      <c r="B55" s="270" t="s">
        <v>39</v>
      </c>
      <c r="C55" s="271"/>
    </row>
    <row r="56" spans="1:7">
      <c r="B56" s="273" t="s">
        <v>40</v>
      </c>
      <c r="C56" s="274">
        <f ca="1">ROUND(C51/C52,3)</f>
        <v>0.14899999999999999</v>
      </c>
    </row>
    <row r="57" spans="1:7">
      <c r="B57" s="273" t="s">
        <v>41</v>
      </c>
      <c r="C57" s="275">
        <f ca="1">1-C56</f>
        <v>0.85099999999999998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4216" t="s">
        <v>2838</v>
      </c>
      <c r="B1" s="4216"/>
      <c r="C1" s="4216"/>
      <c r="D1" s="4216"/>
      <c r="E1" s="4216"/>
      <c r="F1" s="4216"/>
      <c r="G1" s="4217"/>
      <c r="I1" s="3221" t="s">
        <v>2839</v>
      </c>
      <c r="J1" s="3222" t="s">
        <v>2840</v>
      </c>
      <c r="K1" s="3222" t="s">
        <v>2841</v>
      </c>
      <c r="L1" s="3222" t="s">
        <v>2842</v>
      </c>
      <c r="M1" s="3222" t="s">
        <v>2843</v>
      </c>
      <c r="N1" s="3222" t="s">
        <v>2844</v>
      </c>
      <c r="O1" s="3222" t="s">
        <v>2845</v>
      </c>
      <c r="P1" s="3222" t="s">
        <v>2846</v>
      </c>
      <c r="Q1" s="3222" t="s">
        <v>2847</v>
      </c>
      <c r="R1" s="3222" t="s">
        <v>2848</v>
      </c>
      <c r="S1" s="3222" t="s">
        <v>2849</v>
      </c>
      <c r="T1" s="3223" t="s">
        <v>2850</v>
      </c>
    </row>
    <row r="2" spans="1:20" ht="12" thickBot="1">
      <c r="A2" s="3225" t="s">
        <v>2851</v>
      </c>
      <c r="B2" s="3225"/>
      <c r="C2" s="3225"/>
      <c r="D2" s="3225"/>
      <c r="E2" s="3225"/>
      <c r="F2" s="3225"/>
      <c r="G2" s="3226" t="s">
        <v>2852</v>
      </c>
      <c r="I2" s="3227" t="s">
        <v>2853</v>
      </c>
      <c r="J2" s="3227" t="s">
        <v>2854</v>
      </c>
      <c r="K2" s="3227" t="s">
        <v>2855</v>
      </c>
      <c r="L2" s="3227" t="s">
        <v>2856</v>
      </c>
      <c r="M2" s="3227" t="s">
        <v>2857</v>
      </c>
      <c r="N2" s="3227" t="s">
        <v>2858</v>
      </c>
      <c r="O2" s="3227" t="s">
        <v>2859</v>
      </c>
      <c r="P2" s="3227" t="s">
        <v>2860</v>
      </c>
      <c r="Q2" s="3227" t="s">
        <v>2861</v>
      </c>
      <c r="R2" s="3227" t="s">
        <v>2862</v>
      </c>
      <c r="S2" s="3227" t="s">
        <v>2863</v>
      </c>
      <c r="T2" s="3227" t="s">
        <v>2864</v>
      </c>
    </row>
    <row r="3" spans="1:20" s="3233" customFormat="1">
      <c r="A3" s="4214" t="s">
        <v>2865</v>
      </c>
      <c r="B3" s="3228"/>
      <c r="C3" s="3229" t="s">
        <v>2810</v>
      </c>
      <c r="D3" s="3229" t="s">
        <v>2866</v>
      </c>
      <c r="E3" s="3229" t="s">
        <v>2812</v>
      </c>
      <c r="F3" s="3229" t="s">
        <v>2867</v>
      </c>
      <c r="G3" s="3229" t="s">
        <v>2630</v>
      </c>
      <c r="H3" s="3230"/>
      <c r="I3" s="3231" t="s">
        <v>2868</v>
      </c>
      <c r="J3" s="3232" t="s">
        <v>128</v>
      </c>
      <c r="K3" s="3232" t="s">
        <v>129</v>
      </c>
      <c r="L3" s="3231" t="s">
        <v>130</v>
      </c>
      <c r="M3" s="3231" t="s">
        <v>131</v>
      </c>
      <c r="N3" s="3231" t="s">
        <v>132</v>
      </c>
      <c r="O3" s="3231" t="s">
        <v>133</v>
      </c>
      <c r="P3" s="3231" t="s">
        <v>134</v>
      </c>
      <c r="Q3" s="3231" t="s">
        <v>135</v>
      </c>
      <c r="R3" s="3231" t="s">
        <v>136</v>
      </c>
      <c r="S3" s="3231" t="s">
        <v>2869</v>
      </c>
      <c r="T3" s="3231" t="s">
        <v>2870</v>
      </c>
    </row>
    <row r="4" spans="1:20" s="3233" customFormat="1" ht="12" thickBot="1">
      <c r="A4" s="4215"/>
      <c r="B4" s="3234" t="s">
        <v>2871</v>
      </c>
      <c r="C4" s="3234" t="s">
        <v>2872</v>
      </c>
      <c r="D4" s="3234" t="s">
        <v>2872</v>
      </c>
      <c r="E4" s="3234" t="s">
        <v>2872</v>
      </c>
      <c r="F4" s="3235" t="s">
        <v>2872</v>
      </c>
      <c r="G4" s="3235" t="s">
        <v>2872</v>
      </c>
      <c r="H4" s="3230"/>
      <c r="I4" s="3232" t="s">
        <v>137</v>
      </c>
      <c r="J4" s="3232" t="s">
        <v>111</v>
      </c>
      <c r="K4" s="3232" t="s">
        <v>138</v>
      </c>
      <c r="L4" s="3231" t="s">
        <v>139</v>
      </c>
      <c r="M4" s="3231" t="s">
        <v>140</v>
      </c>
      <c r="N4" s="3231" t="s">
        <v>141</v>
      </c>
      <c r="O4" s="3231" t="s">
        <v>142</v>
      </c>
      <c r="P4" s="3231" t="s">
        <v>143</v>
      </c>
      <c r="Q4" s="3231" t="s">
        <v>2873</v>
      </c>
      <c r="R4" s="3231" t="s">
        <v>2874</v>
      </c>
      <c r="S4" s="3231" t="s">
        <v>2875</v>
      </c>
      <c r="T4" s="3231" t="s">
        <v>2876</v>
      </c>
    </row>
    <row r="5" spans="1:20">
      <c r="A5" s="3236" t="s">
        <v>2839</v>
      </c>
      <c r="B5" s="3227" t="s">
        <v>2853</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2877</v>
      </c>
      <c r="R5" s="3231" t="s">
        <v>2878</v>
      </c>
      <c r="S5" s="3231" t="s">
        <v>153</v>
      </c>
      <c r="T5" s="3231" t="s">
        <v>2879</v>
      </c>
    </row>
    <row r="6" spans="1:20" ht="12" thickBot="1">
      <c r="A6" s="3231" t="s">
        <v>144</v>
      </c>
      <c r="B6" s="3231" t="s">
        <v>2868</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2880</v>
      </c>
      <c r="Q6" s="3231" t="s">
        <v>2881</v>
      </c>
      <c r="R6" s="3231" t="s">
        <v>161</v>
      </c>
      <c r="S6" s="3231" t="s">
        <v>2882</v>
      </c>
      <c r="T6" s="3231" t="s">
        <v>2883</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2884</v>
      </c>
      <c r="Q7" s="3231" t="s">
        <v>2885</v>
      </c>
      <c r="R7" s="3231" t="s">
        <v>2886</v>
      </c>
      <c r="S7" s="3231" t="s">
        <v>2887</v>
      </c>
      <c r="T7" s="3231" t="s">
        <v>2888</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2889</v>
      </c>
      <c r="Q8" s="3231" t="s">
        <v>174</v>
      </c>
      <c r="R8" s="3231" t="s">
        <v>2890</v>
      </c>
      <c r="S8" s="3231" t="s">
        <v>2891</v>
      </c>
      <c r="T8" s="3238" t="s">
        <v>2892</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2893</v>
      </c>
      <c r="Q9" s="3231" t="s">
        <v>182</v>
      </c>
      <c r="R9" s="3231" t="s">
        <v>183</v>
      </c>
      <c r="S9" s="3231" t="s">
        <v>200</v>
      </c>
    </row>
    <row r="10" spans="1:20">
      <c r="A10" s="3236" t="s">
        <v>184</v>
      </c>
      <c r="B10" s="3227" t="s">
        <v>2854</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2894</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2895</v>
      </c>
      <c r="P11" s="3231" t="s">
        <v>191</v>
      </c>
      <c r="Q11" s="3231" t="s">
        <v>199</v>
      </c>
      <c r="R11" s="3231" t="s">
        <v>2896</v>
      </c>
      <c r="S11" s="3231" t="s">
        <v>2897</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2898</v>
      </c>
      <c r="P12" s="3231" t="s">
        <v>2899</v>
      </c>
      <c r="Q12" s="3231" t="s">
        <v>2900</v>
      </c>
      <c r="R12" s="3231" t="s">
        <v>2901</v>
      </c>
      <c r="S12" s="3231" t="s">
        <v>2902</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2903</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2904</v>
      </c>
      <c r="K14" s="3232" t="s">
        <v>215</v>
      </c>
      <c r="L14" s="3231" t="s">
        <v>216</v>
      </c>
      <c r="M14" s="3231" t="s">
        <v>217</v>
      </c>
      <c r="N14" s="3231" t="s">
        <v>218</v>
      </c>
      <c r="O14" s="3231" t="s">
        <v>240</v>
      </c>
      <c r="P14" s="3231" t="s">
        <v>213</v>
      </c>
      <c r="Q14" s="3231" t="s">
        <v>2905</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2906</v>
      </c>
      <c r="P15" s="3231" t="s">
        <v>2907</v>
      </c>
      <c r="Q15" s="3231" t="s">
        <v>242</v>
      </c>
      <c r="R15" s="3231" t="s">
        <v>2908</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2909</v>
      </c>
      <c r="P16" s="3231" t="s">
        <v>227</v>
      </c>
      <c r="Q16" s="3231" t="s">
        <v>250</v>
      </c>
      <c r="R16" s="3231" t="s">
        <v>207</v>
      </c>
      <c r="S16" s="3231" t="s">
        <v>2910</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2911</v>
      </c>
      <c r="P17" s="3231" t="s">
        <v>2912</v>
      </c>
      <c r="Q17" s="3231" t="s">
        <v>256</v>
      </c>
      <c r="R17" s="3231" t="s">
        <v>2913</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2914</v>
      </c>
      <c r="P18" s="3231" t="s">
        <v>241</v>
      </c>
      <c r="Q18" s="3231" t="s">
        <v>2915</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2916</v>
      </c>
      <c r="P19" s="3231" t="s">
        <v>249</v>
      </c>
      <c r="Q19" s="3231" t="s">
        <v>2917</v>
      </c>
      <c r="R19" s="3231" t="s">
        <v>265</v>
      </c>
      <c r="S19" s="3231" t="s">
        <v>2918</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2919</v>
      </c>
      <c r="P20" s="3231" t="s">
        <v>2920</v>
      </c>
      <c r="Q20" s="3231" t="s">
        <v>290</v>
      </c>
      <c r="R20" s="3231" t="s">
        <v>2921</v>
      </c>
      <c r="S20" s="3231" t="s">
        <v>277</v>
      </c>
    </row>
    <row r="21" spans="1:19" ht="14.25" customHeight="1" thickBot="1">
      <c r="A21" s="3231" t="s">
        <v>184</v>
      </c>
      <c r="B21" s="3232" t="s">
        <v>208</v>
      </c>
      <c r="C21" s="3231">
        <v>32370</v>
      </c>
      <c r="D21" s="3231">
        <v>26730</v>
      </c>
      <c r="E21" s="3231">
        <v>26640</v>
      </c>
      <c r="F21" s="3231"/>
      <c r="G21" s="3231">
        <v>19440</v>
      </c>
      <c r="J21" s="3238" t="s">
        <v>2922</v>
      </c>
      <c r="K21" s="3232" t="s">
        <v>267</v>
      </c>
      <c r="L21" s="3231" t="s">
        <v>268</v>
      </c>
      <c r="M21" s="3231" t="s">
        <v>269</v>
      </c>
      <c r="N21" s="3231" t="s">
        <v>270</v>
      </c>
      <c r="O21" s="3231" t="s">
        <v>264</v>
      </c>
      <c r="P21" s="3231" t="s">
        <v>283</v>
      </c>
      <c r="Q21" s="3231" t="s">
        <v>293</v>
      </c>
      <c r="R21" s="3231" t="s">
        <v>2923</v>
      </c>
      <c r="S21" s="3238" t="s">
        <v>2924</v>
      </c>
    </row>
    <row r="22" spans="1:19" ht="14.25" customHeight="1">
      <c r="A22" s="3231" t="s">
        <v>184</v>
      </c>
      <c r="B22" s="3232" t="s">
        <v>2904</v>
      </c>
      <c r="C22" s="3231">
        <v>29830</v>
      </c>
      <c r="D22" s="3231">
        <v>27600</v>
      </c>
      <c r="E22" s="3231">
        <v>28150</v>
      </c>
      <c r="F22" s="3231"/>
      <c r="G22" s="3231">
        <v>20080</v>
      </c>
      <c r="K22" s="3232" t="s">
        <v>2925</v>
      </c>
      <c r="L22" s="3231" t="s">
        <v>272</v>
      </c>
      <c r="M22" s="3231" t="s">
        <v>273</v>
      </c>
      <c r="N22" s="3231" t="s">
        <v>274</v>
      </c>
      <c r="O22" s="3231" t="s">
        <v>2926</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2927</v>
      </c>
      <c r="L23" s="3231" t="s">
        <v>278</v>
      </c>
      <c r="M23" s="3231" t="s">
        <v>279</v>
      </c>
      <c r="N23" s="3231" t="s">
        <v>2928</v>
      </c>
      <c r="O23" s="3231" t="s">
        <v>2929</v>
      </c>
      <c r="P23" s="3231" t="s">
        <v>289</v>
      </c>
      <c r="Q23" s="3231" t="s">
        <v>298</v>
      </c>
      <c r="R23" s="3231" t="s">
        <v>2930</v>
      </c>
    </row>
    <row r="24" spans="1:19" ht="14.25" customHeight="1">
      <c r="A24" s="3231" t="s">
        <v>184</v>
      </c>
      <c r="B24" s="3232" t="s">
        <v>230</v>
      </c>
      <c r="C24" s="3231">
        <v>27930</v>
      </c>
      <c r="D24" s="3231">
        <v>32260</v>
      </c>
      <c r="E24" s="3231">
        <v>32120</v>
      </c>
      <c r="F24" s="3231"/>
      <c r="G24" s="3231">
        <v>23470</v>
      </c>
      <c r="K24" s="3232" t="s">
        <v>2931</v>
      </c>
      <c r="L24" s="3231" t="s">
        <v>281</v>
      </c>
      <c r="M24" s="3231" t="s">
        <v>282</v>
      </c>
      <c r="N24" s="3231" t="s">
        <v>2932</v>
      </c>
      <c r="O24" s="3231" t="s">
        <v>285</v>
      </c>
      <c r="P24" s="3231" t="s">
        <v>2933</v>
      </c>
      <c r="Q24" s="3240" t="s">
        <v>2934</v>
      </c>
      <c r="R24" s="3231" t="s">
        <v>2935</v>
      </c>
    </row>
    <row r="25" spans="1:19" ht="14.25" customHeight="1">
      <c r="A25" s="3231" t="s">
        <v>184</v>
      </c>
      <c r="B25" s="3232" t="s">
        <v>235</v>
      </c>
      <c r="C25" s="3231">
        <v>32230</v>
      </c>
      <c r="D25" s="3231">
        <v>29640</v>
      </c>
      <c r="E25" s="3231">
        <v>29510</v>
      </c>
      <c r="F25" s="3231"/>
      <c r="G25" s="3231">
        <v>21560</v>
      </c>
      <c r="K25" s="3232" t="s">
        <v>2936</v>
      </c>
      <c r="L25" s="3231" t="s">
        <v>2937</v>
      </c>
      <c r="M25" s="3231" t="s">
        <v>284</v>
      </c>
      <c r="N25" s="3231" t="s">
        <v>292</v>
      </c>
      <c r="O25" s="3231" t="s">
        <v>288</v>
      </c>
      <c r="P25" s="3231" t="s">
        <v>275</v>
      </c>
      <c r="Q25" s="3240" t="s">
        <v>271</v>
      </c>
      <c r="R25" s="3231" t="s">
        <v>2938</v>
      </c>
    </row>
    <row r="26" spans="1:19" ht="14.25" customHeight="1" thickBot="1">
      <c r="A26" s="3231" t="s">
        <v>184</v>
      </c>
      <c r="B26" s="3232" t="s">
        <v>244</v>
      </c>
      <c r="C26" s="3231">
        <v>31690</v>
      </c>
      <c r="D26" s="3231">
        <v>27650</v>
      </c>
      <c r="E26" s="3231">
        <v>28200</v>
      </c>
      <c r="F26" s="3231"/>
      <c r="G26" s="3231">
        <v>20110</v>
      </c>
      <c r="K26" s="3237" t="s">
        <v>2939</v>
      </c>
      <c r="L26" s="3231" t="s">
        <v>2940</v>
      </c>
      <c r="M26" s="3231" t="s">
        <v>287</v>
      </c>
      <c r="N26" s="3231" t="s">
        <v>294</v>
      </c>
      <c r="O26" s="3231" t="s">
        <v>2941</v>
      </c>
      <c r="P26" s="3231" t="s">
        <v>2942</v>
      </c>
      <c r="Q26" s="3240" t="s">
        <v>276</v>
      </c>
      <c r="R26" s="3231" t="s">
        <v>2943</v>
      </c>
    </row>
    <row r="27" spans="1:19" ht="14.25" customHeight="1">
      <c r="A27" s="3231" t="s">
        <v>184</v>
      </c>
      <c r="B27" s="3232" t="s">
        <v>251</v>
      </c>
      <c r="C27" s="3231">
        <v>29610</v>
      </c>
      <c r="D27" s="3231">
        <v>27770</v>
      </c>
      <c r="E27" s="3231">
        <v>28300</v>
      </c>
      <c r="F27" s="3231"/>
      <c r="G27" s="3231">
        <v>20210</v>
      </c>
      <c r="L27" s="3231" t="s">
        <v>2944</v>
      </c>
      <c r="M27" s="3231" t="s">
        <v>291</v>
      </c>
      <c r="N27" s="3231" t="s">
        <v>297</v>
      </c>
      <c r="O27" s="3231" t="s">
        <v>2945</v>
      </c>
      <c r="P27" s="3231" t="s">
        <v>2946</v>
      </c>
      <c r="Q27" s="3231" t="s">
        <v>2947</v>
      </c>
      <c r="R27" s="3231" t="s">
        <v>2948</v>
      </c>
    </row>
    <row r="28" spans="1:19" ht="14.25" customHeight="1">
      <c r="A28" s="3231" t="s">
        <v>184</v>
      </c>
      <c r="B28" s="3232" t="s">
        <v>259</v>
      </c>
      <c r="C28" s="3231"/>
      <c r="D28" s="3231">
        <v>31520</v>
      </c>
      <c r="E28" s="3231">
        <v>31410</v>
      </c>
      <c r="F28" s="3231"/>
      <c r="G28" s="3231">
        <v>22940</v>
      </c>
      <c r="L28" s="3231" t="s">
        <v>2949</v>
      </c>
      <c r="M28" s="3231" t="s">
        <v>2950</v>
      </c>
      <c r="N28" s="3231" t="s">
        <v>2951</v>
      </c>
      <c r="O28" s="3231" t="s">
        <v>2952</v>
      </c>
      <c r="P28" s="3231" t="s">
        <v>2953</v>
      </c>
      <c r="Q28" s="3231" t="s">
        <v>2954</v>
      </c>
      <c r="R28" s="3231" t="s">
        <v>2955</v>
      </c>
    </row>
    <row r="29" spans="1:19" ht="14.25" customHeight="1" thickBot="1">
      <c r="A29" s="3239" t="s">
        <v>184</v>
      </c>
      <c r="B29" s="3241" t="s">
        <v>2922</v>
      </c>
      <c r="C29" s="3242"/>
      <c r="D29" s="3242">
        <v>29460</v>
      </c>
      <c r="E29" s="3242">
        <v>28640</v>
      </c>
      <c r="F29" s="3242"/>
      <c r="G29" s="3242">
        <v>21430</v>
      </c>
      <c r="L29" s="3231" t="s">
        <v>2956</v>
      </c>
      <c r="M29" s="3231" t="s">
        <v>2957</v>
      </c>
      <c r="N29" s="3231" t="s">
        <v>2958</v>
      </c>
      <c r="O29" s="3231" t="s">
        <v>2959</v>
      </c>
      <c r="P29" s="3231" t="s">
        <v>2960</v>
      </c>
      <c r="Q29" s="3231" t="s">
        <v>2961</v>
      </c>
      <c r="R29" s="3231" t="s">
        <v>280</v>
      </c>
    </row>
    <row r="30" spans="1:19" ht="14.25" customHeight="1">
      <c r="A30" s="3236" t="s">
        <v>296</v>
      </c>
      <c r="B30" s="3227" t="s">
        <v>2855</v>
      </c>
      <c r="C30" s="3227">
        <v>26890</v>
      </c>
      <c r="D30" s="3227">
        <v>26770</v>
      </c>
      <c r="E30" s="3227">
        <v>25700</v>
      </c>
      <c r="F30" s="3227">
        <v>8180</v>
      </c>
      <c r="G30" s="3243">
        <v>18740</v>
      </c>
      <c r="L30" s="3231" t="s">
        <v>2962</v>
      </c>
      <c r="M30" s="3231" t="s">
        <v>2963</v>
      </c>
      <c r="N30" s="3231" t="s">
        <v>2964</v>
      </c>
      <c r="O30" s="3231" t="s">
        <v>2965</v>
      </c>
      <c r="P30" s="3231" t="s">
        <v>2966</v>
      </c>
      <c r="Q30" s="3231" t="s">
        <v>2967</v>
      </c>
      <c r="R30" s="3231" t="s">
        <v>2968</v>
      </c>
    </row>
    <row r="31" spans="1:19" ht="14.25" customHeight="1">
      <c r="A31" s="3231" t="s">
        <v>296</v>
      </c>
      <c r="B31" s="3232" t="s">
        <v>129</v>
      </c>
      <c r="C31" s="3231">
        <v>24550</v>
      </c>
      <c r="D31" s="3231">
        <v>23990</v>
      </c>
      <c r="E31" s="3231">
        <v>22930</v>
      </c>
      <c r="F31" s="3231">
        <v>7470</v>
      </c>
      <c r="G31" s="3244">
        <v>16790</v>
      </c>
      <c r="L31" s="3231" t="s">
        <v>2969</v>
      </c>
      <c r="M31" s="3231" t="s">
        <v>2970</v>
      </c>
      <c r="N31" s="3231" t="s">
        <v>2971</v>
      </c>
      <c r="O31" s="3231" t="s">
        <v>2972</v>
      </c>
      <c r="P31" s="3231" t="s">
        <v>2973</v>
      </c>
      <c r="Q31" s="3231" t="s">
        <v>2974</v>
      </c>
      <c r="R31" s="3231" t="s">
        <v>2975</v>
      </c>
    </row>
    <row r="32" spans="1:19" ht="14.25" customHeight="1" thickBot="1">
      <c r="A32" s="3231" t="s">
        <v>296</v>
      </c>
      <c r="B32" s="3232" t="s">
        <v>138</v>
      </c>
      <c r="C32" s="3231">
        <v>27210</v>
      </c>
      <c r="D32" s="3231">
        <v>23240</v>
      </c>
      <c r="E32" s="3231">
        <v>23260</v>
      </c>
      <c r="F32" s="3231">
        <v>7130</v>
      </c>
      <c r="G32" s="3244">
        <v>16270</v>
      </c>
      <c r="L32" s="3231" t="s">
        <v>2976</v>
      </c>
      <c r="M32" s="3231" t="s">
        <v>2977</v>
      </c>
      <c r="N32" s="3231" t="s">
        <v>300</v>
      </c>
      <c r="O32" s="3231" t="s">
        <v>2978</v>
      </c>
      <c r="P32" s="3231" t="s">
        <v>299</v>
      </c>
      <c r="Q32" s="3231" t="s">
        <v>2979</v>
      </c>
      <c r="R32" s="3238" t="s">
        <v>2980</v>
      </c>
    </row>
    <row r="33" spans="1:17" ht="14.25" customHeight="1" thickBot="1">
      <c r="A33" s="3231" t="s">
        <v>296</v>
      </c>
      <c r="B33" s="3232" t="s">
        <v>147</v>
      </c>
      <c r="C33" s="3231">
        <v>27300</v>
      </c>
      <c r="D33" s="3231">
        <v>22980</v>
      </c>
      <c r="E33" s="3231">
        <v>24260</v>
      </c>
      <c r="F33" s="3231">
        <v>5860</v>
      </c>
      <c r="G33" s="3244">
        <v>16090</v>
      </c>
      <c r="L33" s="3238" t="s">
        <v>2981</v>
      </c>
      <c r="M33" s="3231" t="s">
        <v>2982</v>
      </c>
      <c r="N33" s="3231" t="s">
        <v>301</v>
      </c>
      <c r="O33" s="3231" t="s">
        <v>2983</v>
      </c>
      <c r="P33" s="3231" t="s">
        <v>2984</v>
      </c>
      <c r="Q33" s="3231" t="s">
        <v>2985</v>
      </c>
    </row>
    <row r="34" spans="1:17" ht="14.25" customHeight="1">
      <c r="A34" s="3231" t="s">
        <v>296</v>
      </c>
      <c r="B34" s="3232" t="s">
        <v>156</v>
      </c>
      <c r="C34" s="3231">
        <v>23090</v>
      </c>
      <c r="D34" s="3231">
        <v>23390</v>
      </c>
      <c r="E34" s="3231">
        <v>23510</v>
      </c>
      <c r="F34" s="3231">
        <v>6700</v>
      </c>
      <c r="G34" s="3244">
        <v>16370</v>
      </c>
      <c r="M34" s="3231" t="s">
        <v>2986</v>
      </c>
      <c r="N34" s="3231" t="s">
        <v>302</v>
      </c>
      <c r="O34" s="3231" t="s">
        <v>2987</v>
      </c>
      <c r="P34" s="3231" t="s">
        <v>2988</v>
      </c>
      <c r="Q34" s="3231" t="s">
        <v>2989</v>
      </c>
    </row>
    <row r="35" spans="1:17" ht="14.25" customHeight="1">
      <c r="A35" s="3231" t="s">
        <v>296</v>
      </c>
      <c r="B35" s="3232" t="s">
        <v>163</v>
      </c>
      <c r="C35" s="3231">
        <v>27270</v>
      </c>
      <c r="D35" s="3231">
        <v>24270</v>
      </c>
      <c r="E35" s="3231">
        <v>24950</v>
      </c>
      <c r="F35" s="3231">
        <v>6600</v>
      </c>
      <c r="G35" s="3244">
        <v>16990</v>
      </c>
      <c r="M35" s="3231" t="s">
        <v>2990</v>
      </c>
      <c r="N35" s="3231" t="s">
        <v>2991</v>
      </c>
      <c r="O35" s="3231" t="s">
        <v>2992</v>
      </c>
      <c r="P35" s="3231" t="s">
        <v>2993</v>
      </c>
      <c r="Q35" s="3231" t="s">
        <v>2994</v>
      </c>
    </row>
    <row r="36" spans="1:17" ht="14.25" customHeight="1">
      <c r="A36" s="3231" t="s">
        <v>296</v>
      </c>
      <c r="B36" s="3232" t="s">
        <v>169</v>
      </c>
      <c r="C36" s="3231">
        <v>23490</v>
      </c>
      <c r="D36" s="3231">
        <v>23020</v>
      </c>
      <c r="E36" s="3231">
        <v>25230</v>
      </c>
      <c r="F36" s="3231">
        <v>6780</v>
      </c>
      <c r="G36" s="3244">
        <v>16120</v>
      </c>
      <c r="M36" s="3231" t="s">
        <v>2995</v>
      </c>
      <c r="N36" s="3231" t="s">
        <v>2996</v>
      </c>
      <c r="O36" s="3231" t="s">
        <v>2997</v>
      </c>
      <c r="P36" s="3231" t="s">
        <v>2998</v>
      </c>
      <c r="Q36" s="3231" t="s">
        <v>2999</v>
      </c>
    </row>
    <row r="37" spans="1:17" ht="14.25" customHeight="1">
      <c r="A37" s="3231" t="s">
        <v>296</v>
      </c>
      <c r="B37" s="3232" t="s">
        <v>176</v>
      </c>
      <c r="C37" s="3231">
        <v>24380</v>
      </c>
      <c r="D37" s="3231">
        <v>22240</v>
      </c>
      <c r="E37" s="3231">
        <v>25980</v>
      </c>
      <c r="F37" s="3231">
        <v>8160</v>
      </c>
      <c r="G37" s="3244">
        <v>15570</v>
      </c>
      <c r="M37" s="3231" t="s">
        <v>3000</v>
      </c>
      <c r="N37" s="3231" t="s">
        <v>3001</v>
      </c>
      <c r="O37" s="3231" t="s">
        <v>3002</v>
      </c>
      <c r="P37" s="3231" t="s">
        <v>3003</v>
      </c>
      <c r="Q37" s="3231" t="s">
        <v>3004</v>
      </c>
    </row>
    <row r="38" spans="1:17" ht="14.25" customHeight="1">
      <c r="A38" s="3231" t="s">
        <v>296</v>
      </c>
      <c r="B38" s="3232" t="s">
        <v>186</v>
      </c>
      <c r="C38" s="3231">
        <v>23120</v>
      </c>
      <c r="D38" s="3231">
        <v>24630</v>
      </c>
      <c r="E38" s="3231">
        <v>25030</v>
      </c>
      <c r="F38" s="3231">
        <v>7710</v>
      </c>
      <c r="G38" s="3244">
        <v>17240</v>
      </c>
      <c r="M38" s="3231" t="s">
        <v>3005</v>
      </c>
      <c r="N38" s="3231" t="s">
        <v>3006</v>
      </c>
      <c r="O38" s="3231" t="s">
        <v>3007</v>
      </c>
      <c r="P38" s="3231" t="s">
        <v>3008</v>
      </c>
      <c r="Q38" s="3231" t="s">
        <v>3009</v>
      </c>
    </row>
    <row r="39" spans="1:17" ht="14.25" customHeight="1">
      <c r="A39" s="3231" t="s">
        <v>296</v>
      </c>
      <c r="B39" s="3232" t="s">
        <v>195</v>
      </c>
      <c r="C39" s="3231">
        <v>22330</v>
      </c>
      <c r="D39" s="3231">
        <v>21140</v>
      </c>
      <c r="E39" s="3231">
        <v>23970</v>
      </c>
      <c r="F39" s="3231">
        <v>7940</v>
      </c>
      <c r="G39" s="3244">
        <v>14790</v>
      </c>
      <c r="M39" s="3231" t="s">
        <v>3010</v>
      </c>
      <c r="N39" s="3231" t="s">
        <v>3011</v>
      </c>
      <c r="O39" s="3231" t="s">
        <v>3012</v>
      </c>
      <c r="P39" s="3231" t="s">
        <v>3013</v>
      </c>
      <c r="Q39" s="3231" t="s">
        <v>3014</v>
      </c>
    </row>
    <row r="40" spans="1:17" ht="14.25" customHeight="1">
      <c r="A40" s="3231" t="s">
        <v>296</v>
      </c>
      <c r="B40" s="3232" t="s">
        <v>202</v>
      </c>
      <c r="C40" s="3231">
        <v>24740</v>
      </c>
      <c r="D40" s="3231">
        <v>24690</v>
      </c>
      <c r="E40" s="3231">
        <v>22610</v>
      </c>
      <c r="F40" s="3231"/>
      <c r="G40" s="3244">
        <v>17280</v>
      </c>
      <c r="M40" s="3231" t="s">
        <v>3015</v>
      </c>
      <c r="N40" s="3231" t="s">
        <v>3016</v>
      </c>
      <c r="O40" s="3231" t="s">
        <v>3017</v>
      </c>
      <c r="P40" s="3231" t="s">
        <v>3018</v>
      </c>
      <c r="Q40" s="3231" t="s">
        <v>3019</v>
      </c>
    </row>
    <row r="41" spans="1:17" ht="14.25" customHeight="1" thickBot="1">
      <c r="A41" s="3231" t="s">
        <v>296</v>
      </c>
      <c r="B41" s="3232" t="s">
        <v>209</v>
      </c>
      <c r="C41" s="3231">
        <v>21220</v>
      </c>
      <c r="D41" s="3231">
        <v>21120</v>
      </c>
      <c r="E41" s="3231">
        <v>22590</v>
      </c>
      <c r="F41" s="3231"/>
      <c r="G41" s="3244">
        <v>14780</v>
      </c>
      <c r="M41" s="3238" t="s">
        <v>3020</v>
      </c>
      <c r="N41" s="3231" t="s">
        <v>3021</v>
      </c>
      <c r="O41" s="3231" t="s">
        <v>3022</v>
      </c>
      <c r="P41" s="3231" t="s">
        <v>3023</v>
      </c>
      <c r="Q41" s="3231" t="s">
        <v>3024</v>
      </c>
    </row>
    <row r="42" spans="1:17" ht="14.25" customHeight="1">
      <c r="A42" s="3231" t="s">
        <v>296</v>
      </c>
      <c r="B42" s="3232" t="s">
        <v>215</v>
      </c>
      <c r="C42" s="3231">
        <v>24800</v>
      </c>
      <c r="D42" s="3231">
        <v>22280</v>
      </c>
      <c r="E42" s="3231">
        <v>24350</v>
      </c>
      <c r="F42" s="3231"/>
      <c r="G42" s="3244">
        <v>15590</v>
      </c>
      <c r="N42" s="3231" t="s">
        <v>3025</v>
      </c>
      <c r="O42" s="3231" t="s">
        <v>3026</v>
      </c>
      <c r="P42" s="3231" t="s">
        <v>3027</v>
      </c>
      <c r="Q42" s="3231" t="s">
        <v>3028</v>
      </c>
    </row>
    <row r="43" spans="1:17" ht="14.25" customHeight="1">
      <c r="A43" s="3231" t="s">
        <v>3029</v>
      </c>
      <c r="B43" s="3232" t="s">
        <v>223</v>
      </c>
      <c r="C43" s="3231">
        <v>21210</v>
      </c>
      <c r="D43" s="3231">
        <v>21160</v>
      </c>
      <c r="E43" s="3231">
        <v>22650</v>
      </c>
      <c r="F43" s="3231"/>
      <c r="G43" s="3244">
        <v>14800</v>
      </c>
      <c r="N43" s="3231" t="s">
        <v>3030</v>
      </c>
      <c r="O43" s="3231" t="s">
        <v>3031</v>
      </c>
      <c r="P43" s="3231" t="s">
        <v>3032</v>
      </c>
      <c r="Q43" s="3231" t="s">
        <v>3033</v>
      </c>
    </row>
    <row r="44" spans="1:17" ht="14.25" customHeight="1" thickBot="1">
      <c r="A44" s="3231" t="s">
        <v>296</v>
      </c>
      <c r="B44" s="3232" t="s">
        <v>231</v>
      </c>
      <c r="C44" s="3231">
        <v>22370</v>
      </c>
      <c r="D44" s="3231">
        <v>23140</v>
      </c>
      <c r="E44" s="3231">
        <v>25090</v>
      </c>
      <c r="F44" s="3231"/>
      <c r="G44" s="3244">
        <v>16190</v>
      </c>
      <c r="N44" s="3231" t="s">
        <v>3034</v>
      </c>
      <c r="O44" s="3231" t="s">
        <v>3035</v>
      </c>
      <c r="P44" s="3238" t="s">
        <v>3036</v>
      </c>
      <c r="Q44" s="3231" t="s">
        <v>3037</v>
      </c>
    </row>
    <row r="45" spans="1:17" ht="14.25" customHeight="1" thickBot="1">
      <c r="A45" s="3231" t="s">
        <v>296</v>
      </c>
      <c r="B45" s="3232" t="s">
        <v>236</v>
      </c>
      <c r="C45" s="3231">
        <v>21240</v>
      </c>
      <c r="D45" s="3231">
        <v>27050</v>
      </c>
      <c r="E45" s="3231">
        <v>28000</v>
      </c>
      <c r="F45" s="3231"/>
      <c r="G45" s="3244">
        <v>18940</v>
      </c>
      <c r="N45" s="3231" t="s">
        <v>3038</v>
      </c>
      <c r="O45" s="3238" t="s">
        <v>3039</v>
      </c>
      <c r="Q45" s="3231" t="s">
        <v>3040</v>
      </c>
    </row>
    <row r="46" spans="1:17" ht="14.25" customHeight="1">
      <c r="A46" s="3231" t="s">
        <v>296</v>
      </c>
      <c r="B46" s="3232" t="s">
        <v>245</v>
      </c>
      <c r="C46" s="3231">
        <v>23240</v>
      </c>
      <c r="D46" s="3231">
        <v>23000</v>
      </c>
      <c r="E46" s="3231">
        <v>24980</v>
      </c>
      <c r="F46" s="3231"/>
      <c r="G46" s="3244">
        <v>16100</v>
      </c>
      <c r="N46" s="3231" t="s">
        <v>3041</v>
      </c>
      <c r="Q46" s="3231" t="s">
        <v>3042</v>
      </c>
    </row>
    <row r="47" spans="1:17" ht="14.25" customHeight="1">
      <c r="A47" s="3231" t="s">
        <v>296</v>
      </c>
      <c r="B47" s="3232" t="s">
        <v>252</v>
      </c>
      <c r="C47" s="3231">
        <v>27150</v>
      </c>
      <c r="D47" s="3231">
        <v>23310</v>
      </c>
      <c r="E47" s="3231">
        <v>25150</v>
      </c>
      <c r="F47" s="3231"/>
      <c r="G47" s="3244">
        <v>16310</v>
      </c>
      <c r="N47" s="3231" t="s">
        <v>3043</v>
      </c>
      <c r="Q47" s="3231" t="s">
        <v>3044</v>
      </c>
    </row>
    <row r="48" spans="1:17" ht="14.25" customHeight="1">
      <c r="A48" s="3231" t="s">
        <v>296</v>
      </c>
      <c r="B48" s="3232" t="s">
        <v>260</v>
      </c>
      <c r="C48" s="3231">
        <v>23100</v>
      </c>
      <c r="D48" s="3231">
        <v>21110</v>
      </c>
      <c r="E48" s="3231">
        <v>23080</v>
      </c>
      <c r="F48" s="3231"/>
      <c r="G48" s="3244">
        <v>14780</v>
      </c>
      <c r="N48" s="3231" t="s">
        <v>3045</v>
      </c>
      <c r="Q48" s="3231" t="s">
        <v>3046</v>
      </c>
    </row>
    <row r="49" spans="1:17" ht="14.25" customHeight="1">
      <c r="A49" s="3231" t="s">
        <v>296</v>
      </c>
      <c r="B49" s="3232" t="s">
        <v>267</v>
      </c>
      <c r="C49" s="3231">
        <v>23400</v>
      </c>
      <c r="D49" s="3231">
        <v>22920</v>
      </c>
      <c r="E49" s="3231">
        <v>24900</v>
      </c>
      <c r="F49" s="3231"/>
      <c r="G49" s="3244">
        <v>16040</v>
      </c>
      <c r="N49" s="3231" t="s">
        <v>3047</v>
      </c>
      <c r="Q49" s="3231" t="s">
        <v>3048</v>
      </c>
    </row>
    <row r="50" spans="1:17" ht="14.25" customHeight="1">
      <c r="A50" s="3231" t="s">
        <v>296</v>
      </c>
      <c r="B50" s="3232" t="s">
        <v>2925</v>
      </c>
      <c r="C50" s="3231">
        <v>21200</v>
      </c>
      <c r="D50" s="3231">
        <v>26540</v>
      </c>
      <c r="E50" s="3231">
        <v>23200</v>
      </c>
      <c r="F50" s="3231"/>
      <c r="G50" s="3244">
        <v>18580</v>
      </c>
      <c r="N50" s="3231" t="s">
        <v>3049</v>
      </c>
      <c r="Q50" s="3232" t="s">
        <v>3050</v>
      </c>
    </row>
    <row r="51" spans="1:17" ht="14.25" customHeight="1" thickBot="1">
      <c r="A51" s="3231" t="s">
        <v>296</v>
      </c>
      <c r="B51" s="3232" t="s">
        <v>2927</v>
      </c>
      <c r="C51" s="3231">
        <v>23000</v>
      </c>
      <c r="D51" s="3231">
        <v>23460</v>
      </c>
      <c r="E51" s="3231">
        <v>25290</v>
      </c>
      <c r="F51" s="3231"/>
      <c r="G51" s="3244">
        <v>16420</v>
      </c>
      <c r="N51" s="3231" t="s">
        <v>3051</v>
      </c>
      <c r="Q51" s="3238" t="s">
        <v>3052</v>
      </c>
    </row>
    <row r="52" spans="1:17" ht="14.25" customHeight="1">
      <c r="A52" s="3231" t="s">
        <v>296</v>
      </c>
      <c r="B52" s="3232" t="s">
        <v>2931</v>
      </c>
      <c r="C52" s="3231">
        <v>26660</v>
      </c>
      <c r="D52" s="3231">
        <v>22350</v>
      </c>
      <c r="E52" s="3231">
        <v>22920</v>
      </c>
      <c r="F52" s="3231"/>
      <c r="G52" s="3244">
        <v>15640</v>
      </c>
      <c r="N52" s="3231" t="s">
        <v>3053</v>
      </c>
    </row>
    <row r="53" spans="1:17" ht="14.25" customHeight="1">
      <c r="A53" s="3231" t="s">
        <v>296</v>
      </c>
      <c r="B53" s="3232" t="s">
        <v>2936</v>
      </c>
      <c r="C53" s="3231">
        <v>23580</v>
      </c>
      <c r="D53" s="3231"/>
      <c r="E53" s="3231">
        <v>24280</v>
      </c>
      <c r="F53" s="3231"/>
      <c r="G53" s="3244"/>
      <c r="N53" s="3231" t="s">
        <v>3054</v>
      </c>
    </row>
    <row r="54" spans="1:17" ht="14.25" customHeight="1" thickBot="1">
      <c r="A54" s="3245" t="s">
        <v>296</v>
      </c>
      <c r="B54" s="3237" t="s">
        <v>2939</v>
      </c>
      <c r="C54" s="3238">
        <v>22460</v>
      </c>
      <c r="D54" s="3238"/>
      <c r="E54" s="3238"/>
      <c r="F54" s="3238"/>
      <c r="G54" s="3246"/>
      <c r="N54" s="3231" t="s">
        <v>3055</v>
      </c>
    </row>
    <row r="55" spans="1:17" ht="14.25" customHeight="1">
      <c r="A55" s="3236" t="s">
        <v>110</v>
      </c>
      <c r="B55" s="3227" t="s">
        <v>3056</v>
      </c>
      <c r="C55" s="3231">
        <v>21970</v>
      </c>
      <c r="D55" s="3231">
        <v>20370</v>
      </c>
      <c r="E55" s="3231">
        <v>20180</v>
      </c>
      <c r="F55" s="3231">
        <v>5730</v>
      </c>
      <c r="G55" s="3231">
        <v>13820</v>
      </c>
      <c r="N55" s="3231" t="s">
        <v>3057</v>
      </c>
    </row>
    <row r="56" spans="1:17" ht="14.25" customHeight="1">
      <c r="A56" s="3231" t="s">
        <v>110</v>
      </c>
      <c r="B56" s="3231" t="s">
        <v>130</v>
      </c>
      <c r="C56" s="3231">
        <v>20470</v>
      </c>
      <c r="D56" s="3231">
        <v>20700</v>
      </c>
      <c r="E56" s="3231">
        <v>20380</v>
      </c>
      <c r="F56" s="3231">
        <v>4760</v>
      </c>
      <c r="G56" s="3231">
        <v>14050</v>
      </c>
      <c r="N56" s="3231" t="s">
        <v>3058</v>
      </c>
    </row>
    <row r="57" spans="1:17" ht="14.25" customHeight="1">
      <c r="A57" s="3231" t="s">
        <v>110</v>
      </c>
      <c r="B57" s="3231" t="s">
        <v>139</v>
      </c>
      <c r="C57" s="3231">
        <v>20790</v>
      </c>
      <c r="D57" s="3231">
        <v>21370</v>
      </c>
      <c r="E57" s="3231">
        <v>20890</v>
      </c>
      <c r="F57" s="3231">
        <v>4910</v>
      </c>
      <c r="G57" s="3231">
        <v>14510</v>
      </c>
      <c r="N57" s="3231" t="s">
        <v>3059</v>
      </c>
    </row>
    <row r="58" spans="1:17" ht="14.25" customHeight="1">
      <c r="A58" s="3231" t="s">
        <v>110</v>
      </c>
      <c r="B58" s="3231" t="s">
        <v>148</v>
      </c>
      <c r="C58" s="3231">
        <v>21460</v>
      </c>
      <c r="D58" s="3231">
        <v>20920</v>
      </c>
      <c r="E58" s="3231">
        <v>23410</v>
      </c>
      <c r="F58" s="3231">
        <v>5100</v>
      </c>
      <c r="G58" s="3231">
        <v>14200</v>
      </c>
      <c r="N58" s="3231" t="s">
        <v>3060</v>
      </c>
    </row>
    <row r="59" spans="1:17" ht="14.25" customHeight="1">
      <c r="A59" s="3231" t="s">
        <v>110</v>
      </c>
      <c r="B59" s="3231" t="s">
        <v>157</v>
      </c>
      <c r="C59" s="3231">
        <v>21000</v>
      </c>
      <c r="D59" s="3231">
        <v>21550</v>
      </c>
      <c r="E59" s="3231">
        <v>21150</v>
      </c>
      <c r="F59" s="3231">
        <v>5250</v>
      </c>
      <c r="G59" s="3231">
        <v>14630</v>
      </c>
      <c r="N59" s="3231" t="s">
        <v>3061</v>
      </c>
    </row>
    <row r="60" spans="1:17" ht="14.25" customHeight="1">
      <c r="A60" s="3231" t="s">
        <v>110</v>
      </c>
      <c r="B60" s="3231" t="s">
        <v>164</v>
      </c>
      <c r="C60" s="3231">
        <v>21640</v>
      </c>
      <c r="D60" s="3231">
        <v>21260</v>
      </c>
      <c r="E60" s="3231">
        <v>24040</v>
      </c>
      <c r="F60" s="3231">
        <v>4470</v>
      </c>
      <c r="G60" s="3231">
        <v>14430</v>
      </c>
      <c r="N60" s="3231" t="s">
        <v>3062</v>
      </c>
    </row>
    <row r="61" spans="1:17" ht="14.25" customHeight="1">
      <c r="A61" s="3231" t="s">
        <v>110</v>
      </c>
      <c r="B61" s="3231" t="s">
        <v>170</v>
      </c>
      <c r="C61" s="3231">
        <v>21330</v>
      </c>
      <c r="D61" s="3231">
        <v>18640</v>
      </c>
      <c r="E61" s="3231">
        <v>21190</v>
      </c>
      <c r="F61" s="3231">
        <v>4180</v>
      </c>
      <c r="G61" s="3231">
        <v>12650</v>
      </c>
      <c r="N61" s="3231" t="s">
        <v>3063</v>
      </c>
    </row>
    <row r="62" spans="1:17" ht="14.25" customHeight="1">
      <c r="A62" s="3231" t="s">
        <v>110</v>
      </c>
      <c r="B62" s="3231" t="s">
        <v>177</v>
      </c>
      <c r="C62" s="3231">
        <v>18710</v>
      </c>
      <c r="D62" s="3231">
        <v>19400</v>
      </c>
      <c r="E62" s="3231">
        <v>23750</v>
      </c>
      <c r="F62" s="3231">
        <v>4860</v>
      </c>
      <c r="G62" s="3231">
        <v>13170</v>
      </c>
      <c r="N62" s="3231" t="s">
        <v>3064</v>
      </c>
    </row>
    <row r="63" spans="1:17" ht="14.25" customHeight="1">
      <c r="A63" s="3231" t="s">
        <v>110</v>
      </c>
      <c r="B63" s="3231" t="s">
        <v>187</v>
      </c>
      <c r="C63" s="3231">
        <v>19480</v>
      </c>
      <c r="D63" s="3231">
        <v>16830</v>
      </c>
      <c r="E63" s="3231">
        <v>21590</v>
      </c>
      <c r="F63" s="3231">
        <v>4560</v>
      </c>
      <c r="G63" s="3231">
        <v>11420</v>
      </c>
      <c r="N63" s="3231" t="s">
        <v>3065</v>
      </c>
    </row>
    <row r="64" spans="1:17" ht="14.25" customHeight="1" thickBot="1">
      <c r="A64" s="3231" t="s">
        <v>110</v>
      </c>
      <c r="B64" s="3231" t="s">
        <v>196</v>
      </c>
      <c r="C64" s="3231">
        <v>16920</v>
      </c>
      <c r="D64" s="3231">
        <v>19190</v>
      </c>
      <c r="E64" s="3231">
        <v>22200</v>
      </c>
      <c r="F64" s="3231">
        <v>4390</v>
      </c>
      <c r="G64" s="3231">
        <v>13030</v>
      </c>
      <c r="N64" s="3238" t="s">
        <v>3066</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2937</v>
      </c>
      <c r="C78" s="3231">
        <v>19820</v>
      </c>
      <c r="D78" s="3231">
        <v>19780</v>
      </c>
      <c r="E78" s="3231">
        <v>18560</v>
      </c>
      <c r="F78" s="3231"/>
      <c r="G78" s="3231">
        <v>13430</v>
      </c>
    </row>
    <row r="79" spans="1:7" s="3220" customFormat="1" ht="14.25" customHeight="1">
      <c r="A79" s="3231" t="s">
        <v>110</v>
      </c>
      <c r="B79" s="3231" t="s">
        <v>2940</v>
      </c>
      <c r="C79" s="3231">
        <v>21660</v>
      </c>
      <c r="D79" s="3231">
        <v>18000</v>
      </c>
      <c r="E79" s="3231">
        <v>22570</v>
      </c>
      <c r="F79" s="3231"/>
      <c r="G79" s="3231">
        <v>12220</v>
      </c>
    </row>
    <row r="80" spans="1:7" s="3220" customFormat="1" ht="14.25" customHeight="1">
      <c r="A80" s="3231" t="s">
        <v>110</v>
      </c>
      <c r="B80" s="3231" t="s">
        <v>2944</v>
      </c>
      <c r="C80" s="3231">
        <v>19850</v>
      </c>
      <c r="D80" s="3231"/>
      <c r="E80" s="3231">
        <v>21700</v>
      </c>
      <c r="F80" s="3231"/>
      <c r="G80" s="3231"/>
    </row>
    <row r="81" spans="1:7" s="3220" customFormat="1" ht="14.25" customHeight="1">
      <c r="A81" s="3231" t="s">
        <v>110</v>
      </c>
      <c r="B81" s="3231" t="s">
        <v>2949</v>
      </c>
      <c r="C81" s="3231">
        <v>18080</v>
      </c>
      <c r="D81" s="3231"/>
      <c r="E81" s="3231">
        <v>20900</v>
      </c>
      <c r="F81" s="3231"/>
      <c r="G81" s="3231"/>
    </row>
    <row r="82" spans="1:7" s="3220" customFormat="1" ht="14.25" customHeight="1">
      <c r="A82" s="3231" t="s">
        <v>110</v>
      </c>
      <c r="B82" s="3231" t="s">
        <v>2956</v>
      </c>
      <c r="C82" s="3231"/>
      <c r="D82" s="3231"/>
      <c r="E82" s="3231">
        <v>20840</v>
      </c>
      <c r="F82" s="3231"/>
      <c r="G82" s="3231"/>
    </row>
    <row r="83" spans="1:7" s="3220" customFormat="1" ht="14.25" customHeight="1">
      <c r="A83" s="3231" t="s">
        <v>110</v>
      </c>
      <c r="B83" s="3231" t="s">
        <v>3067</v>
      </c>
      <c r="C83" s="3231"/>
      <c r="D83" s="3231"/>
      <c r="E83" s="3231"/>
      <c r="F83" s="3231">
        <v>4770</v>
      </c>
      <c r="G83" s="3231"/>
    </row>
    <row r="84" spans="1:7" s="3220" customFormat="1" ht="14.25" customHeight="1">
      <c r="A84" s="3231" t="s">
        <v>110</v>
      </c>
      <c r="B84" s="3231" t="s">
        <v>3068</v>
      </c>
      <c r="C84" s="3231"/>
      <c r="D84" s="3231"/>
      <c r="E84" s="3231"/>
      <c r="F84" s="3231">
        <v>4600</v>
      </c>
      <c r="G84" s="3231"/>
    </row>
    <row r="85" spans="1:7" s="3220" customFormat="1" ht="14.25" customHeight="1">
      <c r="A85" s="3231" t="s">
        <v>110</v>
      </c>
      <c r="B85" s="3231" t="s">
        <v>3069</v>
      </c>
      <c r="C85" s="3231"/>
      <c r="D85" s="3231"/>
      <c r="E85" s="3231"/>
      <c r="F85" s="3231">
        <v>4680</v>
      </c>
      <c r="G85" s="3231"/>
    </row>
    <row r="86" spans="1:7" s="3220" customFormat="1" ht="14.25" customHeight="1" thickBot="1">
      <c r="A86" s="3239" t="s">
        <v>110</v>
      </c>
      <c r="B86" s="3241" t="s">
        <v>3070</v>
      </c>
      <c r="C86" s="3242">
        <v>16610</v>
      </c>
      <c r="D86" s="3242">
        <v>16540</v>
      </c>
      <c r="E86" s="3242">
        <v>18850</v>
      </c>
      <c r="F86" s="3242"/>
      <c r="G86" s="3242">
        <v>11220</v>
      </c>
    </row>
    <row r="87" spans="1:7" s="3220" customFormat="1" ht="14.25" customHeight="1">
      <c r="A87" s="3236" t="s">
        <v>303</v>
      </c>
      <c r="B87" s="3227" t="s">
        <v>3071</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2950</v>
      </c>
      <c r="C113" s="3231">
        <v>15520</v>
      </c>
      <c r="D113" s="3231">
        <v>15450</v>
      </c>
      <c r="E113" s="3231"/>
      <c r="F113" s="3231"/>
      <c r="G113" s="3244">
        <v>10210</v>
      </c>
    </row>
    <row r="114" spans="1:7" s="3220" customFormat="1" ht="14.25" customHeight="1">
      <c r="A114" s="3231" t="s">
        <v>303</v>
      </c>
      <c r="B114" s="3231" t="s">
        <v>2957</v>
      </c>
      <c r="C114" s="3231">
        <v>13110</v>
      </c>
      <c r="D114" s="3231">
        <v>13050</v>
      </c>
      <c r="E114" s="3231"/>
      <c r="F114" s="3231"/>
      <c r="G114" s="3244">
        <v>8620</v>
      </c>
    </row>
    <row r="115" spans="1:7" s="3220" customFormat="1" ht="14.25" customHeight="1">
      <c r="A115" s="3231" t="s">
        <v>303</v>
      </c>
      <c r="B115" s="3231" t="s">
        <v>2963</v>
      </c>
      <c r="C115" s="3231">
        <v>12460</v>
      </c>
      <c r="D115" s="3231">
        <v>12390</v>
      </c>
      <c r="E115" s="3231"/>
      <c r="F115" s="3231"/>
      <c r="G115" s="3244">
        <v>8190</v>
      </c>
    </row>
    <row r="116" spans="1:7" s="3220" customFormat="1" ht="14.25" customHeight="1">
      <c r="A116" s="3231" t="s">
        <v>303</v>
      </c>
      <c r="B116" s="3231" t="s">
        <v>2970</v>
      </c>
      <c r="C116" s="3231">
        <v>13580</v>
      </c>
      <c r="D116" s="3231">
        <v>13520</v>
      </c>
      <c r="E116" s="3231"/>
      <c r="F116" s="3231"/>
      <c r="G116" s="3244">
        <v>8930</v>
      </c>
    </row>
    <row r="117" spans="1:7" s="3220" customFormat="1" ht="14.25" customHeight="1">
      <c r="A117" s="3231" t="s">
        <v>303</v>
      </c>
      <c r="B117" s="3231" t="s">
        <v>2977</v>
      </c>
      <c r="C117" s="3231">
        <v>17120</v>
      </c>
      <c r="D117" s="3231">
        <v>17040</v>
      </c>
      <c r="E117" s="3231"/>
      <c r="F117" s="3231"/>
      <c r="G117" s="3244">
        <v>11260</v>
      </c>
    </row>
    <row r="118" spans="1:7" s="3220" customFormat="1" ht="14.25" customHeight="1">
      <c r="A118" s="3231" t="s">
        <v>303</v>
      </c>
      <c r="B118" s="3231" t="s">
        <v>2982</v>
      </c>
      <c r="C118" s="3231">
        <v>14860</v>
      </c>
      <c r="D118" s="3231">
        <v>14790</v>
      </c>
      <c r="E118" s="3231"/>
      <c r="F118" s="3231"/>
      <c r="G118" s="3244">
        <v>9780</v>
      </c>
    </row>
    <row r="119" spans="1:7" s="3220" customFormat="1" ht="14.25" customHeight="1">
      <c r="A119" s="3231" t="s">
        <v>303</v>
      </c>
      <c r="B119" s="3231" t="s">
        <v>2986</v>
      </c>
      <c r="C119" s="3231">
        <v>16470</v>
      </c>
      <c r="D119" s="3231">
        <v>16400</v>
      </c>
      <c r="E119" s="3231"/>
      <c r="F119" s="3231"/>
      <c r="G119" s="3244">
        <v>10840</v>
      </c>
    </row>
    <row r="120" spans="1:7" s="3220" customFormat="1" ht="14.25" customHeight="1">
      <c r="A120" s="3231" t="s">
        <v>303</v>
      </c>
      <c r="B120" s="3231" t="s">
        <v>3072</v>
      </c>
      <c r="C120" s="3231"/>
      <c r="D120" s="3231"/>
      <c r="E120" s="3231"/>
      <c r="F120" s="3231">
        <v>4160</v>
      </c>
      <c r="G120" s="3244"/>
    </row>
    <row r="121" spans="1:7" s="3220" customFormat="1" ht="14.25" customHeight="1">
      <c r="A121" s="3231" t="s">
        <v>303</v>
      </c>
      <c r="B121" s="3231" t="s">
        <v>3073</v>
      </c>
      <c r="C121" s="3231"/>
      <c r="D121" s="3231"/>
      <c r="E121" s="3231"/>
      <c r="F121" s="3231">
        <v>3880</v>
      </c>
      <c r="G121" s="3244"/>
    </row>
    <row r="122" spans="1:7" s="3220" customFormat="1" ht="14.25" customHeight="1">
      <c r="A122" s="3231" t="s">
        <v>303</v>
      </c>
      <c r="B122" s="3231" t="s">
        <v>3074</v>
      </c>
      <c r="C122" s="3231">
        <v>13750</v>
      </c>
      <c r="D122" s="3231">
        <v>13680</v>
      </c>
      <c r="E122" s="3231">
        <v>16460</v>
      </c>
      <c r="F122" s="3231">
        <v>2880</v>
      </c>
      <c r="G122" s="3244">
        <v>9040</v>
      </c>
    </row>
    <row r="123" spans="1:7" s="3220" customFormat="1" ht="14.25" customHeight="1">
      <c r="A123" s="3231" t="s">
        <v>303</v>
      </c>
      <c r="B123" s="3231" t="s">
        <v>3005</v>
      </c>
      <c r="C123" s="3231">
        <v>13590</v>
      </c>
      <c r="D123" s="3231">
        <v>13520</v>
      </c>
      <c r="E123" s="3231">
        <v>16290</v>
      </c>
      <c r="F123" s="3231">
        <v>2790</v>
      </c>
      <c r="G123" s="3244">
        <v>8930</v>
      </c>
    </row>
    <row r="124" spans="1:7" s="3220" customFormat="1" ht="14.25" customHeight="1">
      <c r="A124" s="3231" t="s">
        <v>303</v>
      </c>
      <c r="B124" s="3231" t="s">
        <v>3010</v>
      </c>
      <c r="C124" s="3231">
        <v>13400</v>
      </c>
      <c r="D124" s="3231">
        <v>13320</v>
      </c>
      <c r="E124" s="3231">
        <v>16100</v>
      </c>
      <c r="F124" s="3231">
        <v>2320</v>
      </c>
      <c r="G124" s="3244">
        <v>8800</v>
      </c>
    </row>
    <row r="125" spans="1:7" s="3220" customFormat="1" ht="14.25" customHeight="1">
      <c r="A125" s="3231" t="s">
        <v>303</v>
      </c>
      <c r="B125" s="3231" t="s">
        <v>3015</v>
      </c>
      <c r="C125" s="3231">
        <v>12860</v>
      </c>
      <c r="D125" s="3231">
        <v>12790</v>
      </c>
      <c r="E125" s="3231">
        <v>15370</v>
      </c>
      <c r="F125" s="3231">
        <v>2280</v>
      </c>
      <c r="G125" s="3244">
        <v>8450</v>
      </c>
    </row>
    <row r="126" spans="1:7" s="3220" customFormat="1" ht="14.25" customHeight="1" thickBot="1">
      <c r="A126" s="3245" t="s">
        <v>303</v>
      </c>
      <c r="B126" s="3238" t="s">
        <v>3020</v>
      </c>
      <c r="C126" s="3238">
        <v>12960</v>
      </c>
      <c r="D126" s="3238">
        <v>12890</v>
      </c>
      <c r="E126" s="3238">
        <v>15530</v>
      </c>
      <c r="F126" s="3238">
        <v>2910</v>
      </c>
      <c r="G126" s="3246">
        <v>8520</v>
      </c>
    </row>
    <row r="127" spans="1:7" s="3220" customFormat="1" ht="14.25" customHeight="1">
      <c r="A127" s="3236" t="s">
        <v>29</v>
      </c>
      <c r="B127" s="3227" t="s">
        <v>3075</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3076</v>
      </c>
      <c r="C148" s="3231">
        <v>10370</v>
      </c>
      <c r="D148" s="3231">
        <v>10310</v>
      </c>
      <c r="E148" s="3231">
        <v>12970</v>
      </c>
      <c r="F148" s="3231"/>
      <c r="G148" s="3231">
        <v>6630</v>
      </c>
    </row>
    <row r="149" spans="1:7" s="3220" customFormat="1" ht="14.25" customHeight="1">
      <c r="A149" s="3231" t="s">
        <v>29</v>
      </c>
      <c r="B149" s="3231" t="s">
        <v>3077</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2951</v>
      </c>
      <c r="C153" s="3231">
        <v>10880</v>
      </c>
      <c r="D153" s="3231">
        <v>10820</v>
      </c>
      <c r="E153" s="3231">
        <v>13660</v>
      </c>
      <c r="F153" s="3231">
        <v>2260</v>
      </c>
      <c r="G153" s="3231">
        <v>6970</v>
      </c>
    </row>
    <row r="154" spans="1:7" s="3220" customFormat="1" ht="14.25" customHeight="1">
      <c r="A154" s="3231" t="s">
        <v>29</v>
      </c>
      <c r="B154" s="3231" t="s">
        <v>3078</v>
      </c>
      <c r="C154" s="3231">
        <v>11220</v>
      </c>
      <c r="D154" s="3231">
        <v>11160</v>
      </c>
      <c r="E154" s="3231">
        <v>14130</v>
      </c>
      <c r="F154" s="3231">
        <v>2230</v>
      </c>
      <c r="G154" s="3231">
        <v>7180</v>
      </c>
    </row>
    <row r="155" spans="1:7" s="3220" customFormat="1" ht="14.25" customHeight="1">
      <c r="A155" s="3231" t="s">
        <v>29</v>
      </c>
      <c r="B155" s="3231" t="s">
        <v>2964</v>
      </c>
      <c r="C155" s="3231">
        <v>10430</v>
      </c>
      <c r="D155" s="3231">
        <v>10380</v>
      </c>
      <c r="E155" s="3231">
        <v>13140</v>
      </c>
      <c r="F155" s="3231">
        <v>2080</v>
      </c>
      <c r="G155" s="3231">
        <v>6650</v>
      </c>
    </row>
    <row r="156" spans="1:7" s="3220" customFormat="1" ht="14.25" customHeight="1">
      <c r="A156" s="3231" t="s">
        <v>29</v>
      </c>
      <c r="B156" s="3231" t="s">
        <v>3079</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3080</v>
      </c>
      <c r="C160" s="3231">
        <v>11180</v>
      </c>
      <c r="D160" s="3231">
        <v>11140</v>
      </c>
      <c r="E160" s="3231">
        <v>14050</v>
      </c>
      <c r="F160" s="3231">
        <v>2270</v>
      </c>
      <c r="G160" s="3231">
        <v>7170</v>
      </c>
    </row>
    <row r="161" spans="1:7" s="3220" customFormat="1" ht="14.25" customHeight="1">
      <c r="A161" s="3231" t="s">
        <v>29</v>
      </c>
      <c r="B161" s="3231" t="s">
        <v>2996</v>
      </c>
      <c r="C161" s="3231">
        <v>11160</v>
      </c>
      <c r="D161" s="3231">
        <v>11120</v>
      </c>
      <c r="E161" s="3231">
        <v>14020</v>
      </c>
      <c r="F161" s="3231">
        <v>2150</v>
      </c>
      <c r="G161" s="3231">
        <v>7160</v>
      </c>
    </row>
    <row r="162" spans="1:7" s="3220" customFormat="1" ht="14.25" customHeight="1">
      <c r="A162" s="3231" t="s">
        <v>29</v>
      </c>
      <c r="B162" s="3231" t="s">
        <v>3001</v>
      </c>
      <c r="C162" s="3231">
        <v>9620</v>
      </c>
      <c r="D162" s="3231">
        <v>9570</v>
      </c>
      <c r="E162" s="3231">
        <v>12320</v>
      </c>
      <c r="F162" s="3231">
        <v>2010</v>
      </c>
      <c r="G162" s="3231">
        <v>6160</v>
      </c>
    </row>
    <row r="163" spans="1:7" s="3220" customFormat="1" ht="14.25" customHeight="1">
      <c r="A163" s="3231" t="s">
        <v>29</v>
      </c>
      <c r="B163" s="3231" t="s">
        <v>3006</v>
      </c>
      <c r="C163" s="3231">
        <v>9320</v>
      </c>
      <c r="D163" s="3231">
        <v>9270</v>
      </c>
      <c r="E163" s="3231">
        <v>11790</v>
      </c>
      <c r="F163" s="3231">
        <v>1920</v>
      </c>
      <c r="G163" s="3231">
        <v>5960</v>
      </c>
    </row>
    <row r="164" spans="1:7" s="3220" customFormat="1" ht="14.25" customHeight="1">
      <c r="A164" s="3231" t="s">
        <v>29</v>
      </c>
      <c r="B164" s="3231" t="s">
        <v>3011</v>
      </c>
      <c r="C164" s="3231"/>
      <c r="D164" s="3231"/>
      <c r="E164" s="3231"/>
      <c r="F164" s="3231">
        <v>1980</v>
      </c>
      <c r="G164" s="3231"/>
    </row>
    <row r="165" spans="1:7" s="3220" customFormat="1" ht="14.25" customHeight="1">
      <c r="A165" s="3231" t="s">
        <v>29</v>
      </c>
      <c r="B165" s="3231" t="s">
        <v>3081</v>
      </c>
      <c r="C165" s="3231">
        <v>11060</v>
      </c>
      <c r="D165" s="3231">
        <v>11030</v>
      </c>
      <c r="E165" s="3231">
        <v>13850</v>
      </c>
      <c r="F165" s="3231">
        <v>2170</v>
      </c>
      <c r="G165" s="3231">
        <v>7090</v>
      </c>
    </row>
    <row r="166" spans="1:7" s="3220" customFormat="1" ht="14.25" customHeight="1">
      <c r="A166" s="3231" t="s">
        <v>29</v>
      </c>
      <c r="B166" s="3231" t="s">
        <v>3021</v>
      </c>
      <c r="C166" s="3231">
        <v>11050</v>
      </c>
      <c r="D166" s="3231">
        <v>11010</v>
      </c>
      <c r="E166" s="3231">
        <v>13920</v>
      </c>
      <c r="F166" s="3231">
        <v>2140</v>
      </c>
      <c r="G166" s="3231">
        <v>7080</v>
      </c>
    </row>
    <row r="167" spans="1:7" s="3220" customFormat="1" ht="14.25" customHeight="1">
      <c r="A167" s="3231" t="s">
        <v>29</v>
      </c>
      <c r="B167" s="3231" t="s">
        <v>3025</v>
      </c>
      <c r="C167" s="3231">
        <v>10930</v>
      </c>
      <c r="D167" s="3231">
        <v>10890</v>
      </c>
      <c r="E167" s="3231">
        <v>13790</v>
      </c>
      <c r="F167" s="3231">
        <v>2010</v>
      </c>
      <c r="G167" s="3231">
        <v>7000</v>
      </c>
    </row>
    <row r="168" spans="1:7" s="3220" customFormat="1" ht="14.25" customHeight="1">
      <c r="A168" s="3231" t="s">
        <v>29</v>
      </c>
      <c r="B168" s="3231" t="s">
        <v>3030</v>
      </c>
      <c r="C168" s="3231">
        <v>9420</v>
      </c>
      <c r="D168" s="3231">
        <v>9380</v>
      </c>
      <c r="E168" s="3231">
        <v>11970</v>
      </c>
      <c r="F168" s="3231"/>
      <c r="G168" s="3231">
        <v>6040</v>
      </c>
    </row>
    <row r="169" spans="1:7" s="3220" customFormat="1" ht="14.25" customHeight="1">
      <c r="A169" s="3231" t="s">
        <v>29</v>
      </c>
      <c r="B169" s="3231" t="s">
        <v>3082</v>
      </c>
      <c r="C169" s="3231"/>
      <c r="D169" s="3231"/>
      <c r="E169" s="3231"/>
      <c r="F169" s="3231">
        <v>2880</v>
      </c>
      <c r="G169" s="3231"/>
    </row>
    <row r="170" spans="1:7" s="3220" customFormat="1" ht="14.25" customHeight="1">
      <c r="A170" s="3231" t="s">
        <v>29</v>
      </c>
      <c r="B170" s="3231" t="s">
        <v>3038</v>
      </c>
      <c r="C170" s="3231"/>
      <c r="D170" s="3231"/>
      <c r="E170" s="3231"/>
      <c r="F170" s="3231">
        <v>2880</v>
      </c>
      <c r="G170" s="3231"/>
    </row>
    <row r="171" spans="1:7" s="3220" customFormat="1" ht="14.25" customHeight="1">
      <c r="A171" s="3231" t="s">
        <v>29</v>
      </c>
      <c r="B171" s="3231" t="s">
        <v>3041</v>
      </c>
      <c r="C171" s="3231"/>
      <c r="D171" s="3231"/>
      <c r="E171" s="3231"/>
      <c r="F171" s="3231">
        <v>2880</v>
      </c>
      <c r="G171" s="3231"/>
    </row>
    <row r="172" spans="1:7" s="3220" customFormat="1" ht="14.25" customHeight="1">
      <c r="A172" s="3231" t="s">
        <v>29</v>
      </c>
      <c r="B172" s="3231" t="s">
        <v>3043</v>
      </c>
      <c r="C172" s="3231"/>
      <c r="D172" s="3231"/>
      <c r="E172" s="3231"/>
      <c r="F172" s="3231">
        <v>2880</v>
      </c>
      <c r="G172" s="3231"/>
    </row>
    <row r="173" spans="1:7" s="3220" customFormat="1" ht="14.25" customHeight="1">
      <c r="A173" s="3231" t="s">
        <v>29</v>
      </c>
      <c r="B173" s="3231" t="s">
        <v>3045</v>
      </c>
      <c r="C173" s="3231"/>
      <c r="D173" s="3231"/>
      <c r="E173" s="3231"/>
      <c r="F173" s="3231">
        <v>2150</v>
      </c>
      <c r="G173" s="3231"/>
    </row>
    <row r="174" spans="1:7" s="3220" customFormat="1" ht="14.25" customHeight="1">
      <c r="A174" s="3231" t="s">
        <v>29</v>
      </c>
      <c r="B174" s="3231" t="s">
        <v>3047</v>
      </c>
      <c r="C174" s="3231"/>
      <c r="D174" s="3231"/>
      <c r="E174" s="3231"/>
      <c r="F174" s="3231">
        <v>2030</v>
      </c>
      <c r="G174" s="3231"/>
    </row>
    <row r="175" spans="1:7" s="3220" customFormat="1" ht="14.25" customHeight="1">
      <c r="A175" s="3231" t="s">
        <v>29</v>
      </c>
      <c r="B175" s="3231" t="s">
        <v>3049</v>
      </c>
      <c r="C175" s="3231"/>
      <c r="D175" s="3231"/>
      <c r="E175" s="3231"/>
      <c r="F175" s="3231">
        <v>2780</v>
      </c>
      <c r="G175" s="3231"/>
    </row>
    <row r="176" spans="1:7" s="3220" customFormat="1" ht="14.25" customHeight="1">
      <c r="A176" s="3231" t="s">
        <v>29</v>
      </c>
      <c r="B176" s="3231" t="s">
        <v>3051</v>
      </c>
      <c r="C176" s="3231"/>
      <c r="D176" s="3231"/>
      <c r="E176" s="3231"/>
      <c r="F176" s="3231">
        <v>2780</v>
      </c>
      <c r="G176" s="3231"/>
    </row>
    <row r="177" spans="1:7" s="3220" customFormat="1" ht="14.25" customHeight="1">
      <c r="A177" s="3231" t="s">
        <v>29</v>
      </c>
      <c r="B177" s="3231" t="s">
        <v>3083</v>
      </c>
      <c r="C177" s="3231"/>
      <c r="D177" s="3231"/>
      <c r="E177" s="3231"/>
      <c r="F177" s="3231">
        <v>2780</v>
      </c>
      <c r="G177" s="3231"/>
    </row>
    <row r="178" spans="1:7" s="3220" customFormat="1" ht="14.25" customHeight="1">
      <c r="A178" s="3231" t="s">
        <v>29</v>
      </c>
      <c r="B178" s="3231" t="s">
        <v>3084</v>
      </c>
      <c r="C178" s="3231"/>
      <c r="D178" s="3231"/>
      <c r="E178" s="3231"/>
      <c r="F178" s="3231">
        <v>2060</v>
      </c>
      <c r="G178" s="3231"/>
    </row>
    <row r="179" spans="1:7" s="3220" customFormat="1" ht="14.25" customHeight="1">
      <c r="A179" s="3231" t="s">
        <v>29</v>
      </c>
      <c r="B179" s="3231" t="s">
        <v>3085</v>
      </c>
      <c r="C179" s="3231"/>
      <c r="D179" s="3231"/>
      <c r="E179" s="3231"/>
      <c r="F179" s="3231">
        <v>2120</v>
      </c>
      <c r="G179" s="3231"/>
    </row>
    <row r="180" spans="1:7" s="3220" customFormat="1" ht="14.25" customHeight="1">
      <c r="A180" s="3231" t="s">
        <v>29</v>
      </c>
      <c r="B180" s="3231" t="s">
        <v>3057</v>
      </c>
      <c r="C180" s="3231"/>
      <c r="D180" s="3231"/>
      <c r="E180" s="3231"/>
      <c r="F180" s="3231">
        <v>2340</v>
      </c>
      <c r="G180" s="3231"/>
    </row>
    <row r="181" spans="1:7" s="3220" customFormat="1" ht="14.25" customHeight="1">
      <c r="A181" s="3231" t="s">
        <v>29</v>
      </c>
      <c r="B181" s="3231" t="s">
        <v>3058</v>
      </c>
      <c r="C181" s="3231"/>
      <c r="D181" s="3231"/>
      <c r="E181" s="3231"/>
      <c r="F181" s="3231">
        <v>2340</v>
      </c>
      <c r="G181" s="3231"/>
    </row>
    <row r="182" spans="1:7" s="3220" customFormat="1" ht="14.25" customHeight="1">
      <c r="A182" s="3231" t="s">
        <v>29</v>
      </c>
      <c r="B182" s="3231" t="s">
        <v>3059</v>
      </c>
      <c r="C182" s="3231"/>
      <c r="D182" s="3231"/>
      <c r="E182" s="3231"/>
      <c r="F182" s="3231">
        <v>2340</v>
      </c>
      <c r="G182" s="3231"/>
    </row>
    <row r="183" spans="1:7" s="3220" customFormat="1" ht="14.25" customHeight="1">
      <c r="A183" s="3231" t="s">
        <v>29</v>
      </c>
      <c r="B183" s="3231" t="s">
        <v>3060</v>
      </c>
      <c r="C183" s="3231"/>
      <c r="D183" s="3231"/>
      <c r="E183" s="3231"/>
      <c r="F183" s="3231">
        <v>2340</v>
      </c>
      <c r="G183" s="3231"/>
    </row>
    <row r="184" spans="1:7" s="3220" customFormat="1" ht="14.25" customHeight="1">
      <c r="A184" s="3231" t="s">
        <v>29</v>
      </c>
      <c r="B184" s="3231" t="s">
        <v>3061</v>
      </c>
      <c r="C184" s="3231"/>
      <c r="D184" s="3231"/>
      <c r="E184" s="3231"/>
      <c r="F184" s="3231">
        <v>2340</v>
      </c>
      <c r="G184" s="3231"/>
    </row>
    <row r="185" spans="1:7" s="3220" customFormat="1" ht="14.25" customHeight="1">
      <c r="A185" s="3231" t="s">
        <v>29</v>
      </c>
      <c r="B185" s="3231" t="s">
        <v>3062</v>
      </c>
      <c r="C185" s="3231"/>
      <c r="D185" s="3231"/>
      <c r="E185" s="3231"/>
      <c r="F185" s="3231">
        <v>2530</v>
      </c>
      <c r="G185" s="3231"/>
    </row>
    <row r="186" spans="1:7" s="3220" customFormat="1" ht="14.25" customHeight="1">
      <c r="A186" s="3231" t="s">
        <v>29</v>
      </c>
      <c r="B186" s="3231" t="s">
        <v>3063</v>
      </c>
      <c r="C186" s="3231"/>
      <c r="D186" s="3231"/>
      <c r="E186" s="3231"/>
      <c r="F186" s="3231">
        <v>2550</v>
      </c>
      <c r="G186" s="3231"/>
    </row>
    <row r="187" spans="1:7" s="3220" customFormat="1" ht="14.25" customHeight="1">
      <c r="A187" s="3231" t="s">
        <v>29</v>
      </c>
      <c r="B187" s="3231" t="s">
        <v>3064</v>
      </c>
      <c r="C187" s="3231"/>
      <c r="D187" s="3231"/>
      <c r="E187" s="3231"/>
      <c r="F187" s="3231">
        <v>2070</v>
      </c>
      <c r="G187" s="3231"/>
    </row>
    <row r="188" spans="1:7" s="3220" customFormat="1" ht="14.25" customHeight="1">
      <c r="A188" s="3231" t="s">
        <v>29</v>
      </c>
      <c r="B188" s="3231" t="s">
        <v>3065</v>
      </c>
      <c r="C188" s="3231"/>
      <c r="D188" s="3231"/>
      <c r="E188" s="3231"/>
      <c r="F188" s="3231">
        <v>2340</v>
      </c>
      <c r="G188" s="3231"/>
    </row>
    <row r="189" spans="1:7" s="3220" customFormat="1" ht="14.25" customHeight="1" thickBot="1">
      <c r="A189" s="3239" t="s">
        <v>29</v>
      </c>
      <c r="B189" s="3242" t="s">
        <v>3066</v>
      </c>
      <c r="C189" s="3242"/>
      <c r="D189" s="3242"/>
      <c r="E189" s="3242"/>
      <c r="F189" s="3242">
        <v>2050</v>
      </c>
      <c r="G189" s="3242"/>
    </row>
    <row r="190" spans="1:7" s="3220" customFormat="1" ht="14.25" customHeight="1">
      <c r="A190" s="3236" t="s">
        <v>304</v>
      </c>
      <c r="B190" s="3227" t="s">
        <v>3086</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3087</v>
      </c>
      <c r="C199" s="3231">
        <v>8690</v>
      </c>
      <c r="D199" s="3231">
        <v>8630</v>
      </c>
      <c r="E199" s="3231">
        <v>11350</v>
      </c>
      <c r="F199" s="3231">
        <v>1600</v>
      </c>
      <c r="G199" s="3244">
        <v>5450</v>
      </c>
    </row>
    <row r="200" spans="1:7" s="3220" customFormat="1" ht="14.25" customHeight="1">
      <c r="A200" s="3231" t="s">
        <v>304</v>
      </c>
      <c r="B200" s="3231" t="s">
        <v>2898</v>
      </c>
      <c r="C200" s="3231"/>
      <c r="D200" s="3231"/>
      <c r="E200" s="3231"/>
      <c r="F200" s="3231">
        <v>1510</v>
      </c>
      <c r="G200" s="3244"/>
    </row>
    <row r="201" spans="1:7" s="3220" customFormat="1" ht="14.25" customHeight="1">
      <c r="A201" s="3231" t="s">
        <v>304</v>
      </c>
      <c r="B201" s="3231" t="s">
        <v>3088</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3089</v>
      </c>
      <c r="C203" s="3231">
        <v>8130</v>
      </c>
      <c r="D203" s="3231">
        <v>8070</v>
      </c>
      <c r="E203" s="3231">
        <v>10820</v>
      </c>
      <c r="F203" s="3231">
        <v>1690</v>
      </c>
      <c r="G203" s="3244">
        <v>5100</v>
      </c>
    </row>
    <row r="204" spans="1:7" s="3220" customFormat="1" ht="14.25" customHeight="1">
      <c r="A204" s="3231" t="s">
        <v>304</v>
      </c>
      <c r="B204" s="3231" t="s">
        <v>2909</v>
      </c>
      <c r="C204" s="3231">
        <v>8350</v>
      </c>
      <c r="D204" s="3231">
        <v>8290</v>
      </c>
      <c r="E204" s="3231">
        <v>11080</v>
      </c>
      <c r="F204" s="3231">
        <v>1450</v>
      </c>
      <c r="G204" s="3244">
        <v>5240</v>
      </c>
    </row>
    <row r="205" spans="1:7" s="3220" customFormat="1" ht="14.25" customHeight="1">
      <c r="A205" s="3231" t="s">
        <v>304</v>
      </c>
      <c r="B205" s="3231" t="s">
        <v>2911</v>
      </c>
      <c r="C205" s="3231">
        <v>7190</v>
      </c>
      <c r="D205" s="3231">
        <v>7130</v>
      </c>
      <c r="E205" s="3231">
        <v>9490</v>
      </c>
      <c r="F205" s="3231">
        <v>1470</v>
      </c>
      <c r="G205" s="3244">
        <v>4510</v>
      </c>
    </row>
    <row r="206" spans="1:7" s="3220" customFormat="1" ht="14.25" customHeight="1">
      <c r="A206" s="3231" t="s">
        <v>304</v>
      </c>
      <c r="B206" s="3231" t="s">
        <v>2914</v>
      </c>
      <c r="C206" s="3231">
        <v>7000</v>
      </c>
      <c r="D206" s="3231">
        <v>6950</v>
      </c>
      <c r="E206" s="3231">
        <v>9170</v>
      </c>
      <c r="F206" s="3231">
        <v>1400</v>
      </c>
      <c r="G206" s="3244">
        <v>4380</v>
      </c>
    </row>
    <row r="207" spans="1:7" s="3220" customFormat="1" ht="14.25" customHeight="1">
      <c r="A207" s="3231" t="s">
        <v>304</v>
      </c>
      <c r="B207" s="3231" t="s">
        <v>2916</v>
      </c>
      <c r="C207" s="3231">
        <v>6950</v>
      </c>
      <c r="D207" s="3231">
        <v>6900</v>
      </c>
      <c r="E207" s="3231">
        <v>9110</v>
      </c>
      <c r="F207" s="3231">
        <v>1790</v>
      </c>
      <c r="G207" s="3244">
        <v>4360</v>
      </c>
    </row>
    <row r="208" spans="1:7" s="3220" customFormat="1" ht="14.25" customHeight="1">
      <c r="A208" s="3231" t="s">
        <v>304</v>
      </c>
      <c r="B208" s="3231" t="s">
        <v>3090</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2926</v>
      </c>
      <c r="C210" s="3231">
        <v>8710</v>
      </c>
      <c r="D210" s="3231">
        <v>8660</v>
      </c>
      <c r="E210" s="3231">
        <v>11440</v>
      </c>
      <c r="F210" s="3231">
        <v>1740</v>
      </c>
      <c r="G210" s="3244">
        <v>5470</v>
      </c>
    </row>
    <row r="211" spans="1:7" s="3220" customFormat="1" ht="14.25" customHeight="1">
      <c r="A211" s="3231" t="s">
        <v>304</v>
      </c>
      <c r="B211" s="3231" t="s">
        <v>3091</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3092</v>
      </c>
      <c r="C214" s="3231">
        <v>8090</v>
      </c>
      <c r="D214" s="3231">
        <v>8030</v>
      </c>
      <c r="E214" s="3231">
        <v>10780</v>
      </c>
      <c r="F214" s="3231">
        <v>1570</v>
      </c>
      <c r="G214" s="3244">
        <v>5070</v>
      </c>
    </row>
    <row r="215" spans="1:7" s="3220" customFormat="1" ht="14.25" customHeight="1">
      <c r="A215" s="3231" t="s">
        <v>304</v>
      </c>
      <c r="B215" s="3231" t="s">
        <v>3093</v>
      </c>
      <c r="C215" s="3231">
        <v>7950</v>
      </c>
      <c r="D215" s="3231">
        <v>7900</v>
      </c>
      <c r="E215" s="3231">
        <v>10560</v>
      </c>
      <c r="F215" s="3231">
        <v>1630</v>
      </c>
      <c r="G215" s="3244">
        <v>4990</v>
      </c>
    </row>
    <row r="216" spans="1:7" s="3220" customFormat="1" ht="14.25" customHeight="1">
      <c r="A216" s="3231" t="s">
        <v>304</v>
      </c>
      <c r="B216" s="3231" t="s">
        <v>3094</v>
      </c>
      <c r="C216" s="3231">
        <v>8490</v>
      </c>
      <c r="D216" s="3231">
        <v>8440</v>
      </c>
      <c r="E216" s="3231">
        <v>11260</v>
      </c>
      <c r="F216" s="3231">
        <v>1690</v>
      </c>
      <c r="G216" s="3244">
        <v>5330</v>
      </c>
    </row>
    <row r="217" spans="1:7" s="3220" customFormat="1" ht="14.25" customHeight="1">
      <c r="A217" s="3231" t="s">
        <v>304</v>
      </c>
      <c r="B217" s="3231" t="s">
        <v>2959</v>
      </c>
      <c r="C217" s="3231">
        <v>8200</v>
      </c>
      <c r="D217" s="3231">
        <v>8150</v>
      </c>
      <c r="E217" s="3231">
        <v>10910</v>
      </c>
      <c r="F217" s="3231">
        <v>1670</v>
      </c>
      <c r="G217" s="3244">
        <v>5150</v>
      </c>
    </row>
    <row r="218" spans="1:7" s="3220" customFormat="1" ht="14.25" customHeight="1">
      <c r="A218" s="3231" t="s">
        <v>304</v>
      </c>
      <c r="B218" s="3231" t="s">
        <v>3095</v>
      </c>
      <c r="C218" s="3231"/>
      <c r="D218" s="3231"/>
      <c r="E218" s="3231"/>
      <c r="F218" s="3231">
        <v>2040</v>
      </c>
      <c r="G218" s="3244"/>
    </row>
    <row r="219" spans="1:7" s="3220" customFormat="1" ht="14.25" customHeight="1">
      <c r="A219" s="3231" t="s">
        <v>304</v>
      </c>
      <c r="B219" s="3231" t="s">
        <v>3096</v>
      </c>
      <c r="C219" s="3231"/>
      <c r="D219" s="3231"/>
      <c r="E219" s="3231"/>
      <c r="F219" s="3231">
        <v>2040</v>
      </c>
      <c r="G219" s="3244"/>
    </row>
    <row r="220" spans="1:7" s="3220" customFormat="1" ht="14.25" customHeight="1">
      <c r="A220" s="3231" t="s">
        <v>304</v>
      </c>
      <c r="B220" s="3231" t="s">
        <v>3097</v>
      </c>
      <c r="C220" s="3231"/>
      <c r="D220" s="3231"/>
      <c r="E220" s="3231"/>
      <c r="F220" s="3231">
        <v>2040</v>
      </c>
      <c r="G220" s="3244"/>
    </row>
    <row r="221" spans="1:7" s="3220" customFormat="1" ht="14.25" customHeight="1">
      <c r="A221" s="3231" t="s">
        <v>304</v>
      </c>
      <c r="B221" s="3231" t="s">
        <v>3098</v>
      </c>
      <c r="C221" s="3231"/>
      <c r="D221" s="3231"/>
      <c r="E221" s="3231"/>
      <c r="F221" s="3231">
        <v>2040</v>
      </c>
      <c r="G221" s="3244"/>
    </row>
    <row r="222" spans="1:7" s="3220" customFormat="1" ht="14.25" customHeight="1">
      <c r="A222" s="3231" t="s">
        <v>304</v>
      </c>
      <c r="B222" s="3231" t="s">
        <v>3099</v>
      </c>
      <c r="C222" s="3231"/>
      <c r="D222" s="3231"/>
      <c r="E222" s="3231"/>
      <c r="F222" s="3231">
        <v>2040</v>
      </c>
      <c r="G222" s="3244"/>
    </row>
    <row r="223" spans="1:7" s="3220" customFormat="1" ht="14.25" customHeight="1">
      <c r="A223" s="3231" t="s">
        <v>304</v>
      </c>
      <c r="B223" s="3231" t="s">
        <v>3100</v>
      </c>
      <c r="C223" s="3231"/>
      <c r="D223" s="3231"/>
      <c r="E223" s="3231"/>
      <c r="F223" s="3231">
        <v>1930</v>
      </c>
      <c r="G223" s="3244"/>
    </row>
    <row r="224" spans="1:7" s="3220" customFormat="1" ht="14.25" customHeight="1">
      <c r="A224" s="3231" t="s">
        <v>304</v>
      </c>
      <c r="B224" s="3231" t="s">
        <v>3101</v>
      </c>
      <c r="C224" s="3231"/>
      <c r="D224" s="3231"/>
      <c r="E224" s="3231"/>
      <c r="F224" s="3231">
        <v>1930</v>
      </c>
      <c r="G224" s="3244"/>
    </row>
    <row r="225" spans="1:7" s="3220" customFormat="1" ht="14.25" customHeight="1">
      <c r="A225" s="3231" t="s">
        <v>304</v>
      </c>
      <c r="B225" s="3231" t="s">
        <v>3102</v>
      </c>
      <c r="C225" s="3231"/>
      <c r="D225" s="3231"/>
      <c r="E225" s="3231"/>
      <c r="F225" s="3231">
        <v>1930</v>
      </c>
      <c r="G225" s="3244"/>
    </row>
    <row r="226" spans="1:7" s="3220" customFormat="1" ht="14.25" customHeight="1">
      <c r="A226" s="3231" t="s">
        <v>304</v>
      </c>
      <c r="B226" s="3231" t="s">
        <v>3103</v>
      </c>
      <c r="C226" s="3231"/>
      <c r="D226" s="3231"/>
      <c r="E226" s="3231"/>
      <c r="F226" s="3231">
        <v>1700</v>
      </c>
      <c r="G226" s="3244"/>
    </row>
    <row r="227" spans="1:7" s="3220" customFormat="1" ht="14.25" customHeight="1">
      <c r="A227" s="3231" t="s">
        <v>304</v>
      </c>
      <c r="B227" s="3231" t="s">
        <v>3104</v>
      </c>
      <c r="C227" s="3231"/>
      <c r="D227" s="3231"/>
      <c r="E227" s="3231"/>
      <c r="F227" s="3231">
        <v>1520</v>
      </c>
      <c r="G227" s="3244"/>
    </row>
    <row r="228" spans="1:7" s="3220" customFormat="1" ht="14.25" customHeight="1">
      <c r="A228" s="3231" t="s">
        <v>304</v>
      </c>
      <c r="B228" s="3231" t="s">
        <v>3105</v>
      </c>
      <c r="C228" s="3231"/>
      <c r="D228" s="3231"/>
      <c r="E228" s="3231"/>
      <c r="F228" s="3231">
        <v>1520</v>
      </c>
      <c r="G228" s="3244"/>
    </row>
    <row r="229" spans="1:7" s="3220" customFormat="1" ht="14.25" customHeight="1">
      <c r="A229" s="3231" t="s">
        <v>304</v>
      </c>
      <c r="B229" s="3231" t="s">
        <v>3022</v>
      </c>
      <c r="C229" s="3231"/>
      <c r="D229" s="3231"/>
      <c r="E229" s="3231"/>
      <c r="F229" s="3231">
        <v>1520</v>
      </c>
      <c r="G229" s="3244"/>
    </row>
    <row r="230" spans="1:7" s="3220" customFormat="1" ht="14.25" customHeight="1">
      <c r="A230" s="3231" t="s">
        <v>304</v>
      </c>
      <c r="B230" s="3231" t="s">
        <v>3106</v>
      </c>
      <c r="C230" s="3231"/>
      <c r="D230" s="3231"/>
      <c r="E230" s="3231"/>
      <c r="F230" s="3231">
        <v>1820</v>
      </c>
      <c r="G230" s="3244"/>
    </row>
    <row r="231" spans="1:7" s="3220" customFormat="1" ht="14.25" customHeight="1">
      <c r="A231" s="3231" t="s">
        <v>304</v>
      </c>
      <c r="B231" s="3231" t="s">
        <v>3107</v>
      </c>
      <c r="C231" s="3231"/>
      <c r="D231" s="3231"/>
      <c r="E231" s="3231"/>
      <c r="F231" s="3231">
        <v>1760</v>
      </c>
      <c r="G231" s="3244"/>
    </row>
    <row r="232" spans="1:7" s="3220" customFormat="1" ht="14.25" customHeight="1">
      <c r="A232" s="3231" t="s">
        <v>304</v>
      </c>
      <c r="B232" s="3231" t="s">
        <v>3108</v>
      </c>
      <c r="C232" s="3231"/>
      <c r="D232" s="3231"/>
      <c r="E232" s="3231"/>
      <c r="F232" s="3231">
        <v>1840</v>
      </c>
      <c r="G232" s="3244"/>
    </row>
    <row r="233" spans="1:7" s="3220" customFormat="1" ht="14.25" customHeight="1" thickBot="1">
      <c r="A233" s="3245" t="s">
        <v>304</v>
      </c>
      <c r="B233" s="3238" t="s">
        <v>3039</v>
      </c>
      <c r="C233" s="3238"/>
      <c r="D233" s="3238"/>
      <c r="E233" s="3238"/>
      <c r="F233" s="3238">
        <v>1770</v>
      </c>
      <c r="G233" s="3246"/>
    </row>
    <row r="234" spans="1:7" s="3220" customFormat="1" ht="14.25" customHeight="1">
      <c r="A234" s="3236" t="s">
        <v>305</v>
      </c>
      <c r="B234" s="3227" t="s">
        <v>3109</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2880</v>
      </c>
      <c r="C238" s="3231">
        <v>6920</v>
      </c>
      <c r="D238" s="3231">
        <v>6890</v>
      </c>
      <c r="E238" s="3231">
        <v>8640</v>
      </c>
      <c r="F238" s="3231">
        <v>1310</v>
      </c>
      <c r="G238" s="3231">
        <v>4230</v>
      </c>
    </row>
    <row r="239" spans="1:7" s="3220" customFormat="1" ht="14.25" customHeight="1">
      <c r="A239" s="3231" t="s">
        <v>305</v>
      </c>
      <c r="B239" s="3231" t="s">
        <v>3110</v>
      </c>
      <c r="C239" s="3231">
        <v>6780</v>
      </c>
      <c r="D239" s="3231">
        <v>6750</v>
      </c>
      <c r="E239" s="3231">
        <v>8440</v>
      </c>
      <c r="F239" s="3231">
        <v>1160</v>
      </c>
      <c r="G239" s="3231">
        <v>4140</v>
      </c>
    </row>
    <row r="240" spans="1:7" s="3220" customFormat="1" ht="14.25" customHeight="1">
      <c r="A240" s="3231" t="s">
        <v>305</v>
      </c>
      <c r="B240" s="3231" t="s">
        <v>3111</v>
      </c>
      <c r="C240" s="3231">
        <v>5420</v>
      </c>
      <c r="D240" s="3231">
        <v>5380</v>
      </c>
      <c r="E240" s="3231">
        <v>6640</v>
      </c>
      <c r="F240" s="3231">
        <v>1020</v>
      </c>
      <c r="G240" s="3231">
        <v>3300</v>
      </c>
    </row>
    <row r="241" spans="1:7" s="3220" customFormat="1" ht="14.25" customHeight="1">
      <c r="A241" s="3231" t="s">
        <v>305</v>
      </c>
      <c r="B241" s="3231" t="s">
        <v>3112</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3113</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3114</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3115</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3116</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3117</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2942</v>
      </c>
      <c r="C258" s="3231">
        <v>6190</v>
      </c>
      <c r="D258" s="3231">
        <v>6160</v>
      </c>
      <c r="E258" s="3231">
        <v>7680</v>
      </c>
      <c r="F258" s="3231">
        <v>1170</v>
      </c>
      <c r="G258" s="3231">
        <v>3780</v>
      </c>
    </row>
    <row r="259" spans="1:7" s="3220" customFormat="1" ht="14.25" customHeight="1">
      <c r="A259" s="3231" t="s">
        <v>305</v>
      </c>
      <c r="B259" s="3231" t="s">
        <v>3118</v>
      </c>
      <c r="C259" s="3231">
        <v>7610</v>
      </c>
      <c r="D259" s="3231">
        <v>7570</v>
      </c>
      <c r="E259" s="3231">
        <v>9350</v>
      </c>
      <c r="F259" s="3231">
        <v>1350</v>
      </c>
      <c r="G259" s="3231">
        <v>4650</v>
      </c>
    </row>
    <row r="260" spans="1:7" s="3220" customFormat="1" ht="14.25" customHeight="1">
      <c r="A260" s="3231" t="s">
        <v>305</v>
      </c>
      <c r="B260" s="3231" t="s">
        <v>3119</v>
      </c>
      <c r="C260" s="3231">
        <v>6920</v>
      </c>
      <c r="D260" s="3231">
        <v>6880</v>
      </c>
      <c r="E260" s="3231">
        <v>8380</v>
      </c>
      <c r="F260" s="3231">
        <v>1160</v>
      </c>
      <c r="G260" s="3231">
        <v>4220</v>
      </c>
    </row>
    <row r="261" spans="1:7" s="3220" customFormat="1" ht="14.25" customHeight="1">
      <c r="A261" s="3231" t="s">
        <v>305</v>
      </c>
      <c r="B261" s="3231" t="s">
        <v>3120</v>
      </c>
      <c r="C261" s="3231">
        <v>6850</v>
      </c>
      <c r="D261" s="3231">
        <v>6810</v>
      </c>
      <c r="E261" s="3231">
        <v>8290</v>
      </c>
      <c r="F261" s="3231">
        <v>1130</v>
      </c>
      <c r="G261" s="3231">
        <v>4180</v>
      </c>
    </row>
    <row r="262" spans="1:7" s="3220" customFormat="1" ht="14.25" customHeight="1">
      <c r="A262" s="3231" t="s">
        <v>305</v>
      </c>
      <c r="B262" s="3231" t="s">
        <v>3121</v>
      </c>
      <c r="C262" s="3231">
        <v>5860</v>
      </c>
      <c r="D262" s="3231">
        <v>5820</v>
      </c>
      <c r="E262" s="3231">
        <v>7640</v>
      </c>
      <c r="F262" s="3231">
        <v>1070</v>
      </c>
      <c r="G262" s="3231">
        <v>3570</v>
      </c>
    </row>
    <row r="263" spans="1:7" s="3220" customFormat="1" ht="14.25" customHeight="1">
      <c r="A263" s="3231" t="s">
        <v>305</v>
      </c>
      <c r="B263" s="3231" t="s">
        <v>3122</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3123</v>
      </c>
      <c r="C265" s="3231"/>
      <c r="D265" s="3231"/>
      <c r="E265" s="3231"/>
      <c r="F265" s="3231">
        <v>1500</v>
      </c>
      <c r="G265" s="3231"/>
    </row>
    <row r="266" spans="1:7" s="3220" customFormat="1" ht="14.25" customHeight="1">
      <c r="A266" s="3231" t="s">
        <v>305</v>
      </c>
      <c r="B266" s="3231" t="s">
        <v>3124</v>
      </c>
      <c r="C266" s="3231"/>
      <c r="D266" s="3231"/>
      <c r="E266" s="3231"/>
      <c r="F266" s="3231">
        <v>1500</v>
      </c>
      <c r="G266" s="3231"/>
    </row>
    <row r="267" spans="1:7" s="3220" customFormat="1" ht="14.25" customHeight="1">
      <c r="A267" s="3231" t="s">
        <v>305</v>
      </c>
      <c r="B267" s="3231" t="s">
        <v>3125</v>
      </c>
      <c r="C267" s="3231"/>
      <c r="D267" s="3231"/>
      <c r="E267" s="3231"/>
      <c r="F267" s="3231">
        <v>1500</v>
      </c>
      <c r="G267" s="3231"/>
    </row>
    <row r="268" spans="1:7" s="3220" customFormat="1" ht="14.25" customHeight="1">
      <c r="A268" s="3231" t="s">
        <v>305</v>
      </c>
      <c r="B268" s="3231" t="s">
        <v>3126</v>
      </c>
      <c r="C268" s="3231"/>
      <c r="D268" s="3231"/>
      <c r="E268" s="3231"/>
      <c r="F268" s="3231">
        <v>1290</v>
      </c>
      <c r="G268" s="3231"/>
    </row>
    <row r="269" spans="1:7" s="3220" customFormat="1" ht="14.25" customHeight="1">
      <c r="A269" s="3231" t="s">
        <v>305</v>
      </c>
      <c r="B269" s="3231" t="s">
        <v>3127</v>
      </c>
      <c r="C269" s="3231"/>
      <c r="D269" s="3231"/>
      <c r="E269" s="3231"/>
      <c r="F269" s="3231">
        <v>1150</v>
      </c>
      <c r="G269" s="3231"/>
    </row>
    <row r="270" spans="1:7" s="3220" customFormat="1" ht="14.25" customHeight="1">
      <c r="A270" s="3231" t="s">
        <v>305</v>
      </c>
      <c r="B270" s="3231" t="s">
        <v>3128</v>
      </c>
      <c r="C270" s="3231"/>
      <c r="D270" s="3231"/>
      <c r="E270" s="3231"/>
      <c r="F270" s="3231">
        <v>1380</v>
      </c>
      <c r="G270" s="3231"/>
    </row>
    <row r="271" spans="1:7" s="3220" customFormat="1" ht="14.25" customHeight="1">
      <c r="A271" s="3231" t="s">
        <v>305</v>
      </c>
      <c r="B271" s="3231" t="s">
        <v>3129</v>
      </c>
      <c r="C271" s="3231"/>
      <c r="D271" s="3231"/>
      <c r="E271" s="3231"/>
      <c r="F271" s="3231">
        <v>1460</v>
      </c>
      <c r="G271" s="3231"/>
    </row>
    <row r="272" spans="1:7" s="3220" customFormat="1" ht="14.25" customHeight="1">
      <c r="A272" s="3231" t="s">
        <v>305</v>
      </c>
      <c r="B272" s="3231" t="s">
        <v>3130</v>
      </c>
      <c r="C272" s="3231"/>
      <c r="D272" s="3231"/>
      <c r="E272" s="3231"/>
      <c r="F272" s="3231">
        <v>1460</v>
      </c>
      <c r="G272" s="3231"/>
    </row>
    <row r="273" spans="1:7" s="3220" customFormat="1" ht="14.25" customHeight="1">
      <c r="A273" s="3231" t="s">
        <v>305</v>
      </c>
      <c r="B273" s="3231" t="s">
        <v>3023</v>
      </c>
      <c r="C273" s="3231"/>
      <c r="D273" s="3231"/>
      <c r="E273" s="3231"/>
      <c r="F273" s="3231">
        <v>1490</v>
      </c>
      <c r="G273" s="3231"/>
    </row>
    <row r="274" spans="1:7" s="3220" customFormat="1" ht="14.25" customHeight="1">
      <c r="A274" s="3231" t="s">
        <v>305</v>
      </c>
      <c r="B274" s="3231" t="s">
        <v>3131</v>
      </c>
      <c r="C274" s="3231"/>
      <c r="D274" s="3231"/>
      <c r="E274" s="3231"/>
      <c r="F274" s="3231">
        <v>1490</v>
      </c>
      <c r="G274" s="3231"/>
    </row>
    <row r="275" spans="1:7" s="3220" customFormat="1" ht="14.25" customHeight="1">
      <c r="A275" s="3231" t="s">
        <v>305</v>
      </c>
      <c r="B275" s="3231" t="s">
        <v>3132</v>
      </c>
      <c r="C275" s="3231"/>
      <c r="D275" s="3231"/>
      <c r="E275" s="3231"/>
      <c r="F275" s="3231">
        <v>1220</v>
      </c>
      <c r="G275" s="3231"/>
    </row>
    <row r="276" spans="1:7" s="3220" customFormat="1" ht="14.25" customHeight="1" thickBot="1">
      <c r="A276" s="3239" t="s">
        <v>305</v>
      </c>
      <c r="B276" s="3241" t="s">
        <v>3133</v>
      </c>
      <c r="C276" s="3242"/>
      <c r="D276" s="3242"/>
      <c r="E276" s="3242"/>
      <c r="F276" s="3242">
        <v>1380</v>
      </c>
      <c r="G276" s="3242"/>
    </row>
    <row r="277" spans="1:7" s="3220" customFormat="1" ht="14.25" customHeight="1">
      <c r="A277" s="3236" t="s">
        <v>306</v>
      </c>
      <c r="B277" s="3227" t="s">
        <v>3134</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3135</v>
      </c>
      <c r="C279" s="3231">
        <v>4760</v>
      </c>
      <c r="D279" s="3231">
        <v>4720</v>
      </c>
      <c r="E279" s="3231">
        <v>5540</v>
      </c>
      <c r="F279" s="3231">
        <v>810</v>
      </c>
      <c r="G279" s="3244">
        <v>2850</v>
      </c>
    </row>
    <row r="280" spans="1:7" s="3220" customFormat="1" ht="14.25" customHeight="1">
      <c r="A280" s="3231" t="s">
        <v>306</v>
      </c>
      <c r="B280" s="3231" t="s">
        <v>3136</v>
      </c>
      <c r="C280" s="3231">
        <v>4010</v>
      </c>
      <c r="D280" s="3231">
        <v>3950</v>
      </c>
      <c r="E280" s="3231">
        <v>4710</v>
      </c>
      <c r="F280" s="3231">
        <v>800</v>
      </c>
      <c r="G280" s="3244">
        <v>2390</v>
      </c>
    </row>
    <row r="281" spans="1:7" s="3220" customFormat="1" ht="14.25" customHeight="1">
      <c r="A281" s="3231" t="s">
        <v>306</v>
      </c>
      <c r="B281" s="3231" t="s">
        <v>3137</v>
      </c>
      <c r="C281" s="3231">
        <v>4480</v>
      </c>
      <c r="D281" s="3231">
        <v>4420</v>
      </c>
      <c r="E281" s="3231">
        <v>5230</v>
      </c>
      <c r="F281" s="3231">
        <v>870</v>
      </c>
      <c r="G281" s="3244">
        <v>2660</v>
      </c>
    </row>
    <row r="282" spans="1:7" s="3220" customFormat="1" ht="14.25" customHeight="1">
      <c r="A282" s="3231" t="s">
        <v>306</v>
      </c>
      <c r="B282" s="3231" t="s">
        <v>3138</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3139</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3140</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2915</v>
      </c>
      <c r="C293" s="3231">
        <v>5320</v>
      </c>
      <c r="D293" s="3231">
        <v>5270</v>
      </c>
      <c r="E293" s="3231">
        <v>6160</v>
      </c>
      <c r="F293" s="3231">
        <v>990</v>
      </c>
      <c r="G293" s="3244">
        <v>3170</v>
      </c>
    </row>
    <row r="294" spans="1:7" s="3220" customFormat="1" ht="14.25" customHeight="1">
      <c r="A294" s="3231" t="s">
        <v>306</v>
      </c>
      <c r="B294" s="3231" t="s">
        <v>3141</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2934</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3142</v>
      </c>
      <c r="C302" s="3231">
        <v>5520</v>
      </c>
      <c r="D302" s="3231">
        <v>5470</v>
      </c>
      <c r="E302" s="3231">
        <v>6410</v>
      </c>
      <c r="F302" s="3231">
        <v>950</v>
      </c>
      <c r="G302" s="3244">
        <v>3300</v>
      </c>
    </row>
    <row r="303" spans="1:7" s="3220" customFormat="1" ht="14.25" customHeight="1">
      <c r="A303" s="3231" t="s">
        <v>306</v>
      </c>
      <c r="B303" s="3231" t="s">
        <v>2954</v>
      </c>
      <c r="C303" s="3231">
        <v>5630</v>
      </c>
      <c r="D303" s="3231">
        <v>5590</v>
      </c>
      <c r="E303" s="3231">
        <v>6550</v>
      </c>
      <c r="F303" s="3231">
        <v>1010</v>
      </c>
      <c r="G303" s="3244">
        <v>3370</v>
      </c>
    </row>
    <row r="304" spans="1:7" s="3220" customFormat="1" ht="14.25" customHeight="1">
      <c r="A304" s="3231" t="s">
        <v>306</v>
      </c>
      <c r="B304" s="3231" t="s">
        <v>2961</v>
      </c>
      <c r="C304" s="3231">
        <v>5680</v>
      </c>
      <c r="D304" s="3231">
        <v>5620</v>
      </c>
      <c r="E304" s="3231">
        <v>6620</v>
      </c>
      <c r="F304" s="3231">
        <v>1050</v>
      </c>
      <c r="G304" s="3244">
        <v>3390</v>
      </c>
    </row>
    <row r="305" spans="1:7" s="3220" customFormat="1" ht="14.25" customHeight="1">
      <c r="A305" s="3231" t="s">
        <v>306</v>
      </c>
      <c r="B305" s="3231" t="s">
        <v>2967</v>
      </c>
      <c r="C305" s="3231">
        <v>5590</v>
      </c>
      <c r="D305" s="3231">
        <v>5530</v>
      </c>
      <c r="E305" s="3231">
        <v>6460</v>
      </c>
      <c r="F305" s="3231">
        <v>900</v>
      </c>
      <c r="G305" s="3244">
        <v>3340</v>
      </c>
    </row>
    <row r="306" spans="1:7" s="3220" customFormat="1" ht="14.25" customHeight="1">
      <c r="A306" s="3231" t="s">
        <v>306</v>
      </c>
      <c r="B306" s="3231" t="s">
        <v>3143</v>
      </c>
      <c r="C306" s="3231">
        <v>5560</v>
      </c>
      <c r="D306" s="3231">
        <v>5510</v>
      </c>
      <c r="E306" s="3231">
        <v>6440</v>
      </c>
      <c r="F306" s="3231">
        <v>900</v>
      </c>
      <c r="G306" s="3244">
        <v>3320</v>
      </c>
    </row>
    <row r="307" spans="1:7" s="3220" customFormat="1" ht="14.25" customHeight="1">
      <c r="A307" s="3231" t="s">
        <v>306</v>
      </c>
      <c r="B307" s="3231" t="s">
        <v>2979</v>
      </c>
      <c r="C307" s="3231">
        <v>5650</v>
      </c>
      <c r="D307" s="3231">
        <v>5600</v>
      </c>
      <c r="E307" s="3231">
        <v>6590</v>
      </c>
      <c r="F307" s="3231">
        <v>930</v>
      </c>
      <c r="G307" s="3244">
        <v>3380</v>
      </c>
    </row>
    <row r="308" spans="1:7" s="3220" customFormat="1" ht="14.25" customHeight="1">
      <c r="A308" s="3231" t="s">
        <v>306</v>
      </c>
      <c r="B308" s="3231" t="s">
        <v>3144</v>
      </c>
      <c r="C308" s="3231">
        <v>5620</v>
      </c>
      <c r="D308" s="3231">
        <v>5580</v>
      </c>
      <c r="E308" s="3231">
        <v>6540</v>
      </c>
      <c r="F308" s="3231">
        <v>910</v>
      </c>
      <c r="G308" s="3244">
        <v>3370</v>
      </c>
    </row>
    <row r="309" spans="1:7" s="3220" customFormat="1" ht="14.25" customHeight="1">
      <c r="A309" s="3231" t="s">
        <v>306</v>
      </c>
      <c r="B309" s="3231" t="s">
        <v>3145</v>
      </c>
      <c r="C309" s="3231">
        <v>5060</v>
      </c>
      <c r="D309" s="3231">
        <v>5020</v>
      </c>
      <c r="E309" s="3231">
        <v>6370</v>
      </c>
      <c r="F309" s="3231">
        <v>800</v>
      </c>
      <c r="G309" s="3244">
        <v>3020</v>
      </c>
    </row>
    <row r="310" spans="1:7" s="3220" customFormat="1" ht="14.25" customHeight="1">
      <c r="A310" s="3231" t="s">
        <v>306</v>
      </c>
      <c r="B310" s="3231" t="s">
        <v>2994</v>
      </c>
      <c r="C310" s="3231">
        <v>5150</v>
      </c>
      <c r="D310" s="3231">
        <v>5110</v>
      </c>
      <c r="E310" s="3231">
        <v>6500</v>
      </c>
      <c r="F310" s="3231">
        <v>880</v>
      </c>
      <c r="G310" s="3244">
        <v>3080</v>
      </c>
    </row>
    <row r="311" spans="1:7" s="3220" customFormat="1" ht="14.25" customHeight="1">
      <c r="A311" s="3231" t="s">
        <v>306</v>
      </c>
      <c r="B311" s="3231" t="s">
        <v>3146</v>
      </c>
      <c r="C311" s="3231">
        <v>4750</v>
      </c>
      <c r="D311" s="3231">
        <v>4710</v>
      </c>
      <c r="E311" s="3231">
        <v>5510</v>
      </c>
      <c r="F311" s="3231">
        <v>880</v>
      </c>
      <c r="G311" s="3244">
        <v>2840</v>
      </c>
    </row>
    <row r="312" spans="1:7" s="3220" customFormat="1" ht="14.25" customHeight="1">
      <c r="A312" s="3231" t="s">
        <v>306</v>
      </c>
      <c r="B312" s="3231" t="s">
        <v>3004</v>
      </c>
      <c r="C312" s="3231">
        <v>4690</v>
      </c>
      <c r="D312" s="3231">
        <v>4640</v>
      </c>
      <c r="E312" s="3231">
        <v>5420</v>
      </c>
      <c r="F312" s="3231">
        <v>800</v>
      </c>
      <c r="G312" s="3244">
        <v>2800</v>
      </c>
    </row>
    <row r="313" spans="1:7" s="3220" customFormat="1" ht="14.25" customHeight="1">
      <c r="A313" s="3231" t="s">
        <v>306</v>
      </c>
      <c r="B313" s="3231" t="s">
        <v>3009</v>
      </c>
      <c r="C313" s="3231">
        <v>4810</v>
      </c>
      <c r="D313" s="3231">
        <v>4760</v>
      </c>
      <c r="E313" s="3231">
        <v>5550</v>
      </c>
      <c r="F313" s="3231">
        <v>920</v>
      </c>
      <c r="G313" s="3244">
        <v>2870</v>
      </c>
    </row>
    <row r="314" spans="1:7" s="3220" customFormat="1" ht="14.25" customHeight="1">
      <c r="A314" s="3231" t="s">
        <v>306</v>
      </c>
      <c r="B314" s="3231" t="s">
        <v>3147</v>
      </c>
      <c r="C314" s="3231"/>
      <c r="D314" s="3231"/>
      <c r="E314" s="3231"/>
      <c r="F314" s="3231">
        <v>1020</v>
      </c>
      <c r="G314" s="3244"/>
    </row>
    <row r="315" spans="1:7" s="3220" customFormat="1" ht="14.25" customHeight="1">
      <c r="A315" s="3231" t="s">
        <v>306</v>
      </c>
      <c r="B315" s="3231" t="s">
        <v>3148</v>
      </c>
      <c r="C315" s="3231"/>
      <c r="D315" s="3231"/>
      <c r="E315" s="3231"/>
      <c r="F315" s="3231">
        <v>1050</v>
      </c>
      <c r="G315" s="3244"/>
    </row>
    <row r="316" spans="1:7" s="3220" customFormat="1" ht="14.25" customHeight="1">
      <c r="A316" s="3231" t="s">
        <v>306</v>
      </c>
      <c r="B316" s="3231" t="s">
        <v>3024</v>
      </c>
      <c r="C316" s="3231"/>
      <c r="D316" s="3231"/>
      <c r="E316" s="3231"/>
      <c r="F316" s="3231">
        <v>900</v>
      </c>
      <c r="G316" s="3244"/>
    </row>
    <row r="317" spans="1:7" s="3220" customFormat="1" ht="14.25" customHeight="1">
      <c r="A317" s="3231" t="s">
        <v>306</v>
      </c>
      <c r="B317" s="3231" t="s">
        <v>3149</v>
      </c>
      <c r="C317" s="3231"/>
      <c r="D317" s="3231"/>
      <c r="E317" s="3231"/>
      <c r="F317" s="3231">
        <v>920</v>
      </c>
      <c r="G317" s="3244"/>
    </row>
    <row r="318" spans="1:7" s="3220" customFormat="1" ht="14.25" customHeight="1">
      <c r="A318" s="3231" t="s">
        <v>306</v>
      </c>
      <c r="B318" s="3231" t="s">
        <v>3150</v>
      </c>
      <c r="C318" s="3231"/>
      <c r="D318" s="3231"/>
      <c r="E318" s="3231"/>
      <c r="F318" s="3231">
        <v>1080</v>
      </c>
      <c r="G318" s="3244"/>
    </row>
    <row r="319" spans="1:7" s="3220" customFormat="1" ht="14.25" customHeight="1">
      <c r="A319" s="3231" t="s">
        <v>306</v>
      </c>
      <c r="B319" s="3231" t="s">
        <v>3037</v>
      </c>
      <c r="C319" s="3231"/>
      <c r="D319" s="3231"/>
      <c r="E319" s="3231"/>
      <c r="F319" s="3231">
        <v>1020</v>
      </c>
      <c r="G319" s="3244"/>
    </row>
    <row r="320" spans="1:7" s="3220" customFormat="1" ht="14.25" customHeight="1">
      <c r="A320" s="3231" t="s">
        <v>306</v>
      </c>
      <c r="B320" s="3231" t="s">
        <v>3040</v>
      </c>
      <c r="C320" s="3231"/>
      <c r="D320" s="3231"/>
      <c r="E320" s="3231"/>
      <c r="F320" s="3231">
        <v>1050</v>
      </c>
      <c r="G320" s="3244"/>
    </row>
    <row r="321" spans="1:7" s="3220" customFormat="1" ht="14.25" customHeight="1">
      <c r="A321" s="3231" t="s">
        <v>306</v>
      </c>
      <c r="B321" s="3231" t="s">
        <v>3042</v>
      </c>
      <c r="C321" s="3231"/>
      <c r="D321" s="3231"/>
      <c r="E321" s="3231"/>
      <c r="F321" s="3231">
        <v>960</v>
      </c>
      <c r="G321" s="3244"/>
    </row>
    <row r="322" spans="1:7" s="3220" customFormat="1" ht="14.25" customHeight="1">
      <c r="A322" s="3231" t="s">
        <v>306</v>
      </c>
      <c r="B322" s="3231" t="s">
        <v>3044</v>
      </c>
      <c r="C322" s="3231"/>
      <c r="D322" s="3231"/>
      <c r="E322" s="3231"/>
      <c r="F322" s="3231">
        <v>960</v>
      </c>
      <c r="G322" s="3244"/>
    </row>
    <row r="323" spans="1:7" s="3220" customFormat="1" ht="14.25" customHeight="1">
      <c r="A323" s="3231" t="s">
        <v>306</v>
      </c>
      <c r="B323" s="3231" t="s">
        <v>3046</v>
      </c>
      <c r="C323" s="3231"/>
      <c r="D323" s="3231"/>
      <c r="E323" s="3231"/>
      <c r="F323" s="3231">
        <v>880</v>
      </c>
      <c r="G323" s="3244"/>
    </row>
    <row r="324" spans="1:7" s="3220" customFormat="1" ht="14.25" customHeight="1">
      <c r="A324" s="3231" t="s">
        <v>306</v>
      </c>
      <c r="B324" s="3231" t="s">
        <v>3048</v>
      </c>
      <c r="C324" s="3231"/>
      <c r="D324" s="3231"/>
      <c r="E324" s="3231"/>
      <c r="F324" s="3231">
        <v>930</v>
      </c>
      <c r="G324" s="3244"/>
    </row>
    <row r="325" spans="1:7" s="3220" customFormat="1" ht="14.25" customHeight="1">
      <c r="A325" s="3231" t="s">
        <v>306</v>
      </c>
      <c r="B325" s="3232" t="s">
        <v>3050</v>
      </c>
      <c r="C325" s="3231"/>
      <c r="D325" s="3231"/>
      <c r="E325" s="3231"/>
      <c r="F325" s="3231">
        <v>900</v>
      </c>
      <c r="G325" s="3244"/>
    </row>
    <row r="326" spans="1:7" s="3220" customFormat="1" ht="14.25" customHeight="1" thickBot="1">
      <c r="A326" s="3245" t="s">
        <v>306</v>
      </c>
      <c r="B326" s="3238" t="s">
        <v>3052</v>
      </c>
      <c r="C326" s="3238"/>
      <c r="D326" s="3238"/>
      <c r="E326" s="3238"/>
      <c r="F326" s="3238">
        <v>790</v>
      </c>
      <c r="G326" s="3246"/>
    </row>
    <row r="327" spans="1:7" s="3220" customFormat="1" ht="14.25" customHeight="1">
      <c r="A327" s="3236" t="s">
        <v>307</v>
      </c>
      <c r="B327" s="3227" t="s">
        <v>3151</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3152</v>
      </c>
      <c r="C329" s="3231">
        <v>2730</v>
      </c>
      <c r="D329" s="3231">
        <v>2690</v>
      </c>
      <c r="E329" s="3231">
        <v>3100</v>
      </c>
      <c r="F329" s="3231">
        <v>660</v>
      </c>
      <c r="G329" s="3231">
        <v>1610</v>
      </c>
    </row>
    <row r="330" spans="1:7" s="3220" customFormat="1" ht="14.25" customHeight="1">
      <c r="A330" s="3231" t="s">
        <v>307</v>
      </c>
      <c r="B330" s="3231" t="s">
        <v>3153</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2886</v>
      </c>
      <c r="C332" s="3231">
        <v>3520</v>
      </c>
      <c r="D332" s="3231">
        <v>3480</v>
      </c>
      <c r="E332" s="3231">
        <v>3830</v>
      </c>
      <c r="F332" s="3231">
        <v>720</v>
      </c>
      <c r="G332" s="3231">
        <v>2090</v>
      </c>
    </row>
    <row r="333" spans="1:7" s="3220" customFormat="1" ht="14.25" customHeight="1">
      <c r="A333" s="3231" t="s">
        <v>307</v>
      </c>
      <c r="B333" s="3231" t="s">
        <v>3154</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2896</v>
      </c>
      <c r="C336" s="3231">
        <v>3570</v>
      </c>
      <c r="D336" s="3231">
        <v>3530</v>
      </c>
      <c r="E336" s="3231">
        <v>3880</v>
      </c>
      <c r="F336" s="3231">
        <v>770</v>
      </c>
      <c r="G336" s="3231">
        <v>2110</v>
      </c>
    </row>
    <row r="337" spans="1:10" s="3220" customFormat="1" ht="14.25" customHeight="1">
      <c r="A337" s="3231" t="s">
        <v>307</v>
      </c>
      <c r="B337" s="3231" t="s">
        <v>3155</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3156</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3157</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2921</v>
      </c>
      <c r="C345" s="3231">
        <v>3190</v>
      </c>
      <c r="D345" s="3231">
        <v>3140</v>
      </c>
      <c r="E345" s="3231">
        <v>3450</v>
      </c>
      <c r="F345" s="3231">
        <v>720</v>
      </c>
      <c r="G345" s="3231">
        <v>1880</v>
      </c>
      <c r="J345" s="3220"/>
    </row>
    <row r="346" spans="1:10">
      <c r="A346" s="3231" t="s">
        <v>307</v>
      </c>
      <c r="B346" s="3231" t="s">
        <v>3158</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2930</v>
      </c>
      <c r="C348" s="3231">
        <v>4000</v>
      </c>
      <c r="D348" s="3231">
        <v>3950</v>
      </c>
      <c r="E348" s="3231">
        <v>4430</v>
      </c>
      <c r="F348" s="3231">
        <v>760</v>
      </c>
      <c r="G348" s="3231">
        <v>2360</v>
      </c>
      <c r="J348" s="3220"/>
    </row>
    <row r="349" spans="1:10">
      <c r="A349" s="3231" t="s">
        <v>307</v>
      </c>
      <c r="B349" s="3231" t="s">
        <v>2935</v>
      </c>
      <c r="C349" s="3231">
        <v>3820</v>
      </c>
      <c r="D349" s="3231">
        <v>3780</v>
      </c>
      <c r="E349" s="3231">
        <v>4170</v>
      </c>
      <c r="F349" s="3231">
        <v>710</v>
      </c>
      <c r="G349" s="3231">
        <v>2260</v>
      </c>
      <c r="J349" s="3220"/>
    </row>
    <row r="350" spans="1:10">
      <c r="A350" s="3231" t="s">
        <v>307</v>
      </c>
      <c r="B350" s="3231" t="s">
        <v>3159</v>
      </c>
      <c r="C350" s="3231">
        <v>3760</v>
      </c>
      <c r="D350" s="3231">
        <v>3730</v>
      </c>
      <c r="E350" s="3231">
        <v>4100</v>
      </c>
      <c r="F350" s="3231">
        <v>800</v>
      </c>
      <c r="G350" s="3231">
        <v>2230</v>
      </c>
      <c r="J350" s="3220"/>
    </row>
    <row r="351" spans="1:10">
      <c r="A351" s="3231" t="s">
        <v>307</v>
      </c>
      <c r="B351" s="3231" t="s">
        <v>2943</v>
      </c>
      <c r="C351" s="3231">
        <v>3610</v>
      </c>
      <c r="D351" s="3231">
        <v>3580</v>
      </c>
      <c r="E351" s="3231">
        <v>3930</v>
      </c>
      <c r="F351" s="3231">
        <v>700</v>
      </c>
      <c r="G351" s="3231">
        <v>2140</v>
      </c>
      <c r="J351" s="3220"/>
    </row>
    <row r="352" spans="1:10">
      <c r="A352" s="3231" t="s">
        <v>307</v>
      </c>
      <c r="B352" s="3231" t="s">
        <v>2948</v>
      </c>
      <c r="C352" s="3231">
        <v>3670</v>
      </c>
      <c r="D352" s="3231">
        <v>3630</v>
      </c>
      <c r="E352" s="3231">
        <v>4000</v>
      </c>
      <c r="F352" s="3231">
        <v>750</v>
      </c>
      <c r="G352" s="3231">
        <v>2180</v>
      </c>
    </row>
    <row r="353" spans="1:7" s="3224" customFormat="1">
      <c r="A353" s="3231" t="s">
        <v>307</v>
      </c>
      <c r="B353" s="3231" t="s">
        <v>3160</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2968</v>
      </c>
      <c r="C355" s="3231">
        <v>3650</v>
      </c>
      <c r="D355" s="3231">
        <v>3610</v>
      </c>
      <c r="E355" s="3231">
        <v>4200</v>
      </c>
      <c r="F355" s="3231">
        <v>640</v>
      </c>
      <c r="G355" s="3231">
        <v>2160</v>
      </c>
    </row>
    <row r="356" spans="1:7" s="3224" customFormat="1">
      <c r="A356" s="3231" t="s">
        <v>307</v>
      </c>
      <c r="B356" s="3231" t="s">
        <v>2975</v>
      </c>
      <c r="C356" s="3231">
        <v>3260</v>
      </c>
      <c r="D356" s="3231">
        <v>3230</v>
      </c>
      <c r="E356" s="3231">
        <v>3740</v>
      </c>
      <c r="F356" s="3231">
        <v>600</v>
      </c>
      <c r="G356" s="3231">
        <v>1930</v>
      </c>
    </row>
    <row r="357" spans="1:7" s="3224" customFormat="1" ht="12" thickBot="1">
      <c r="A357" s="3239" t="s">
        <v>307</v>
      </c>
      <c r="B357" s="3242" t="s">
        <v>3161</v>
      </c>
      <c r="C357" s="3242">
        <v>3690</v>
      </c>
      <c r="D357" s="3242">
        <v>3650</v>
      </c>
      <c r="E357" s="3242">
        <v>4020</v>
      </c>
      <c r="F357" s="3242">
        <v>700</v>
      </c>
      <c r="G357" s="3242">
        <v>2190</v>
      </c>
    </row>
    <row r="358" spans="1:7" s="3224" customFormat="1">
      <c r="A358" s="3236" t="s">
        <v>3162</v>
      </c>
      <c r="B358" s="3227" t="s">
        <v>3163</v>
      </c>
      <c r="C358" s="3227">
        <v>2080</v>
      </c>
      <c r="D358" s="3227">
        <v>2040</v>
      </c>
      <c r="E358" s="3227">
        <v>2010</v>
      </c>
      <c r="F358" s="3227">
        <v>530</v>
      </c>
      <c r="G358" s="3243">
        <v>1230</v>
      </c>
    </row>
    <row r="359" spans="1:7" s="3224" customFormat="1">
      <c r="A359" s="3231" t="s">
        <v>3162</v>
      </c>
      <c r="B359" s="3231" t="s">
        <v>3164</v>
      </c>
      <c r="C359" s="3231">
        <v>1850</v>
      </c>
      <c r="D359" s="3231">
        <v>1820</v>
      </c>
      <c r="E359" s="3231">
        <v>1780</v>
      </c>
      <c r="F359" s="3231">
        <v>520</v>
      </c>
      <c r="G359" s="3244">
        <v>1100</v>
      </c>
    </row>
    <row r="360" spans="1:7" s="3224" customFormat="1">
      <c r="A360" s="3231" t="s">
        <v>3162</v>
      </c>
      <c r="B360" s="3231" t="s">
        <v>3165</v>
      </c>
      <c r="C360" s="3231">
        <v>2020</v>
      </c>
      <c r="D360" s="3231">
        <v>1990</v>
      </c>
      <c r="E360" s="3231">
        <v>1950</v>
      </c>
      <c r="F360" s="3231">
        <v>500</v>
      </c>
      <c r="G360" s="3244">
        <v>1200</v>
      </c>
    </row>
    <row r="361" spans="1:7" s="3224" customFormat="1">
      <c r="A361" s="3231" t="s">
        <v>3162</v>
      </c>
      <c r="B361" s="3231" t="s">
        <v>153</v>
      </c>
      <c r="C361" s="3231">
        <v>2260</v>
      </c>
      <c r="D361" s="3231">
        <v>2220</v>
      </c>
      <c r="E361" s="3231">
        <v>2180</v>
      </c>
      <c r="F361" s="3231">
        <v>580</v>
      </c>
      <c r="G361" s="3244">
        <v>1340</v>
      </c>
    </row>
    <row r="362" spans="1:7" s="3224" customFormat="1">
      <c r="A362" s="3231" t="s">
        <v>3162</v>
      </c>
      <c r="B362" s="3231" t="s">
        <v>3166</v>
      </c>
      <c r="C362" s="3231">
        <v>2650</v>
      </c>
      <c r="D362" s="3231">
        <v>2610</v>
      </c>
      <c r="E362" s="3231">
        <v>2570</v>
      </c>
      <c r="F362" s="3231">
        <v>630</v>
      </c>
      <c r="G362" s="3244">
        <v>1570</v>
      </c>
    </row>
    <row r="363" spans="1:7" s="3224" customFormat="1">
      <c r="A363" s="3231" t="s">
        <v>3162</v>
      </c>
      <c r="B363" s="3231" t="s">
        <v>2887</v>
      </c>
      <c r="C363" s="3231">
        <v>2390</v>
      </c>
      <c r="D363" s="3231">
        <v>2360</v>
      </c>
      <c r="E363" s="3231">
        <v>2320</v>
      </c>
      <c r="F363" s="3231">
        <v>600</v>
      </c>
      <c r="G363" s="3244">
        <v>1420</v>
      </c>
    </row>
    <row r="364" spans="1:7" s="3224" customFormat="1">
      <c r="A364" s="3231" t="s">
        <v>3162</v>
      </c>
      <c r="B364" s="3231" t="s">
        <v>3167</v>
      </c>
      <c r="C364" s="3231">
        <v>2050</v>
      </c>
      <c r="D364" s="3231">
        <v>2030</v>
      </c>
      <c r="E364" s="3231">
        <v>1990</v>
      </c>
      <c r="F364" s="3231">
        <v>550</v>
      </c>
      <c r="G364" s="3244">
        <v>1220</v>
      </c>
    </row>
    <row r="365" spans="1:7" s="3224" customFormat="1">
      <c r="A365" s="3231" t="s">
        <v>3162</v>
      </c>
      <c r="B365" s="3231" t="s">
        <v>200</v>
      </c>
      <c r="C365" s="3231">
        <v>2140</v>
      </c>
      <c r="D365" s="3231">
        <v>2100</v>
      </c>
      <c r="E365" s="3231">
        <v>2060</v>
      </c>
      <c r="F365" s="3231">
        <v>540</v>
      </c>
      <c r="G365" s="3244">
        <v>1270</v>
      </c>
    </row>
    <row r="366" spans="1:7" s="3224" customFormat="1">
      <c r="A366" s="3231" t="s">
        <v>3162</v>
      </c>
      <c r="B366" s="3231" t="s">
        <v>2894</v>
      </c>
      <c r="C366" s="3231">
        <v>2410</v>
      </c>
      <c r="D366" s="3231">
        <v>2370</v>
      </c>
      <c r="E366" s="3231">
        <v>2330</v>
      </c>
      <c r="F366" s="3231">
        <v>570</v>
      </c>
      <c r="G366" s="3244">
        <v>1440</v>
      </c>
    </row>
    <row r="367" spans="1:7" s="3224" customFormat="1">
      <c r="A367" s="3231" t="s">
        <v>3162</v>
      </c>
      <c r="B367" s="3231" t="s">
        <v>3168</v>
      </c>
      <c r="C367" s="3231">
        <v>2300</v>
      </c>
      <c r="D367" s="3231">
        <v>2260</v>
      </c>
      <c r="E367" s="3231">
        <v>2220</v>
      </c>
      <c r="F367" s="3231">
        <v>560</v>
      </c>
      <c r="G367" s="3244">
        <v>1370</v>
      </c>
    </row>
    <row r="368" spans="1:7" s="3224" customFormat="1">
      <c r="A368" s="3231" t="s">
        <v>3162</v>
      </c>
      <c r="B368" s="3231" t="s">
        <v>3169</v>
      </c>
      <c r="C368" s="3231">
        <v>2430</v>
      </c>
      <c r="D368" s="3231">
        <v>2390</v>
      </c>
      <c r="E368" s="3231">
        <v>2350</v>
      </c>
      <c r="F368" s="3231">
        <v>570</v>
      </c>
      <c r="G368" s="3244">
        <v>1450</v>
      </c>
    </row>
    <row r="369" spans="1:7" s="3224" customFormat="1">
      <c r="A369" s="3231" t="s">
        <v>3162</v>
      </c>
      <c r="B369" s="3231" t="s">
        <v>214</v>
      </c>
      <c r="C369" s="3231">
        <v>2320</v>
      </c>
      <c r="D369" s="3231">
        <v>2290</v>
      </c>
      <c r="E369" s="3231">
        <v>2250</v>
      </c>
      <c r="F369" s="3231">
        <v>550</v>
      </c>
      <c r="G369" s="3244">
        <v>1380</v>
      </c>
    </row>
    <row r="370" spans="1:7" s="3224" customFormat="1">
      <c r="A370" s="3231" t="s">
        <v>3162</v>
      </c>
      <c r="B370" s="3231" t="s">
        <v>221</v>
      </c>
      <c r="C370" s="3231">
        <v>2190</v>
      </c>
      <c r="D370" s="3231">
        <v>2170</v>
      </c>
      <c r="E370" s="3231">
        <v>2130</v>
      </c>
      <c r="F370" s="3231">
        <v>530</v>
      </c>
      <c r="G370" s="3244">
        <v>1310</v>
      </c>
    </row>
    <row r="371" spans="1:7" s="3224" customFormat="1">
      <c r="A371" s="3231" t="s">
        <v>3162</v>
      </c>
      <c r="B371" s="3231" t="s">
        <v>229</v>
      </c>
      <c r="C371" s="3231">
        <v>2460</v>
      </c>
      <c r="D371" s="3231">
        <v>2420</v>
      </c>
      <c r="E371" s="3231">
        <v>2370</v>
      </c>
      <c r="F371" s="3231">
        <v>560</v>
      </c>
      <c r="G371" s="3244">
        <v>1470</v>
      </c>
    </row>
    <row r="372" spans="1:7" s="3224" customFormat="1">
      <c r="A372" s="3231" t="s">
        <v>3162</v>
      </c>
      <c r="B372" s="3231" t="s">
        <v>3170</v>
      </c>
      <c r="C372" s="3231">
        <v>2250</v>
      </c>
      <c r="D372" s="3231">
        <v>2210</v>
      </c>
      <c r="E372" s="3231">
        <v>2180</v>
      </c>
      <c r="F372" s="3231">
        <v>550</v>
      </c>
      <c r="G372" s="3244">
        <v>1340</v>
      </c>
    </row>
    <row r="373" spans="1:7" s="3224" customFormat="1">
      <c r="A373" s="3231" t="s">
        <v>3162</v>
      </c>
      <c r="B373" s="3231" t="s">
        <v>258</v>
      </c>
      <c r="C373" s="3231">
        <v>2210</v>
      </c>
      <c r="D373" s="3231">
        <v>2190</v>
      </c>
      <c r="E373" s="3231">
        <v>2150</v>
      </c>
      <c r="F373" s="3231">
        <v>530</v>
      </c>
      <c r="G373" s="3244">
        <v>1320</v>
      </c>
    </row>
    <row r="374" spans="1:7" s="3224" customFormat="1">
      <c r="A374" s="3231" t="s">
        <v>3162</v>
      </c>
      <c r="B374" s="3231" t="s">
        <v>266</v>
      </c>
      <c r="C374" s="3231">
        <v>2320</v>
      </c>
      <c r="D374" s="3231">
        <v>2280</v>
      </c>
      <c r="E374" s="3231">
        <v>2230</v>
      </c>
      <c r="F374" s="3231">
        <v>580</v>
      </c>
      <c r="G374" s="3244">
        <v>1380</v>
      </c>
    </row>
    <row r="375" spans="1:7" s="3224" customFormat="1">
      <c r="A375" s="3231" t="s">
        <v>3162</v>
      </c>
      <c r="B375" s="3231" t="s">
        <v>3171</v>
      </c>
      <c r="C375" s="3231">
        <v>2090</v>
      </c>
      <c r="D375" s="3231">
        <v>2050</v>
      </c>
      <c r="E375" s="3231">
        <v>2020</v>
      </c>
      <c r="F375" s="3231">
        <v>520</v>
      </c>
      <c r="G375" s="3244">
        <v>1240</v>
      </c>
    </row>
    <row r="376" spans="1:7" s="3224" customFormat="1">
      <c r="A376" s="3231" t="s">
        <v>3162</v>
      </c>
      <c r="B376" s="3231" t="s">
        <v>277</v>
      </c>
      <c r="C376" s="3231">
        <v>2010</v>
      </c>
      <c r="D376" s="3231">
        <v>1980</v>
      </c>
      <c r="E376" s="3231">
        <v>1940</v>
      </c>
      <c r="F376" s="3231">
        <v>540</v>
      </c>
      <c r="G376" s="3244">
        <v>1190</v>
      </c>
    </row>
    <row r="377" spans="1:7" s="3224" customFormat="1" ht="12" thickBot="1">
      <c r="A377" s="3239" t="s">
        <v>3162</v>
      </c>
      <c r="B377" s="3242" t="s">
        <v>2924</v>
      </c>
      <c r="C377" s="3242">
        <v>1930</v>
      </c>
      <c r="D377" s="3242">
        <v>1890</v>
      </c>
      <c r="E377" s="3242">
        <v>1860</v>
      </c>
      <c r="F377" s="3242">
        <v>530</v>
      </c>
      <c r="G377" s="3247">
        <v>1150</v>
      </c>
    </row>
    <row r="378" spans="1:7" s="3224" customFormat="1">
      <c r="A378" s="3248" t="s">
        <v>3172</v>
      </c>
      <c r="B378" s="3227" t="s">
        <v>3173</v>
      </c>
      <c r="C378" s="3227">
        <v>1520</v>
      </c>
      <c r="D378" s="3227">
        <v>1490</v>
      </c>
      <c r="E378" s="3227">
        <v>1460</v>
      </c>
      <c r="F378" s="3227">
        <v>460</v>
      </c>
      <c r="G378" s="3243">
        <v>940</v>
      </c>
    </row>
    <row r="379" spans="1:7" s="3224" customFormat="1">
      <c r="A379" s="3249" t="s">
        <v>3172</v>
      </c>
      <c r="B379" s="3231" t="s">
        <v>3174</v>
      </c>
      <c r="C379" s="3231">
        <v>1500</v>
      </c>
      <c r="D379" s="3231">
        <v>1470</v>
      </c>
      <c r="E379" s="3231">
        <v>1430</v>
      </c>
      <c r="F379" s="3231">
        <v>460</v>
      </c>
      <c r="G379" s="3244">
        <v>920</v>
      </c>
    </row>
    <row r="380" spans="1:7" s="3224" customFormat="1">
      <c r="A380" s="3249" t="s">
        <v>3172</v>
      </c>
      <c r="B380" s="3231" t="s">
        <v>3175</v>
      </c>
      <c r="C380" s="3231">
        <v>1620</v>
      </c>
      <c r="D380" s="3231">
        <v>1590</v>
      </c>
      <c r="E380" s="3231">
        <v>1560</v>
      </c>
      <c r="F380" s="3231">
        <v>480</v>
      </c>
      <c r="G380" s="3244">
        <v>1000</v>
      </c>
    </row>
    <row r="381" spans="1:7" s="3224" customFormat="1">
      <c r="A381" s="3249" t="s">
        <v>3172</v>
      </c>
      <c r="B381" s="3231" t="s">
        <v>3176</v>
      </c>
      <c r="C381" s="3231">
        <v>1460</v>
      </c>
      <c r="D381" s="3231">
        <v>1430</v>
      </c>
      <c r="E381" s="3231">
        <v>1390</v>
      </c>
      <c r="F381" s="3231">
        <v>450</v>
      </c>
      <c r="G381" s="3244">
        <v>900</v>
      </c>
    </row>
    <row r="382" spans="1:7" s="3224" customFormat="1">
      <c r="A382" s="3249" t="s">
        <v>3172</v>
      </c>
      <c r="B382" s="3231" t="s">
        <v>3177</v>
      </c>
      <c r="C382" s="3231">
        <v>1310</v>
      </c>
      <c r="D382" s="3231">
        <v>1280</v>
      </c>
      <c r="E382" s="3231">
        <v>1250</v>
      </c>
      <c r="F382" s="3231">
        <v>440</v>
      </c>
      <c r="G382" s="3244">
        <v>800</v>
      </c>
    </row>
    <row r="383" spans="1:7" s="3224" customFormat="1">
      <c r="A383" s="3249" t="s">
        <v>3172</v>
      </c>
      <c r="B383" s="3231" t="s">
        <v>3178</v>
      </c>
      <c r="C383" s="3231">
        <v>1260</v>
      </c>
      <c r="D383" s="3231">
        <v>1230</v>
      </c>
      <c r="E383" s="3231">
        <v>1200</v>
      </c>
      <c r="F383" s="3231">
        <v>420</v>
      </c>
      <c r="G383" s="3244">
        <v>770</v>
      </c>
    </row>
    <row r="384" spans="1:7" s="3224" customFormat="1" ht="12" thickBot="1">
      <c r="A384" s="3250" t="s">
        <v>3172</v>
      </c>
      <c r="B384" s="3238" t="s">
        <v>3179</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4218" t="s">
        <v>3180</v>
      </c>
      <c r="B1" s="4218"/>
    </row>
    <row r="2" spans="1:7" ht="14.25" thickBot="1">
      <c r="A2" s="3253"/>
      <c r="B2" s="3253"/>
    </row>
    <row r="3" spans="1:7" ht="14.25" thickBot="1">
      <c r="A3" s="3253"/>
      <c r="B3" s="3253"/>
      <c r="C3" s="3254" t="s">
        <v>2810</v>
      </c>
      <c r="D3" s="3254" t="s">
        <v>2866</v>
      </c>
      <c r="E3" s="3254" t="s">
        <v>2812</v>
      </c>
      <c r="F3" s="3254" t="s">
        <v>2867</v>
      </c>
      <c r="G3" s="3254" t="s">
        <v>2630</v>
      </c>
    </row>
    <row r="4" spans="1:7" ht="14.25" thickBot="1">
      <c r="A4" s="3255" t="s">
        <v>2865</v>
      </c>
      <c r="B4" s="3256" t="s">
        <v>2871</v>
      </c>
      <c r="C4" s="3254"/>
      <c r="D4" s="3254"/>
      <c r="E4" s="3254"/>
      <c r="F4" s="3254"/>
      <c r="G4" s="3254"/>
    </row>
    <row r="5" spans="1:7">
      <c r="A5" s="3257" t="s">
        <v>2839</v>
      </c>
      <c r="B5" s="3258" t="s">
        <v>2853</v>
      </c>
      <c r="C5" s="3259">
        <v>9.8000000000000004E-2</v>
      </c>
      <c r="D5" s="3259">
        <v>8.6999999999999994E-2</v>
      </c>
      <c r="E5" s="3259">
        <v>8.6999999999999994E-2</v>
      </c>
      <c r="F5" s="3259">
        <v>9.8000000000000004E-2</v>
      </c>
      <c r="G5" s="3260">
        <v>9.5000000000000001E-2</v>
      </c>
    </row>
    <row r="6" spans="1:7">
      <c r="A6" s="3261" t="s">
        <v>144</v>
      </c>
      <c r="B6" s="3262" t="s">
        <v>2868</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2854</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2904</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2922</v>
      </c>
      <c r="C29" s="3271"/>
      <c r="D29" s="3267">
        <v>5.1999999999999998E-2</v>
      </c>
      <c r="E29" s="3267">
        <v>7.0000000000000007E-2</v>
      </c>
      <c r="F29" s="3271"/>
      <c r="G29" s="3269">
        <v>7.0999999999999994E-2</v>
      </c>
    </row>
    <row r="30" spans="1:7">
      <c r="A30" s="3272" t="s">
        <v>296</v>
      </c>
      <c r="B30" s="3258" t="s">
        <v>2855</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2841</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2925</v>
      </c>
      <c r="C50" s="3263">
        <v>9.8000000000000004E-2</v>
      </c>
      <c r="D50" s="3263">
        <v>7.2999999999999995E-2</v>
      </c>
      <c r="E50" s="3263">
        <v>7.0999999999999994E-2</v>
      </c>
      <c r="F50" s="3274"/>
      <c r="G50" s="3264">
        <v>7.2999999999999995E-2</v>
      </c>
    </row>
    <row r="51" spans="1:7">
      <c r="A51" s="3273" t="s">
        <v>296</v>
      </c>
      <c r="B51" s="3262" t="s">
        <v>2927</v>
      </c>
      <c r="C51" s="3263">
        <v>9.9000000000000005E-2</v>
      </c>
      <c r="D51" s="3263">
        <v>8.5000000000000006E-2</v>
      </c>
      <c r="E51" s="3263">
        <v>6.3E-2</v>
      </c>
      <c r="F51" s="3274"/>
      <c r="G51" s="3264">
        <v>9.6000000000000002E-2</v>
      </c>
    </row>
    <row r="52" spans="1:7">
      <c r="A52" s="3273" t="s">
        <v>296</v>
      </c>
      <c r="B52" s="3262" t="s">
        <v>2931</v>
      </c>
      <c r="C52" s="3263">
        <v>7.3999999999999996E-2</v>
      </c>
      <c r="D52" s="3263">
        <v>9.6000000000000002E-2</v>
      </c>
      <c r="E52" s="3263">
        <v>0.05</v>
      </c>
      <c r="F52" s="3274"/>
      <c r="G52" s="3264">
        <v>9.8000000000000004E-2</v>
      </c>
    </row>
    <row r="53" spans="1:7">
      <c r="A53" s="3273" t="s">
        <v>296</v>
      </c>
      <c r="B53" s="3262" t="s">
        <v>2936</v>
      </c>
      <c r="C53" s="3263">
        <v>8.5999999999999993E-2</v>
      </c>
      <c r="D53" s="3274"/>
      <c r="E53" s="3263">
        <v>9.1999999999999998E-2</v>
      </c>
      <c r="F53" s="3274"/>
      <c r="G53" s="3275"/>
    </row>
    <row r="54" spans="1:7" ht="14.25" thickBot="1">
      <c r="A54" s="3276" t="s">
        <v>296</v>
      </c>
      <c r="B54" s="3266" t="s">
        <v>2939</v>
      </c>
      <c r="C54" s="3267">
        <v>9.6000000000000002E-2</v>
      </c>
      <c r="D54" s="3268"/>
      <c r="E54" s="3277"/>
      <c r="F54" s="3268"/>
      <c r="G54" s="3278"/>
    </row>
    <row r="55" spans="1:7">
      <c r="A55" s="3272" t="s">
        <v>110</v>
      </c>
      <c r="B55" s="3258" t="s">
        <v>2856</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2937</v>
      </c>
      <c r="C78" s="3263">
        <v>0.1</v>
      </c>
      <c r="D78" s="3263">
        <v>8.5000000000000006E-2</v>
      </c>
      <c r="E78" s="3263">
        <v>9.6000000000000002E-2</v>
      </c>
      <c r="F78" s="3274"/>
      <c r="G78" s="3264">
        <v>9.6000000000000002E-2</v>
      </c>
    </row>
    <row r="79" spans="1:7">
      <c r="A79" s="3273" t="s">
        <v>110</v>
      </c>
      <c r="B79" s="3262" t="s">
        <v>2940</v>
      </c>
      <c r="C79" s="3263">
        <v>0.05</v>
      </c>
      <c r="D79" s="3263">
        <v>9.6000000000000002E-2</v>
      </c>
      <c r="E79" s="3263">
        <v>9.5000000000000001E-2</v>
      </c>
      <c r="F79" s="3274"/>
      <c r="G79" s="3264">
        <v>9.8000000000000004E-2</v>
      </c>
    </row>
    <row r="80" spans="1:7">
      <c r="A80" s="3273" t="s">
        <v>110</v>
      </c>
      <c r="B80" s="3262" t="s">
        <v>2944</v>
      </c>
      <c r="C80" s="3263">
        <v>8.5999999999999993E-2</v>
      </c>
      <c r="D80" s="3279"/>
      <c r="E80" s="3263">
        <v>0.1</v>
      </c>
      <c r="F80" s="3274"/>
      <c r="G80" s="3275"/>
    </row>
    <row r="81" spans="1:7">
      <c r="A81" s="3273" t="s">
        <v>110</v>
      </c>
      <c r="B81" s="3262" t="s">
        <v>2949</v>
      </c>
      <c r="C81" s="3263">
        <v>9.6000000000000002E-2</v>
      </c>
      <c r="D81" s="3274"/>
      <c r="E81" s="3263">
        <v>9.8000000000000004E-2</v>
      </c>
      <c r="F81" s="3274"/>
      <c r="G81" s="3275"/>
    </row>
    <row r="82" spans="1:7">
      <c r="A82" s="3273" t="s">
        <v>110</v>
      </c>
      <c r="B82" s="3262" t="s">
        <v>2956</v>
      </c>
      <c r="C82" s="3279"/>
      <c r="D82" s="3274"/>
      <c r="E82" s="3263">
        <v>7.6999999999999999E-2</v>
      </c>
      <c r="F82" s="3274"/>
      <c r="G82" s="3275"/>
    </row>
    <row r="83" spans="1:7">
      <c r="A83" s="3273" t="s">
        <v>110</v>
      </c>
      <c r="B83" s="3262" t="s">
        <v>2962</v>
      </c>
      <c r="C83" s="3274"/>
      <c r="D83" s="3274"/>
      <c r="E83" s="3274"/>
      <c r="F83" s="3263">
        <v>0.1</v>
      </c>
      <c r="G83" s="3280"/>
    </row>
    <row r="84" spans="1:7">
      <c r="A84" s="3273" t="s">
        <v>110</v>
      </c>
      <c r="B84" s="3262" t="s">
        <v>2969</v>
      </c>
      <c r="C84" s="3274"/>
      <c r="D84" s="3274"/>
      <c r="E84" s="3274"/>
      <c r="F84" s="3263">
        <v>0.1</v>
      </c>
      <c r="G84" s="3280"/>
    </row>
    <row r="85" spans="1:7">
      <c r="A85" s="3273" t="s">
        <v>110</v>
      </c>
      <c r="B85" s="3262" t="s">
        <v>2976</v>
      </c>
      <c r="C85" s="3274"/>
      <c r="D85" s="3274"/>
      <c r="E85" s="3274"/>
      <c r="F85" s="3263">
        <v>0.1</v>
      </c>
      <c r="G85" s="3280"/>
    </row>
    <row r="86" spans="1:7" ht="14.25" thickBot="1">
      <c r="A86" s="3276" t="s">
        <v>110</v>
      </c>
      <c r="B86" s="3266" t="s">
        <v>2981</v>
      </c>
      <c r="C86" s="3267">
        <v>9.8000000000000004E-2</v>
      </c>
      <c r="D86" s="3267">
        <v>9.8000000000000004E-2</v>
      </c>
      <c r="E86" s="3267">
        <v>9.6000000000000002E-2</v>
      </c>
      <c r="F86" s="3277"/>
      <c r="G86" s="3269">
        <v>0.1</v>
      </c>
    </row>
    <row r="87" spans="1:7">
      <c r="A87" s="3272" t="s">
        <v>303</v>
      </c>
      <c r="B87" s="3258" t="s">
        <v>2857</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2950</v>
      </c>
      <c r="C113" s="3263">
        <v>0.1</v>
      </c>
      <c r="D113" s="3263">
        <v>0.1</v>
      </c>
      <c r="E113" s="3274"/>
      <c r="F113" s="3274"/>
      <c r="G113" s="3264">
        <v>0.1</v>
      </c>
    </row>
    <row r="114" spans="1:7">
      <c r="A114" s="3273" t="s">
        <v>303</v>
      </c>
      <c r="B114" s="3262" t="s">
        <v>2957</v>
      </c>
      <c r="C114" s="3263">
        <v>9.7000000000000003E-2</v>
      </c>
      <c r="D114" s="3263">
        <v>9.7000000000000003E-2</v>
      </c>
      <c r="E114" s="3274"/>
      <c r="F114" s="3274"/>
      <c r="G114" s="3264">
        <v>9.9000000000000005E-2</v>
      </c>
    </row>
    <row r="115" spans="1:7">
      <c r="A115" s="3273" t="s">
        <v>303</v>
      </c>
      <c r="B115" s="3262" t="s">
        <v>2963</v>
      </c>
      <c r="C115" s="3263">
        <v>0.1</v>
      </c>
      <c r="D115" s="3263">
        <v>0.1</v>
      </c>
      <c r="E115" s="3274"/>
      <c r="F115" s="3274"/>
      <c r="G115" s="3264">
        <v>0.1</v>
      </c>
    </row>
    <row r="116" spans="1:7">
      <c r="A116" s="3273" t="s">
        <v>303</v>
      </c>
      <c r="B116" s="3262" t="s">
        <v>2970</v>
      </c>
      <c r="C116" s="3263">
        <v>0.1</v>
      </c>
      <c r="D116" s="3263">
        <v>0.1</v>
      </c>
      <c r="E116" s="3274"/>
      <c r="F116" s="3274"/>
      <c r="G116" s="3264">
        <v>0.1</v>
      </c>
    </row>
    <row r="117" spans="1:7">
      <c r="A117" s="3273" t="s">
        <v>303</v>
      </c>
      <c r="B117" s="3262" t="s">
        <v>2977</v>
      </c>
      <c r="C117" s="3263">
        <v>9.7000000000000003E-2</v>
      </c>
      <c r="D117" s="3263">
        <v>9.7000000000000003E-2</v>
      </c>
      <c r="E117" s="3274"/>
      <c r="F117" s="3274"/>
      <c r="G117" s="3264">
        <v>9.7000000000000003E-2</v>
      </c>
    </row>
    <row r="118" spans="1:7">
      <c r="A118" s="3273" t="s">
        <v>303</v>
      </c>
      <c r="B118" s="3262" t="s">
        <v>2982</v>
      </c>
      <c r="C118" s="3263">
        <v>0.1</v>
      </c>
      <c r="D118" s="3263">
        <v>0.1</v>
      </c>
      <c r="E118" s="3274"/>
      <c r="F118" s="3274"/>
      <c r="G118" s="3264">
        <v>0.1</v>
      </c>
    </row>
    <row r="119" spans="1:7">
      <c r="A119" s="3273" t="s">
        <v>303</v>
      </c>
      <c r="B119" s="3262" t="s">
        <v>2986</v>
      </c>
      <c r="C119" s="3263">
        <v>5.0999999999999997E-2</v>
      </c>
      <c r="D119" s="3263">
        <v>5.1999999999999998E-2</v>
      </c>
      <c r="E119" s="3274"/>
      <c r="F119" s="3279"/>
      <c r="G119" s="3264">
        <v>0.06</v>
      </c>
    </row>
    <row r="120" spans="1:7">
      <c r="A120" s="3273" t="s">
        <v>303</v>
      </c>
      <c r="B120" s="3262" t="s">
        <v>2990</v>
      </c>
      <c r="C120" s="3274"/>
      <c r="D120" s="3274"/>
      <c r="E120" s="3274"/>
      <c r="F120" s="3263">
        <v>0.1</v>
      </c>
      <c r="G120" s="3280"/>
    </row>
    <row r="121" spans="1:7">
      <c r="A121" s="3273" t="s">
        <v>303</v>
      </c>
      <c r="B121" s="3262" t="s">
        <v>2995</v>
      </c>
      <c r="C121" s="3274"/>
      <c r="D121" s="3274"/>
      <c r="E121" s="3274"/>
      <c r="F121" s="3263">
        <v>0.1</v>
      </c>
      <c r="G121" s="3280"/>
    </row>
    <row r="122" spans="1:7">
      <c r="A122" s="3273" t="s">
        <v>303</v>
      </c>
      <c r="B122" s="3262" t="s">
        <v>3000</v>
      </c>
      <c r="C122" s="3263">
        <v>0.1</v>
      </c>
      <c r="D122" s="3263">
        <v>0.1</v>
      </c>
      <c r="E122" s="3263">
        <v>9.8000000000000004E-2</v>
      </c>
      <c r="F122" s="3263">
        <v>0.1</v>
      </c>
      <c r="G122" s="3264">
        <v>0.1</v>
      </c>
    </row>
    <row r="123" spans="1:7">
      <c r="A123" s="3273" t="s">
        <v>303</v>
      </c>
      <c r="B123" s="3262" t="s">
        <v>3005</v>
      </c>
      <c r="C123" s="3263">
        <v>0.1</v>
      </c>
      <c r="D123" s="3263">
        <v>0.1</v>
      </c>
      <c r="E123" s="3263">
        <v>9.8000000000000004E-2</v>
      </c>
      <c r="F123" s="3263">
        <v>0.1</v>
      </c>
      <c r="G123" s="3264">
        <v>0.1</v>
      </c>
    </row>
    <row r="124" spans="1:7">
      <c r="A124" s="3273" t="s">
        <v>303</v>
      </c>
      <c r="B124" s="3262" t="s">
        <v>3010</v>
      </c>
      <c r="C124" s="3263">
        <v>0.1</v>
      </c>
      <c r="D124" s="3263">
        <v>0.1</v>
      </c>
      <c r="E124" s="3263">
        <v>9.8000000000000004E-2</v>
      </c>
      <c r="F124" s="3279"/>
      <c r="G124" s="3264">
        <v>0.1</v>
      </c>
    </row>
    <row r="125" spans="1:7">
      <c r="A125" s="3273" t="s">
        <v>303</v>
      </c>
      <c r="B125" s="3262" t="s">
        <v>3015</v>
      </c>
      <c r="C125" s="3263">
        <v>9.8000000000000004E-2</v>
      </c>
      <c r="D125" s="3263">
        <v>9.8000000000000004E-2</v>
      </c>
      <c r="E125" s="3263">
        <v>9.6000000000000002E-2</v>
      </c>
      <c r="F125" s="3279"/>
      <c r="G125" s="3264">
        <v>0.1</v>
      </c>
    </row>
    <row r="126" spans="1:7" ht="14.25" thickBot="1">
      <c r="A126" s="3276" t="s">
        <v>303</v>
      </c>
      <c r="B126" s="3266" t="s">
        <v>3181</v>
      </c>
      <c r="C126" s="3267">
        <v>0.1</v>
      </c>
      <c r="D126" s="3267">
        <v>0.1</v>
      </c>
      <c r="E126" s="3267">
        <v>9.8000000000000004E-2</v>
      </c>
      <c r="F126" s="3267">
        <v>0.1</v>
      </c>
      <c r="G126" s="3269">
        <v>0.1</v>
      </c>
    </row>
    <row r="127" spans="1:7">
      <c r="A127" s="3272" t="s">
        <v>29</v>
      </c>
      <c r="B127" s="3258" t="s">
        <v>2858</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2928</v>
      </c>
      <c r="C148" s="3263">
        <v>0.13</v>
      </c>
      <c r="D148" s="3263">
        <v>0.13</v>
      </c>
      <c r="E148" s="3263">
        <v>0.13</v>
      </c>
      <c r="F148" s="3274"/>
      <c r="G148" s="3264">
        <v>0.13</v>
      </c>
    </row>
    <row r="149" spans="1:7">
      <c r="A149" s="3273" t="s">
        <v>29</v>
      </c>
      <c r="B149" s="3262" t="s">
        <v>2932</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2951</v>
      </c>
      <c r="C153" s="3263">
        <v>0.13</v>
      </c>
      <c r="D153" s="3263">
        <v>0.13</v>
      </c>
      <c r="E153" s="3263">
        <v>0.13</v>
      </c>
      <c r="F153" s="3263">
        <v>0.13</v>
      </c>
      <c r="G153" s="3264">
        <v>0.13</v>
      </c>
    </row>
    <row r="154" spans="1:7">
      <c r="A154" s="3273" t="s">
        <v>29</v>
      </c>
      <c r="B154" s="3262" t="s">
        <v>2958</v>
      </c>
      <c r="C154" s="3263">
        <v>0.121</v>
      </c>
      <c r="D154" s="3263">
        <v>0.121</v>
      </c>
      <c r="E154" s="3263">
        <v>0.105</v>
      </c>
      <c r="F154" s="3263">
        <v>0.121</v>
      </c>
      <c r="G154" s="3264">
        <v>0.123</v>
      </c>
    </row>
    <row r="155" spans="1:7">
      <c r="A155" s="3273" t="s">
        <v>29</v>
      </c>
      <c r="B155" s="3262" t="s">
        <v>2964</v>
      </c>
      <c r="C155" s="3263">
        <v>0.1</v>
      </c>
      <c r="D155" s="3263">
        <v>0.1</v>
      </c>
      <c r="E155" s="3263">
        <v>0.1</v>
      </c>
      <c r="F155" s="3263">
        <v>0.1</v>
      </c>
      <c r="G155" s="3264">
        <v>0.1</v>
      </c>
    </row>
    <row r="156" spans="1:7">
      <c r="A156" s="3273" t="s">
        <v>29</v>
      </c>
      <c r="B156" s="3262" t="s">
        <v>2971</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2991</v>
      </c>
      <c r="C160" s="3263">
        <v>0.13</v>
      </c>
      <c r="D160" s="3263">
        <v>0.13</v>
      </c>
      <c r="E160" s="3263">
        <v>0.124</v>
      </c>
      <c r="F160" s="3263">
        <v>0.126</v>
      </c>
      <c r="G160" s="3264">
        <v>0.13</v>
      </c>
    </row>
    <row r="161" spans="1:7">
      <c r="A161" s="3273" t="s">
        <v>29</v>
      </c>
      <c r="B161" s="3262" t="s">
        <v>2996</v>
      </c>
      <c r="C161" s="3263">
        <v>0.13</v>
      </c>
      <c r="D161" s="3263">
        <v>0.13</v>
      </c>
      <c r="E161" s="3263">
        <v>0.124</v>
      </c>
      <c r="F161" s="3263">
        <v>0.127</v>
      </c>
      <c r="G161" s="3264">
        <v>0.13</v>
      </c>
    </row>
    <row r="162" spans="1:7">
      <c r="A162" s="3273" t="s">
        <v>29</v>
      </c>
      <c r="B162" s="3262" t="s">
        <v>3001</v>
      </c>
      <c r="C162" s="3263">
        <v>0.1</v>
      </c>
      <c r="D162" s="3263">
        <v>0.1</v>
      </c>
      <c r="E162" s="3263">
        <v>0.1</v>
      </c>
      <c r="F162" s="3263">
        <v>0.121</v>
      </c>
      <c r="G162" s="3264">
        <v>0.105</v>
      </c>
    </row>
    <row r="163" spans="1:7">
      <c r="A163" s="3273" t="s">
        <v>29</v>
      </c>
      <c r="B163" s="3262" t="s">
        <v>3006</v>
      </c>
      <c r="C163" s="3263">
        <v>0.1</v>
      </c>
      <c r="D163" s="3263">
        <v>0.1</v>
      </c>
      <c r="E163" s="3263">
        <v>0.1</v>
      </c>
      <c r="F163" s="3263">
        <v>0.1</v>
      </c>
      <c r="G163" s="3264">
        <v>0.1</v>
      </c>
    </row>
    <row r="164" spans="1:7">
      <c r="A164" s="3273" t="s">
        <v>29</v>
      </c>
      <c r="B164" s="3262" t="s">
        <v>3011</v>
      </c>
      <c r="C164" s="3279"/>
      <c r="D164" s="3279"/>
      <c r="E164" s="3279"/>
      <c r="F164" s="3263">
        <v>0.1</v>
      </c>
      <c r="G164" s="3275"/>
    </row>
    <row r="165" spans="1:7">
      <c r="A165" s="3273" t="s">
        <v>29</v>
      </c>
      <c r="B165" s="3262" t="s">
        <v>3182</v>
      </c>
      <c r="C165" s="3263">
        <v>0.126</v>
      </c>
      <c r="D165" s="3263">
        <v>0.126</v>
      </c>
      <c r="E165" s="3263">
        <v>0.11899999999999999</v>
      </c>
      <c r="F165" s="3263">
        <v>0.13</v>
      </c>
      <c r="G165" s="3264">
        <v>0.128</v>
      </c>
    </row>
    <row r="166" spans="1:7">
      <c r="A166" s="3273" t="s">
        <v>29</v>
      </c>
      <c r="B166" s="3262" t="s">
        <v>3021</v>
      </c>
      <c r="C166" s="3263">
        <v>0.129</v>
      </c>
      <c r="D166" s="3263">
        <v>0.129</v>
      </c>
      <c r="E166" s="3263">
        <v>0.123</v>
      </c>
      <c r="F166" s="3263">
        <v>0.128</v>
      </c>
      <c r="G166" s="3264">
        <v>0.13</v>
      </c>
    </row>
    <row r="167" spans="1:7">
      <c r="A167" s="3273" t="s">
        <v>29</v>
      </c>
      <c r="B167" s="3262" t="s">
        <v>3025</v>
      </c>
      <c r="C167" s="3263">
        <v>0.125</v>
      </c>
      <c r="D167" s="3263">
        <v>0.125</v>
      </c>
      <c r="E167" s="3263">
        <v>0.11700000000000001</v>
      </c>
      <c r="F167" s="3263">
        <v>0.13</v>
      </c>
      <c r="G167" s="3264">
        <v>0.126</v>
      </c>
    </row>
    <row r="168" spans="1:7">
      <c r="A168" s="3273" t="s">
        <v>29</v>
      </c>
      <c r="B168" s="3262" t="s">
        <v>3030</v>
      </c>
      <c r="C168" s="3263">
        <v>0.128</v>
      </c>
      <c r="D168" s="3263">
        <v>0.128</v>
      </c>
      <c r="E168" s="3263">
        <v>0.123</v>
      </c>
      <c r="F168" s="3274"/>
      <c r="G168" s="3264">
        <v>0.13</v>
      </c>
    </row>
    <row r="169" spans="1:7">
      <c r="A169" s="3273" t="s">
        <v>29</v>
      </c>
      <c r="B169" s="3262" t="s">
        <v>3183</v>
      </c>
      <c r="C169" s="3279"/>
      <c r="D169" s="3279"/>
      <c r="E169" s="3279"/>
      <c r="F169" s="3263">
        <v>0.05</v>
      </c>
      <c r="G169" s="3275"/>
    </row>
    <row r="170" spans="1:7">
      <c r="A170" s="3273" t="s">
        <v>29</v>
      </c>
      <c r="B170" s="3262" t="s">
        <v>3184</v>
      </c>
      <c r="C170" s="3279"/>
      <c r="D170" s="3279"/>
      <c r="E170" s="3279"/>
      <c r="F170" s="3263">
        <v>0.05</v>
      </c>
      <c r="G170" s="3275"/>
    </row>
    <row r="171" spans="1:7">
      <c r="A171" s="3273" t="s">
        <v>29</v>
      </c>
      <c r="B171" s="3262" t="s">
        <v>3185</v>
      </c>
      <c r="C171" s="3279"/>
      <c r="D171" s="3279"/>
      <c r="E171" s="3279"/>
      <c r="F171" s="3263">
        <v>0.05</v>
      </c>
      <c r="G171" s="3280"/>
    </row>
    <row r="172" spans="1:7">
      <c r="A172" s="3273" t="s">
        <v>29</v>
      </c>
      <c r="B172" s="3262" t="s">
        <v>3186</v>
      </c>
      <c r="C172" s="3279"/>
      <c r="D172" s="3279"/>
      <c r="E172" s="3279"/>
      <c r="F172" s="3263">
        <v>0.05</v>
      </c>
      <c r="G172" s="3280"/>
    </row>
    <row r="173" spans="1:7">
      <c r="A173" s="3273" t="s">
        <v>29</v>
      </c>
      <c r="B173" s="3262" t="s">
        <v>3187</v>
      </c>
      <c r="C173" s="3279"/>
      <c r="D173" s="3279"/>
      <c r="E173" s="3279"/>
      <c r="F173" s="3263">
        <v>0.05</v>
      </c>
      <c r="G173" s="3275"/>
    </row>
    <row r="174" spans="1:7">
      <c r="A174" s="3273" t="s">
        <v>29</v>
      </c>
      <c r="B174" s="3262" t="s">
        <v>3188</v>
      </c>
      <c r="C174" s="3279"/>
      <c r="D174" s="3279"/>
      <c r="E174" s="3279"/>
      <c r="F174" s="3263">
        <v>0.05</v>
      </c>
      <c r="G174" s="3275"/>
    </row>
    <row r="175" spans="1:7">
      <c r="A175" s="3273" t="s">
        <v>29</v>
      </c>
      <c r="B175" s="3262" t="s">
        <v>3189</v>
      </c>
      <c r="C175" s="3279"/>
      <c r="D175" s="3279"/>
      <c r="E175" s="3279"/>
      <c r="F175" s="3263">
        <v>0.05</v>
      </c>
      <c r="G175" s="3275"/>
    </row>
    <row r="176" spans="1:7">
      <c r="A176" s="3273" t="s">
        <v>29</v>
      </c>
      <c r="B176" s="3262" t="s">
        <v>3190</v>
      </c>
      <c r="C176" s="3279"/>
      <c r="D176" s="3279"/>
      <c r="E176" s="3279"/>
      <c r="F176" s="3263">
        <v>0.05</v>
      </c>
      <c r="G176" s="3275"/>
    </row>
    <row r="177" spans="1:7">
      <c r="A177" s="3273" t="s">
        <v>29</v>
      </c>
      <c r="B177" s="3262" t="s">
        <v>3191</v>
      </c>
      <c r="C177" s="3274"/>
      <c r="D177" s="3274"/>
      <c r="E177" s="3274"/>
      <c r="F177" s="3263">
        <v>0.05</v>
      </c>
      <c r="G177" s="3280"/>
    </row>
    <row r="178" spans="1:7">
      <c r="A178" s="3273" t="s">
        <v>29</v>
      </c>
      <c r="B178" s="3262" t="s">
        <v>3192</v>
      </c>
      <c r="C178" s="3274"/>
      <c r="D178" s="3274"/>
      <c r="E178" s="3274"/>
      <c r="F178" s="3263">
        <v>0.05</v>
      </c>
      <c r="G178" s="3280"/>
    </row>
    <row r="179" spans="1:7">
      <c r="A179" s="3273" t="s">
        <v>29</v>
      </c>
      <c r="B179" s="3262" t="s">
        <v>3193</v>
      </c>
      <c r="C179" s="3274"/>
      <c r="D179" s="3274"/>
      <c r="E179" s="3274"/>
      <c r="F179" s="3263">
        <v>0.05</v>
      </c>
      <c r="G179" s="3280"/>
    </row>
    <row r="180" spans="1:7">
      <c r="A180" s="3273" t="s">
        <v>29</v>
      </c>
      <c r="B180" s="3262" t="s">
        <v>3194</v>
      </c>
      <c r="C180" s="3274"/>
      <c r="D180" s="3274"/>
      <c r="E180" s="3274"/>
      <c r="F180" s="3263">
        <v>0.05</v>
      </c>
      <c r="G180" s="3280"/>
    </row>
    <row r="181" spans="1:7">
      <c r="A181" s="3273" t="s">
        <v>29</v>
      </c>
      <c r="B181" s="3262" t="s">
        <v>3195</v>
      </c>
      <c r="C181" s="3274"/>
      <c r="D181" s="3274"/>
      <c r="E181" s="3274"/>
      <c r="F181" s="3263">
        <v>0.05</v>
      </c>
      <c r="G181" s="3280"/>
    </row>
    <row r="182" spans="1:7">
      <c r="A182" s="3273" t="s">
        <v>29</v>
      </c>
      <c r="B182" s="3262" t="s">
        <v>3196</v>
      </c>
      <c r="C182" s="3274"/>
      <c r="D182" s="3274"/>
      <c r="E182" s="3274"/>
      <c r="F182" s="3263">
        <v>0.05</v>
      </c>
      <c r="G182" s="3280"/>
    </row>
    <row r="183" spans="1:7">
      <c r="A183" s="3273" t="s">
        <v>29</v>
      </c>
      <c r="B183" s="3262" t="s">
        <v>3197</v>
      </c>
      <c r="C183" s="3274"/>
      <c r="D183" s="3274"/>
      <c r="E183" s="3274"/>
      <c r="F183" s="3263">
        <v>0.05</v>
      </c>
      <c r="G183" s="3280"/>
    </row>
    <row r="184" spans="1:7">
      <c r="A184" s="3273" t="s">
        <v>29</v>
      </c>
      <c r="B184" s="3262" t="s">
        <v>3198</v>
      </c>
      <c r="C184" s="3274"/>
      <c r="D184" s="3274"/>
      <c r="E184" s="3274"/>
      <c r="F184" s="3263">
        <v>0.05</v>
      </c>
      <c r="G184" s="3280"/>
    </row>
    <row r="185" spans="1:7">
      <c r="A185" s="3273" t="s">
        <v>29</v>
      </c>
      <c r="B185" s="3262" t="s">
        <v>3199</v>
      </c>
      <c r="C185" s="3274"/>
      <c r="D185" s="3274"/>
      <c r="E185" s="3274"/>
      <c r="F185" s="3263">
        <v>0.05</v>
      </c>
      <c r="G185" s="3280"/>
    </row>
    <row r="186" spans="1:7">
      <c r="A186" s="3273" t="s">
        <v>29</v>
      </c>
      <c r="B186" s="3262" t="s">
        <v>3200</v>
      </c>
      <c r="C186" s="3274"/>
      <c r="D186" s="3274"/>
      <c r="E186" s="3274"/>
      <c r="F186" s="3263">
        <v>0.05</v>
      </c>
      <c r="G186" s="3280"/>
    </row>
    <row r="187" spans="1:7">
      <c r="A187" s="3273" t="s">
        <v>29</v>
      </c>
      <c r="B187" s="3262" t="s">
        <v>3201</v>
      </c>
      <c r="C187" s="3274"/>
      <c r="D187" s="3274"/>
      <c r="E187" s="3274"/>
      <c r="F187" s="3263">
        <v>0.05</v>
      </c>
      <c r="G187" s="3280"/>
    </row>
    <row r="188" spans="1:7">
      <c r="A188" s="3273" t="s">
        <v>29</v>
      </c>
      <c r="B188" s="3262" t="s">
        <v>3202</v>
      </c>
      <c r="C188" s="3274"/>
      <c r="D188" s="3274"/>
      <c r="E188" s="3274"/>
      <c r="F188" s="3263">
        <v>0.05</v>
      </c>
      <c r="G188" s="3280"/>
    </row>
    <row r="189" spans="1:7" ht="14.25" thickBot="1">
      <c r="A189" s="3276" t="s">
        <v>29</v>
      </c>
      <c r="B189" s="3266" t="s">
        <v>3203</v>
      </c>
      <c r="C189" s="3268"/>
      <c r="D189" s="3268"/>
      <c r="E189" s="3268"/>
      <c r="F189" s="3267">
        <v>0.05</v>
      </c>
      <c r="G189" s="3281"/>
    </row>
    <row r="190" spans="1:7">
      <c r="A190" s="3272" t="s">
        <v>304</v>
      </c>
      <c r="B190" s="3258" t="s">
        <v>2859</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2895</v>
      </c>
      <c r="C199" s="3263">
        <v>0.13</v>
      </c>
      <c r="D199" s="3263">
        <v>0.13</v>
      </c>
      <c r="E199" s="3263">
        <v>0.13</v>
      </c>
      <c r="F199" s="3263">
        <v>0.13</v>
      </c>
      <c r="G199" s="3264">
        <v>0.13</v>
      </c>
    </row>
    <row r="200" spans="1:7">
      <c r="A200" s="3273" t="s">
        <v>304</v>
      </c>
      <c r="B200" s="3262" t="s">
        <v>2898</v>
      </c>
      <c r="C200" s="3279"/>
      <c r="D200" s="3279"/>
      <c r="E200" s="3279"/>
      <c r="F200" s="3263">
        <v>0.13</v>
      </c>
      <c r="G200" s="3275"/>
    </row>
    <row r="201" spans="1:7">
      <c r="A201" s="3273" t="s">
        <v>304</v>
      </c>
      <c r="B201" s="3262" t="s">
        <v>2903</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2906</v>
      </c>
      <c r="C203" s="3263">
        <v>0.129</v>
      </c>
      <c r="D203" s="3263">
        <v>0.129</v>
      </c>
      <c r="E203" s="3263">
        <v>0.13</v>
      </c>
      <c r="F203" s="3263">
        <v>0.13</v>
      </c>
      <c r="G203" s="3264">
        <v>0.13</v>
      </c>
    </row>
    <row r="204" spans="1:7">
      <c r="A204" s="3273" t="s">
        <v>304</v>
      </c>
      <c r="B204" s="3262" t="s">
        <v>2909</v>
      </c>
      <c r="C204" s="3263">
        <v>0.129</v>
      </c>
      <c r="D204" s="3263">
        <v>0.129</v>
      </c>
      <c r="E204" s="3263">
        <v>0.123</v>
      </c>
      <c r="F204" s="3263">
        <v>0.13</v>
      </c>
      <c r="G204" s="3264">
        <v>0.13</v>
      </c>
    </row>
    <row r="205" spans="1:7">
      <c r="A205" s="3273" t="s">
        <v>304</v>
      </c>
      <c r="B205" s="3262" t="s">
        <v>2911</v>
      </c>
      <c r="C205" s="3263">
        <v>0.13</v>
      </c>
      <c r="D205" s="3263">
        <v>0.13</v>
      </c>
      <c r="E205" s="3263">
        <v>0.13</v>
      </c>
      <c r="F205" s="3263">
        <v>0.13</v>
      </c>
      <c r="G205" s="3264">
        <v>0.13</v>
      </c>
    </row>
    <row r="206" spans="1:7">
      <c r="A206" s="3273" t="s">
        <v>304</v>
      </c>
      <c r="B206" s="3262" t="s">
        <v>2914</v>
      </c>
      <c r="C206" s="3263">
        <v>0.13</v>
      </c>
      <c r="D206" s="3263">
        <v>0.13</v>
      </c>
      <c r="E206" s="3263">
        <v>0.13</v>
      </c>
      <c r="F206" s="3263">
        <v>0.128</v>
      </c>
      <c r="G206" s="3264">
        <v>0.13</v>
      </c>
    </row>
    <row r="207" spans="1:7">
      <c r="A207" s="3273" t="s">
        <v>304</v>
      </c>
      <c r="B207" s="3262" t="s">
        <v>2916</v>
      </c>
      <c r="C207" s="3263">
        <v>0.13</v>
      </c>
      <c r="D207" s="3263">
        <v>0.13</v>
      </c>
      <c r="E207" s="3263">
        <v>0.13</v>
      </c>
      <c r="F207" s="3263">
        <v>0.13</v>
      </c>
      <c r="G207" s="3264">
        <v>0.13</v>
      </c>
    </row>
    <row r="208" spans="1:7">
      <c r="A208" s="3273" t="s">
        <v>304</v>
      </c>
      <c r="B208" s="3262" t="s">
        <v>2919</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2926</v>
      </c>
      <c r="C210" s="3263">
        <v>0.121</v>
      </c>
      <c r="D210" s="3263">
        <v>0.121</v>
      </c>
      <c r="E210" s="3263">
        <v>0.125</v>
      </c>
      <c r="F210" s="3263">
        <v>0.13</v>
      </c>
      <c r="G210" s="3264">
        <v>0.123</v>
      </c>
    </row>
    <row r="211" spans="1:7">
      <c r="A211" s="3273" t="s">
        <v>304</v>
      </c>
      <c r="B211" s="3262" t="s">
        <v>2929</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2941</v>
      </c>
      <c r="C214" s="3263">
        <v>0.128</v>
      </c>
      <c r="D214" s="3263">
        <v>0.128</v>
      </c>
      <c r="E214" s="3263">
        <v>0.13</v>
      </c>
      <c r="F214" s="3263">
        <v>0.13</v>
      </c>
      <c r="G214" s="3264">
        <v>0.13</v>
      </c>
    </row>
    <row r="215" spans="1:7">
      <c r="A215" s="3273" t="s">
        <v>304</v>
      </c>
      <c r="B215" s="3262" t="s">
        <v>2945</v>
      </c>
      <c r="C215" s="3263">
        <v>0.13</v>
      </c>
      <c r="D215" s="3263">
        <v>0.13</v>
      </c>
      <c r="E215" s="3263">
        <v>0.13</v>
      </c>
      <c r="F215" s="3263">
        <v>0.129</v>
      </c>
      <c r="G215" s="3264">
        <v>0.13</v>
      </c>
    </row>
    <row r="216" spans="1:7">
      <c r="A216" s="3273" t="s">
        <v>304</v>
      </c>
      <c r="B216" s="3262" t="s">
        <v>2952</v>
      </c>
      <c r="C216" s="3263">
        <v>0.13</v>
      </c>
      <c r="D216" s="3263">
        <v>0.13</v>
      </c>
      <c r="E216" s="3263">
        <v>0.13</v>
      </c>
      <c r="F216" s="3263">
        <v>0.13</v>
      </c>
      <c r="G216" s="3264">
        <v>0.13</v>
      </c>
    </row>
    <row r="217" spans="1:7">
      <c r="A217" s="3273" t="s">
        <v>304</v>
      </c>
      <c r="B217" s="3262" t="s">
        <v>2959</v>
      </c>
      <c r="C217" s="3263">
        <v>0.129</v>
      </c>
      <c r="D217" s="3263">
        <v>0.129</v>
      </c>
      <c r="E217" s="3263">
        <v>0.13</v>
      </c>
      <c r="F217" s="3263">
        <v>0.13</v>
      </c>
      <c r="G217" s="3264">
        <v>0.13</v>
      </c>
    </row>
    <row r="218" spans="1:7">
      <c r="A218" s="3273" t="s">
        <v>304</v>
      </c>
      <c r="B218" s="3262" t="s">
        <v>2965</v>
      </c>
      <c r="C218" s="3274"/>
      <c r="D218" s="3274"/>
      <c r="E218" s="3274"/>
      <c r="F218" s="3263">
        <v>0.05</v>
      </c>
      <c r="G218" s="3280"/>
    </row>
    <row r="219" spans="1:7">
      <c r="A219" s="3273" t="s">
        <v>304</v>
      </c>
      <c r="B219" s="3262" t="s">
        <v>2972</v>
      </c>
      <c r="C219" s="3274"/>
      <c r="D219" s="3274"/>
      <c r="E219" s="3274"/>
      <c r="F219" s="3263">
        <v>0.05</v>
      </c>
      <c r="G219" s="3280"/>
    </row>
    <row r="220" spans="1:7">
      <c r="A220" s="3273" t="s">
        <v>304</v>
      </c>
      <c r="B220" s="3262" t="s">
        <v>2978</v>
      </c>
      <c r="C220" s="3274"/>
      <c r="D220" s="3274"/>
      <c r="E220" s="3274"/>
      <c r="F220" s="3263">
        <v>0.05</v>
      </c>
      <c r="G220" s="3280"/>
    </row>
    <row r="221" spans="1:7">
      <c r="A221" s="3273" t="s">
        <v>304</v>
      </c>
      <c r="B221" s="3262" t="s">
        <v>2983</v>
      </c>
      <c r="C221" s="3274"/>
      <c r="D221" s="3274"/>
      <c r="E221" s="3274"/>
      <c r="F221" s="3263">
        <v>0.05</v>
      </c>
      <c r="G221" s="3280"/>
    </row>
    <row r="222" spans="1:7">
      <c r="A222" s="3273" t="s">
        <v>304</v>
      </c>
      <c r="B222" s="3262" t="s">
        <v>2987</v>
      </c>
      <c r="C222" s="3274"/>
      <c r="D222" s="3274"/>
      <c r="E222" s="3274"/>
      <c r="F222" s="3263">
        <v>0.05</v>
      </c>
      <c r="G222" s="3280"/>
    </row>
    <row r="223" spans="1:7">
      <c r="A223" s="3273" t="s">
        <v>304</v>
      </c>
      <c r="B223" s="3262" t="s">
        <v>2992</v>
      </c>
      <c r="C223" s="3274"/>
      <c r="D223" s="3274"/>
      <c r="E223" s="3274"/>
      <c r="F223" s="3263">
        <v>0.05</v>
      </c>
      <c r="G223" s="3280"/>
    </row>
    <row r="224" spans="1:7">
      <c r="A224" s="3273" t="s">
        <v>304</v>
      </c>
      <c r="B224" s="3262" t="s">
        <v>2997</v>
      </c>
      <c r="C224" s="3274"/>
      <c r="D224" s="3274"/>
      <c r="E224" s="3274"/>
      <c r="F224" s="3263">
        <v>0.05</v>
      </c>
      <c r="G224" s="3280"/>
    </row>
    <row r="225" spans="1:7">
      <c r="A225" s="3273" t="s">
        <v>304</v>
      </c>
      <c r="B225" s="3262" t="s">
        <v>3002</v>
      </c>
      <c r="C225" s="3274"/>
      <c r="D225" s="3274"/>
      <c r="E225" s="3274"/>
      <c r="F225" s="3263">
        <v>0.05</v>
      </c>
      <c r="G225" s="3280"/>
    </row>
    <row r="226" spans="1:7">
      <c r="A226" s="3273" t="s">
        <v>304</v>
      </c>
      <c r="B226" s="3262" t="s">
        <v>3204</v>
      </c>
      <c r="C226" s="3274"/>
      <c r="D226" s="3274"/>
      <c r="E226" s="3274"/>
      <c r="F226" s="3263">
        <v>0.05</v>
      </c>
      <c r="G226" s="3280"/>
    </row>
    <row r="227" spans="1:7">
      <c r="A227" s="3273" t="s">
        <v>304</v>
      </c>
      <c r="B227" s="3262" t="s">
        <v>3205</v>
      </c>
      <c r="C227" s="3274"/>
      <c r="D227" s="3274"/>
      <c r="E227" s="3274"/>
      <c r="F227" s="3263">
        <v>0.05</v>
      </c>
      <c r="G227" s="3280"/>
    </row>
    <row r="228" spans="1:7">
      <c r="A228" s="3273" t="s">
        <v>304</v>
      </c>
      <c r="B228" s="3262" t="s">
        <v>3206</v>
      </c>
      <c r="C228" s="3274"/>
      <c r="D228" s="3274"/>
      <c r="E228" s="3274"/>
      <c r="F228" s="3263">
        <v>0.05</v>
      </c>
      <c r="G228" s="3280"/>
    </row>
    <row r="229" spans="1:7">
      <c r="A229" s="3273" t="s">
        <v>304</v>
      </c>
      <c r="B229" s="3262" t="s">
        <v>3207</v>
      </c>
      <c r="C229" s="3274"/>
      <c r="D229" s="3274"/>
      <c r="E229" s="3274"/>
      <c r="F229" s="3263">
        <v>0.05</v>
      </c>
      <c r="G229" s="3280"/>
    </row>
    <row r="230" spans="1:7">
      <c r="A230" s="3273" t="s">
        <v>304</v>
      </c>
      <c r="B230" s="3262" t="s">
        <v>3208</v>
      </c>
      <c r="C230" s="3274"/>
      <c r="D230" s="3274"/>
      <c r="E230" s="3274"/>
      <c r="F230" s="3263">
        <v>0.05</v>
      </c>
      <c r="G230" s="3280"/>
    </row>
    <row r="231" spans="1:7">
      <c r="A231" s="3273" t="s">
        <v>304</v>
      </c>
      <c r="B231" s="3262" t="s">
        <v>3209</v>
      </c>
      <c r="C231" s="3274"/>
      <c r="D231" s="3274"/>
      <c r="E231" s="3274"/>
      <c r="F231" s="3263">
        <v>0.05</v>
      </c>
      <c r="G231" s="3280"/>
    </row>
    <row r="232" spans="1:7">
      <c r="A232" s="3273" t="s">
        <v>304</v>
      </c>
      <c r="B232" s="3262" t="s">
        <v>3210</v>
      </c>
      <c r="C232" s="3274"/>
      <c r="D232" s="3274"/>
      <c r="E232" s="3274"/>
      <c r="F232" s="3263">
        <v>0.05</v>
      </c>
      <c r="G232" s="3280"/>
    </row>
    <row r="233" spans="1:7" ht="14.25" thickBot="1">
      <c r="A233" s="3276" t="s">
        <v>304</v>
      </c>
      <c r="B233" s="3266" t="s">
        <v>3211</v>
      </c>
      <c r="C233" s="3268"/>
      <c r="D233" s="3268"/>
      <c r="E233" s="3268"/>
      <c r="F233" s="3267">
        <v>0.05</v>
      </c>
      <c r="G233" s="3281"/>
    </row>
    <row r="234" spans="1:7">
      <c r="A234" s="3272" t="s">
        <v>305</v>
      </c>
      <c r="B234" s="3258" t="s">
        <v>2860</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2880</v>
      </c>
      <c r="C238" s="3263">
        <v>0.14899999999999999</v>
      </c>
      <c r="D238" s="3263">
        <v>0.14899999999999999</v>
      </c>
      <c r="E238" s="3263">
        <v>0.15</v>
      </c>
      <c r="F238" s="3263">
        <v>0.15</v>
      </c>
      <c r="G238" s="3264">
        <v>0.15</v>
      </c>
    </row>
    <row r="239" spans="1:7">
      <c r="A239" s="3273" t="s">
        <v>305</v>
      </c>
      <c r="B239" s="3262" t="s">
        <v>2884</v>
      </c>
      <c r="C239" s="3263">
        <v>0.15</v>
      </c>
      <c r="D239" s="3263">
        <v>0.15</v>
      </c>
      <c r="E239" s="3263">
        <v>0.15</v>
      </c>
      <c r="F239" s="3263">
        <v>0.15</v>
      </c>
      <c r="G239" s="3264">
        <v>0.15</v>
      </c>
    </row>
    <row r="240" spans="1:7">
      <c r="A240" s="3273" t="s">
        <v>305</v>
      </c>
      <c r="B240" s="3262" t="s">
        <v>2889</v>
      </c>
      <c r="C240" s="3263">
        <v>0.15</v>
      </c>
      <c r="D240" s="3263">
        <v>0.15</v>
      </c>
      <c r="E240" s="3263">
        <v>0.15</v>
      </c>
      <c r="F240" s="3263">
        <v>0.15</v>
      </c>
      <c r="G240" s="3264">
        <v>0.15</v>
      </c>
    </row>
    <row r="241" spans="1:7">
      <c r="A241" s="3273" t="s">
        <v>305</v>
      </c>
      <c r="B241" s="3262" t="s">
        <v>2893</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2899</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2907</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2912</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2920</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2933</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2942</v>
      </c>
      <c r="C258" s="3263">
        <v>0.14299999999999999</v>
      </c>
      <c r="D258" s="3263">
        <v>0.14299999999999999</v>
      </c>
      <c r="E258" s="3263">
        <v>0.15</v>
      </c>
      <c r="F258" s="3263">
        <v>0.14799999999999999</v>
      </c>
      <c r="G258" s="3264">
        <v>0.14599999999999999</v>
      </c>
    </row>
    <row r="259" spans="1:7">
      <c r="A259" s="3273" t="s">
        <v>305</v>
      </c>
      <c r="B259" s="3262" t="s">
        <v>2946</v>
      </c>
      <c r="C259" s="3263">
        <v>0.14399999999999999</v>
      </c>
      <c r="D259" s="3263">
        <v>0.14399999999999999</v>
      </c>
      <c r="E259" s="3263">
        <v>0.14899999999999999</v>
      </c>
      <c r="F259" s="3263">
        <v>0.14699999999999999</v>
      </c>
      <c r="G259" s="3264">
        <v>0.14599999999999999</v>
      </c>
    </row>
    <row r="260" spans="1:7">
      <c r="A260" s="3273" t="s">
        <v>305</v>
      </c>
      <c r="B260" s="3262" t="s">
        <v>2953</v>
      </c>
      <c r="C260" s="3263">
        <v>0.109</v>
      </c>
      <c r="D260" s="3263">
        <v>0.111</v>
      </c>
      <c r="E260" s="3263">
        <v>0.13100000000000001</v>
      </c>
      <c r="F260" s="3263">
        <v>0.126</v>
      </c>
      <c r="G260" s="3264">
        <v>0.11899999999999999</v>
      </c>
    </row>
    <row r="261" spans="1:7">
      <c r="A261" s="3273" t="s">
        <v>305</v>
      </c>
      <c r="B261" s="3262" t="s">
        <v>2960</v>
      </c>
      <c r="C261" s="3263">
        <v>0.1</v>
      </c>
      <c r="D261" s="3263">
        <v>0.1</v>
      </c>
      <c r="E261" s="3263">
        <v>0.11799999999999999</v>
      </c>
      <c r="F261" s="3263">
        <v>0.108</v>
      </c>
      <c r="G261" s="3264">
        <v>0.107</v>
      </c>
    </row>
    <row r="262" spans="1:7">
      <c r="A262" s="3273" t="s">
        <v>305</v>
      </c>
      <c r="B262" s="3262" t="s">
        <v>2966</v>
      </c>
      <c r="C262" s="3263">
        <v>0.1</v>
      </c>
      <c r="D262" s="3263">
        <v>0.1</v>
      </c>
      <c r="E262" s="3263">
        <v>0.1</v>
      </c>
      <c r="F262" s="3263">
        <v>0.14099999999999999</v>
      </c>
      <c r="G262" s="3264">
        <v>0.1</v>
      </c>
    </row>
    <row r="263" spans="1:7">
      <c r="A263" s="3273" t="s">
        <v>305</v>
      </c>
      <c r="B263" s="3262" t="s">
        <v>2973</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2984</v>
      </c>
      <c r="C265" s="3274"/>
      <c r="D265" s="3274"/>
      <c r="E265" s="3274"/>
      <c r="F265" s="3263">
        <v>0.05</v>
      </c>
      <c r="G265" s="3280"/>
    </row>
    <row r="266" spans="1:7">
      <c r="A266" s="3273" t="s">
        <v>305</v>
      </c>
      <c r="B266" s="3262" t="s">
        <v>2988</v>
      </c>
      <c r="C266" s="3274"/>
      <c r="D266" s="3274"/>
      <c r="E266" s="3274"/>
      <c r="F266" s="3263">
        <v>0.05</v>
      </c>
      <c r="G266" s="3280"/>
    </row>
    <row r="267" spans="1:7">
      <c r="A267" s="3273" t="s">
        <v>305</v>
      </c>
      <c r="B267" s="3262" t="s">
        <v>2993</v>
      </c>
      <c r="C267" s="3274"/>
      <c r="D267" s="3274"/>
      <c r="E267" s="3274"/>
      <c r="F267" s="3263">
        <v>0.05</v>
      </c>
      <c r="G267" s="3280"/>
    </row>
    <row r="268" spans="1:7">
      <c r="A268" s="3273" t="s">
        <v>305</v>
      </c>
      <c r="B268" s="3262" t="s">
        <v>2998</v>
      </c>
      <c r="C268" s="3274"/>
      <c r="D268" s="3274"/>
      <c r="E268" s="3274"/>
      <c r="F268" s="3263">
        <v>0.05</v>
      </c>
      <c r="G268" s="3280"/>
    </row>
    <row r="269" spans="1:7">
      <c r="A269" s="3273" t="s">
        <v>305</v>
      </c>
      <c r="B269" s="3262" t="s">
        <v>3003</v>
      </c>
      <c r="C269" s="3274"/>
      <c r="D269" s="3274"/>
      <c r="E269" s="3274"/>
      <c r="F269" s="3263">
        <v>0.05</v>
      </c>
      <c r="G269" s="3280"/>
    </row>
    <row r="270" spans="1:7">
      <c r="A270" s="3273" t="s">
        <v>305</v>
      </c>
      <c r="B270" s="3262" t="s">
        <v>3008</v>
      </c>
      <c r="C270" s="3274"/>
      <c r="D270" s="3274"/>
      <c r="E270" s="3274"/>
      <c r="F270" s="3263">
        <v>0.05</v>
      </c>
      <c r="G270" s="3280"/>
    </row>
    <row r="271" spans="1:7">
      <c r="A271" s="3273" t="s">
        <v>305</v>
      </c>
      <c r="B271" s="3262" t="s">
        <v>3212</v>
      </c>
      <c r="C271" s="3274"/>
      <c r="D271" s="3274"/>
      <c r="E271" s="3274"/>
      <c r="F271" s="3263">
        <v>0.05</v>
      </c>
      <c r="G271" s="3280"/>
    </row>
    <row r="272" spans="1:7">
      <c r="A272" s="3273" t="s">
        <v>305</v>
      </c>
      <c r="B272" s="3262" t="s">
        <v>3213</v>
      </c>
      <c r="C272" s="3274"/>
      <c r="D272" s="3274"/>
      <c r="E272" s="3274"/>
      <c r="F272" s="3263">
        <v>0.05</v>
      </c>
      <c r="G272" s="3280"/>
    </row>
    <row r="273" spans="1:7">
      <c r="A273" s="3273" t="s">
        <v>305</v>
      </c>
      <c r="B273" s="3262" t="s">
        <v>3214</v>
      </c>
      <c r="C273" s="3274"/>
      <c r="D273" s="3274"/>
      <c r="E273" s="3274"/>
      <c r="F273" s="3263">
        <v>0.05</v>
      </c>
      <c r="G273" s="3280"/>
    </row>
    <row r="274" spans="1:7">
      <c r="A274" s="3273" t="s">
        <v>305</v>
      </c>
      <c r="B274" s="3262" t="s">
        <v>3215</v>
      </c>
      <c r="C274" s="3274"/>
      <c r="D274" s="3274"/>
      <c r="E274" s="3274"/>
      <c r="F274" s="3263">
        <v>0.05</v>
      </c>
      <c r="G274" s="3280"/>
    </row>
    <row r="275" spans="1:7">
      <c r="A275" s="3273" t="s">
        <v>305</v>
      </c>
      <c r="B275" s="3262" t="s">
        <v>3216</v>
      </c>
      <c r="C275" s="3274"/>
      <c r="D275" s="3274"/>
      <c r="E275" s="3274"/>
      <c r="F275" s="3263">
        <v>0.05</v>
      </c>
      <c r="G275" s="3280"/>
    </row>
    <row r="276" spans="1:7" ht="14.25" thickBot="1">
      <c r="A276" s="3276" t="s">
        <v>305</v>
      </c>
      <c r="B276" s="3266" t="s">
        <v>3217</v>
      </c>
      <c r="C276" s="3268"/>
      <c r="D276" s="3268"/>
      <c r="E276" s="3268"/>
      <c r="F276" s="3267">
        <v>0.05</v>
      </c>
      <c r="G276" s="3281"/>
    </row>
    <row r="277" spans="1:7">
      <c r="A277" s="3272" t="s">
        <v>306</v>
      </c>
      <c r="B277" s="3258" t="s">
        <v>2861</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2873</v>
      </c>
      <c r="C279" s="3263">
        <v>0.15</v>
      </c>
      <c r="D279" s="3263">
        <v>0.15</v>
      </c>
      <c r="E279" s="3263">
        <v>0.15</v>
      </c>
      <c r="F279" s="3263">
        <v>0.15</v>
      </c>
      <c r="G279" s="3264">
        <v>0.15</v>
      </c>
    </row>
    <row r="280" spans="1:7">
      <c r="A280" s="3273" t="s">
        <v>306</v>
      </c>
      <c r="B280" s="3262" t="s">
        <v>2877</v>
      </c>
      <c r="C280" s="3263">
        <v>0.15</v>
      </c>
      <c r="D280" s="3263">
        <v>0.15</v>
      </c>
      <c r="E280" s="3263">
        <v>0.15</v>
      </c>
      <c r="F280" s="3263">
        <v>0.15</v>
      </c>
      <c r="G280" s="3264">
        <v>0.15</v>
      </c>
    </row>
    <row r="281" spans="1:7">
      <c r="A281" s="3273" t="s">
        <v>306</v>
      </c>
      <c r="B281" s="3262" t="s">
        <v>2881</v>
      </c>
      <c r="C281" s="3263">
        <v>0.15</v>
      </c>
      <c r="D281" s="3263">
        <v>0.15</v>
      </c>
      <c r="E281" s="3263">
        <v>0.15</v>
      </c>
      <c r="F281" s="3263">
        <v>0.15</v>
      </c>
      <c r="G281" s="3264">
        <v>0.15</v>
      </c>
    </row>
    <row r="282" spans="1:7">
      <c r="A282" s="3273" t="s">
        <v>306</v>
      </c>
      <c r="B282" s="3262" t="s">
        <v>2885</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2900</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2905</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2915</v>
      </c>
      <c r="C293" s="3263">
        <v>0.15</v>
      </c>
      <c r="D293" s="3263">
        <v>0.15</v>
      </c>
      <c r="E293" s="3263">
        <v>0.15</v>
      </c>
      <c r="F293" s="3263">
        <v>0.14499999999999999</v>
      </c>
      <c r="G293" s="3264">
        <v>0.15</v>
      </c>
    </row>
    <row r="294" spans="1:7">
      <c r="A294" s="3273" t="s">
        <v>306</v>
      </c>
      <c r="B294" s="3262" t="s">
        <v>2917</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2934</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2947</v>
      </c>
      <c r="C302" s="3263">
        <v>0.15</v>
      </c>
      <c r="D302" s="3263">
        <v>0.15</v>
      </c>
      <c r="E302" s="3263">
        <v>0.15</v>
      </c>
      <c r="F302" s="3263">
        <v>0.14699999999999999</v>
      </c>
      <c r="G302" s="3264">
        <v>0.15</v>
      </c>
    </row>
    <row r="303" spans="1:7">
      <c r="A303" s="3273" t="s">
        <v>306</v>
      </c>
      <c r="B303" s="3262" t="s">
        <v>2954</v>
      </c>
      <c r="C303" s="3263">
        <v>0.15</v>
      </c>
      <c r="D303" s="3263">
        <v>0.15</v>
      </c>
      <c r="E303" s="3263">
        <v>0.15</v>
      </c>
      <c r="F303" s="3263">
        <v>0.14199999999999999</v>
      </c>
      <c r="G303" s="3264">
        <v>0.15</v>
      </c>
    </row>
    <row r="304" spans="1:7">
      <c r="A304" s="3273" t="s">
        <v>306</v>
      </c>
      <c r="B304" s="3262" t="s">
        <v>2961</v>
      </c>
      <c r="C304" s="3263">
        <v>0.15</v>
      </c>
      <c r="D304" s="3263">
        <v>0.15</v>
      </c>
      <c r="E304" s="3263">
        <v>0.15</v>
      </c>
      <c r="F304" s="3263">
        <v>0.14499999999999999</v>
      </c>
      <c r="G304" s="3264">
        <v>0.15</v>
      </c>
    </row>
    <row r="305" spans="1:7">
      <c r="A305" s="3273" t="s">
        <v>306</v>
      </c>
      <c r="B305" s="3262" t="s">
        <v>2967</v>
      </c>
      <c r="C305" s="3263">
        <v>0.15</v>
      </c>
      <c r="D305" s="3263">
        <v>0.15</v>
      </c>
      <c r="E305" s="3263">
        <v>0.15</v>
      </c>
      <c r="F305" s="3263">
        <v>0.111</v>
      </c>
      <c r="G305" s="3264">
        <v>0.15</v>
      </c>
    </row>
    <row r="306" spans="1:7">
      <c r="A306" s="3273" t="s">
        <v>306</v>
      </c>
      <c r="B306" s="3262" t="s">
        <v>2974</v>
      </c>
      <c r="C306" s="3263">
        <v>0.15</v>
      </c>
      <c r="D306" s="3263">
        <v>0.15</v>
      </c>
      <c r="E306" s="3263">
        <v>0.15</v>
      </c>
      <c r="F306" s="3263">
        <v>0.126</v>
      </c>
      <c r="G306" s="3264">
        <v>0.15</v>
      </c>
    </row>
    <row r="307" spans="1:7">
      <c r="A307" s="3273" t="s">
        <v>306</v>
      </c>
      <c r="B307" s="3262" t="s">
        <v>2979</v>
      </c>
      <c r="C307" s="3263">
        <v>0.15</v>
      </c>
      <c r="D307" s="3263">
        <v>0.15</v>
      </c>
      <c r="E307" s="3263">
        <v>0.15</v>
      </c>
      <c r="F307" s="3263">
        <v>0.12</v>
      </c>
      <c r="G307" s="3264">
        <v>0.15</v>
      </c>
    </row>
    <row r="308" spans="1:7">
      <c r="A308" s="3273" t="s">
        <v>306</v>
      </c>
      <c r="B308" s="3262" t="s">
        <v>2985</v>
      </c>
      <c r="C308" s="3263">
        <v>0.15</v>
      </c>
      <c r="D308" s="3263">
        <v>0.15</v>
      </c>
      <c r="E308" s="3263">
        <v>0.15</v>
      </c>
      <c r="F308" s="3263">
        <v>0.13</v>
      </c>
      <c r="G308" s="3264">
        <v>0.15</v>
      </c>
    </row>
    <row r="309" spans="1:7">
      <c r="A309" s="3273" t="s">
        <v>306</v>
      </c>
      <c r="B309" s="3262" t="s">
        <v>2989</v>
      </c>
      <c r="C309" s="3263">
        <v>0.15</v>
      </c>
      <c r="D309" s="3263">
        <v>0.15</v>
      </c>
      <c r="E309" s="3263">
        <v>0.15</v>
      </c>
      <c r="F309" s="3263">
        <v>0.14099999999999999</v>
      </c>
      <c r="G309" s="3264">
        <v>0.15</v>
      </c>
    </row>
    <row r="310" spans="1:7">
      <c r="A310" s="3273" t="s">
        <v>306</v>
      </c>
      <c r="B310" s="3262" t="s">
        <v>2994</v>
      </c>
      <c r="C310" s="3263">
        <v>0.15</v>
      </c>
      <c r="D310" s="3263">
        <v>0.15</v>
      </c>
      <c r="E310" s="3263">
        <v>0.15</v>
      </c>
      <c r="F310" s="3263">
        <v>0.15</v>
      </c>
      <c r="G310" s="3264">
        <v>0.15</v>
      </c>
    </row>
    <row r="311" spans="1:7">
      <c r="A311" s="3273" t="s">
        <v>306</v>
      </c>
      <c r="B311" s="3262" t="s">
        <v>2999</v>
      </c>
      <c r="C311" s="3263">
        <v>0.13200000000000001</v>
      </c>
      <c r="D311" s="3263">
        <v>0.13300000000000001</v>
      </c>
      <c r="E311" s="3263">
        <v>0.14499999999999999</v>
      </c>
      <c r="F311" s="3263">
        <v>0.14199999999999999</v>
      </c>
      <c r="G311" s="3264">
        <v>0.14000000000000001</v>
      </c>
    </row>
    <row r="312" spans="1:7">
      <c r="A312" s="3273" t="s">
        <v>306</v>
      </c>
      <c r="B312" s="3262" t="s">
        <v>3004</v>
      </c>
      <c r="C312" s="3263">
        <v>0.13800000000000001</v>
      </c>
      <c r="D312" s="3263">
        <v>0.14000000000000001</v>
      </c>
      <c r="E312" s="3263">
        <v>0.14599999999999999</v>
      </c>
      <c r="F312" s="3263">
        <v>0.14899999999999999</v>
      </c>
      <c r="G312" s="3264">
        <v>0.14199999999999999</v>
      </c>
    </row>
    <row r="313" spans="1:7">
      <c r="A313" s="3273" t="s">
        <v>306</v>
      </c>
      <c r="B313" s="3262" t="s">
        <v>3009</v>
      </c>
      <c r="C313" s="3263">
        <v>0.125</v>
      </c>
      <c r="D313" s="3263">
        <v>0.127</v>
      </c>
      <c r="E313" s="3263">
        <v>0.14399999999999999</v>
      </c>
      <c r="F313" s="3263">
        <v>0.115</v>
      </c>
      <c r="G313" s="3264">
        <v>0.13600000000000001</v>
      </c>
    </row>
    <row r="314" spans="1:7">
      <c r="A314" s="3273" t="s">
        <v>306</v>
      </c>
      <c r="B314" s="3262" t="s">
        <v>3218</v>
      </c>
      <c r="C314" s="3279"/>
      <c r="D314" s="3279"/>
      <c r="E314" s="3279"/>
      <c r="F314" s="3263">
        <v>0.05</v>
      </c>
      <c r="G314" s="3280"/>
    </row>
    <row r="315" spans="1:7">
      <c r="A315" s="3273" t="s">
        <v>306</v>
      </c>
      <c r="B315" s="3262" t="s">
        <v>3219</v>
      </c>
      <c r="C315" s="3279"/>
      <c r="D315" s="3279"/>
      <c r="E315" s="3279"/>
      <c r="F315" s="3263">
        <v>0.05</v>
      </c>
      <c r="G315" s="3280"/>
    </row>
    <row r="316" spans="1:7">
      <c r="A316" s="3273" t="s">
        <v>306</v>
      </c>
      <c r="B316" s="3262" t="s">
        <v>3220</v>
      </c>
      <c r="C316" s="3274"/>
      <c r="D316" s="3274"/>
      <c r="E316" s="3274"/>
      <c r="F316" s="3263">
        <v>0.05</v>
      </c>
      <c r="G316" s="3280"/>
    </row>
    <row r="317" spans="1:7">
      <c r="A317" s="3273" t="s">
        <v>306</v>
      </c>
      <c r="B317" s="3262" t="s">
        <v>3221</v>
      </c>
      <c r="C317" s="3274"/>
      <c r="D317" s="3274"/>
      <c r="E317" s="3274"/>
      <c r="F317" s="3263">
        <v>0.05</v>
      </c>
      <c r="G317" s="3280"/>
    </row>
    <row r="318" spans="1:7">
      <c r="A318" s="3273" t="s">
        <v>306</v>
      </c>
      <c r="B318" s="3262" t="s">
        <v>3222</v>
      </c>
      <c r="C318" s="3274"/>
      <c r="D318" s="3274"/>
      <c r="E318" s="3274"/>
      <c r="F318" s="3263">
        <v>0.05</v>
      </c>
      <c r="G318" s="3280"/>
    </row>
    <row r="319" spans="1:7">
      <c r="A319" s="3273" t="s">
        <v>306</v>
      </c>
      <c r="B319" s="3262" t="s">
        <v>3223</v>
      </c>
      <c r="C319" s="3274"/>
      <c r="D319" s="3274"/>
      <c r="E319" s="3274"/>
      <c r="F319" s="3263">
        <v>0.05</v>
      </c>
      <c r="G319" s="3280"/>
    </row>
    <row r="320" spans="1:7">
      <c r="A320" s="3273" t="s">
        <v>306</v>
      </c>
      <c r="B320" s="3262" t="s">
        <v>3224</v>
      </c>
      <c r="C320" s="3274"/>
      <c r="D320" s="3274"/>
      <c r="E320" s="3274"/>
      <c r="F320" s="3263">
        <v>0.05</v>
      </c>
      <c r="G320" s="3280"/>
    </row>
    <row r="321" spans="1:7">
      <c r="A321" s="3273" t="s">
        <v>306</v>
      </c>
      <c r="B321" s="3262" t="s">
        <v>3225</v>
      </c>
      <c r="C321" s="3274"/>
      <c r="D321" s="3274"/>
      <c r="E321" s="3274"/>
      <c r="F321" s="3263">
        <v>0.05</v>
      </c>
      <c r="G321" s="3280"/>
    </row>
    <row r="322" spans="1:7">
      <c r="A322" s="3273" t="s">
        <v>306</v>
      </c>
      <c r="B322" s="3262" t="s">
        <v>3226</v>
      </c>
      <c r="C322" s="3274"/>
      <c r="D322" s="3274"/>
      <c r="E322" s="3274"/>
      <c r="F322" s="3263">
        <v>0.05</v>
      </c>
      <c r="G322" s="3280"/>
    </row>
    <row r="323" spans="1:7">
      <c r="A323" s="3273" t="s">
        <v>306</v>
      </c>
      <c r="B323" s="3262" t="s">
        <v>3227</v>
      </c>
      <c r="C323" s="3274"/>
      <c r="D323" s="3274"/>
      <c r="E323" s="3274"/>
      <c r="F323" s="3263">
        <v>0.05</v>
      </c>
      <c r="G323" s="3280"/>
    </row>
    <row r="324" spans="1:7">
      <c r="A324" s="3273" t="s">
        <v>306</v>
      </c>
      <c r="B324" s="3262" t="s">
        <v>3228</v>
      </c>
      <c r="C324" s="3274"/>
      <c r="D324" s="3274"/>
      <c r="E324" s="3274"/>
      <c r="F324" s="3263">
        <v>0.05</v>
      </c>
      <c r="G324" s="3280"/>
    </row>
    <row r="325" spans="1:7">
      <c r="A325" s="3273" t="s">
        <v>306</v>
      </c>
      <c r="B325" s="3262" t="s">
        <v>3229</v>
      </c>
      <c r="C325" s="3274"/>
      <c r="D325" s="3274"/>
      <c r="E325" s="3274"/>
      <c r="F325" s="3263">
        <v>0.05</v>
      </c>
      <c r="G325" s="3280"/>
    </row>
    <row r="326" spans="1:7" ht="14.25" thickBot="1">
      <c r="A326" s="3276" t="s">
        <v>306</v>
      </c>
      <c r="B326" s="3266" t="s">
        <v>3230</v>
      </c>
      <c r="C326" s="3268"/>
      <c r="D326" s="3268"/>
      <c r="E326" s="3268"/>
      <c r="F326" s="3267">
        <v>0.05</v>
      </c>
      <c r="G326" s="3281"/>
    </row>
    <row r="327" spans="1:7">
      <c r="A327" s="3272" t="s">
        <v>307</v>
      </c>
      <c r="B327" s="3258" t="s">
        <v>2862</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2874</v>
      </c>
      <c r="C329" s="3263">
        <v>0.15</v>
      </c>
      <c r="D329" s="3263">
        <v>0.15</v>
      </c>
      <c r="E329" s="3263">
        <v>0.15</v>
      </c>
      <c r="F329" s="3263">
        <v>0.15</v>
      </c>
      <c r="G329" s="3264">
        <v>0.15</v>
      </c>
    </row>
    <row r="330" spans="1:7">
      <c r="A330" s="3273" t="s">
        <v>307</v>
      </c>
      <c r="B330" s="3262" t="s">
        <v>2878</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2886</v>
      </c>
      <c r="C332" s="3263">
        <v>0.15</v>
      </c>
      <c r="D332" s="3263">
        <v>0.15</v>
      </c>
      <c r="E332" s="3263">
        <v>0.15</v>
      </c>
      <c r="F332" s="3263">
        <v>0.15</v>
      </c>
      <c r="G332" s="3264">
        <v>0.15</v>
      </c>
    </row>
    <row r="333" spans="1:7">
      <c r="A333" s="3273" t="s">
        <v>307</v>
      </c>
      <c r="B333" s="3262" t="s">
        <v>2890</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2896</v>
      </c>
      <c r="C336" s="3263">
        <v>0.15</v>
      </c>
      <c r="D336" s="3263">
        <v>0.15</v>
      </c>
      <c r="E336" s="3263">
        <v>0.15</v>
      </c>
      <c r="F336" s="3263">
        <v>0.14199999999999999</v>
      </c>
      <c r="G336" s="3264">
        <v>0.15</v>
      </c>
    </row>
    <row r="337" spans="1:7">
      <c r="A337" s="3273" t="s">
        <v>307</v>
      </c>
      <c r="B337" s="3262" t="s">
        <v>2901</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2908</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2913</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2921</v>
      </c>
      <c r="C345" s="3263">
        <v>0.15</v>
      </c>
      <c r="D345" s="3263">
        <v>0.15</v>
      </c>
      <c r="E345" s="3263">
        <v>0.15</v>
      </c>
      <c r="F345" s="3263">
        <v>0.13800000000000001</v>
      </c>
      <c r="G345" s="3264">
        <v>0.15</v>
      </c>
    </row>
    <row r="346" spans="1:7">
      <c r="A346" s="3273" t="s">
        <v>307</v>
      </c>
      <c r="B346" s="3262" t="s">
        <v>2923</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2930</v>
      </c>
      <c r="C348" s="3263">
        <v>0.15</v>
      </c>
      <c r="D348" s="3263">
        <v>0.15</v>
      </c>
      <c r="E348" s="3263">
        <v>0.15</v>
      </c>
      <c r="F348" s="3263">
        <v>0.14399999999999999</v>
      </c>
      <c r="G348" s="3264">
        <v>0.15</v>
      </c>
    </row>
    <row r="349" spans="1:7">
      <c r="A349" s="3273" t="s">
        <v>307</v>
      </c>
      <c r="B349" s="3262" t="s">
        <v>2935</v>
      </c>
      <c r="C349" s="3263">
        <v>0.15</v>
      </c>
      <c r="D349" s="3263">
        <v>0.15</v>
      </c>
      <c r="E349" s="3263">
        <v>0.15</v>
      </c>
      <c r="F349" s="3263">
        <v>0.15</v>
      </c>
      <c r="G349" s="3264">
        <v>0.15</v>
      </c>
    </row>
    <row r="350" spans="1:7">
      <c r="A350" s="3273" t="s">
        <v>307</v>
      </c>
      <c r="B350" s="3262" t="s">
        <v>2938</v>
      </c>
      <c r="C350" s="3263">
        <v>0.15</v>
      </c>
      <c r="D350" s="3263">
        <v>0.15</v>
      </c>
      <c r="E350" s="3263">
        <v>0.15</v>
      </c>
      <c r="F350" s="3263">
        <v>0.14699999999999999</v>
      </c>
      <c r="G350" s="3264">
        <v>0.15</v>
      </c>
    </row>
    <row r="351" spans="1:7">
      <c r="A351" s="3273" t="s">
        <v>307</v>
      </c>
      <c r="B351" s="3262" t="s">
        <v>2943</v>
      </c>
      <c r="C351" s="3263">
        <v>0.15</v>
      </c>
      <c r="D351" s="3263">
        <v>0.15</v>
      </c>
      <c r="E351" s="3263">
        <v>0.15</v>
      </c>
      <c r="F351" s="3263">
        <v>0.13</v>
      </c>
      <c r="G351" s="3264">
        <v>0.15</v>
      </c>
    </row>
    <row r="352" spans="1:7">
      <c r="A352" s="3273" t="s">
        <v>307</v>
      </c>
      <c r="B352" s="3262" t="s">
        <v>2948</v>
      </c>
      <c r="C352" s="3263">
        <v>0.15</v>
      </c>
      <c r="D352" s="3263">
        <v>0.15</v>
      </c>
      <c r="E352" s="3263">
        <v>0.15</v>
      </c>
      <c r="F352" s="3263">
        <v>0.14599999999999999</v>
      </c>
      <c r="G352" s="3264">
        <v>0.15</v>
      </c>
    </row>
    <row r="353" spans="1:7">
      <c r="A353" s="3273" t="s">
        <v>307</v>
      </c>
      <c r="B353" s="3262" t="s">
        <v>2955</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2968</v>
      </c>
      <c r="C355" s="3263">
        <v>0.15</v>
      </c>
      <c r="D355" s="3263">
        <v>0.15</v>
      </c>
      <c r="E355" s="3263">
        <v>0.15</v>
      </c>
      <c r="F355" s="3263">
        <v>0.15</v>
      </c>
      <c r="G355" s="3264">
        <v>0.15</v>
      </c>
    </row>
    <row r="356" spans="1:7">
      <c r="A356" s="3273" t="s">
        <v>307</v>
      </c>
      <c r="B356" s="3262" t="s">
        <v>2975</v>
      </c>
      <c r="C356" s="3263">
        <v>0.15</v>
      </c>
      <c r="D356" s="3263">
        <v>0.15</v>
      </c>
      <c r="E356" s="3263">
        <v>0.15</v>
      </c>
      <c r="F356" s="3263">
        <v>0.15</v>
      </c>
      <c r="G356" s="3264">
        <v>0.15</v>
      </c>
    </row>
    <row r="357" spans="1:7" ht="14.25" thickBot="1">
      <c r="A357" s="3276" t="s">
        <v>307</v>
      </c>
      <c r="B357" s="3266" t="s">
        <v>2980</v>
      </c>
      <c r="C357" s="3267">
        <v>0.126</v>
      </c>
      <c r="D357" s="3267">
        <v>0.127</v>
      </c>
      <c r="E357" s="3267">
        <v>0.14299999999999999</v>
      </c>
      <c r="F357" s="3267">
        <v>0.125</v>
      </c>
      <c r="G357" s="3269">
        <v>0.129</v>
      </c>
    </row>
    <row r="358" spans="1:7">
      <c r="A358" s="3272" t="s">
        <v>2849</v>
      </c>
      <c r="B358" s="3258" t="s">
        <v>2863</v>
      </c>
      <c r="C358" s="3259">
        <v>0.15</v>
      </c>
      <c r="D358" s="3259">
        <v>0.15</v>
      </c>
      <c r="E358" s="3259">
        <v>0.15</v>
      </c>
      <c r="F358" s="3259">
        <v>0.15</v>
      </c>
      <c r="G358" s="3260">
        <v>0.15</v>
      </c>
    </row>
    <row r="359" spans="1:7">
      <c r="A359" s="3273" t="s">
        <v>2849</v>
      </c>
      <c r="B359" s="3262" t="s">
        <v>2869</v>
      </c>
      <c r="C359" s="3263">
        <v>0.1</v>
      </c>
      <c r="D359" s="3263">
        <v>0.1</v>
      </c>
      <c r="E359" s="3263">
        <v>0.1</v>
      </c>
      <c r="F359" s="3263">
        <v>0.1</v>
      </c>
      <c r="G359" s="3264">
        <v>0.1</v>
      </c>
    </row>
    <row r="360" spans="1:7">
      <c r="A360" s="3273" t="s">
        <v>2849</v>
      </c>
      <c r="B360" s="3262" t="s">
        <v>2875</v>
      </c>
      <c r="C360" s="3263">
        <v>0.15</v>
      </c>
      <c r="D360" s="3263">
        <v>0.15</v>
      </c>
      <c r="E360" s="3263">
        <v>0.15</v>
      </c>
      <c r="F360" s="3263">
        <v>0.14899999999999999</v>
      </c>
      <c r="G360" s="3264">
        <v>0.15</v>
      </c>
    </row>
    <row r="361" spans="1:7">
      <c r="A361" s="3273" t="s">
        <v>2849</v>
      </c>
      <c r="B361" s="3262" t="s">
        <v>153</v>
      </c>
      <c r="C361" s="3263">
        <v>0.15</v>
      </c>
      <c r="D361" s="3263">
        <v>0.15</v>
      </c>
      <c r="E361" s="3263">
        <v>0.15</v>
      </c>
      <c r="F361" s="3263">
        <v>0.115</v>
      </c>
      <c r="G361" s="3264">
        <v>0.15</v>
      </c>
    </row>
    <row r="362" spans="1:7">
      <c r="A362" s="3273" t="s">
        <v>2849</v>
      </c>
      <c r="B362" s="3262" t="s">
        <v>2882</v>
      </c>
      <c r="C362" s="3263">
        <v>0.15</v>
      </c>
      <c r="D362" s="3263">
        <v>0.15</v>
      </c>
      <c r="E362" s="3263">
        <v>0.15</v>
      </c>
      <c r="F362" s="3263">
        <v>0.106</v>
      </c>
      <c r="G362" s="3264">
        <v>0.15</v>
      </c>
    </row>
    <row r="363" spans="1:7">
      <c r="A363" s="3273" t="s">
        <v>2849</v>
      </c>
      <c r="B363" s="3262" t="s">
        <v>2887</v>
      </c>
      <c r="C363" s="3263">
        <v>0.15</v>
      </c>
      <c r="D363" s="3263">
        <v>0.15</v>
      </c>
      <c r="E363" s="3263">
        <v>0.15</v>
      </c>
      <c r="F363" s="3263">
        <v>0.14699999999999999</v>
      </c>
      <c r="G363" s="3264">
        <v>0.15</v>
      </c>
    </row>
    <row r="364" spans="1:7">
      <c r="A364" s="3273" t="s">
        <v>2849</v>
      </c>
      <c r="B364" s="3262" t="s">
        <v>2891</v>
      </c>
      <c r="C364" s="3263">
        <v>0.15</v>
      </c>
      <c r="D364" s="3263">
        <v>0.15</v>
      </c>
      <c r="E364" s="3263">
        <v>0.15</v>
      </c>
      <c r="F364" s="3263">
        <v>0.14799999999999999</v>
      </c>
      <c r="G364" s="3264">
        <v>0.15</v>
      </c>
    </row>
    <row r="365" spans="1:7">
      <c r="A365" s="3273" t="s">
        <v>2849</v>
      </c>
      <c r="B365" s="3262" t="s">
        <v>200</v>
      </c>
      <c r="C365" s="3263">
        <v>0.15</v>
      </c>
      <c r="D365" s="3263">
        <v>0.15</v>
      </c>
      <c r="E365" s="3263">
        <v>0.15</v>
      </c>
      <c r="F365" s="3263">
        <v>0.15</v>
      </c>
      <c r="G365" s="3264">
        <v>0.15</v>
      </c>
    </row>
    <row r="366" spans="1:7">
      <c r="A366" s="3273" t="s">
        <v>2849</v>
      </c>
      <c r="B366" s="3262" t="s">
        <v>2894</v>
      </c>
      <c r="C366" s="3263">
        <v>0.15</v>
      </c>
      <c r="D366" s="3263">
        <v>0.15</v>
      </c>
      <c r="E366" s="3263">
        <v>0.15</v>
      </c>
      <c r="F366" s="3263">
        <v>0.15</v>
      </c>
      <c r="G366" s="3264">
        <v>0.15</v>
      </c>
    </row>
    <row r="367" spans="1:7">
      <c r="A367" s="3273" t="s">
        <v>2849</v>
      </c>
      <c r="B367" s="3262" t="s">
        <v>2897</v>
      </c>
      <c r="C367" s="3263">
        <v>0.15</v>
      </c>
      <c r="D367" s="3263">
        <v>0.15</v>
      </c>
      <c r="E367" s="3263">
        <v>0.15</v>
      </c>
      <c r="F367" s="3263">
        <v>0.14699999999999999</v>
      </c>
      <c r="G367" s="3264">
        <v>0.15</v>
      </c>
    </row>
    <row r="368" spans="1:7">
      <c r="A368" s="3273" t="s">
        <v>2849</v>
      </c>
      <c r="B368" s="3262" t="s">
        <v>2902</v>
      </c>
      <c r="C368" s="3263">
        <v>0.15</v>
      </c>
      <c r="D368" s="3263">
        <v>0.15</v>
      </c>
      <c r="E368" s="3263">
        <v>0.15</v>
      </c>
      <c r="F368" s="3263">
        <v>0.13600000000000001</v>
      </c>
      <c r="G368" s="3264">
        <v>0.15</v>
      </c>
    </row>
    <row r="369" spans="1:7">
      <c r="A369" s="3273" t="s">
        <v>2849</v>
      </c>
      <c r="B369" s="3262" t="s">
        <v>214</v>
      </c>
      <c r="C369" s="3263">
        <v>0.15</v>
      </c>
      <c r="D369" s="3263">
        <v>0.15</v>
      </c>
      <c r="E369" s="3263">
        <v>0.15</v>
      </c>
      <c r="F369" s="3263">
        <v>0.14399999999999999</v>
      </c>
      <c r="G369" s="3264">
        <v>0.15</v>
      </c>
    </row>
    <row r="370" spans="1:7">
      <c r="A370" s="3273" t="s">
        <v>2849</v>
      </c>
      <c r="B370" s="3262" t="s">
        <v>221</v>
      </c>
      <c r="C370" s="3263">
        <v>0.15</v>
      </c>
      <c r="D370" s="3263">
        <v>0.15</v>
      </c>
      <c r="E370" s="3263">
        <v>0.15</v>
      </c>
      <c r="F370" s="3263">
        <v>0.14599999999999999</v>
      </c>
      <c r="G370" s="3264">
        <v>0.15</v>
      </c>
    </row>
    <row r="371" spans="1:7">
      <c r="A371" s="3273" t="s">
        <v>2849</v>
      </c>
      <c r="B371" s="3262" t="s">
        <v>229</v>
      </c>
      <c r="C371" s="3263">
        <v>0.15</v>
      </c>
      <c r="D371" s="3263">
        <v>0.15</v>
      </c>
      <c r="E371" s="3263">
        <v>0.15</v>
      </c>
      <c r="F371" s="3263">
        <v>0.12</v>
      </c>
      <c r="G371" s="3264">
        <v>0.15</v>
      </c>
    </row>
    <row r="372" spans="1:7">
      <c r="A372" s="3273" t="s">
        <v>2849</v>
      </c>
      <c r="B372" s="3262" t="s">
        <v>2910</v>
      </c>
      <c r="C372" s="3263">
        <v>0.15</v>
      </c>
      <c r="D372" s="3263">
        <v>0.15</v>
      </c>
      <c r="E372" s="3263">
        <v>0.15</v>
      </c>
      <c r="F372" s="3263">
        <v>0.14299999999999999</v>
      </c>
      <c r="G372" s="3264">
        <v>0.15</v>
      </c>
    </row>
    <row r="373" spans="1:7">
      <c r="A373" s="3273" t="s">
        <v>2849</v>
      </c>
      <c r="B373" s="3262" t="s">
        <v>258</v>
      </c>
      <c r="C373" s="3263">
        <v>0.15</v>
      </c>
      <c r="D373" s="3263">
        <v>0.15</v>
      </c>
      <c r="E373" s="3263">
        <v>0.15</v>
      </c>
      <c r="F373" s="3263">
        <v>0.14599999999999999</v>
      </c>
      <c r="G373" s="3264">
        <v>0.15</v>
      </c>
    </row>
    <row r="374" spans="1:7">
      <c r="A374" s="3273" t="s">
        <v>2849</v>
      </c>
      <c r="B374" s="3262" t="s">
        <v>266</v>
      </c>
      <c r="C374" s="3263">
        <v>0.15</v>
      </c>
      <c r="D374" s="3263">
        <v>0.15</v>
      </c>
      <c r="E374" s="3263">
        <v>0.15</v>
      </c>
      <c r="F374" s="3263">
        <v>0.14399999999999999</v>
      </c>
      <c r="G374" s="3264">
        <v>0.15</v>
      </c>
    </row>
    <row r="375" spans="1:7">
      <c r="A375" s="3273" t="s">
        <v>2849</v>
      </c>
      <c r="B375" s="3262" t="s">
        <v>2918</v>
      </c>
      <c r="C375" s="3263">
        <v>0.15</v>
      </c>
      <c r="D375" s="3263">
        <v>0.15</v>
      </c>
      <c r="E375" s="3263">
        <v>0.15</v>
      </c>
      <c r="F375" s="3263">
        <v>0.13</v>
      </c>
      <c r="G375" s="3264">
        <v>0.15</v>
      </c>
    </row>
    <row r="376" spans="1:7">
      <c r="A376" s="3273" t="s">
        <v>2849</v>
      </c>
      <c r="B376" s="3262" t="s">
        <v>277</v>
      </c>
      <c r="C376" s="3263">
        <v>0.15</v>
      </c>
      <c r="D376" s="3263">
        <v>0.15</v>
      </c>
      <c r="E376" s="3263">
        <v>0.15</v>
      </c>
      <c r="F376" s="3263">
        <v>0.14199999999999999</v>
      </c>
      <c r="G376" s="3264">
        <v>0.15</v>
      </c>
    </row>
    <row r="377" spans="1:7" ht="14.25" thickBot="1">
      <c r="A377" s="3276" t="s">
        <v>2849</v>
      </c>
      <c r="B377" s="3266" t="s">
        <v>2924</v>
      </c>
      <c r="C377" s="3267">
        <v>0.15</v>
      </c>
      <c r="D377" s="3267">
        <v>0.15</v>
      </c>
      <c r="E377" s="3267">
        <v>0.15</v>
      </c>
      <c r="F377" s="3267">
        <v>0.14000000000000001</v>
      </c>
      <c r="G377" s="3269">
        <v>0.15</v>
      </c>
    </row>
    <row r="378" spans="1:7">
      <c r="A378" s="3272" t="s">
        <v>2850</v>
      </c>
      <c r="B378" s="3258" t="s">
        <v>2864</v>
      </c>
      <c r="C378" s="3259">
        <v>0.15</v>
      </c>
      <c r="D378" s="3259">
        <v>0.15</v>
      </c>
      <c r="E378" s="3259">
        <v>0.15</v>
      </c>
      <c r="F378" s="3259">
        <v>0.107</v>
      </c>
      <c r="G378" s="3260">
        <v>0.15</v>
      </c>
    </row>
    <row r="379" spans="1:7">
      <c r="A379" s="3273" t="s">
        <v>2850</v>
      </c>
      <c r="B379" s="3262" t="s">
        <v>2870</v>
      </c>
      <c r="C379" s="3263">
        <v>0.15</v>
      </c>
      <c r="D379" s="3263">
        <v>0.15</v>
      </c>
      <c r="E379" s="3263">
        <v>0.15</v>
      </c>
      <c r="F379" s="3263">
        <v>0.115</v>
      </c>
      <c r="G379" s="3264">
        <v>0.14899999999999999</v>
      </c>
    </row>
    <row r="380" spans="1:7">
      <c r="A380" s="3273" t="s">
        <v>2850</v>
      </c>
      <c r="B380" s="3262" t="s">
        <v>2876</v>
      </c>
      <c r="C380" s="3263">
        <v>0.15</v>
      </c>
      <c r="D380" s="3263">
        <v>0.15</v>
      </c>
      <c r="E380" s="3263">
        <v>0.15</v>
      </c>
      <c r="F380" s="3263">
        <v>0.1</v>
      </c>
      <c r="G380" s="3264">
        <v>0.14799999999999999</v>
      </c>
    </row>
    <row r="381" spans="1:7">
      <c r="A381" s="3273" t="s">
        <v>2850</v>
      </c>
      <c r="B381" s="3262" t="s">
        <v>2879</v>
      </c>
      <c r="C381" s="3263">
        <v>0.15</v>
      </c>
      <c r="D381" s="3263">
        <v>0.15</v>
      </c>
      <c r="E381" s="3263">
        <v>0.15</v>
      </c>
      <c r="F381" s="3263">
        <v>0.126</v>
      </c>
      <c r="G381" s="3264">
        <v>0.15</v>
      </c>
    </row>
    <row r="382" spans="1:7">
      <c r="A382" s="3273" t="s">
        <v>2850</v>
      </c>
      <c r="B382" s="3262" t="s">
        <v>2883</v>
      </c>
      <c r="C382" s="3263">
        <v>0.15</v>
      </c>
      <c r="D382" s="3263">
        <v>0.15</v>
      </c>
      <c r="E382" s="3263">
        <v>0.15</v>
      </c>
      <c r="F382" s="3263">
        <v>0.15</v>
      </c>
      <c r="G382" s="3264">
        <v>0.15</v>
      </c>
    </row>
    <row r="383" spans="1:7">
      <c r="A383" s="3273" t="s">
        <v>2850</v>
      </c>
      <c r="B383" s="3262" t="s">
        <v>2888</v>
      </c>
      <c r="C383" s="3263">
        <v>0.15</v>
      </c>
      <c r="D383" s="3263">
        <v>0.15</v>
      </c>
      <c r="E383" s="3263">
        <v>0.15</v>
      </c>
      <c r="F383" s="3263">
        <v>0.14699999999999999</v>
      </c>
      <c r="G383" s="3264">
        <v>0.15</v>
      </c>
    </row>
    <row r="384" spans="1:7" ht="14.25" thickBot="1">
      <c r="A384" s="3283" t="s">
        <v>2850</v>
      </c>
      <c r="B384" s="3284" t="s">
        <v>2892</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8"/>
  </cols>
  <sheetData>
    <row r="1" spans="1:6">
      <c r="A1" s="4219" t="s">
        <v>3231</v>
      </c>
      <c r="B1" s="4219"/>
      <c r="C1" s="4219"/>
      <c r="D1" s="4219"/>
      <c r="E1" s="4219"/>
      <c r="F1" s="4220"/>
    </row>
    <row r="2" spans="1:6">
      <c r="A2" s="3289" t="s">
        <v>3232</v>
      </c>
      <c r="B2" s="3290"/>
      <c r="C2" s="3290"/>
      <c r="D2" s="3290"/>
      <c r="E2" s="3290"/>
      <c r="F2" s="3290"/>
    </row>
    <row r="3" spans="1:6">
      <c r="A3" s="3289" t="s">
        <v>3233</v>
      </c>
      <c r="B3" s="3290"/>
      <c r="C3" s="3290"/>
      <c r="D3" s="3290"/>
      <c r="E3" s="3290"/>
      <c r="F3" s="3291" t="s">
        <v>3234</v>
      </c>
    </row>
    <row r="4" spans="1:6">
      <c r="A4" s="3292" t="s">
        <v>670</v>
      </c>
      <c r="B4" s="3292" t="s">
        <v>671</v>
      </c>
      <c r="C4" s="3292" t="s">
        <v>21</v>
      </c>
      <c r="D4" s="3292" t="s">
        <v>672</v>
      </c>
      <c r="E4" s="3292" t="s">
        <v>3</v>
      </c>
      <c r="F4" s="3292" t="s">
        <v>3235</v>
      </c>
    </row>
    <row r="5" spans="1:6">
      <c r="A5" s="3293" t="s">
        <v>673</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8"/>
  <sheetViews>
    <sheetView zoomScale="80" zoomScaleNormal="80" workbookViewId="0">
      <selection activeCell="A5" sqref="A5:XFD5"/>
    </sheetView>
  </sheetViews>
  <sheetFormatPr defaultRowHeight="13.5"/>
  <cols>
    <col min="1" max="1" width="13.875" customWidth="1"/>
    <col min="11" max="17" width="0" hidden="1" customWidth="1"/>
    <col min="25" max="30" width="0" hidden="1" customWidth="1"/>
  </cols>
  <sheetData>
    <row r="1" spans="1:30">
      <c r="A1" s="3219">
        <f>基准地价修正!G23</f>
        <v>45575</v>
      </c>
      <c r="B1" s="3208" t="s">
        <v>3370</v>
      </c>
      <c r="C1" s="3209"/>
      <c r="D1" s="3209"/>
      <c r="E1" s="3209"/>
      <c r="F1" s="3209"/>
      <c r="G1" s="3209"/>
      <c r="H1" s="3209"/>
      <c r="I1" s="3209"/>
      <c r="J1" s="3163"/>
      <c r="K1" s="3209" t="s">
        <v>454</v>
      </c>
      <c r="L1" s="3209"/>
      <c r="M1" s="3209"/>
      <c r="N1" s="3209"/>
      <c r="O1" s="3209"/>
      <c r="P1" s="3209"/>
      <c r="Q1" s="3163"/>
      <c r="R1" s="4221" t="s">
        <v>456</v>
      </c>
      <c r="S1" s="4222"/>
      <c r="T1" s="4222"/>
      <c r="U1" s="4222"/>
      <c r="V1" s="4222"/>
      <c r="W1" s="4222"/>
      <c r="X1" s="3163"/>
      <c r="Y1" s="4221" t="s">
        <v>457</v>
      </c>
      <c r="Z1" s="4222"/>
      <c r="AA1" s="4222"/>
      <c r="AB1" s="4222"/>
      <c r="AC1" s="4222"/>
      <c r="AD1" s="4222"/>
    </row>
    <row r="2" spans="1:30" s="3141" customFormat="1" ht="14.25" thickBot="1">
      <c r="B2" s="3142"/>
      <c r="C2" s="3143"/>
      <c r="D2" s="3144" t="s">
        <v>2809</v>
      </c>
      <c r="E2" s="3145" t="s">
        <v>2810</v>
      </c>
      <c r="F2" s="3145" t="s">
        <v>2811</v>
      </c>
      <c r="G2" s="3145" t="s">
        <v>2812</v>
      </c>
      <c r="H2" s="3145" t="s">
        <v>2813</v>
      </c>
      <c r="I2" s="3145" t="s">
        <v>2630</v>
      </c>
      <c r="J2" s="3146"/>
      <c r="K2" s="3144" t="s">
        <v>2809</v>
      </c>
      <c r="L2" s="3145" t="s">
        <v>2810</v>
      </c>
      <c r="M2" s="3145" t="s">
        <v>2811</v>
      </c>
      <c r="N2" s="3145" t="s">
        <v>2812</v>
      </c>
      <c r="O2" s="3145" t="s">
        <v>2814</v>
      </c>
      <c r="P2" s="3145" t="s">
        <v>2630</v>
      </c>
      <c r="Q2" s="3146"/>
      <c r="R2" s="3144" t="s">
        <v>2809</v>
      </c>
      <c r="S2" s="3145" t="s">
        <v>2810</v>
      </c>
      <c r="T2" s="3145" t="s">
        <v>2811</v>
      </c>
      <c r="U2" s="3145" t="s">
        <v>2815</v>
      </c>
      <c r="V2" s="3145" t="s">
        <v>2816</v>
      </c>
      <c r="W2" s="3145" t="s">
        <v>2630</v>
      </c>
      <c r="X2" s="3146"/>
      <c r="Y2" s="3144" t="s">
        <v>2809</v>
      </c>
      <c r="Z2" s="3145" t="s">
        <v>2810</v>
      </c>
      <c r="AA2" s="3145" t="s">
        <v>2811</v>
      </c>
      <c r="AB2" s="3145" t="s">
        <v>2817</v>
      </c>
      <c r="AC2" s="3145" t="s">
        <v>2816</v>
      </c>
      <c r="AD2" s="3145" t="s">
        <v>2630</v>
      </c>
    </row>
    <row r="3" spans="1:30" s="3159" customFormat="1" ht="12.75">
      <c r="A3" s="3147" t="s">
        <v>2818</v>
      </c>
      <c r="B3" s="3148"/>
      <c r="C3" s="3149"/>
      <c r="D3" s="3149">
        <f>ROUND(AVERAGEIF(D4:D21,"&lt;&gt;0"),2)</f>
        <v>0.59</v>
      </c>
      <c r="E3" s="3149">
        <f t="shared" ref="E3:H3" si="0">ROUND(AVERAGEIF(E4:E21,"&lt;&gt;0"),2)</f>
        <v>0.36</v>
      </c>
      <c r="F3" s="3149">
        <f t="shared" si="0"/>
        <v>0.06</v>
      </c>
      <c r="G3" s="3149">
        <f t="shared" si="0"/>
        <v>0.6</v>
      </c>
      <c r="H3" s="3149">
        <f t="shared" si="0"/>
        <v>0.6</v>
      </c>
      <c r="I3" s="3149">
        <f>F3</f>
        <v>0.06</v>
      </c>
      <c r="J3" s="3150"/>
      <c r="K3" s="3151">
        <f>ROUND(AVERAGEIF(K4:K21,"&lt;&gt;0"),4)</f>
        <v>5.8999999999999999E-3</v>
      </c>
      <c r="L3" s="3152">
        <f t="shared" ref="L3:O3" si="1">ROUND(AVERAGEIF(L4:L21,"&lt;&gt;0"),4)</f>
        <v>3.5999999999999999E-3</v>
      </c>
      <c r="M3" s="3152">
        <f t="shared" si="1"/>
        <v>5.9999999999999995E-4</v>
      </c>
      <c r="N3" s="3152">
        <f t="shared" si="1"/>
        <v>6.0000000000000001E-3</v>
      </c>
      <c r="O3" s="3152">
        <f t="shared" si="1"/>
        <v>6.0000000000000001E-3</v>
      </c>
      <c r="P3" s="3152">
        <f>M3</f>
        <v>5.9999999999999995E-4</v>
      </c>
      <c r="Q3" s="3150"/>
      <c r="R3" s="3153">
        <f>ROUND(SUMPRODUCT(PRODUCT(1+K4:K21)),4)</f>
        <v>1.0852999999999999</v>
      </c>
      <c r="S3" s="3154">
        <f t="shared" ref="S3:V3" si="2">ROUND(SUMPRODUCT(PRODUCT(1+L4:L21)),4)</f>
        <v>1.0513999999999999</v>
      </c>
      <c r="T3" s="3154">
        <f t="shared" si="2"/>
        <v>1.0083</v>
      </c>
      <c r="U3" s="3154">
        <f t="shared" si="2"/>
        <v>1.0871999999999999</v>
      </c>
      <c r="V3" s="3154">
        <f t="shared" si="2"/>
        <v>1.0880000000000001</v>
      </c>
      <c r="W3" s="3153">
        <f>T3</f>
        <v>1.0083</v>
      </c>
      <c r="X3" s="3150"/>
      <c r="Y3" s="3155">
        <f>ROUND(AVERAGEIF(Y8:Y21,"&lt;&gt;0"),4)</f>
        <v>8.3999999999999995E-3</v>
      </c>
      <c r="Z3" s="3156">
        <f t="shared" ref="Z3:AC3" si="3">ROUND(AVERAGEIF(Z8:Z21,"&lt;&gt;0"),4)</f>
        <v>3.5000000000000001E-3</v>
      </c>
      <c r="AA3" s="3157">
        <f t="shared" si="3"/>
        <v>8.0000000000000004E-4</v>
      </c>
      <c r="AB3" s="3155">
        <f t="shared" si="3"/>
        <v>9.1000000000000004E-3</v>
      </c>
      <c r="AC3" s="3158">
        <f t="shared" si="3"/>
        <v>6.1000000000000004E-3</v>
      </c>
      <c r="AD3" s="3155">
        <f>AA3</f>
        <v>8.0000000000000004E-4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2204" t="s">
        <v>3381</v>
      </c>
      <c r="B5" s="3175">
        <v>2025</v>
      </c>
      <c r="C5" s="3176">
        <v>1</v>
      </c>
      <c r="D5" s="3177">
        <v>0</v>
      </c>
      <c r="E5" s="3177">
        <v>0</v>
      </c>
      <c r="F5" s="3177">
        <v>0</v>
      </c>
      <c r="G5" s="3177">
        <v>0</v>
      </c>
      <c r="H5" s="3177">
        <v>0</v>
      </c>
      <c r="I5" s="3178">
        <f t="shared" ref="I5" si="4">F5</f>
        <v>0</v>
      </c>
      <c r="J5" s="3179"/>
      <c r="K5" s="3180">
        <f t="shared" ref="K5" si="5">D5/100</f>
        <v>0</v>
      </c>
      <c r="L5" s="3170">
        <f t="shared" ref="L5" si="6">E5/100</f>
        <v>0</v>
      </c>
      <c r="M5" s="3170">
        <f t="shared" ref="M5" si="7">F5/100</f>
        <v>0</v>
      </c>
      <c r="N5" s="3170">
        <f t="shared" ref="N5" si="8">G5/100</f>
        <v>0</v>
      </c>
      <c r="O5" s="3170">
        <f t="shared" ref="O5" si="9">H5/100</f>
        <v>0</v>
      </c>
      <c r="P5" s="3170">
        <f>M5</f>
        <v>0</v>
      </c>
      <c r="Q5" s="3179"/>
      <c r="R5" s="3181">
        <f>ROUND(IF(项目基本情况!$B$8="出让",SUMPRODUCT(PRODUCT(1+K5:$K$21)),SUMPRODUCT(PRODUCT(1+K5:$K$20))),4)</f>
        <v>1.0748</v>
      </c>
      <c r="S5" s="3181">
        <f>ROUND(IF(项目基本情况!$B$8="出让",SUMPRODUCT(PRODUCT(1+L5:$L$21)),SUMPRODUCT(PRODUCT(1+L5:$L$20))),4)</f>
        <v>1.0498000000000001</v>
      </c>
      <c r="T5" s="3181">
        <f>ROUND(IF(项目基本情况!$B$8="出让",SUMPRODUCT(PRODUCT(1+M5:$M$21)),SUMPRODUCT(PRODUCT(1+M5:$M$20))),4)</f>
        <v>1.0107999999999999</v>
      </c>
      <c r="U5" s="3181">
        <f>ROUND(IF(项目基本情况!$B$8="出让",SUMPRODUCT(PRODUCT(1+N5:$N$21)),SUMPRODUCT(PRODUCT(1+N5:$N$20))),4)</f>
        <v>1.0752999999999999</v>
      </c>
      <c r="V5" s="3181">
        <f>ROUND(IF(项目基本情况!$B$8="出让",SUMPRODUCT(PRODUCT(1+O5:$O$21)),SUMPRODUCT(PRODUCT(1+O5:$O$20))),4)</f>
        <v>1.0841000000000001</v>
      </c>
      <c r="W5" s="3181">
        <f>T5</f>
        <v>1.0107999999999999</v>
      </c>
      <c r="X5" s="3179"/>
      <c r="Y5" s="3182">
        <f>IF(D5=0,0,ROUND(AVERAGE(D5:D18)/100,4))</f>
        <v>0</v>
      </c>
      <c r="Z5" s="3182">
        <f t="shared" ref="Z5" si="10">IF(E5=0,0,ROUND(AVERAGE(E5:E18)/100,4))</f>
        <v>0</v>
      </c>
      <c r="AA5" s="3182">
        <f t="shared" ref="AA5" si="11">IF(F5=0,0,ROUND(AVERAGE(F5:F18)/100,4))</f>
        <v>0</v>
      </c>
      <c r="AB5" s="3182">
        <f t="shared" ref="AB5" si="12">IF(G5=0,0,ROUND(AVERAGE(G5:G18)/100,4))</f>
        <v>0</v>
      </c>
      <c r="AC5" s="3182">
        <f t="shared" ref="AC5" si="13">IF(H5=0,0,ROUND(AVERAGE(H5:H18)/100,4))</f>
        <v>0</v>
      </c>
      <c r="AD5" s="3182">
        <f t="shared" ref="AD5" si="14">AA5</f>
        <v>0</v>
      </c>
    </row>
    <row r="6" spans="1:30" s="3193" customFormat="1" ht="12.75">
      <c r="A6" s="3184" t="s">
        <v>3382</v>
      </c>
      <c r="B6" s="3185">
        <v>2024</v>
      </c>
      <c r="C6" s="3186">
        <v>4</v>
      </c>
      <c r="D6" s="3187">
        <v>0</v>
      </c>
      <c r="E6" s="3187">
        <v>0</v>
      </c>
      <c r="F6" s="3187">
        <v>0</v>
      </c>
      <c r="G6" s="3187">
        <v>0</v>
      </c>
      <c r="H6" s="3188">
        <v>0</v>
      </c>
      <c r="I6" s="3189">
        <f t="shared" ref="I6" si="15">F6</f>
        <v>0</v>
      </c>
      <c r="J6" s="3190"/>
      <c r="K6" s="3191">
        <f t="shared" ref="K6" si="16">D6/100</f>
        <v>0</v>
      </c>
      <c r="L6" s="3192">
        <f t="shared" ref="L6" si="17">E6/100</f>
        <v>0</v>
      </c>
      <c r="M6" s="3192">
        <f t="shared" ref="M6" si="18">F6/100</f>
        <v>0</v>
      </c>
      <c r="N6" s="3192">
        <f t="shared" ref="N6" si="19">G6/100</f>
        <v>0</v>
      </c>
      <c r="O6" s="3192">
        <f t="shared" ref="O6" si="20">H6/100</f>
        <v>0</v>
      </c>
      <c r="P6" s="3192">
        <f>M6</f>
        <v>0</v>
      </c>
      <c r="Q6" s="3190"/>
      <c r="R6" s="3190">
        <f>ROUND(IF(项目基本情况!$B$8="出让",SUMPRODUCT(PRODUCT(1+K6:$K$21)),SUMPRODUCT(PRODUCT(1+K6:$K$20))),4)</f>
        <v>1.0748</v>
      </c>
      <c r="S6" s="3190">
        <f>ROUND(IF(项目基本情况!$B$8="出让",SUMPRODUCT(PRODUCT(1+L6:$L$21)),SUMPRODUCT(PRODUCT(1+L6:$L$20))),4)</f>
        <v>1.0498000000000001</v>
      </c>
      <c r="T6" s="3190">
        <f>ROUND(IF(项目基本情况!$B$8="出让",SUMPRODUCT(PRODUCT(1+M6:$M$21)),SUMPRODUCT(PRODUCT(1+M6:$M$20))),4)</f>
        <v>1.0107999999999999</v>
      </c>
      <c r="U6" s="3190">
        <f>ROUND(IF(项目基本情况!$B$8="出让",SUMPRODUCT(PRODUCT(1+N6:$N$21)),SUMPRODUCT(PRODUCT(1+N6:$N$20))),4)</f>
        <v>1.0752999999999999</v>
      </c>
      <c r="V6" s="3190">
        <f>ROUND(IF(项目基本情况!$B$8="出让",SUMPRODUCT(PRODUCT(1+O6:$O$21)),SUMPRODUCT(PRODUCT(1+O6:$O$20))),4)</f>
        <v>1.0841000000000001</v>
      </c>
      <c r="W6" s="3190">
        <f>T6</f>
        <v>1.0107999999999999</v>
      </c>
      <c r="X6" s="3190"/>
      <c r="Y6" s="3192">
        <f>IF(D6=0,0,ROUND(AVERAGE(D6:D19)/100,4))</f>
        <v>0</v>
      </c>
      <c r="Z6" s="3192">
        <f t="shared" ref="Z6" si="21">IF(E6=0,0,ROUND(AVERAGE(E6:E19)/100,4))</f>
        <v>0</v>
      </c>
      <c r="AA6" s="3192">
        <f t="shared" ref="AA6" si="22">IF(F6=0,0,ROUND(AVERAGE(F6:F19)/100,4))</f>
        <v>0</v>
      </c>
      <c r="AB6" s="3192">
        <f t="shared" ref="AB6" si="23">IF(G6=0,0,ROUND(AVERAGE(G6:G19)/100,4))</f>
        <v>0</v>
      </c>
      <c r="AC6" s="3192">
        <f t="shared" ref="AC6" si="24">IF(H6=0,0,ROUND(AVERAGE(H6:H19)/100,4))</f>
        <v>0</v>
      </c>
      <c r="AD6" s="3192">
        <f t="shared" ref="AD6" si="25">AA6</f>
        <v>0</v>
      </c>
    </row>
    <row r="7" spans="1:30" s="3183" customFormat="1" ht="12.75">
      <c r="A7" s="2204" t="s">
        <v>3376</v>
      </c>
      <c r="B7" s="3175">
        <v>2024</v>
      </c>
      <c r="C7" s="3176">
        <v>3</v>
      </c>
      <c r="D7" s="3177">
        <v>0</v>
      </c>
      <c r="E7" s="3177">
        <v>0</v>
      </c>
      <c r="F7" s="3177">
        <v>0</v>
      </c>
      <c r="G7" s="3177">
        <v>0</v>
      </c>
      <c r="H7" s="3177">
        <v>0</v>
      </c>
      <c r="I7" s="3178">
        <f t="shared" ref="I7" si="26">F7</f>
        <v>0</v>
      </c>
      <c r="J7" s="3179"/>
      <c r="K7" s="3180">
        <f t="shared" ref="K7" si="27">D7/100</f>
        <v>0</v>
      </c>
      <c r="L7" s="3170">
        <f t="shared" ref="L7" si="28">E7/100</f>
        <v>0</v>
      </c>
      <c r="M7" s="3170">
        <f t="shared" ref="M7" si="29">F7/100</f>
        <v>0</v>
      </c>
      <c r="N7" s="3170">
        <f t="shared" ref="N7" si="30">G7/100</f>
        <v>0</v>
      </c>
      <c r="O7" s="3170">
        <f t="shared" ref="O7" si="31">H7/100</f>
        <v>0</v>
      </c>
      <c r="P7" s="3170">
        <f>M7</f>
        <v>0</v>
      </c>
      <c r="Q7" s="3179"/>
      <c r="R7" s="3181">
        <f>ROUND(IF(项目基本情况!$B$8="出让",SUMPRODUCT(PRODUCT(1+K7:$K$21)),SUMPRODUCT(PRODUCT(1+K7:$K$20))),4)</f>
        <v>1.0748</v>
      </c>
      <c r="S7" s="3181">
        <f>ROUND(IF(项目基本情况!$B$8="出让",SUMPRODUCT(PRODUCT(1+L7:$L$21)),SUMPRODUCT(PRODUCT(1+L7:$L$20))),4)</f>
        <v>1.0498000000000001</v>
      </c>
      <c r="T7" s="3181">
        <f>ROUND(IF(项目基本情况!$B$8="出让",SUMPRODUCT(PRODUCT(1+M7:$M$21)),SUMPRODUCT(PRODUCT(1+M7:$M$20))),4)</f>
        <v>1.0107999999999999</v>
      </c>
      <c r="U7" s="3181">
        <f>ROUND(IF(项目基本情况!$B$8="出让",SUMPRODUCT(PRODUCT(1+N7:$N$21)),SUMPRODUCT(PRODUCT(1+N7:$N$20))),4)</f>
        <v>1.0752999999999999</v>
      </c>
      <c r="V7" s="3181">
        <f>ROUND(IF(项目基本情况!$B$8="出让",SUMPRODUCT(PRODUCT(1+O7:$O$21)),SUMPRODUCT(PRODUCT(1+O7:$O$20))),4)</f>
        <v>1.0841000000000001</v>
      </c>
      <c r="W7" s="3181">
        <f>T7</f>
        <v>1.0107999999999999</v>
      </c>
      <c r="X7" s="3179"/>
      <c r="Y7" s="3182">
        <f>IF(D7=0,0,ROUND(AVERAGE(D7:D20)/100,4))</f>
        <v>0</v>
      </c>
      <c r="Z7" s="3182">
        <f t="shared" ref="Z7" si="32">IF(E7=0,0,ROUND(AVERAGE(E7:E20)/100,4))</f>
        <v>0</v>
      </c>
      <c r="AA7" s="3182">
        <f t="shared" ref="AA7" si="33">IF(F7=0,0,ROUND(AVERAGE(F7:F20)/100,4))</f>
        <v>0</v>
      </c>
      <c r="AB7" s="3182">
        <f t="shared" ref="AB7" si="34">IF(G7=0,0,ROUND(AVERAGE(G7:G20)/100,4))</f>
        <v>0</v>
      </c>
      <c r="AC7" s="3182">
        <f t="shared" ref="AC7" si="35">IF(H7=0,0,ROUND(AVERAGE(H7:H20)/100,4))</f>
        <v>0</v>
      </c>
      <c r="AD7" s="3182">
        <f t="shared" ref="AD7" si="36">AA7</f>
        <v>0</v>
      </c>
    </row>
    <row r="8" spans="1:30" s="3183" customFormat="1" ht="12.75">
      <c r="A8" s="3174" t="s">
        <v>3383</v>
      </c>
      <c r="B8" s="3175">
        <v>2024</v>
      </c>
      <c r="C8" s="3176">
        <v>2</v>
      </c>
      <c r="D8" s="3177">
        <v>-0.59</v>
      </c>
      <c r="E8" s="3177">
        <v>-0.21</v>
      </c>
      <c r="F8" s="3177">
        <v>-1.38</v>
      </c>
      <c r="G8" s="3177">
        <v>-1.24</v>
      </c>
      <c r="H8" s="3194">
        <v>0.34</v>
      </c>
      <c r="I8" s="3178">
        <f t="shared" ref="I8:I21" si="37">F8</f>
        <v>-1.38</v>
      </c>
      <c r="J8" s="3179"/>
      <c r="K8" s="3180">
        <f t="shared" ref="K8:O21" si="38">D8/100</f>
        <v>-5.8999999999999999E-3</v>
      </c>
      <c r="L8" s="3170">
        <f t="shared" si="38"/>
        <v>-2.0999999999999999E-3</v>
      </c>
      <c r="M8" s="3170">
        <f t="shared" si="38"/>
        <v>-1.38E-2</v>
      </c>
      <c r="N8" s="3170">
        <f t="shared" si="38"/>
        <v>-1.24E-2</v>
      </c>
      <c r="O8" s="3170">
        <f t="shared" si="38"/>
        <v>3.4000000000000002E-3</v>
      </c>
      <c r="P8" s="3170">
        <f>M8</f>
        <v>-1.38E-2</v>
      </c>
      <c r="Q8" s="3179"/>
      <c r="R8" s="3181">
        <f>ROUND(IF(项目基本情况!$B$8="出让",SUMPRODUCT(PRODUCT(1+K8:$K$21)),SUMPRODUCT(PRODUCT(1+K8:$K$20))),4)</f>
        <v>1.0748</v>
      </c>
      <c r="S8" s="3181">
        <f>ROUND(IF(项目基本情况!$B$8="出让",SUMPRODUCT(PRODUCT(1+L8:$L$21)),SUMPRODUCT(PRODUCT(1+L8:$L$20))),4)</f>
        <v>1.0498000000000001</v>
      </c>
      <c r="T8" s="3181">
        <f>ROUND(IF(项目基本情况!$B$8="出让",SUMPRODUCT(PRODUCT(1+M8:$M$21)),SUMPRODUCT(PRODUCT(1+M8:$M$20))),4)</f>
        <v>1.0107999999999999</v>
      </c>
      <c r="U8" s="3181">
        <f>ROUND(IF(项目基本情况!$B$8="出让",SUMPRODUCT(PRODUCT(1+N8:$N$21)),SUMPRODUCT(PRODUCT(1+N8:$N$20))),4)</f>
        <v>1.0752999999999999</v>
      </c>
      <c r="V8" s="3181">
        <f>ROUND(IF(项目基本情况!$B$8="出让",SUMPRODUCT(PRODUCT(1+O8:$O$21)),SUMPRODUCT(PRODUCT(1+O8:$O$20))),4)</f>
        <v>1.0841000000000001</v>
      </c>
      <c r="W8" s="3181">
        <f>T8</f>
        <v>1.0107999999999999</v>
      </c>
      <c r="X8" s="3179"/>
      <c r="Y8" s="3182">
        <f>IF(D8=0,0,ROUND(AVERAGE(D8:D21)/100,4))</f>
        <v>5.8999999999999999E-3</v>
      </c>
      <c r="Z8" s="3182">
        <f t="shared" ref="Z8:AC8" si="39">IF(E8=0,0,ROUND(AVERAGE(E8:E21)/100,4))</f>
        <v>3.5999999999999999E-3</v>
      </c>
      <c r="AA8" s="3182">
        <f t="shared" si="39"/>
        <v>5.9999999999999995E-4</v>
      </c>
      <c r="AB8" s="3182">
        <f t="shared" si="39"/>
        <v>6.0000000000000001E-3</v>
      </c>
      <c r="AC8" s="3182">
        <f t="shared" si="39"/>
        <v>6.0000000000000001E-3</v>
      </c>
      <c r="AD8" s="3182">
        <f t="shared" ref="AD8:AD20" si="40">AA8</f>
        <v>5.9999999999999995E-4</v>
      </c>
    </row>
    <row r="9" spans="1:30" s="3183" customFormat="1" ht="12.75">
      <c r="A9" s="3174" t="s">
        <v>3378</v>
      </c>
      <c r="B9" s="3175">
        <v>2024</v>
      </c>
      <c r="C9" s="3176">
        <v>1</v>
      </c>
      <c r="D9" s="3177">
        <v>0.08</v>
      </c>
      <c r="E9" s="3177">
        <v>0.46</v>
      </c>
      <c r="F9" s="3177">
        <v>-0.16</v>
      </c>
      <c r="G9" s="3177">
        <v>0.26</v>
      </c>
      <c r="H9" s="3194">
        <v>0.59</v>
      </c>
      <c r="I9" s="3178">
        <v>0</v>
      </c>
      <c r="J9" s="3179"/>
      <c r="K9" s="3180">
        <f t="shared" ref="K9" si="41">D9/100</f>
        <v>8.0000000000000004E-4</v>
      </c>
      <c r="L9" s="3170">
        <f t="shared" ref="L9" si="42">E9/100</f>
        <v>4.5999999999999999E-3</v>
      </c>
      <c r="M9" s="3170">
        <f t="shared" ref="M9" si="43">F9/100</f>
        <v>-1.6000000000000001E-3</v>
      </c>
      <c r="N9" s="3170">
        <f t="shared" ref="N9" si="44">G9/100</f>
        <v>2.5999999999999999E-3</v>
      </c>
      <c r="O9" s="3170">
        <f t="shared" ref="O9" si="45">H9/100</f>
        <v>5.8999999999999999E-3</v>
      </c>
      <c r="P9" s="3170">
        <f t="shared" ref="P9" si="46">M9</f>
        <v>-1.6000000000000001E-3</v>
      </c>
      <c r="Q9" s="3179"/>
      <c r="R9" s="3181">
        <f>ROUND(IF(项目基本情况!$B$8="出让",SUMPRODUCT(PRODUCT(1+K9:$K$21)),SUMPRODUCT(PRODUCT(1+K9:$K$20))),4)</f>
        <v>1.0811999999999999</v>
      </c>
      <c r="S9" s="3181">
        <f>ROUND(IF(项目基本情况!$B$8="出让",SUMPRODUCT(PRODUCT(1+L9:$L$21)),SUMPRODUCT(PRODUCT(1+L9:$L$20))),4)</f>
        <v>1.052</v>
      </c>
      <c r="T9" s="3181">
        <f>ROUND(IF(项目基本情况!$B$8="出让",SUMPRODUCT(PRODUCT(1+M9:$M$21)),SUMPRODUCT(PRODUCT(1+M9:$M$20))),4)</f>
        <v>1.0249999999999999</v>
      </c>
      <c r="U9" s="3181">
        <f>ROUND(IF(项目基本情况!$B$8="出让",SUMPRODUCT(PRODUCT(1+N9:$N$21)),SUMPRODUCT(PRODUCT(1+N9:$N$20))),4)</f>
        <v>1.0888</v>
      </c>
      <c r="V9" s="3181">
        <f>ROUND(IF(项目基本情况!$B$8="出让",SUMPRODUCT(PRODUCT(1+O9:$O$21)),SUMPRODUCT(PRODUCT(1+O9:$O$20))),4)</f>
        <v>1.0804</v>
      </c>
      <c r="W9" s="3181">
        <f t="shared" ref="W9" si="47">T9</f>
        <v>1.0249999999999999</v>
      </c>
      <c r="X9" s="3179"/>
      <c r="Y9" s="3182"/>
      <c r="Z9" s="3182"/>
      <c r="AA9" s="3182"/>
      <c r="AB9" s="3182"/>
      <c r="AC9" s="3182"/>
      <c r="AD9" s="3182"/>
    </row>
    <row r="10" spans="1:30" s="3183" customFormat="1" ht="12.75">
      <c r="A10" s="3174" t="s">
        <v>3374</v>
      </c>
      <c r="B10" s="3175">
        <v>2023</v>
      </c>
      <c r="C10" s="3176">
        <v>4</v>
      </c>
      <c r="D10" s="3177">
        <v>0.19</v>
      </c>
      <c r="E10" s="3177">
        <v>0.24</v>
      </c>
      <c r="F10" s="3177">
        <v>-0.16</v>
      </c>
      <c r="G10" s="3177">
        <v>0.17</v>
      </c>
      <c r="H10" s="3194">
        <v>0.61</v>
      </c>
      <c r="I10" s="3178">
        <f>F10</f>
        <v>-0.16</v>
      </c>
      <c r="J10" s="3179"/>
      <c r="K10" s="3180">
        <f t="shared" si="38"/>
        <v>1.9E-3</v>
      </c>
      <c r="L10" s="3170">
        <f t="shared" si="38"/>
        <v>2.3999999999999998E-3</v>
      </c>
      <c r="M10" s="3170">
        <f t="shared" si="38"/>
        <v>-1.6000000000000001E-3</v>
      </c>
      <c r="N10" s="3170">
        <f t="shared" si="38"/>
        <v>1.7000000000000001E-3</v>
      </c>
      <c r="O10" s="3170">
        <f t="shared" si="38"/>
        <v>6.0999999999999995E-3</v>
      </c>
      <c r="P10" s="3170">
        <f t="shared" ref="P10" si="48">M10</f>
        <v>-1.6000000000000001E-3</v>
      </c>
      <c r="Q10" s="3179"/>
      <c r="R10" s="3181">
        <f>ROUND(IF(项目基本情况!$B$8="出让",SUMPRODUCT(PRODUCT(1+K10:$K$21)),SUMPRODUCT(PRODUCT(1+K10:$K$20))),4)</f>
        <v>1.0804</v>
      </c>
      <c r="S10" s="3181">
        <f>ROUND(IF(项目基本情况!$B$8="出让",SUMPRODUCT(PRODUCT(1+L10:$L$21)),SUMPRODUCT(PRODUCT(1+L10:$L$20))),4)</f>
        <v>1.0471999999999999</v>
      </c>
      <c r="T10" s="3181">
        <f>ROUND(IF(项目基本情况!$B$8="出让",SUMPRODUCT(PRODUCT(1+M10:$M$21)),SUMPRODUCT(PRODUCT(1+M10:$M$20))),4)</f>
        <v>1.0266</v>
      </c>
      <c r="U10" s="3181">
        <f>ROUND(IF(项目基本情况!$B$8="出让",SUMPRODUCT(PRODUCT(1+N10:$N$21)),SUMPRODUCT(PRODUCT(1+N10:$N$20))),4)</f>
        <v>1.0859000000000001</v>
      </c>
      <c r="V10" s="3181">
        <f>ROUND(IF(项目基本情况!$B$8="出让",SUMPRODUCT(PRODUCT(1+O10:$O$21)),SUMPRODUCT(PRODUCT(1+O10:$O$20))),4)</f>
        <v>1.0741000000000001</v>
      </c>
      <c r="W10" s="3181">
        <f t="shared" ref="W10" si="49">T10</f>
        <v>1.0266</v>
      </c>
      <c r="X10" s="3179"/>
      <c r="Y10" s="3182"/>
      <c r="Z10" s="3182"/>
      <c r="AA10" s="3182"/>
      <c r="AB10" s="3182"/>
      <c r="AC10" s="3182"/>
      <c r="AD10" s="3182"/>
    </row>
    <row r="11" spans="1:30" s="3183" customFormat="1" ht="12.75">
      <c r="A11" s="3174" t="s">
        <v>3373</v>
      </c>
      <c r="B11" s="3175">
        <v>2023</v>
      </c>
      <c r="C11" s="3176">
        <v>3</v>
      </c>
      <c r="D11" s="3177">
        <v>0.25</v>
      </c>
      <c r="E11" s="3177">
        <v>0.5</v>
      </c>
      <c r="F11" s="3177">
        <v>0.31</v>
      </c>
      <c r="G11" s="3177">
        <v>0.21</v>
      </c>
      <c r="H11" s="3194">
        <v>0.43</v>
      </c>
      <c r="I11" s="3178">
        <f t="shared" si="37"/>
        <v>0.31</v>
      </c>
      <c r="J11" s="3179"/>
      <c r="K11" s="3180">
        <f t="shared" ref="K11:K13" si="50">D11/100</f>
        <v>2.5000000000000001E-3</v>
      </c>
      <c r="L11" s="3170">
        <f t="shared" ref="L11:L13" si="51">E11/100</f>
        <v>5.0000000000000001E-3</v>
      </c>
      <c r="M11" s="3170">
        <f t="shared" ref="M11:M13" si="52">F11/100</f>
        <v>3.0999999999999999E-3</v>
      </c>
      <c r="N11" s="3170">
        <f t="shared" ref="N11:N13" si="53">G11/100</f>
        <v>2.0999999999999999E-3</v>
      </c>
      <c r="O11" s="3170">
        <f t="shared" ref="O11:O13" si="54">H11/100</f>
        <v>4.3E-3</v>
      </c>
      <c r="P11" s="3170">
        <f t="shared" ref="P11:P13" si="55">M11</f>
        <v>3.0999999999999999E-3</v>
      </c>
      <c r="Q11" s="3179"/>
      <c r="R11" s="3181">
        <f>ROUND(IF(项目基本情况!$B$8="出让",SUMPRODUCT(PRODUCT(1+K11:$K$21)),SUMPRODUCT(PRODUCT(1+K11:$K$20))),4)</f>
        <v>1.0783</v>
      </c>
      <c r="S11" s="3181">
        <f>ROUND(IF(项目基本情况!$B$8="出让",SUMPRODUCT(PRODUCT(1+L11:$L$21)),SUMPRODUCT(PRODUCT(1+L11:$L$20))),4)</f>
        <v>1.0447</v>
      </c>
      <c r="T11" s="3181">
        <f>ROUND(IF(项目基本情况!$B$8="出让",SUMPRODUCT(PRODUCT(1+M11:$M$21)),SUMPRODUCT(PRODUCT(1+M11:$M$20))),4)</f>
        <v>1.0282</v>
      </c>
      <c r="U11" s="3181">
        <f>ROUND(IF(项目基本情况!$B$8="出让",SUMPRODUCT(PRODUCT(1+N11:$N$21)),SUMPRODUCT(PRODUCT(1+N11:$N$20))),4)</f>
        <v>1.0841000000000001</v>
      </c>
      <c r="V11" s="3181">
        <f>ROUND(IF(项目基本情况!$B$8="出让",SUMPRODUCT(PRODUCT(1+O11:$O$21)),SUMPRODUCT(PRODUCT(1+O11:$O$20))),4)</f>
        <v>1.0674999999999999</v>
      </c>
      <c r="W11" s="3181">
        <f t="shared" ref="W11:W12" si="56">T11</f>
        <v>1.0282</v>
      </c>
      <c r="X11" s="3179"/>
      <c r="Y11" s="3182"/>
      <c r="Z11" s="3182"/>
      <c r="AA11" s="3182"/>
      <c r="AB11" s="3182"/>
      <c r="AC11" s="3182"/>
      <c r="AD11" s="3182"/>
    </row>
    <row r="12" spans="1:30" s="3183" customFormat="1" ht="12.75">
      <c r="A12" s="3174" t="s">
        <v>3369</v>
      </c>
      <c r="B12" s="3175">
        <v>2023</v>
      </c>
      <c r="C12" s="3176">
        <v>2</v>
      </c>
      <c r="D12" s="3177">
        <v>0.91</v>
      </c>
      <c r="E12" s="3177">
        <v>0.66</v>
      </c>
      <c r="F12" s="3177">
        <v>0.47</v>
      </c>
      <c r="G12" s="3177">
        <v>0.96</v>
      </c>
      <c r="H12" s="3194">
        <v>0.71</v>
      </c>
      <c r="I12" s="3178">
        <f t="shared" si="37"/>
        <v>0.47</v>
      </c>
      <c r="J12" s="3179"/>
      <c r="K12" s="3180">
        <f t="shared" si="50"/>
        <v>9.1000000000000004E-3</v>
      </c>
      <c r="L12" s="3170">
        <f t="shared" si="51"/>
        <v>6.6E-3</v>
      </c>
      <c r="M12" s="3170">
        <f t="shared" si="52"/>
        <v>4.6999999999999993E-3</v>
      </c>
      <c r="N12" s="3170">
        <f t="shared" si="53"/>
        <v>9.5999999999999992E-3</v>
      </c>
      <c r="O12" s="3170">
        <f t="shared" si="54"/>
        <v>7.0999999999999995E-3</v>
      </c>
      <c r="P12" s="3170">
        <f t="shared" si="55"/>
        <v>4.6999999999999993E-3</v>
      </c>
      <c r="Q12" s="3179"/>
      <c r="R12" s="3181">
        <f>ROUND(IF(项目基本情况!$B$8="出让",SUMPRODUCT(PRODUCT(1+K12:$K$21)),SUMPRODUCT(PRODUCT(1+K12:$K$20))),4)</f>
        <v>1.0755999999999999</v>
      </c>
      <c r="S12" s="3181">
        <f>ROUND(IF(项目基本情况!$B$8="出让",SUMPRODUCT(PRODUCT(1+L12:$L$21)),SUMPRODUCT(PRODUCT(1+L12:$L$20))),4)</f>
        <v>1.0395000000000001</v>
      </c>
      <c r="T12" s="3181">
        <f>ROUND(IF(项目基本情况!$B$8="出让",SUMPRODUCT(PRODUCT(1+M12:$M$21)),SUMPRODUCT(PRODUCT(1+M12:$M$20))),4)</f>
        <v>1.0250999999999999</v>
      </c>
      <c r="U12" s="3181">
        <f>ROUND(IF(项目基本情况!$B$8="出让",SUMPRODUCT(PRODUCT(1+N12:$N$21)),SUMPRODUCT(PRODUCT(1+N12:$N$20))),4)</f>
        <v>1.0818000000000001</v>
      </c>
      <c r="V12" s="3181">
        <f>ROUND(IF(项目基本情况!$B$8="出让",SUMPRODUCT(PRODUCT(1+O12:$O$21)),SUMPRODUCT(PRODUCT(1+O12:$O$20))),4)</f>
        <v>1.0629999999999999</v>
      </c>
      <c r="W12" s="3181">
        <f t="shared" si="56"/>
        <v>1.0250999999999999</v>
      </c>
      <c r="X12" s="3179"/>
      <c r="Y12" s="3182"/>
      <c r="Z12" s="3182"/>
      <c r="AA12" s="3182"/>
      <c r="AB12" s="3182"/>
      <c r="AC12" s="3182"/>
      <c r="AD12" s="3182"/>
    </row>
    <row r="13" spans="1:30" s="3183" customFormat="1" ht="12.75">
      <c r="A13" s="3174" t="s">
        <v>3368</v>
      </c>
      <c r="B13" s="3175">
        <v>2023</v>
      </c>
      <c r="C13" s="3176">
        <v>1</v>
      </c>
      <c r="D13" s="3177">
        <v>0.89</v>
      </c>
      <c r="E13" s="3177">
        <v>0.74</v>
      </c>
      <c r="F13" s="3177">
        <v>0.56999999999999995</v>
      </c>
      <c r="G13" s="3177">
        <v>0.92</v>
      </c>
      <c r="H13" s="3194">
        <v>0.5</v>
      </c>
      <c r="I13" s="3178">
        <f t="shared" si="37"/>
        <v>0.56999999999999995</v>
      </c>
      <c r="J13" s="3179"/>
      <c r="K13" s="3180">
        <f t="shared" si="50"/>
        <v>8.8999999999999999E-3</v>
      </c>
      <c r="L13" s="3170">
        <f t="shared" si="51"/>
        <v>7.4000000000000003E-3</v>
      </c>
      <c r="M13" s="3170">
        <f t="shared" si="52"/>
        <v>5.6999999999999993E-3</v>
      </c>
      <c r="N13" s="3170">
        <f t="shared" si="53"/>
        <v>9.1999999999999998E-3</v>
      </c>
      <c r="O13" s="3170">
        <f t="shared" si="54"/>
        <v>5.0000000000000001E-3</v>
      </c>
      <c r="P13" s="3170">
        <f t="shared" si="55"/>
        <v>5.6999999999999993E-3</v>
      </c>
      <c r="Q13" s="3179"/>
      <c r="R13" s="3181">
        <f>ROUND(IF(项目基本情况!$B$8="出让",SUMPRODUCT(PRODUCT(1+K13:$K$21)),SUMPRODUCT(PRODUCT(1+K13:$K$20))),4)</f>
        <v>1.0659000000000001</v>
      </c>
      <c r="S13" s="3181">
        <f>ROUND(IF(项目基本情况!$B$8="出让",SUMPRODUCT(PRODUCT(1+L13:$L$21)),SUMPRODUCT(PRODUCT(1+L13:$L$20))),4)</f>
        <v>1.0326</v>
      </c>
      <c r="T13" s="3181">
        <f>ROUND(IF(项目基本情况!$B$8="出让",SUMPRODUCT(PRODUCT(1+M13:$M$21)),SUMPRODUCT(PRODUCT(1+M13:$M$20))),4)</f>
        <v>1.0203</v>
      </c>
      <c r="U13" s="3181">
        <f>ROUND(IF(项目基本情况!$B$8="出让",SUMPRODUCT(PRODUCT(1+N13:$N$21)),SUMPRODUCT(PRODUCT(1+N13:$N$20))),4)</f>
        <v>1.0714999999999999</v>
      </c>
      <c r="V13" s="3181">
        <f>ROUND(IF(项目基本情况!$B$8="出让",SUMPRODUCT(PRODUCT(1+O13:$O$21)),SUMPRODUCT(PRODUCT(1+O13:$O$20))),4)</f>
        <v>1.0555000000000001</v>
      </c>
      <c r="W13" s="3181">
        <f t="shared" ref="W13:W20" si="57">T13</f>
        <v>1.0203</v>
      </c>
      <c r="X13" s="3179"/>
      <c r="Y13" s="3182"/>
      <c r="Z13" s="3182"/>
      <c r="AA13" s="3182"/>
      <c r="AB13" s="3182"/>
      <c r="AC13" s="3182"/>
      <c r="AD13" s="3182"/>
    </row>
    <row r="14" spans="1:30" s="3183" customFormat="1" ht="12.75">
      <c r="A14" s="3174" t="s">
        <v>3367</v>
      </c>
      <c r="B14" s="3175">
        <v>2022</v>
      </c>
      <c r="C14" s="3176">
        <v>4</v>
      </c>
      <c r="D14" s="3177">
        <v>0.62</v>
      </c>
      <c r="E14" s="3177">
        <v>0.2</v>
      </c>
      <c r="F14" s="3177">
        <v>0.11</v>
      </c>
      <c r="G14" s="3177">
        <v>0.69</v>
      </c>
      <c r="H14" s="3194">
        <v>0.53</v>
      </c>
      <c r="I14" s="3178">
        <f t="shared" si="37"/>
        <v>0.11</v>
      </c>
      <c r="J14" s="3179"/>
      <c r="K14" s="3180">
        <f t="shared" si="38"/>
        <v>6.1999999999999998E-3</v>
      </c>
      <c r="L14" s="3170">
        <f t="shared" si="38"/>
        <v>2E-3</v>
      </c>
      <c r="M14" s="3170">
        <f t="shared" si="38"/>
        <v>1.1000000000000001E-3</v>
      </c>
      <c r="N14" s="3170">
        <f t="shared" si="38"/>
        <v>6.8999999999999999E-3</v>
      </c>
      <c r="O14" s="3170">
        <f t="shared" si="38"/>
        <v>5.3E-3</v>
      </c>
      <c r="P14" s="3170">
        <f t="shared" ref="P14:P21" si="58">M14</f>
        <v>1.1000000000000001E-3</v>
      </c>
      <c r="Q14" s="3179"/>
      <c r="R14" s="3181">
        <f>ROUND(IF(项目基本情况!$B$8="出让",SUMPRODUCT(PRODUCT(1+K14:$K$21)),SUMPRODUCT(PRODUCT(1+K14:$K$20))),4)</f>
        <v>1.0565</v>
      </c>
      <c r="S14" s="3181">
        <f>ROUND(IF(项目基本情况!$B$8="出让",SUMPRODUCT(PRODUCT(1+L14:$L$21)),SUMPRODUCT(PRODUCT(1+L14:$L$20))),4)</f>
        <v>1.0250999999999999</v>
      </c>
      <c r="T14" s="3181">
        <f>ROUND(IF(项目基本情况!$B$8="出让",SUMPRODUCT(PRODUCT(1+M14:$M$21)),SUMPRODUCT(PRODUCT(1+M14:$M$20))),4)</f>
        <v>1.0145</v>
      </c>
      <c r="U14" s="3181">
        <f>ROUND(IF(项目基本情况!$B$8="出让",SUMPRODUCT(PRODUCT(1+N14:$N$21)),SUMPRODUCT(PRODUCT(1+N14:$N$20))),4)</f>
        <v>1.0618000000000001</v>
      </c>
      <c r="V14" s="3181">
        <f>ROUND(IF(项目基本情况!$B$8="出让",SUMPRODUCT(PRODUCT(1+O14:$O$21)),SUMPRODUCT(PRODUCT(1+O14:$O$20))),4)</f>
        <v>1.0502</v>
      </c>
      <c r="W14" s="3181">
        <f t="shared" si="57"/>
        <v>1.0145</v>
      </c>
      <c r="X14" s="3179"/>
      <c r="Y14" s="3182">
        <f>IF(D14=0,0,ROUND(AVERAGE(D14:D22)/100,4))</f>
        <v>8.0999999999999996E-3</v>
      </c>
      <c r="Z14" s="3182">
        <f t="shared" ref="Z14:AC14" si="59">IF(E14=0,0,ROUND(AVERAGE(E14:E21)/100,4))</f>
        <v>3.3E-3</v>
      </c>
      <c r="AA14" s="3182">
        <f t="shared" si="59"/>
        <v>1.5E-3</v>
      </c>
      <c r="AB14" s="3182">
        <f t="shared" si="59"/>
        <v>8.8999999999999999E-3</v>
      </c>
      <c r="AC14" s="3182">
        <f t="shared" si="59"/>
        <v>6.6E-3</v>
      </c>
      <c r="AD14" s="3182">
        <f t="shared" si="40"/>
        <v>1.5E-3</v>
      </c>
    </row>
    <row r="15" spans="1:30" s="3183" customFormat="1" ht="12.75">
      <c r="A15" s="3174" t="s">
        <v>3363</v>
      </c>
      <c r="B15" s="3175">
        <v>2022</v>
      </c>
      <c r="C15" s="3176">
        <v>3</v>
      </c>
      <c r="D15" s="3177">
        <v>0.66</v>
      </c>
      <c r="E15" s="3177">
        <v>0.32</v>
      </c>
      <c r="F15" s="3177">
        <v>0.23</v>
      </c>
      <c r="G15" s="3177">
        <v>0.72</v>
      </c>
      <c r="H15" s="3194">
        <v>0.63</v>
      </c>
      <c r="I15" s="3178">
        <f t="shared" si="37"/>
        <v>0.23</v>
      </c>
      <c r="J15" s="3179"/>
      <c r="K15" s="3180">
        <f t="shared" si="38"/>
        <v>6.6E-3</v>
      </c>
      <c r="L15" s="3170">
        <f t="shared" si="38"/>
        <v>3.2000000000000002E-3</v>
      </c>
      <c r="M15" s="3170">
        <f t="shared" si="38"/>
        <v>2.3E-3</v>
      </c>
      <c r="N15" s="3170">
        <f t="shared" si="38"/>
        <v>7.1999999999999998E-3</v>
      </c>
      <c r="O15" s="3170">
        <f t="shared" si="38"/>
        <v>6.3E-3</v>
      </c>
      <c r="P15" s="3170">
        <f t="shared" si="58"/>
        <v>2.3E-3</v>
      </c>
      <c r="Q15" s="3179"/>
      <c r="R15" s="3181">
        <f>ROUND(IF(项目基本情况!$B$8="出让",SUMPRODUCT(PRODUCT(1+K15:$K$21)),SUMPRODUCT(PRODUCT(1+K15:$K$20))),4)</f>
        <v>1.05</v>
      </c>
      <c r="S15" s="3181">
        <f>ROUND(IF(项目基本情况!$B$8="出让",SUMPRODUCT(PRODUCT(1+L15:$L$21)),SUMPRODUCT(PRODUCT(1+L15:$L$20))),4)</f>
        <v>1.0229999999999999</v>
      </c>
      <c r="T15" s="3181">
        <f>ROUND(IF(项目基本情况!$B$8="出让",SUMPRODUCT(PRODUCT(1+M15:$M$21)),SUMPRODUCT(PRODUCT(1+M15:$M$20))),4)</f>
        <v>1.0134000000000001</v>
      </c>
      <c r="U15" s="3181">
        <f>ROUND(IF(项目基本情况!$B$8="出让",SUMPRODUCT(PRODUCT(1+N15:$N$21)),SUMPRODUCT(PRODUCT(1+N15:$N$20))),4)</f>
        <v>1.0545</v>
      </c>
      <c r="V15" s="3181">
        <f>ROUND(IF(项目基本情况!$B$8="出让",SUMPRODUCT(PRODUCT(1+O15:$O$21)),SUMPRODUCT(PRODUCT(1+O15:$O$20))),4)</f>
        <v>1.0447</v>
      </c>
      <c r="W15" s="3181">
        <f t="shared" si="57"/>
        <v>1.0134000000000001</v>
      </c>
      <c r="X15" s="3179"/>
      <c r="Y15" s="3182">
        <f>IF(D15=0,0,ROUND(AVERAGE(D15:D21)/100,4))</f>
        <v>8.3999999999999995E-3</v>
      </c>
      <c r="Z15" s="3182">
        <f t="shared" ref="Z15:AC15" si="60">IF(E15=0,0,ROUND(AVERAGE(E15:E21)/100,4))</f>
        <v>3.5000000000000001E-3</v>
      </c>
      <c r="AA15" s="3182">
        <f t="shared" si="60"/>
        <v>1.5E-3</v>
      </c>
      <c r="AB15" s="3182">
        <f t="shared" si="60"/>
        <v>9.1999999999999998E-3</v>
      </c>
      <c r="AC15" s="3182">
        <f t="shared" si="60"/>
        <v>6.7999999999999996E-3</v>
      </c>
      <c r="AD15" s="3182">
        <f t="shared" si="40"/>
        <v>1.5E-3</v>
      </c>
    </row>
    <row r="16" spans="1:30" s="3183" customFormat="1" ht="12.75">
      <c r="A16" s="3174" t="s">
        <v>3354</v>
      </c>
      <c r="B16" s="3175">
        <v>2022</v>
      </c>
      <c r="C16" s="3176">
        <v>2</v>
      </c>
      <c r="D16" s="3177">
        <v>0.93</v>
      </c>
      <c r="E16" s="3177">
        <v>0.15</v>
      </c>
      <c r="F16" s="3177">
        <v>0.01</v>
      </c>
      <c r="G16" s="3177">
        <v>1.05</v>
      </c>
      <c r="H16" s="3194">
        <v>1.08</v>
      </c>
      <c r="I16" s="3178">
        <f t="shared" si="37"/>
        <v>0.01</v>
      </c>
      <c r="J16" s="3179"/>
      <c r="K16" s="3180">
        <f t="shared" si="38"/>
        <v>9.300000000000001E-3</v>
      </c>
      <c r="L16" s="3170">
        <f t="shared" si="38"/>
        <v>1.5E-3</v>
      </c>
      <c r="M16" s="3170">
        <f t="shared" si="38"/>
        <v>1E-4</v>
      </c>
      <c r="N16" s="3170">
        <f t="shared" si="38"/>
        <v>1.0500000000000001E-2</v>
      </c>
      <c r="O16" s="3170">
        <f t="shared" si="38"/>
        <v>1.0800000000000001E-2</v>
      </c>
      <c r="P16" s="3170">
        <f t="shared" si="58"/>
        <v>1E-4</v>
      </c>
      <c r="Q16" s="3179"/>
      <c r="R16" s="3181">
        <f>ROUND(IF(项目基本情况!$B$8="出让",SUMPRODUCT(PRODUCT(1+K16:$K$21)),SUMPRODUCT(PRODUCT(1+K16:$K$20))),4)</f>
        <v>1.0430999999999999</v>
      </c>
      <c r="S16" s="3181">
        <f>ROUND(IF(项目基本情况!$B$8="出让",SUMPRODUCT(PRODUCT(1+L16:$L$21)),SUMPRODUCT(PRODUCT(1+L16:$L$20))),4)</f>
        <v>1.0197000000000001</v>
      </c>
      <c r="T16" s="3181">
        <f>ROUND(IF(项目基本情况!$B$8="出让",SUMPRODUCT(PRODUCT(1+M16:$M$21)),SUMPRODUCT(PRODUCT(1+M16:$M$20))),4)</f>
        <v>1.0109999999999999</v>
      </c>
      <c r="U16" s="3181">
        <f>ROUND(IF(项目基本情况!$B$8="出让",SUMPRODUCT(PRODUCT(1+N16:$N$21)),SUMPRODUCT(PRODUCT(1+N16:$N$20))),4)</f>
        <v>1.0468999999999999</v>
      </c>
      <c r="V16" s="3181">
        <f>ROUND(IF(项目基本情况!$B$8="出让",SUMPRODUCT(PRODUCT(1+O16:$O$21)),SUMPRODUCT(PRODUCT(1+O16:$O$20))),4)</f>
        <v>1.0382</v>
      </c>
      <c r="W16" s="3181">
        <f t="shared" si="57"/>
        <v>1.0109999999999999</v>
      </c>
      <c r="X16" s="3179"/>
      <c r="Y16" s="3182">
        <f>IF(D16=0,0,ROUND(AVERAGE(D16:D21)/100,4))</f>
        <v>8.6999999999999994E-3</v>
      </c>
      <c r="Z16" s="3182">
        <f t="shared" ref="Z16:AC16" si="61">IF(E16=0,0,ROUND(AVERAGE(E16:E21)/100,4))</f>
        <v>3.5000000000000001E-3</v>
      </c>
      <c r="AA16" s="3182">
        <f t="shared" si="61"/>
        <v>1.4E-3</v>
      </c>
      <c r="AB16" s="3182">
        <f t="shared" si="61"/>
        <v>9.4999999999999998E-3</v>
      </c>
      <c r="AC16" s="3182">
        <f t="shared" si="61"/>
        <v>6.8999999999999999E-3</v>
      </c>
      <c r="AD16" s="3182">
        <f t="shared" si="40"/>
        <v>1.4E-3</v>
      </c>
    </row>
    <row r="17" spans="1:30" s="3183" customFormat="1" ht="12.75">
      <c r="A17" s="3174" t="s">
        <v>2819</v>
      </c>
      <c r="B17" s="3175">
        <v>2022</v>
      </c>
      <c r="C17" s="3176">
        <v>1</v>
      </c>
      <c r="D17" s="3177">
        <v>0.89</v>
      </c>
      <c r="E17" s="3177">
        <v>0.44</v>
      </c>
      <c r="F17" s="3177">
        <v>0.37</v>
      </c>
      <c r="G17" s="3177">
        <v>0.96</v>
      </c>
      <c r="H17" s="3194">
        <v>0.64</v>
      </c>
      <c r="I17" s="3178">
        <f t="shared" si="37"/>
        <v>0.37</v>
      </c>
      <c r="J17" s="3179"/>
      <c r="K17" s="3180">
        <f t="shared" si="38"/>
        <v>8.8999999999999999E-3</v>
      </c>
      <c r="L17" s="3170">
        <f t="shared" si="38"/>
        <v>4.4000000000000003E-3</v>
      </c>
      <c r="M17" s="3170">
        <f t="shared" si="38"/>
        <v>3.7000000000000002E-3</v>
      </c>
      <c r="N17" s="3170">
        <f t="shared" si="38"/>
        <v>9.5999999999999992E-3</v>
      </c>
      <c r="O17" s="3170">
        <f t="shared" si="38"/>
        <v>6.4000000000000003E-3</v>
      </c>
      <c r="P17" s="3170">
        <f t="shared" si="58"/>
        <v>3.7000000000000002E-3</v>
      </c>
      <c r="Q17" s="3179"/>
      <c r="R17" s="3181">
        <f>ROUND(IF(项目基本情况!$B$8="出让",SUMPRODUCT(PRODUCT(1+K17:$K$21)),SUMPRODUCT(PRODUCT(1+K17:$K$20))),4)</f>
        <v>1.0335000000000001</v>
      </c>
      <c r="S17" s="3181">
        <f>ROUND(IF(项目基本情况!$B$8="出让",SUMPRODUCT(PRODUCT(1+L17:$L$21)),SUMPRODUCT(PRODUCT(1+L17:$L$20))),4)</f>
        <v>1.0182</v>
      </c>
      <c r="T17" s="3181">
        <f>ROUND(IF(项目基本情况!$B$8="出让",SUMPRODUCT(PRODUCT(1+M17:$M$21)),SUMPRODUCT(PRODUCT(1+M17:$M$20))),4)</f>
        <v>1.0108999999999999</v>
      </c>
      <c r="U17" s="3181">
        <f>ROUND(IF(项目基本情况!$B$8="出让",SUMPRODUCT(PRODUCT(1+N17:$N$21)),SUMPRODUCT(PRODUCT(1+N17:$N$20))),4)</f>
        <v>1.0361</v>
      </c>
      <c r="V17" s="3181">
        <f>ROUND(IF(项目基本情况!$B$8="出让",SUMPRODUCT(PRODUCT(1+O17:$O$21)),SUMPRODUCT(PRODUCT(1+O17:$O$20))),4)</f>
        <v>1.0270999999999999</v>
      </c>
      <c r="W17" s="3181">
        <f t="shared" si="57"/>
        <v>1.0108999999999999</v>
      </c>
      <c r="X17" s="3179"/>
      <c r="Y17" s="3182">
        <f>IF(D17=0,0,ROUND(AVERAGE(D17:D21)/100,4))</f>
        <v>8.6E-3</v>
      </c>
      <c r="Z17" s="3182">
        <f t="shared" ref="Z17:AC17" si="62">IF(E17=0,0,ROUND(AVERAGE(E17:E21)/100,4))</f>
        <v>3.8999999999999998E-3</v>
      </c>
      <c r="AA17" s="3182">
        <f t="shared" si="62"/>
        <v>1.6999999999999999E-3</v>
      </c>
      <c r="AB17" s="3182">
        <f t="shared" si="62"/>
        <v>9.2999999999999992E-3</v>
      </c>
      <c r="AC17" s="3182">
        <f t="shared" si="62"/>
        <v>6.1000000000000004E-3</v>
      </c>
      <c r="AD17" s="3182">
        <f t="shared" si="40"/>
        <v>1.6999999999999999E-3</v>
      </c>
    </row>
    <row r="18" spans="1:30" s="3183" customFormat="1" ht="12.75">
      <c r="A18" s="3174" t="s">
        <v>2820</v>
      </c>
      <c r="B18" s="3175">
        <v>2021</v>
      </c>
      <c r="C18" s="3176">
        <v>4</v>
      </c>
      <c r="D18" s="3177">
        <v>1.03</v>
      </c>
      <c r="E18" s="3177">
        <v>0.24</v>
      </c>
      <c r="F18" s="3177">
        <v>7.0000000000000007E-2</v>
      </c>
      <c r="G18" s="3177">
        <v>1.17</v>
      </c>
      <c r="H18" s="3194">
        <v>0.55000000000000004</v>
      </c>
      <c r="I18" s="3178">
        <f t="shared" si="37"/>
        <v>7.0000000000000007E-2</v>
      </c>
      <c r="J18" s="3179"/>
      <c r="K18" s="3180">
        <f t="shared" si="38"/>
        <v>1.03E-2</v>
      </c>
      <c r="L18" s="3170">
        <f t="shared" si="38"/>
        <v>2.3999999999999998E-3</v>
      </c>
      <c r="M18" s="3170">
        <f t="shared" si="38"/>
        <v>7.000000000000001E-4</v>
      </c>
      <c r="N18" s="3170">
        <f t="shared" si="38"/>
        <v>1.1699999999999999E-2</v>
      </c>
      <c r="O18" s="3170">
        <f t="shared" si="38"/>
        <v>5.5000000000000005E-3</v>
      </c>
      <c r="P18" s="3170">
        <f t="shared" si="58"/>
        <v>7.000000000000001E-4</v>
      </c>
      <c r="Q18" s="3179"/>
      <c r="R18" s="3181">
        <f>ROUND(IF(项目基本情况!$B$8="出让",SUMPRODUCT(PRODUCT(1+K18:$K$21)),SUMPRODUCT(PRODUCT(1+K18:$K$20))),4)</f>
        <v>1.0244</v>
      </c>
      <c r="S18" s="3181">
        <f>ROUND(IF(项目基本情况!$B$8="出让",SUMPRODUCT(PRODUCT(1+L18:$L$21)),SUMPRODUCT(PRODUCT(1+L18:$L$20))),4)</f>
        <v>1.0138</v>
      </c>
      <c r="T18" s="3181">
        <f>ROUND(IF(项目基本情况!$B$8="出让",SUMPRODUCT(PRODUCT(1+M18:$M$21)),SUMPRODUCT(PRODUCT(1+M18:$M$20))),4)</f>
        <v>1.0072000000000001</v>
      </c>
      <c r="U18" s="3181">
        <f>ROUND(IF(项目基本情况!$B$8="出让",SUMPRODUCT(PRODUCT(1+N18:$N$21)),SUMPRODUCT(PRODUCT(1+N18:$N$20))),4)</f>
        <v>1.0262</v>
      </c>
      <c r="V18" s="3181">
        <f>ROUND(IF(项目基本情况!$B$8="出让",SUMPRODUCT(PRODUCT(1+O18:$O$21)),SUMPRODUCT(PRODUCT(1+O18:$O$20))),4)</f>
        <v>1.0205</v>
      </c>
      <c r="W18" s="3181">
        <f t="shared" si="57"/>
        <v>1.0072000000000001</v>
      </c>
      <c r="X18" s="3179"/>
      <c r="Y18" s="3182">
        <f>IF(D18=0,0,ROUND(AVERAGE(D18:D21)/100,4))</f>
        <v>8.5000000000000006E-3</v>
      </c>
      <c r="Z18" s="3182">
        <f t="shared" ref="Z18:AC18" si="63">IF(E18=0,0,ROUND(AVERAGE(E18:E21)/100,4))</f>
        <v>3.8E-3</v>
      </c>
      <c r="AA18" s="3182">
        <f t="shared" si="63"/>
        <v>1.1999999999999999E-3</v>
      </c>
      <c r="AB18" s="3182">
        <f t="shared" si="63"/>
        <v>9.2999999999999992E-3</v>
      </c>
      <c r="AC18" s="3182">
        <f t="shared" si="63"/>
        <v>6.0000000000000001E-3</v>
      </c>
      <c r="AD18" s="3182">
        <f t="shared" si="40"/>
        <v>1.1999999999999999E-3</v>
      </c>
    </row>
    <row r="19" spans="1:30" s="3183" customFormat="1" ht="12.75">
      <c r="A19" s="3174" t="s">
        <v>2821</v>
      </c>
      <c r="B19" s="3175">
        <v>2021</v>
      </c>
      <c r="C19" s="3176">
        <v>3</v>
      </c>
      <c r="D19" s="3177">
        <v>0.47</v>
      </c>
      <c r="E19" s="3177">
        <v>0.41</v>
      </c>
      <c r="F19" s="3177">
        <v>0.24</v>
      </c>
      <c r="G19" s="3177">
        <v>0.48</v>
      </c>
      <c r="H19" s="3194">
        <v>0.48</v>
      </c>
      <c r="I19" s="3178">
        <f t="shared" si="37"/>
        <v>0.24</v>
      </c>
      <c r="J19" s="3179"/>
      <c r="K19" s="3180">
        <f t="shared" si="38"/>
        <v>4.6999999999999993E-3</v>
      </c>
      <c r="L19" s="3170">
        <f t="shared" si="38"/>
        <v>4.0999999999999995E-3</v>
      </c>
      <c r="M19" s="3170">
        <f t="shared" si="38"/>
        <v>2.3999999999999998E-3</v>
      </c>
      <c r="N19" s="3170">
        <f t="shared" si="38"/>
        <v>4.7999999999999996E-3</v>
      </c>
      <c r="O19" s="3170">
        <f t="shared" si="38"/>
        <v>4.7999999999999996E-3</v>
      </c>
      <c r="P19" s="3170">
        <f t="shared" si="58"/>
        <v>2.3999999999999998E-3</v>
      </c>
      <c r="Q19" s="3179"/>
      <c r="R19" s="3181">
        <f>ROUND(IF(项目基本情况!$B$8="出让",SUMPRODUCT(PRODUCT(1+K19:$K$21)),SUMPRODUCT(PRODUCT(1+K19:$K$20))),4)</f>
        <v>1.0139</v>
      </c>
      <c r="S19" s="3181">
        <f>ROUND(IF(项目基本情况!$B$8="出让",SUMPRODUCT(PRODUCT(1+L19:$L$21)),SUMPRODUCT(PRODUCT(1+L19:$L$20))),4)</f>
        <v>1.0113000000000001</v>
      </c>
      <c r="T19" s="3181">
        <f>ROUND(IF(项目基本情况!$B$8="出让",SUMPRODUCT(PRODUCT(1+M19:$M$21)),SUMPRODUCT(PRODUCT(1+M19:$M$20))),4)</f>
        <v>1.0065</v>
      </c>
      <c r="U19" s="3181">
        <f>ROUND(IF(项目基本情况!$B$8="出让",SUMPRODUCT(PRODUCT(1+N19:$N$21)),SUMPRODUCT(PRODUCT(1+N19:$N$20))),4)</f>
        <v>1.0143</v>
      </c>
      <c r="V19" s="3181">
        <f>ROUND(IF(项目基本情况!$B$8="出让",SUMPRODUCT(PRODUCT(1+O19:$O$21)),SUMPRODUCT(PRODUCT(1+O19:$O$20))),4)</f>
        <v>1.0148999999999999</v>
      </c>
      <c r="W19" s="3181">
        <f t="shared" si="57"/>
        <v>1.0065</v>
      </c>
      <c r="X19" s="3179"/>
      <c r="Y19" s="3182">
        <f>IF(D19=0,0,ROUND(AVERAGE(D19:D21)/100,4))</f>
        <v>7.9000000000000008E-3</v>
      </c>
      <c r="Z19" s="3182">
        <f>IF(E19=0,0,ROUND(AVERAGE(E19:E21)/100,4))</f>
        <v>4.3E-3</v>
      </c>
      <c r="AA19" s="3182">
        <f>IF(F19=0,0,ROUND(AVERAGE(F19:F21)/100,4))</f>
        <v>1.2999999999999999E-3</v>
      </c>
      <c r="AB19" s="3182">
        <f>IF(G19=0,0,ROUND(AVERAGE(G19:G21)/100,4))</f>
        <v>8.5000000000000006E-3</v>
      </c>
      <c r="AC19" s="3182">
        <f>IF(H19=0,0,ROUND(AVERAGE(H19:H21)/100,4))</f>
        <v>6.1999999999999998E-3</v>
      </c>
      <c r="AD19" s="3182">
        <f t="shared" si="40"/>
        <v>1.2999999999999999E-3</v>
      </c>
    </row>
    <row r="20" spans="1:30" s="3183" customFormat="1" ht="12.75">
      <c r="A20" s="3174" t="s">
        <v>2822</v>
      </c>
      <c r="B20" s="3175">
        <v>2021</v>
      </c>
      <c r="C20" s="3176">
        <v>2</v>
      </c>
      <c r="D20" s="3177">
        <v>0.92</v>
      </c>
      <c r="E20" s="3177">
        <v>0.72</v>
      </c>
      <c r="F20" s="3177">
        <v>0.41</v>
      </c>
      <c r="G20" s="3177">
        <v>0.95</v>
      </c>
      <c r="H20" s="3194">
        <v>1.01</v>
      </c>
      <c r="I20" s="3178">
        <f t="shared" si="37"/>
        <v>0.41</v>
      </c>
      <c r="J20" s="3179"/>
      <c r="K20" s="3180">
        <f t="shared" si="38"/>
        <v>9.1999999999999998E-3</v>
      </c>
      <c r="L20" s="3170">
        <f t="shared" si="38"/>
        <v>7.1999999999999998E-3</v>
      </c>
      <c r="M20" s="3170">
        <f t="shared" si="38"/>
        <v>4.0999999999999995E-3</v>
      </c>
      <c r="N20" s="3170">
        <f t="shared" si="38"/>
        <v>9.4999999999999998E-3</v>
      </c>
      <c r="O20" s="3170">
        <f t="shared" si="38"/>
        <v>1.01E-2</v>
      </c>
      <c r="P20" s="3170">
        <f t="shared" si="58"/>
        <v>4.0999999999999995E-3</v>
      </c>
      <c r="Q20" s="3179"/>
      <c r="R20" s="3181">
        <f>ROUND(IF(项目基本情况!$B$8="出让",SUMPRODUCT(PRODUCT(1+K20:$K$21)),SUMPRODUCT(PRODUCT(1+K20:$K$20))),4)</f>
        <v>1.0092000000000001</v>
      </c>
      <c r="S20" s="3181">
        <f>ROUND(IF(项目基本情况!$B$8="出让",SUMPRODUCT(PRODUCT(1+L20:$L$21)),SUMPRODUCT(PRODUCT(1+L20:$L$20))),4)</f>
        <v>1.0072000000000001</v>
      </c>
      <c r="T20" s="3181">
        <f>ROUND(IF(项目基本情况!$B$8="出让",SUMPRODUCT(PRODUCT(1+M20:$M$21)),SUMPRODUCT(PRODUCT(1+M20:$M$20))),4)</f>
        <v>1.0041</v>
      </c>
      <c r="U20" s="3181">
        <f>ROUND(IF(项目基本情况!$B$8="出让",SUMPRODUCT(PRODUCT(1+N20:$N$21)),SUMPRODUCT(PRODUCT(1+N20:$N$20))),4)</f>
        <v>1.0095000000000001</v>
      </c>
      <c r="V20" s="3181">
        <f>ROUND(IF(项目基本情况!$B$8="出让",SUMPRODUCT(PRODUCT(1+O20:$O$21)),SUMPRODUCT(PRODUCT(1+O20:$O$20))),4)</f>
        <v>1.0101</v>
      </c>
      <c r="W20" s="3181">
        <f t="shared" si="57"/>
        <v>1.0041</v>
      </c>
      <c r="X20" s="3179"/>
      <c r="Y20" s="3182">
        <f>IF(D20=0,0,ROUND(AVERAGE(D20:D21)/100,4))</f>
        <v>9.4999999999999998E-3</v>
      </c>
      <c r="Z20" s="3182">
        <f>IF(E20=0,0,ROUND(AVERAGE(E20:E21)/100,4))</f>
        <v>4.4000000000000003E-3</v>
      </c>
      <c r="AA20" s="3182">
        <f>IF(F20=0,0,ROUND(AVERAGE(F20:F21)/100,4))</f>
        <v>8.0000000000000004E-4</v>
      </c>
      <c r="AB20" s="3182">
        <f>IF(G20=0,0,ROUND(AVERAGE(G20:G21)/100,4))</f>
        <v>1.03E-2</v>
      </c>
      <c r="AC20" s="3182">
        <f>IF(H20=0,0,ROUND(AVERAGE(H20:H21)/100,4))</f>
        <v>6.8999999999999999E-3</v>
      </c>
      <c r="AD20" s="3182">
        <f t="shared" si="40"/>
        <v>8.0000000000000004E-4</v>
      </c>
    </row>
    <row r="21" spans="1:30" s="3205" customFormat="1" thickBot="1">
      <c r="A21" s="3195" t="s">
        <v>2823</v>
      </c>
      <c r="B21" s="3196">
        <v>2021</v>
      </c>
      <c r="C21" s="3197">
        <v>1</v>
      </c>
      <c r="D21" s="3198">
        <v>0.97</v>
      </c>
      <c r="E21" s="3198">
        <v>0.16</v>
      </c>
      <c r="F21" s="3198">
        <v>-0.25</v>
      </c>
      <c r="G21" s="3198">
        <v>1.1100000000000001</v>
      </c>
      <c r="H21" s="3199">
        <v>0.36</v>
      </c>
      <c r="I21" s="3200">
        <f t="shared" si="37"/>
        <v>-0.25</v>
      </c>
      <c r="J21" s="3201"/>
      <c r="K21" s="3202">
        <f t="shared" si="38"/>
        <v>9.7000000000000003E-3</v>
      </c>
      <c r="L21" s="3203">
        <f t="shared" si="38"/>
        <v>1.6000000000000001E-3</v>
      </c>
      <c r="M21" s="3203">
        <f>F21/100</f>
        <v>-2.5000000000000001E-3</v>
      </c>
      <c r="N21" s="3203">
        <f t="shared" si="38"/>
        <v>1.11E-2</v>
      </c>
      <c r="O21" s="3203">
        <f t="shared" si="38"/>
        <v>3.5999999999999999E-3</v>
      </c>
      <c r="P21" s="3203">
        <f t="shared" si="58"/>
        <v>-2.5000000000000001E-3</v>
      </c>
      <c r="Q21" s="3201"/>
      <c r="R21" s="3204">
        <v>1</v>
      </c>
      <c r="S21" s="3204">
        <v>1</v>
      </c>
      <c r="T21" s="3204">
        <v>1</v>
      </c>
      <c r="U21" s="3204">
        <v>1</v>
      </c>
      <c r="V21" s="3204">
        <v>1</v>
      </c>
      <c r="W21" s="3204">
        <f t="shared" ref="W21" si="64">T21</f>
        <v>1</v>
      </c>
      <c r="X21" s="3201"/>
      <c r="Y21" s="3203">
        <f>IF(D21=0,0,ROUND(AVERAGE(D21:D21)/100,4))</f>
        <v>9.7000000000000003E-3</v>
      </c>
      <c r="Z21" s="3203">
        <f>IF(E21=0,0,ROUND(AVERAGE(E21:E21)/100,4))</f>
        <v>1.6000000000000001E-3</v>
      </c>
      <c r="AA21" s="3203">
        <f>IF(F21=0,0,ROUND(AVERAGE(F21:F21)/100,4))</f>
        <v>-2.5000000000000001E-3</v>
      </c>
      <c r="AB21" s="3203">
        <f>IF(G21=0,0,ROUND(AVERAGE(G21:G21)/100,4))</f>
        <v>1.11E-2</v>
      </c>
      <c r="AC21" s="3203">
        <f>IF(H21=0,0,ROUND(AVERAGE(H21:H21)/100,4))</f>
        <v>3.5999999999999999E-3</v>
      </c>
      <c r="AD21" s="3203">
        <f>AA21</f>
        <v>-2.5000000000000001E-3</v>
      </c>
    </row>
    <row r="22" spans="1:30" s="3007" customFormat="1" ht="14.25" thickTop="1"/>
    <row r="23" spans="1:30" s="3007" customFormat="1">
      <c r="A23" s="3446" t="s">
        <v>3365</v>
      </c>
    </row>
    <row r="24" spans="1:30" s="3007" customFormat="1">
      <c r="I24" s="3206" t="s">
        <v>2824</v>
      </c>
    </row>
    <row r="25" spans="1:30" s="3007" customFormat="1"/>
    <row r="26" spans="1:30" s="3207" customFormat="1" ht="12.75">
      <c r="B26" s="3208" t="s">
        <v>3371</v>
      </c>
      <c r="C26" s="3209"/>
      <c r="D26" s="3209"/>
      <c r="E26" s="3209"/>
      <c r="F26" s="3209"/>
      <c r="G26" s="3209"/>
      <c r="H26" s="3209"/>
      <c r="I26" s="3209"/>
      <c r="J26" s="3163"/>
      <c r="K26" s="3209" t="s">
        <v>2825</v>
      </c>
      <c r="L26" s="3209"/>
      <c r="M26" s="3209"/>
      <c r="N26" s="3209"/>
      <c r="O26" s="3209"/>
      <c r="P26" s="3209"/>
      <c r="Q26" s="3163"/>
      <c r="R26" s="4221" t="s">
        <v>2826</v>
      </c>
      <c r="S26" s="4222"/>
      <c r="T26" s="4222"/>
      <c r="U26" s="4222"/>
      <c r="V26" s="4222"/>
      <c r="W26" s="4222"/>
      <c r="X26" s="3163"/>
      <c r="Y26" s="4221" t="s">
        <v>2827</v>
      </c>
      <c r="Z26" s="4222"/>
      <c r="AA26" s="4222"/>
      <c r="AB26" s="4222"/>
      <c r="AC26" s="4222"/>
      <c r="AD26" s="4222"/>
    </row>
    <row r="27" spans="1:30" s="3141" customFormat="1" ht="14.25" thickBot="1">
      <c r="B27" s="3142"/>
      <c r="C27" s="3143"/>
      <c r="D27" s="3144" t="s">
        <v>2828</v>
      </c>
      <c r="E27" s="3145" t="s">
        <v>2829</v>
      </c>
      <c r="F27" s="3145" t="s">
        <v>2830</v>
      </c>
      <c r="G27" s="3145" t="s">
        <v>2831</v>
      </c>
      <c r="H27" s="3145"/>
      <c r="I27" s="3145" t="s">
        <v>2832</v>
      </c>
      <c r="J27" s="3146"/>
      <c r="K27" s="3144" t="s">
        <v>2828</v>
      </c>
      <c r="L27" s="3145" t="s">
        <v>2829</v>
      </c>
      <c r="M27" s="3145" t="s">
        <v>2830</v>
      </c>
      <c r="N27" s="3145" t="s">
        <v>2831</v>
      </c>
      <c r="O27" s="3145"/>
      <c r="P27" s="3145" t="s">
        <v>2832</v>
      </c>
      <c r="Q27" s="3146"/>
      <c r="R27" s="3144" t="s">
        <v>2828</v>
      </c>
      <c r="S27" s="3145" t="s">
        <v>2829</v>
      </c>
      <c r="T27" s="3145" t="s">
        <v>2830</v>
      </c>
      <c r="U27" s="3145" t="s">
        <v>2831</v>
      </c>
      <c r="V27" s="3145"/>
      <c r="W27" s="3145" t="s">
        <v>2832</v>
      </c>
      <c r="X27" s="3146"/>
      <c r="Y27" s="3144" t="s">
        <v>2828</v>
      </c>
      <c r="Z27" s="3145" t="s">
        <v>2829</v>
      </c>
      <c r="AA27" s="3145" t="s">
        <v>2830</v>
      </c>
      <c r="AB27" s="3145" t="s">
        <v>2831</v>
      </c>
      <c r="AC27" s="3145"/>
      <c r="AD27" s="3145" t="s">
        <v>2832</v>
      </c>
    </row>
    <row r="28" spans="1:30" s="3159" customFormat="1" ht="12.75">
      <c r="A28" s="3147" t="s">
        <v>2833</v>
      </c>
      <c r="B28" s="3148"/>
      <c r="C28" s="3149"/>
      <c r="D28" s="3149"/>
      <c r="E28" s="3149">
        <f t="shared" ref="E28:G28" si="65">ROUND(AVERAGEIF(E29:E46,"&lt;&gt;0"),2)</f>
        <v>0.33</v>
      </c>
      <c r="F28" s="3149">
        <f t="shared" si="65"/>
        <v>0.24</v>
      </c>
      <c r="G28" s="3149">
        <f t="shared" si="65"/>
        <v>0.62</v>
      </c>
      <c r="H28" s="3149"/>
      <c r="I28" s="3149">
        <f>F28</f>
        <v>0.24</v>
      </c>
      <c r="J28" s="3150"/>
      <c r="K28" s="3151"/>
      <c r="L28" s="3152">
        <f t="shared" ref="L28:N28" si="66">ROUND(AVERAGEIF(L29:L46,"&lt;&gt;0"),4)</f>
        <v>3.3E-3</v>
      </c>
      <c r="M28" s="3152">
        <f t="shared" si="66"/>
        <v>2.3999999999999998E-3</v>
      </c>
      <c r="N28" s="3152">
        <f t="shared" si="66"/>
        <v>6.1999999999999998E-3</v>
      </c>
      <c r="O28" s="3152"/>
      <c r="P28" s="3152">
        <f>M28</f>
        <v>2.3999999999999998E-3</v>
      </c>
      <c r="Q28" s="3150"/>
      <c r="R28" s="3153"/>
      <c r="S28" s="3154">
        <f>ROUND(SUMPRODUCT(PRODUCT(1+L29:L46)),4)</f>
        <v>1.0468999999999999</v>
      </c>
      <c r="T28" s="3154">
        <f t="shared" ref="T28:U28" si="67">ROUND(SUMPRODUCT(PRODUCT(1+M29:M46)),4)</f>
        <v>1.0347</v>
      </c>
      <c r="U28" s="3154">
        <f t="shared" si="67"/>
        <v>1.0895999999999999</v>
      </c>
      <c r="V28" s="3154"/>
      <c r="W28" s="3153">
        <f>T28</f>
        <v>1.0347</v>
      </c>
      <c r="X28" s="3150"/>
      <c r="Y28" s="3155"/>
      <c r="Z28" s="3156">
        <f t="shared" ref="Z28:AB28" si="68">ROUND(AVERAGEIF(Z29:Z46,"&lt;&gt;0"),4)</f>
        <v>4.1999999999999997E-3</v>
      </c>
      <c r="AA28" s="3157">
        <f t="shared" si="68"/>
        <v>3.3999999999999998E-3</v>
      </c>
      <c r="AB28" s="3155">
        <f t="shared" si="68"/>
        <v>8.6E-3</v>
      </c>
      <c r="AC28" s="3158"/>
      <c r="AD28" s="3155">
        <f>AA28</f>
        <v>3.3999999999999998E-3</v>
      </c>
    </row>
    <row r="29" spans="1:30" s="3160" customFormat="1" ht="12.75">
      <c r="B29" s="3161"/>
      <c r="C29" s="3162"/>
      <c r="D29" s="3162"/>
      <c r="E29" s="3162"/>
      <c r="F29" s="3162"/>
      <c r="G29" s="3162"/>
      <c r="H29" s="3162"/>
      <c r="I29" s="3162"/>
      <c r="J29" s="3163"/>
      <c r="K29" s="3164"/>
      <c r="L29" s="3165"/>
      <c r="M29" s="3165"/>
      <c r="N29" s="3165"/>
      <c r="O29" s="3165"/>
      <c r="P29" s="3165"/>
      <c r="Q29" s="3163"/>
      <c r="R29" s="3166"/>
      <c r="S29" s="3167"/>
      <c r="T29" s="3168"/>
      <c r="U29" s="3166"/>
      <c r="V29" s="3169"/>
      <c r="W29" s="3166"/>
      <c r="X29" s="3163"/>
      <c r="Y29" s="3170"/>
      <c r="Z29" s="3171"/>
      <c r="AA29" s="3172"/>
      <c r="AB29" s="3170"/>
      <c r="AC29" s="3173"/>
      <c r="AD29" s="3170"/>
    </row>
    <row r="30" spans="1:30" s="3183" customFormat="1" ht="12.75">
      <c r="A30" s="2204" t="s">
        <v>3381</v>
      </c>
      <c r="B30" s="3175">
        <v>2025</v>
      </c>
      <c r="C30" s="3176">
        <v>1</v>
      </c>
      <c r="D30" s="3177"/>
      <c r="E30" s="3177">
        <v>0</v>
      </c>
      <c r="F30" s="3177">
        <v>0</v>
      </c>
      <c r="G30" s="3177">
        <v>0</v>
      </c>
      <c r="H30" s="3177"/>
      <c r="I30" s="3178">
        <f t="shared" ref="I30" si="69">F30</f>
        <v>0</v>
      </c>
      <c r="J30" s="3179"/>
      <c r="K30" s="3180"/>
      <c r="L30" s="3170">
        <f t="shared" ref="L30" si="70">E30/100</f>
        <v>0</v>
      </c>
      <c r="M30" s="3170">
        <f t="shared" ref="M30" si="71">F30/100</f>
        <v>0</v>
      </c>
      <c r="N30" s="3170">
        <f t="shared" ref="N30" si="72">G30/100</f>
        <v>0</v>
      </c>
      <c r="O30" s="3170"/>
      <c r="P30" s="3170">
        <f>M30</f>
        <v>0</v>
      </c>
      <c r="Q30" s="3179"/>
      <c r="R30" s="3181"/>
      <c r="S30" s="3181">
        <f>ROUND(IF(项目基本情况!$B$8="出让",SUMPRODUCT(PRODUCT(1+L30:L$46)),SUMPRODUCT(PRODUCT(1+L30:L$45))),4)</f>
        <v>1.0432999999999999</v>
      </c>
      <c r="T30" s="3181">
        <f>ROUND(IF(项目基本情况!$B$8="出让",SUMPRODUCT(PRODUCT(1+M30:M$46)),SUMPRODUCT(PRODUCT(1+M30:M$45))),4)</f>
        <v>1.0298</v>
      </c>
      <c r="U30" s="3181">
        <f>ROUND(IF(项目基本情况!$B$8="出让",SUMPRODUCT(PRODUCT(1+N30:N$46)),SUMPRODUCT(PRODUCT(1+N30:N$45))),4)</f>
        <v>1.079</v>
      </c>
      <c r="V30" s="3181"/>
      <c r="W30" s="3181">
        <f>T30</f>
        <v>1.0298</v>
      </c>
      <c r="X30" s="3179"/>
      <c r="Y30" s="3182"/>
      <c r="Z30" s="3210">
        <f t="shared" ref="Z30" si="73">IF(E30=0,0,ROUND(AVERAGE(E30:E43)/100,4))</f>
        <v>0</v>
      </c>
      <c r="AA30" s="3210">
        <f t="shared" ref="AA30" si="74">IF(F30=0,0,ROUND(AVERAGE(F30:F43)/100,4))</f>
        <v>0</v>
      </c>
      <c r="AB30" s="3210">
        <f t="shared" ref="AB30" si="75">IF(G30=0,0,ROUND(AVERAGE(G30:G43)/100,4))</f>
        <v>0</v>
      </c>
      <c r="AC30" s="3211"/>
      <c r="AD30" s="3182">
        <f>IF(I30=0,0,ROUND(AVERAGE(I30:I43)/100,4))</f>
        <v>0</v>
      </c>
    </row>
    <row r="31" spans="1:30" s="3193" customFormat="1" ht="12.75">
      <c r="A31" s="3184" t="s">
        <v>3384</v>
      </c>
      <c r="B31" s="3185">
        <v>2024</v>
      </c>
      <c r="C31" s="3186">
        <v>4</v>
      </c>
      <c r="D31" s="3187"/>
      <c r="E31" s="3187">
        <v>0</v>
      </c>
      <c r="F31" s="3187">
        <v>0</v>
      </c>
      <c r="G31" s="3187">
        <v>0</v>
      </c>
      <c r="H31" s="3188"/>
      <c r="I31" s="3189">
        <f t="shared" ref="I31" si="76">F31</f>
        <v>0</v>
      </c>
      <c r="J31" s="3190"/>
      <c r="K31" s="3191"/>
      <c r="L31" s="3192">
        <f t="shared" ref="L31" si="77">E31/100</f>
        <v>0</v>
      </c>
      <c r="M31" s="3192">
        <f t="shared" ref="M31" si="78">F31/100</f>
        <v>0</v>
      </c>
      <c r="N31" s="3192">
        <f t="shared" ref="N31" si="79">G31/100</f>
        <v>0</v>
      </c>
      <c r="O31" s="3192"/>
      <c r="P31" s="3192">
        <f>M31</f>
        <v>0</v>
      </c>
      <c r="Q31" s="3190"/>
      <c r="R31" s="3190"/>
      <c r="S31" s="3190">
        <f>ROUND(IF(项目基本情况!$B$8="出让",SUMPRODUCT(PRODUCT(1+L31:L$46)),SUMPRODUCT(PRODUCT(1+L31:L$45))),4)</f>
        <v>1.0432999999999999</v>
      </c>
      <c r="T31" s="3190">
        <f>ROUND(IF(项目基本情况!$B$8="出让",SUMPRODUCT(PRODUCT(1+M31:M$46)),SUMPRODUCT(PRODUCT(1+M31:M$45))),4)</f>
        <v>1.0298</v>
      </c>
      <c r="U31" s="3190">
        <f>ROUND(IF(项目基本情况!$B$8="出让",SUMPRODUCT(PRODUCT(1+N31:N$46)),SUMPRODUCT(PRODUCT(1+N31:N$45))),4)</f>
        <v>1.079</v>
      </c>
      <c r="V31" s="3190"/>
      <c r="W31" s="3190">
        <f>T31</f>
        <v>1.0298</v>
      </c>
      <c r="X31" s="3190"/>
      <c r="Y31" s="3192"/>
      <c r="Z31" s="3213">
        <f t="shared" ref="Z31" si="80">IF(E31=0,0,ROUND(AVERAGE(E31:E44)/100,4))</f>
        <v>0</v>
      </c>
      <c r="AA31" s="3214">
        <f t="shared" ref="AA31" si="81">IF(F31=0,0,ROUND(AVERAGE(F31:F44)/100,4))</f>
        <v>0</v>
      </c>
      <c r="AB31" s="3192">
        <f t="shared" ref="AB31" si="82">IF(G31=0,0,ROUND(AVERAGE(G31:G44)/100,4))</f>
        <v>0</v>
      </c>
      <c r="AC31" s="3215"/>
      <c r="AD31" s="3192">
        <f>IF(I31=0,0,ROUND(AVERAGE(I31:I44)/100,4))</f>
        <v>0</v>
      </c>
    </row>
    <row r="32" spans="1:30" s="3183" customFormat="1" ht="12.75">
      <c r="A32" s="2204" t="s">
        <v>3376</v>
      </c>
      <c r="B32" s="3175">
        <v>2024</v>
      </c>
      <c r="C32" s="3176">
        <v>3</v>
      </c>
      <c r="D32" s="3177"/>
      <c r="E32" s="3177">
        <v>0</v>
      </c>
      <c r="F32" s="3177">
        <v>0</v>
      </c>
      <c r="G32" s="3177">
        <v>0</v>
      </c>
      <c r="H32" s="3177"/>
      <c r="I32" s="3178">
        <f t="shared" ref="I32" si="83">F32</f>
        <v>0</v>
      </c>
      <c r="J32" s="3179"/>
      <c r="K32" s="3180"/>
      <c r="L32" s="3170">
        <f t="shared" ref="L32" si="84">E32/100</f>
        <v>0</v>
      </c>
      <c r="M32" s="3170">
        <f t="shared" ref="M32" si="85">F32/100</f>
        <v>0</v>
      </c>
      <c r="N32" s="3170">
        <f t="shared" ref="N32" si="86">G32/100</f>
        <v>0</v>
      </c>
      <c r="O32" s="3170"/>
      <c r="P32" s="3170">
        <f>M32</f>
        <v>0</v>
      </c>
      <c r="Q32" s="3179"/>
      <c r="R32" s="3181"/>
      <c r="S32" s="3181">
        <f>ROUND(IF(项目基本情况!$B$8="出让",SUMPRODUCT(PRODUCT(1+L32:L$46)),SUMPRODUCT(PRODUCT(1+L32:L$45))),4)</f>
        <v>1.0432999999999999</v>
      </c>
      <c r="T32" s="3181">
        <f>ROUND(IF(项目基本情况!$B$8="出让",SUMPRODUCT(PRODUCT(1+M32:M$46)),SUMPRODUCT(PRODUCT(1+M32:M$45))),4)</f>
        <v>1.0298</v>
      </c>
      <c r="U32" s="3181">
        <f>ROUND(IF(项目基本情况!$B$8="出让",SUMPRODUCT(PRODUCT(1+N32:N$46)),SUMPRODUCT(PRODUCT(1+N32:N$45))),4)</f>
        <v>1.079</v>
      </c>
      <c r="V32" s="3181"/>
      <c r="W32" s="3181">
        <f>T32</f>
        <v>1.0298</v>
      </c>
      <c r="X32" s="3179"/>
      <c r="Y32" s="3182"/>
      <c r="Z32" s="3210">
        <f t="shared" ref="Z32:AB33" si="87">IF(E32=0,0,ROUND(AVERAGE(E32:E45)/100,4))</f>
        <v>0</v>
      </c>
      <c r="AA32" s="3210">
        <f t="shared" si="87"/>
        <v>0</v>
      </c>
      <c r="AB32" s="3210">
        <f t="shared" si="87"/>
        <v>0</v>
      </c>
      <c r="AC32" s="3211"/>
      <c r="AD32" s="3182">
        <f>IF(I32=0,0,ROUND(AVERAGE(I32:I45)/100,4))</f>
        <v>0</v>
      </c>
    </row>
    <row r="33" spans="1:30" s="3183" customFormat="1" ht="12.75">
      <c r="A33" s="3174" t="s">
        <v>3385</v>
      </c>
      <c r="B33" s="3175">
        <v>2024</v>
      </c>
      <c r="C33" s="3176">
        <v>2</v>
      </c>
      <c r="D33" s="3177"/>
      <c r="E33" s="3177">
        <v>-0.31</v>
      </c>
      <c r="F33" s="3177">
        <v>-0.39</v>
      </c>
      <c r="G33" s="3177">
        <v>1.23</v>
      </c>
      <c r="H33" s="3194"/>
      <c r="I33" s="3178">
        <f t="shared" ref="I33:I46" si="88">F33</f>
        <v>-0.39</v>
      </c>
      <c r="J33" s="3179"/>
      <c r="K33" s="3180"/>
      <c r="L33" s="3170">
        <f t="shared" ref="L33:N46" si="89">E33/100</f>
        <v>-3.0999999999999999E-3</v>
      </c>
      <c r="M33" s="3170">
        <f t="shared" si="89"/>
        <v>-3.9000000000000003E-3</v>
      </c>
      <c r="N33" s="3170">
        <f t="shared" si="89"/>
        <v>1.23E-2</v>
      </c>
      <c r="O33" s="3170"/>
      <c r="P33" s="3170">
        <f>M33</f>
        <v>-3.9000000000000003E-3</v>
      </c>
      <c r="Q33" s="3179"/>
      <c r="R33" s="3181"/>
      <c r="S33" s="3181">
        <f>ROUND(IF(项目基本情况!$B$8="出让",SUMPRODUCT(PRODUCT(1+L33:L$46)),SUMPRODUCT(PRODUCT(1+L33:L$45))),4)</f>
        <v>1.0432999999999999</v>
      </c>
      <c r="T33" s="3181">
        <f>ROUND(IF(项目基本情况!$B$8="出让",SUMPRODUCT(PRODUCT(1+M33:M$46)),SUMPRODUCT(PRODUCT(1+M33:M$45))),4)</f>
        <v>1.0298</v>
      </c>
      <c r="U33" s="3181">
        <f>ROUND(IF(项目基本情况!$B$8="出让",SUMPRODUCT(PRODUCT(1+N33:N$46)),SUMPRODUCT(PRODUCT(1+N33:N$45))),4)</f>
        <v>1.079</v>
      </c>
      <c r="V33" s="3181"/>
      <c r="W33" s="3181">
        <f>T33</f>
        <v>1.0298</v>
      </c>
      <c r="X33" s="3179"/>
      <c r="Y33" s="3182"/>
      <c r="Z33" s="3210">
        <f t="shared" si="87"/>
        <v>3.3E-3</v>
      </c>
      <c r="AA33" s="3212">
        <f t="shared" si="87"/>
        <v>2.3999999999999998E-3</v>
      </c>
      <c r="AB33" s="3182">
        <f t="shared" si="87"/>
        <v>6.1999999999999998E-3</v>
      </c>
      <c r="AC33" s="3211"/>
      <c r="AD33" s="3182">
        <f>IF(I33=0,0,ROUND(AVERAGE(I33:I46)/100,4))</f>
        <v>2.3999999999999998E-3</v>
      </c>
    </row>
    <row r="34" spans="1:30" s="3183" customFormat="1" ht="12.75">
      <c r="A34" s="3174" t="s">
        <v>3377</v>
      </c>
      <c r="B34" s="3175">
        <v>2024</v>
      </c>
      <c r="C34" s="3176">
        <v>1</v>
      </c>
      <c r="D34" s="3177"/>
      <c r="E34" s="3177">
        <v>0.25</v>
      </c>
      <c r="F34" s="3177">
        <v>0.4</v>
      </c>
      <c r="G34" s="3177">
        <v>-0.63</v>
      </c>
      <c r="H34" s="3194"/>
      <c r="I34" s="3178">
        <f t="shared" ref="I34:I35" si="90">F34</f>
        <v>0.4</v>
      </c>
      <c r="J34" s="3179"/>
      <c r="K34" s="3180"/>
      <c r="L34" s="3170">
        <f t="shared" ref="L34" si="91">E34/100</f>
        <v>2.5000000000000001E-3</v>
      </c>
      <c r="M34" s="3170">
        <f t="shared" ref="M34" si="92">F34/100</f>
        <v>4.0000000000000001E-3</v>
      </c>
      <c r="N34" s="3170">
        <f t="shared" ref="N34" si="93">G34/100</f>
        <v>-6.3E-3</v>
      </c>
      <c r="O34" s="3170"/>
      <c r="P34" s="3170">
        <f t="shared" ref="P34" si="94">M34</f>
        <v>4.0000000000000001E-3</v>
      </c>
      <c r="Q34" s="3179"/>
      <c r="R34" s="3181"/>
      <c r="S34" s="3181">
        <f>ROUND(IF(项目基本情况!$B$8="出让",SUMPRODUCT(PRODUCT(1+L34:L$46)),SUMPRODUCT(PRODUCT(1+L34:L$45))),4)</f>
        <v>1.0465</v>
      </c>
      <c r="T34" s="3181">
        <f>ROUND(IF(项目基本情况!$B$8="出让",SUMPRODUCT(PRODUCT(1+M34:M$46)),SUMPRODUCT(PRODUCT(1+M34:M$45))),4)</f>
        <v>1.0338000000000001</v>
      </c>
      <c r="U34" s="3181">
        <f>ROUND(IF(项目基本情况!$B$8="出让",SUMPRODUCT(PRODUCT(1+N34:N$46)),SUMPRODUCT(PRODUCT(1+N34:N$45))),4)</f>
        <v>1.0659000000000001</v>
      </c>
      <c r="V34" s="3181"/>
      <c r="W34" s="3181">
        <f t="shared" ref="W34" si="95">T34</f>
        <v>1.0338000000000001</v>
      </c>
      <c r="X34" s="3179"/>
      <c r="Y34" s="3182"/>
      <c r="Z34" s="3210"/>
      <c r="AA34" s="3212"/>
      <c r="AB34" s="3182"/>
      <c r="AC34" s="3211"/>
      <c r="AD34" s="3182"/>
    </row>
    <row r="35" spans="1:30" s="3183" customFormat="1" ht="12.75">
      <c r="A35" s="3174" t="s">
        <v>3375</v>
      </c>
      <c r="B35" s="3175">
        <v>2023</v>
      </c>
      <c r="C35" s="3176">
        <v>4</v>
      </c>
      <c r="D35" s="3177"/>
      <c r="E35" s="3177">
        <v>7.0000000000000007E-2</v>
      </c>
      <c r="F35" s="3177">
        <v>0.09</v>
      </c>
      <c r="G35" s="3177">
        <v>0.03</v>
      </c>
      <c r="H35" s="3194"/>
      <c r="I35" s="3178">
        <f t="shared" si="90"/>
        <v>0.09</v>
      </c>
      <c r="J35" s="3179"/>
      <c r="K35" s="3180"/>
      <c r="L35" s="3170">
        <f t="shared" si="89"/>
        <v>7.000000000000001E-4</v>
      </c>
      <c r="M35" s="3170">
        <f t="shared" si="89"/>
        <v>8.9999999999999998E-4</v>
      </c>
      <c r="N35" s="3170">
        <f t="shared" si="89"/>
        <v>2.9999999999999997E-4</v>
      </c>
      <c r="O35" s="3170"/>
      <c r="P35" s="3170">
        <f t="shared" ref="P35" si="96">M35</f>
        <v>8.9999999999999998E-4</v>
      </c>
      <c r="Q35" s="3179"/>
      <c r="R35" s="3181"/>
      <c r="S35" s="3181">
        <f>ROUND(IF(项目基本情况!$B$8="出让",SUMPRODUCT(PRODUCT(1+L35:L$46)),SUMPRODUCT(PRODUCT(1+L35:L$45))),4)</f>
        <v>1.0439000000000001</v>
      </c>
      <c r="T35" s="3181">
        <f>ROUND(IF(项目基本情况!$B$8="出让",SUMPRODUCT(PRODUCT(1+M35:M$46)),SUMPRODUCT(PRODUCT(1+M35:M$45))),4)</f>
        <v>1.0297000000000001</v>
      </c>
      <c r="U35" s="3181">
        <f>ROUND(IF(项目基本情况!$B$8="出让",SUMPRODUCT(PRODUCT(1+N35:N$46)),SUMPRODUCT(PRODUCT(1+N35:N$45))),4)</f>
        <v>1.0727</v>
      </c>
      <c r="V35" s="3181"/>
      <c r="W35" s="3181">
        <f t="shared" ref="W35" si="97">T35</f>
        <v>1.0297000000000001</v>
      </c>
      <c r="X35" s="3179"/>
      <c r="Y35" s="3182"/>
      <c r="Z35" s="3210"/>
      <c r="AA35" s="3212"/>
      <c r="AB35" s="3182"/>
      <c r="AC35" s="3211"/>
      <c r="AD35" s="3182"/>
    </row>
    <row r="36" spans="1:30" s="3183" customFormat="1" ht="12.75">
      <c r="A36" s="3174" t="s">
        <v>3373</v>
      </c>
      <c r="B36" s="3175">
        <v>2023</v>
      </c>
      <c r="C36" s="3176">
        <v>3</v>
      </c>
      <c r="D36" s="3177"/>
      <c r="E36" s="3177">
        <v>0.35</v>
      </c>
      <c r="F36" s="3177">
        <v>0.17</v>
      </c>
      <c r="G36" s="3177">
        <v>0.52</v>
      </c>
      <c r="H36" s="3194"/>
      <c r="I36" s="3178">
        <f t="shared" si="88"/>
        <v>0.17</v>
      </c>
      <c r="J36" s="3179"/>
      <c r="K36" s="3180"/>
      <c r="L36" s="3170">
        <f t="shared" ref="L36:L38" si="98">E36/100</f>
        <v>3.4999999999999996E-3</v>
      </c>
      <c r="M36" s="3170">
        <f t="shared" ref="M36:M38" si="99">F36/100</f>
        <v>1.7000000000000001E-3</v>
      </c>
      <c r="N36" s="3170">
        <f t="shared" ref="N36:N38" si="100">G36/100</f>
        <v>5.1999999999999998E-3</v>
      </c>
      <c r="O36" s="3170"/>
      <c r="P36" s="3170">
        <f t="shared" ref="P36:P38" si="101">M36</f>
        <v>1.7000000000000001E-3</v>
      </c>
      <c r="Q36" s="3179"/>
      <c r="R36" s="3181"/>
      <c r="S36" s="3181">
        <f>ROUND(IF(项目基本情况!$B$8="出让",SUMPRODUCT(PRODUCT(1+L36:L$46)),SUMPRODUCT(PRODUCT(1+L36:L$45))),4)</f>
        <v>1.0431999999999999</v>
      </c>
      <c r="T36" s="3181">
        <f>ROUND(IF(项目基本情况!$B$8="出让",SUMPRODUCT(PRODUCT(1+M36:M$46)),SUMPRODUCT(PRODUCT(1+M36:M$45))),4)</f>
        <v>1.0286999999999999</v>
      </c>
      <c r="U36" s="3181">
        <f>ROUND(IF(项目基本情况!$B$8="出让",SUMPRODUCT(PRODUCT(1+N36:N$46)),SUMPRODUCT(PRODUCT(1+N36:N$45))),4)</f>
        <v>1.0723</v>
      </c>
      <c r="V36" s="3181"/>
      <c r="W36" s="3181">
        <f t="shared" ref="W36:W38" si="102">T36</f>
        <v>1.0286999999999999</v>
      </c>
      <c r="X36" s="3179"/>
      <c r="Y36" s="3182"/>
      <c r="Z36" s="3210"/>
      <c r="AA36" s="3212"/>
      <c r="AB36" s="3182"/>
      <c r="AC36" s="3211"/>
      <c r="AD36" s="3182"/>
    </row>
    <row r="37" spans="1:30" s="3183" customFormat="1" ht="12.75">
      <c r="A37" s="3174" t="s">
        <v>3372</v>
      </c>
      <c r="B37" s="3175">
        <v>2023</v>
      </c>
      <c r="C37" s="3176">
        <v>2</v>
      </c>
      <c r="D37" s="3177"/>
      <c r="E37" s="3177">
        <v>0.5</v>
      </c>
      <c r="F37" s="3177">
        <v>0.45</v>
      </c>
      <c r="G37" s="3177">
        <v>0.89</v>
      </c>
      <c r="H37" s="3194"/>
      <c r="I37" s="3178">
        <f t="shared" si="88"/>
        <v>0.45</v>
      </c>
      <c r="J37" s="3179"/>
      <c r="K37" s="3180"/>
      <c r="L37" s="3170">
        <f t="shared" si="98"/>
        <v>5.0000000000000001E-3</v>
      </c>
      <c r="M37" s="3170">
        <f t="shared" si="99"/>
        <v>4.5000000000000005E-3</v>
      </c>
      <c r="N37" s="3170">
        <f t="shared" si="100"/>
        <v>8.8999999999999999E-3</v>
      </c>
      <c r="O37" s="3170"/>
      <c r="P37" s="3170">
        <f t="shared" si="101"/>
        <v>4.5000000000000005E-3</v>
      </c>
      <c r="Q37" s="3179"/>
      <c r="R37" s="3181"/>
      <c r="S37" s="3181">
        <f>ROUND(IF(项目基本情况!$B$8="出让",SUMPRODUCT(PRODUCT(1+L37:L$46)),SUMPRODUCT(PRODUCT(1+L37:L$45))),4)</f>
        <v>1.0396000000000001</v>
      </c>
      <c r="T37" s="3181">
        <f>ROUND(IF(项目基本情况!$B$8="出让",SUMPRODUCT(PRODUCT(1+M37:M$46)),SUMPRODUCT(PRODUCT(1+M37:M$45))),4)</f>
        <v>1.0269999999999999</v>
      </c>
      <c r="U37" s="3181">
        <f>ROUND(IF(项目基本情况!$B$8="出让",SUMPRODUCT(PRODUCT(1+N37:N$46)),SUMPRODUCT(PRODUCT(1+N37:N$45))),4)</f>
        <v>1.0668</v>
      </c>
      <c r="V37" s="3181"/>
      <c r="W37" s="3181">
        <f t="shared" si="102"/>
        <v>1.0269999999999999</v>
      </c>
      <c r="X37" s="3179"/>
      <c r="Y37" s="3182"/>
      <c r="Z37" s="3210"/>
      <c r="AA37" s="3212"/>
      <c r="AB37" s="3182"/>
      <c r="AC37" s="3211"/>
      <c r="AD37" s="3182"/>
    </row>
    <row r="38" spans="1:30" s="3183" customFormat="1" ht="12.75">
      <c r="A38" s="3174" t="s">
        <v>3368</v>
      </c>
      <c r="B38" s="3175">
        <v>2023</v>
      </c>
      <c r="C38" s="3176">
        <v>1</v>
      </c>
      <c r="D38" s="3177"/>
      <c r="E38" s="3177">
        <v>0.55000000000000004</v>
      </c>
      <c r="F38" s="3177">
        <v>0.59</v>
      </c>
      <c r="G38" s="3177">
        <v>0.64</v>
      </c>
      <c r="H38" s="3194"/>
      <c r="I38" s="3178">
        <f t="shared" si="88"/>
        <v>0.59</v>
      </c>
      <c r="J38" s="3179"/>
      <c r="K38" s="3180"/>
      <c r="L38" s="3170">
        <f t="shared" si="98"/>
        <v>5.5000000000000005E-3</v>
      </c>
      <c r="M38" s="3170">
        <f t="shared" si="99"/>
        <v>5.8999999999999999E-3</v>
      </c>
      <c r="N38" s="3170">
        <f t="shared" si="100"/>
        <v>6.4000000000000003E-3</v>
      </c>
      <c r="O38" s="3170"/>
      <c r="P38" s="3170">
        <f t="shared" si="101"/>
        <v>5.8999999999999999E-3</v>
      </c>
      <c r="Q38" s="3179"/>
      <c r="R38" s="3181"/>
      <c r="S38" s="3181">
        <f>ROUND(IF(项目基本情况!$B$8="出让",SUMPRODUCT(PRODUCT(1+L38:L$46)),SUMPRODUCT(PRODUCT(1+L38:L$45))),4)</f>
        <v>1.0344</v>
      </c>
      <c r="T38" s="3181">
        <f>ROUND(IF(项目基本情况!$B$8="出让",SUMPRODUCT(PRODUCT(1+M38:M$46)),SUMPRODUCT(PRODUCT(1+M38:M$45))),4)</f>
        <v>1.0224</v>
      </c>
      <c r="U38" s="3181">
        <f>ROUND(IF(项目基本情况!$B$8="出让",SUMPRODUCT(PRODUCT(1+N38:N$46)),SUMPRODUCT(PRODUCT(1+N38:N$45))),4)</f>
        <v>1.0573999999999999</v>
      </c>
      <c r="V38" s="3181"/>
      <c r="W38" s="3181">
        <f t="shared" si="102"/>
        <v>1.0224</v>
      </c>
      <c r="X38" s="3179"/>
      <c r="Y38" s="3182"/>
      <c r="Z38" s="3210"/>
      <c r="AA38" s="3212"/>
      <c r="AB38" s="3182"/>
      <c r="AC38" s="3211"/>
      <c r="AD38" s="3182"/>
    </row>
    <row r="39" spans="1:30" s="3183" customFormat="1" ht="12.75">
      <c r="A39" s="3174" t="s">
        <v>3367</v>
      </c>
      <c r="B39" s="3175">
        <v>2022</v>
      </c>
      <c r="C39" s="3176">
        <v>4</v>
      </c>
      <c r="D39" s="3177"/>
      <c r="E39" s="3177">
        <v>0.45</v>
      </c>
      <c r="F39" s="3177">
        <v>0.2</v>
      </c>
      <c r="G39" s="3177">
        <v>0.38</v>
      </c>
      <c r="H39" s="3194"/>
      <c r="I39" s="3178">
        <f t="shared" si="88"/>
        <v>0.2</v>
      </c>
      <c r="J39" s="3179"/>
      <c r="K39" s="3180"/>
      <c r="L39" s="3170">
        <f t="shared" si="89"/>
        <v>4.5000000000000005E-3</v>
      </c>
      <c r="M39" s="3170">
        <f t="shared" si="89"/>
        <v>2E-3</v>
      </c>
      <c r="N39" s="3170">
        <f t="shared" si="89"/>
        <v>3.8E-3</v>
      </c>
      <c r="O39" s="3170"/>
      <c r="P39" s="3170">
        <f t="shared" ref="P39:P46" si="103">M39</f>
        <v>2E-3</v>
      </c>
      <c r="Q39" s="3179"/>
      <c r="R39" s="3181"/>
      <c r="S39" s="3181">
        <f>ROUND(IF(项目基本情况!$B$8="出让",SUMPRODUCT(PRODUCT(1+L39:L$46)),SUMPRODUCT(PRODUCT(1+L39:L$45))),4)</f>
        <v>1.0286999999999999</v>
      </c>
      <c r="T39" s="3181">
        <f>ROUND(IF(项目基本情况!$B$8="出让",SUMPRODUCT(PRODUCT(1+M39:M$46)),SUMPRODUCT(PRODUCT(1+M39:M$45))),4)</f>
        <v>1.0164</v>
      </c>
      <c r="U39" s="3181">
        <f>ROUND(IF(项目基本情况!$B$8="出让",SUMPRODUCT(PRODUCT(1+N39:N$46)),SUMPRODUCT(PRODUCT(1+N39:N$45))),4)</f>
        <v>1.0506</v>
      </c>
      <c r="V39" s="3181"/>
      <c r="W39" s="3181">
        <f t="shared" ref="W39:W46" si="104">T39</f>
        <v>1.0164</v>
      </c>
      <c r="X39" s="3179"/>
      <c r="Y39" s="3182"/>
      <c r="Z39" s="3210">
        <f t="shared" ref="Z39:AD46" si="105">IF(E39=0,0,ROUND(AVERAGE(E39:E47)/100,4))</f>
        <v>4.0000000000000001E-3</v>
      </c>
      <c r="AA39" s="3212">
        <f t="shared" si="105"/>
        <v>2.5999999999999999E-3</v>
      </c>
      <c r="AB39" s="3182">
        <f t="shared" si="105"/>
        <v>7.4000000000000003E-3</v>
      </c>
      <c r="AC39" s="3211"/>
      <c r="AD39" s="3182">
        <f t="shared" si="105"/>
        <v>2.5999999999999999E-3</v>
      </c>
    </row>
    <row r="40" spans="1:30" s="3183" customFormat="1" ht="12.75">
      <c r="A40" s="3174" t="s">
        <v>3364</v>
      </c>
      <c r="B40" s="3175">
        <v>2022</v>
      </c>
      <c r="C40" s="3176">
        <v>3</v>
      </c>
      <c r="D40" s="3177"/>
      <c r="E40" s="3177">
        <v>0.3</v>
      </c>
      <c r="F40" s="3177">
        <v>0.28999999999999998</v>
      </c>
      <c r="G40" s="3177">
        <v>0.83</v>
      </c>
      <c r="H40" s="3194"/>
      <c r="I40" s="3178">
        <f t="shared" si="88"/>
        <v>0.28999999999999998</v>
      </c>
      <c r="J40" s="3179"/>
      <c r="K40" s="3180"/>
      <c r="L40" s="3170">
        <f t="shared" si="89"/>
        <v>3.0000000000000001E-3</v>
      </c>
      <c r="M40" s="3170">
        <f t="shared" si="89"/>
        <v>2.8999999999999998E-3</v>
      </c>
      <c r="N40" s="3170">
        <f t="shared" si="89"/>
        <v>8.3000000000000001E-3</v>
      </c>
      <c r="O40" s="3170"/>
      <c r="P40" s="3170">
        <f t="shared" si="103"/>
        <v>2.8999999999999998E-3</v>
      </c>
      <c r="Q40" s="3179"/>
      <c r="R40" s="3181"/>
      <c r="S40" s="3181">
        <f>ROUND(IF(项目基本情况!$B$8="出让",SUMPRODUCT(PRODUCT(1+L40:L$46)),SUMPRODUCT(PRODUCT(1+L40:L$45))),4)</f>
        <v>1.0241</v>
      </c>
      <c r="T40" s="3181">
        <f>ROUND(IF(项目基本情况!$B$8="出让",SUMPRODUCT(PRODUCT(1+M40:M$46)),SUMPRODUCT(PRODUCT(1+M40:M$45))),4)</f>
        <v>1.0144</v>
      </c>
      <c r="U40" s="3181">
        <f>ROUND(IF(项目基本情况!$B$8="出让",SUMPRODUCT(PRODUCT(1+N40:N$46)),SUMPRODUCT(PRODUCT(1+N40:N$45))),4)</f>
        <v>1.0467</v>
      </c>
      <c r="V40" s="3181"/>
      <c r="W40" s="3181">
        <f t="shared" si="104"/>
        <v>1.0144</v>
      </c>
      <c r="X40" s="3179"/>
      <c r="Y40" s="3182"/>
      <c r="Z40" s="3210">
        <f t="shared" si="105"/>
        <v>3.8999999999999998E-3</v>
      </c>
      <c r="AA40" s="3212">
        <f t="shared" si="105"/>
        <v>2.7000000000000001E-3</v>
      </c>
      <c r="AB40" s="3182">
        <f t="shared" si="105"/>
        <v>7.9000000000000008E-3</v>
      </c>
      <c r="AC40" s="3211"/>
      <c r="AD40" s="3182">
        <f t="shared" si="105"/>
        <v>2.7000000000000001E-3</v>
      </c>
    </row>
    <row r="41" spans="1:30" s="3183" customFormat="1" ht="12.75">
      <c r="A41" s="3174" t="s">
        <v>3354</v>
      </c>
      <c r="B41" s="3175">
        <v>2022</v>
      </c>
      <c r="C41" s="3176">
        <v>2</v>
      </c>
      <c r="D41" s="3177"/>
      <c r="E41" s="3177">
        <v>-0.11</v>
      </c>
      <c r="F41" s="3177">
        <v>-0.13</v>
      </c>
      <c r="G41" s="3177">
        <v>0.53</v>
      </c>
      <c r="H41" s="3194"/>
      <c r="I41" s="3178">
        <f t="shared" si="88"/>
        <v>-0.13</v>
      </c>
      <c r="J41" s="3179"/>
      <c r="K41" s="3180"/>
      <c r="L41" s="3170">
        <f t="shared" si="89"/>
        <v>-1.1000000000000001E-3</v>
      </c>
      <c r="M41" s="3170">
        <f t="shared" si="89"/>
        <v>-1.2999999999999999E-3</v>
      </c>
      <c r="N41" s="3170">
        <f t="shared" si="89"/>
        <v>5.3E-3</v>
      </c>
      <c r="O41" s="3170"/>
      <c r="P41" s="3170">
        <f t="shared" si="103"/>
        <v>-1.2999999999999999E-3</v>
      </c>
      <c r="Q41" s="3179"/>
      <c r="R41" s="3181"/>
      <c r="S41" s="3181">
        <f>ROUND(IF(项目基本情况!$B$8="出让",SUMPRODUCT(PRODUCT(1+L41:L$46)),SUMPRODUCT(PRODUCT(1+L41:L$45))),4)</f>
        <v>1.0210999999999999</v>
      </c>
      <c r="T41" s="3181">
        <f>ROUND(IF(项目基本情况!$B$8="出让",SUMPRODUCT(PRODUCT(1+M41:M$46)),SUMPRODUCT(PRODUCT(1+M41:M$45))),4)</f>
        <v>1.0114000000000001</v>
      </c>
      <c r="U41" s="3181">
        <f>ROUND(IF(项目基本情况!$B$8="出让",SUMPRODUCT(PRODUCT(1+N41:N$46)),SUMPRODUCT(PRODUCT(1+N41:N$45))),4)</f>
        <v>1.0381</v>
      </c>
      <c r="V41" s="3181"/>
      <c r="W41" s="3181">
        <f t="shared" si="104"/>
        <v>1.0114000000000001</v>
      </c>
      <c r="X41" s="3179"/>
      <c r="Y41" s="3182"/>
      <c r="Z41" s="3210">
        <f t="shared" si="105"/>
        <v>4.1000000000000003E-3</v>
      </c>
      <c r="AA41" s="3212">
        <f t="shared" si="105"/>
        <v>2.7000000000000001E-3</v>
      </c>
      <c r="AB41" s="3182">
        <f t="shared" si="105"/>
        <v>7.9000000000000008E-3</v>
      </c>
      <c r="AC41" s="3211"/>
      <c r="AD41" s="3182">
        <f t="shared" si="105"/>
        <v>2.7000000000000001E-3</v>
      </c>
    </row>
    <row r="42" spans="1:30" s="3183" customFormat="1" ht="12.75">
      <c r="A42" s="3174" t="s">
        <v>2834</v>
      </c>
      <c r="B42" s="3175">
        <v>2022</v>
      </c>
      <c r="C42" s="3176">
        <v>1</v>
      </c>
      <c r="D42" s="3177"/>
      <c r="E42" s="3177">
        <v>0.6</v>
      </c>
      <c r="F42" s="3177">
        <v>0.45</v>
      </c>
      <c r="G42" s="3177">
        <v>0.53</v>
      </c>
      <c r="H42" s="3194"/>
      <c r="I42" s="3178">
        <f t="shared" si="88"/>
        <v>0.45</v>
      </c>
      <c r="J42" s="3179"/>
      <c r="K42" s="3180"/>
      <c r="L42" s="3170">
        <f t="shared" si="89"/>
        <v>6.0000000000000001E-3</v>
      </c>
      <c r="M42" s="3170">
        <f t="shared" si="89"/>
        <v>4.5000000000000005E-3</v>
      </c>
      <c r="N42" s="3170">
        <f t="shared" si="89"/>
        <v>5.3E-3</v>
      </c>
      <c r="O42" s="3170"/>
      <c r="P42" s="3170">
        <f t="shared" si="103"/>
        <v>4.5000000000000005E-3</v>
      </c>
      <c r="Q42" s="3179"/>
      <c r="R42" s="3181"/>
      <c r="S42" s="3181">
        <f>ROUND(IF(项目基本情况!$B$8="出让",SUMPRODUCT(PRODUCT(1+L42:L$46)),SUMPRODUCT(PRODUCT(1+L42:L$45))),4)</f>
        <v>1.0222</v>
      </c>
      <c r="T42" s="3181">
        <f>ROUND(IF(项目基本情况!$B$8="出让",SUMPRODUCT(PRODUCT(1+M42:M$46)),SUMPRODUCT(PRODUCT(1+M42:M$45))),4)</f>
        <v>1.0127999999999999</v>
      </c>
      <c r="U42" s="3181">
        <f>ROUND(IF(项目基本情况!$B$8="出让",SUMPRODUCT(PRODUCT(1+N42:N$46)),SUMPRODUCT(PRODUCT(1+N42:N$45))),4)</f>
        <v>1.0326</v>
      </c>
      <c r="V42" s="3181"/>
      <c r="W42" s="3181">
        <f t="shared" si="104"/>
        <v>1.0127999999999999</v>
      </c>
      <c r="X42" s="3179"/>
      <c r="Y42" s="3182"/>
      <c r="Z42" s="3210">
        <f t="shared" si="105"/>
        <v>5.1000000000000004E-3</v>
      </c>
      <c r="AA42" s="3212">
        <f t="shared" si="105"/>
        <v>3.5000000000000001E-3</v>
      </c>
      <c r="AB42" s="3182">
        <f t="shared" si="105"/>
        <v>8.3999999999999995E-3</v>
      </c>
      <c r="AC42" s="3211"/>
      <c r="AD42" s="3182">
        <f t="shared" si="105"/>
        <v>3.5000000000000001E-3</v>
      </c>
    </row>
    <row r="43" spans="1:30" s="3183" customFormat="1" ht="12.75">
      <c r="A43" s="3174" t="s">
        <v>2835</v>
      </c>
      <c r="B43" s="3175">
        <v>2021</v>
      </c>
      <c r="C43" s="3176">
        <v>4</v>
      </c>
      <c r="D43" s="3177"/>
      <c r="E43" s="3177">
        <v>0.57999999999999996</v>
      </c>
      <c r="F43" s="3177">
        <v>0.08</v>
      </c>
      <c r="G43" s="3177">
        <v>0.68</v>
      </c>
      <c r="H43" s="3194"/>
      <c r="I43" s="3178">
        <f t="shared" si="88"/>
        <v>0.08</v>
      </c>
      <c r="J43" s="3179"/>
      <c r="K43" s="3180"/>
      <c r="L43" s="3170">
        <f t="shared" si="89"/>
        <v>5.7999999999999996E-3</v>
      </c>
      <c r="M43" s="3170">
        <f t="shared" si="89"/>
        <v>8.0000000000000004E-4</v>
      </c>
      <c r="N43" s="3170">
        <f t="shared" si="89"/>
        <v>6.8000000000000005E-3</v>
      </c>
      <c r="O43" s="3170"/>
      <c r="P43" s="3170">
        <f t="shared" si="103"/>
        <v>8.0000000000000004E-4</v>
      </c>
      <c r="Q43" s="3179"/>
      <c r="R43" s="3181"/>
      <c r="S43" s="3181">
        <f>ROUND(IF(项目基本情况!$B$8="出让",SUMPRODUCT(PRODUCT(1+L43:L$46)),SUMPRODUCT(PRODUCT(1+L43:L$45))),4)</f>
        <v>1.0161</v>
      </c>
      <c r="T43" s="3181">
        <f>ROUND(IF(项目基本情况!$B$8="出让",SUMPRODUCT(PRODUCT(1+M43:M$46)),SUMPRODUCT(PRODUCT(1+M43:M$45))),4)</f>
        <v>1.0082</v>
      </c>
      <c r="U43" s="3181">
        <f>ROUND(IF(项目基本情况!$B$8="出让",SUMPRODUCT(PRODUCT(1+N43:N$46)),SUMPRODUCT(PRODUCT(1+N43:N$45))),4)</f>
        <v>1.0270999999999999</v>
      </c>
      <c r="V43" s="3181"/>
      <c r="W43" s="3181">
        <f t="shared" si="104"/>
        <v>1.0082</v>
      </c>
      <c r="X43" s="3179"/>
      <c r="Y43" s="3182"/>
      <c r="Z43" s="3210">
        <f t="shared" si="105"/>
        <v>4.8999999999999998E-3</v>
      </c>
      <c r="AA43" s="3212">
        <f t="shared" si="105"/>
        <v>3.3E-3</v>
      </c>
      <c r="AB43" s="3182">
        <f t="shared" si="105"/>
        <v>9.1999999999999998E-3</v>
      </c>
      <c r="AC43" s="3211"/>
      <c r="AD43" s="3182">
        <f t="shared" si="105"/>
        <v>3.3E-3</v>
      </c>
    </row>
    <row r="44" spans="1:30" s="3183" customFormat="1" ht="12.75">
      <c r="A44" s="3174" t="s">
        <v>2836</v>
      </c>
      <c r="B44" s="3175">
        <v>2021</v>
      </c>
      <c r="C44" s="3176">
        <v>3</v>
      </c>
      <c r="D44" s="3177"/>
      <c r="E44" s="3177">
        <v>0.47</v>
      </c>
      <c r="F44" s="3177">
        <v>0.28000000000000003</v>
      </c>
      <c r="G44" s="3177">
        <v>0.91</v>
      </c>
      <c r="H44" s="3194"/>
      <c r="I44" s="3178">
        <f t="shared" si="88"/>
        <v>0.28000000000000003</v>
      </c>
      <c r="J44" s="3179"/>
      <c r="K44" s="3180"/>
      <c r="L44" s="3170">
        <f t="shared" si="89"/>
        <v>4.6999999999999993E-3</v>
      </c>
      <c r="M44" s="3170">
        <f t="shared" si="89"/>
        <v>2.8000000000000004E-3</v>
      </c>
      <c r="N44" s="3170">
        <f t="shared" si="89"/>
        <v>9.1000000000000004E-3</v>
      </c>
      <c r="O44" s="3170"/>
      <c r="P44" s="3170">
        <f t="shared" si="103"/>
        <v>2.8000000000000004E-3</v>
      </c>
      <c r="Q44" s="3179"/>
      <c r="R44" s="3181"/>
      <c r="S44" s="3181">
        <f>ROUND(IF(项目基本情况!$B$8="出让",SUMPRODUCT(PRODUCT(1+L44:L$46)),SUMPRODUCT(PRODUCT(1+L44:L$45))),4)</f>
        <v>1.0102</v>
      </c>
      <c r="T44" s="3181">
        <f>ROUND(IF(项目基本情况!$B$8="出让",SUMPRODUCT(PRODUCT(1+M44:M$46)),SUMPRODUCT(PRODUCT(1+M44:M$45))),4)</f>
        <v>1.0074000000000001</v>
      </c>
      <c r="U44" s="3181">
        <f>ROUND(IF(项目基本情况!$B$8="出让",SUMPRODUCT(PRODUCT(1+N44:N$46)),SUMPRODUCT(PRODUCT(1+N44:N$45))),4)</f>
        <v>1.0202</v>
      </c>
      <c r="V44" s="3181"/>
      <c r="W44" s="3181">
        <f t="shared" si="104"/>
        <v>1.0074000000000001</v>
      </c>
      <c r="X44" s="3179"/>
      <c r="Y44" s="3182"/>
      <c r="Z44" s="3210">
        <f t="shared" si="105"/>
        <v>4.5999999999999999E-3</v>
      </c>
      <c r="AA44" s="3212">
        <f t="shared" si="105"/>
        <v>4.1000000000000003E-3</v>
      </c>
      <c r="AB44" s="3182">
        <f t="shared" si="105"/>
        <v>0.01</v>
      </c>
      <c r="AC44" s="3211"/>
      <c r="AD44" s="3182">
        <f t="shared" si="105"/>
        <v>4.1000000000000003E-3</v>
      </c>
    </row>
    <row r="45" spans="1:30" s="3183" customFormat="1" ht="12.75">
      <c r="A45" s="3174" t="s">
        <v>2837</v>
      </c>
      <c r="B45" s="3175">
        <v>2021</v>
      </c>
      <c r="C45" s="3176">
        <v>2</v>
      </c>
      <c r="D45" s="3177"/>
      <c r="E45" s="3177">
        <v>0.55000000000000004</v>
      </c>
      <c r="F45" s="3177">
        <v>0.46</v>
      </c>
      <c r="G45" s="3177">
        <v>1.1000000000000001</v>
      </c>
      <c r="H45" s="3194"/>
      <c r="I45" s="3178">
        <f t="shared" si="88"/>
        <v>0.46</v>
      </c>
      <c r="J45" s="3179"/>
      <c r="K45" s="3180"/>
      <c r="L45" s="3170">
        <f t="shared" si="89"/>
        <v>5.5000000000000005E-3</v>
      </c>
      <c r="M45" s="3170">
        <f t="shared" si="89"/>
        <v>4.5999999999999999E-3</v>
      </c>
      <c r="N45" s="3170">
        <f t="shared" si="89"/>
        <v>1.1000000000000001E-2</v>
      </c>
      <c r="O45" s="3170"/>
      <c r="P45" s="3170">
        <f t="shared" si="103"/>
        <v>4.5999999999999999E-3</v>
      </c>
      <c r="Q45" s="3179"/>
      <c r="R45" s="3181"/>
      <c r="S45" s="3181">
        <f>ROUND(IF(项目基本情况!$B$8="出让",SUMPRODUCT(PRODUCT(1+L45:L$46)),SUMPRODUCT(PRODUCT(1+L45:L$45))),4)</f>
        <v>1.0055000000000001</v>
      </c>
      <c r="T45" s="3181">
        <f>ROUND(IF(项目基本情况!$B$8="出让",SUMPRODUCT(PRODUCT(1+M45:M$46)),SUMPRODUCT(PRODUCT(1+M45:M$45))),4)</f>
        <v>1.0045999999999999</v>
      </c>
      <c r="U45" s="3181">
        <f>ROUND(IF(项目基本情况!$B$8="出让",SUMPRODUCT(PRODUCT(1+N45:N$46)),SUMPRODUCT(PRODUCT(1+N45:N$45))),4)</f>
        <v>1.0109999999999999</v>
      </c>
      <c r="V45" s="3181"/>
      <c r="W45" s="3181">
        <f t="shared" si="104"/>
        <v>1.0045999999999999</v>
      </c>
      <c r="X45" s="3179"/>
      <c r="Y45" s="3182"/>
      <c r="Z45" s="3210">
        <f t="shared" si="105"/>
        <v>4.4999999999999997E-3</v>
      </c>
      <c r="AA45" s="3212">
        <f t="shared" si="105"/>
        <v>4.7000000000000002E-3</v>
      </c>
      <c r="AB45" s="3182">
        <f t="shared" si="105"/>
        <v>1.04E-2</v>
      </c>
      <c r="AC45" s="3211"/>
      <c r="AD45" s="3182">
        <f t="shared" si="105"/>
        <v>4.7000000000000002E-3</v>
      </c>
    </row>
    <row r="46" spans="1:30" s="3205" customFormat="1" thickBot="1">
      <c r="A46" s="3195" t="s">
        <v>2823</v>
      </c>
      <c r="B46" s="3196">
        <v>2021</v>
      </c>
      <c r="C46" s="3197">
        <v>1</v>
      </c>
      <c r="D46" s="3198"/>
      <c r="E46" s="3198">
        <v>0.35</v>
      </c>
      <c r="F46" s="3198">
        <v>0.48</v>
      </c>
      <c r="G46" s="3198">
        <v>0.98</v>
      </c>
      <c r="H46" s="3199"/>
      <c r="I46" s="3200">
        <f t="shared" si="88"/>
        <v>0.48</v>
      </c>
      <c r="J46" s="3201"/>
      <c r="K46" s="3202"/>
      <c r="L46" s="3203">
        <f t="shared" si="89"/>
        <v>3.4999999999999996E-3</v>
      </c>
      <c r="M46" s="3203">
        <f>F46/100</f>
        <v>4.7999999999999996E-3</v>
      </c>
      <c r="N46" s="3203">
        <f t="shared" si="89"/>
        <v>9.7999999999999997E-3</v>
      </c>
      <c r="O46" s="3203"/>
      <c r="P46" s="3203">
        <f t="shared" si="103"/>
        <v>4.7999999999999996E-3</v>
      </c>
      <c r="Q46" s="3201"/>
      <c r="R46" s="3204"/>
      <c r="S46" s="3204">
        <v>1</v>
      </c>
      <c r="T46" s="3204">
        <v>1</v>
      </c>
      <c r="U46" s="3204">
        <v>1</v>
      </c>
      <c r="V46" s="3204"/>
      <c r="W46" s="3204">
        <f t="shared" si="104"/>
        <v>1</v>
      </c>
      <c r="X46" s="3201"/>
      <c r="Y46" s="3203"/>
      <c r="Z46" s="3216">
        <f t="shared" si="105"/>
        <v>3.5000000000000001E-3</v>
      </c>
      <c r="AA46" s="3217">
        <f t="shared" si="105"/>
        <v>4.7999999999999996E-3</v>
      </c>
      <c r="AB46" s="3203">
        <f t="shared" si="105"/>
        <v>9.7999999999999997E-3</v>
      </c>
      <c r="AC46" s="3218"/>
      <c r="AD46" s="3203">
        <f t="shared" si="105"/>
        <v>4.7999999999999996E-3</v>
      </c>
    </row>
    <row r="47" spans="1:30" ht="14.25" thickTop="1"/>
    <row r="48" spans="1:30">
      <c r="A48" s="3446" t="s">
        <v>3366</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4228" t="s">
        <v>452</v>
      </c>
      <c r="C1" s="4228"/>
      <c r="D1" s="4228"/>
      <c r="E1" s="4228"/>
      <c r="F1" s="4228"/>
      <c r="G1" s="4224" t="s">
        <v>453</v>
      </c>
      <c r="H1" s="4224"/>
      <c r="I1" s="4224"/>
      <c r="J1" s="4224"/>
      <c r="K1" s="4224"/>
      <c r="L1" s="4224"/>
      <c r="N1" s="4224" t="s">
        <v>454</v>
      </c>
      <c r="O1" s="4224"/>
      <c r="P1" s="4224"/>
      <c r="Q1" s="4224"/>
      <c r="S1" s="4224" t="s">
        <v>455</v>
      </c>
      <c r="T1" s="4224"/>
      <c r="U1" s="4224"/>
      <c r="V1" s="4224"/>
      <c r="X1" s="4223" t="s">
        <v>456</v>
      </c>
      <c r="Y1" s="4224"/>
      <c r="Z1" s="4224"/>
      <c r="AA1" s="4224"/>
      <c r="AB1" s="4224"/>
      <c r="AD1" s="4223" t="s">
        <v>457</v>
      </c>
      <c r="AE1" s="4224"/>
      <c r="AF1" s="4224"/>
      <c r="AG1" s="4224"/>
      <c r="AH1" s="4224"/>
    </row>
    <row r="2" spans="1:34" s="2171" customFormat="1" ht="14.25" thickBot="1">
      <c r="B2" s="2172" t="s">
        <v>458</v>
      </c>
      <c r="C2" s="2172" t="s">
        <v>459</v>
      </c>
      <c r="D2" s="2173" t="s">
        <v>460</v>
      </c>
      <c r="E2" s="2173" t="s">
        <v>461</v>
      </c>
      <c r="F2" s="2172" t="s">
        <v>462</v>
      </c>
      <c r="G2" s="2174"/>
      <c r="I2" s="2172" t="s">
        <v>458</v>
      </c>
      <c r="J2" s="2173" t="s">
        <v>674</v>
      </c>
      <c r="K2" s="2173" t="s">
        <v>308</v>
      </c>
      <c r="L2" s="2172" t="s">
        <v>462</v>
      </c>
      <c r="N2" s="2172" t="s">
        <v>458</v>
      </c>
      <c r="O2" s="2173" t="s">
        <v>674</v>
      </c>
      <c r="P2" s="2173" t="s">
        <v>308</v>
      </c>
      <c r="Q2" s="2172" t="s">
        <v>462</v>
      </c>
      <c r="S2" s="2172" t="s">
        <v>458</v>
      </c>
      <c r="T2" s="2173" t="s">
        <v>674</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2111</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3362</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4">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3359</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4">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2112</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3360</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4">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3361</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4">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2435</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3">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2312</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8">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2311</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7">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2310</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1">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2307</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10">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2306</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7">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2127</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2125</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2124</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2123</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2121</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2120</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2122</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4226">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2118</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4226"/>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2117</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4226"/>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2110</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4233"/>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2108</v>
      </c>
      <c r="B25" s="2219">
        <v>439</v>
      </c>
      <c r="C25" s="2219">
        <v>327</v>
      </c>
      <c r="D25" s="2219">
        <f>C25</f>
        <v>327</v>
      </c>
      <c r="E25" s="2219">
        <v>627</v>
      </c>
      <c r="F25" s="2220">
        <v>283</v>
      </c>
      <c r="G25" s="4229">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2109</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4226"/>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675</v>
      </c>
      <c r="B27" s="2205">
        <f t="shared" si="232"/>
        <v>419.31181600000002</v>
      </c>
      <c r="C27" s="2205">
        <f t="shared" si="233"/>
        <v>313.95436800000004</v>
      </c>
      <c r="D27" s="2205">
        <f t="shared" si="234"/>
        <v>313.95436800000004</v>
      </c>
      <c r="E27" s="2205">
        <f t="shared" si="235"/>
        <v>596.63028431999999</v>
      </c>
      <c r="F27" s="2205">
        <f t="shared" si="236"/>
        <v>274.74220703999998</v>
      </c>
      <c r="G27" s="4226"/>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4233"/>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4229">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4226"/>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4226"/>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4227"/>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4225">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4226"/>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4226"/>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4227"/>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4225">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4226"/>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4226"/>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4227"/>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4230">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4231"/>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4231"/>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4232"/>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4225">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4226"/>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4226"/>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4227"/>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4225">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4226">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4226">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4227">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4225">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4226">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4226">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4227">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4225">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4226">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4226">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4227">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4225">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4226">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4226">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4227">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4225">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4226">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4226">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4227">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4225">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4226">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4226">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4227">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4225">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4226">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4226">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4227">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4225">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4226">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4226">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4227">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4225">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4226">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4226">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4227">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4225">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4226">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4226">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4227">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6"/>
  <sheetViews>
    <sheetView workbookViewId="0">
      <selection activeCell="C13" sqref="C13:H14"/>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45575</v>
      </c>
      <c r="D1" s="1301" t="s">
        <v>603</v>
      </c>
      <c r="E1" s="1296">
        <f>'数据-取费表'!B22</f>
        <v>2</v>
      </c>
      <c r="F1" s="1301" t="s">
        <v>604</v>
      </c>
      <c r="G1" s="1297">
        <f ca="1">INDIRECT("d"&amp;$K$1)/100</f>
        <v>3.3500000000000002E-2</v>
      </c>
      <c r="H1" s="1301" t="s">
        <v>634</v>
      </c>
      <c r="I1" s="1297">
        <f ca="1">F4/100</f>
        <v>1.4999999999999999E-2</v>
      </c>
      <c r="J1" s="1302">
        <f>IF(C1&gt;C13,0,MATCH(C1,C$13:C$113,-1))+IF(SUMIF(C13:C113,C1,D13:D113)=0,13,12)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3.35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3.35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3.35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3.35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3.85</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819">
        <v>45495</v>
      </c>
      <c r="D13" s="2820">
        <v>3.35</v>
      </c>
      <c r="E13" s="2820">
        <f>D13</f>
        <v>3.35</v>
      </c>
      <c r="F13" s="2820">
        <f>D13</f>
        <v>3.35</v>
      </c>
      <c r="G13" s="2820">
        <f>D13</f>
        <v>3.35</v>
      </c>
      <c r="H13" s="2820">
        <v>3.85</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4"/>
      <c r="C14" s="2816">
        <v>45342</v>
      </c>
      <c r="D14" s="2815">
        <v>3.45</v>
      </c>
      <c r="E14" s="2815">
        <f>D14</f>
        <v>3.45</v>
      </c>
      <c r="F14" s="2815">
        <f>D14</f>
        <v>3.45</v>
      </c>
      <c r="G14" s="2815">
        <f>D14</f>
        <v>3.45</v>
      </c>
      <c r="H14" s="2815">
        <v>3.95</v>
      </c>
      <c r="I14" s="2820"/>
      <c r="J14" s="2820"/>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4"/>
      <c r="C15" s="2816">
        <v>45159</v>
      </c>
      <c r="D15" s="2815">
        <v>3.45</v>
      </c>
      <c r="E15" s="2815">
        <f>D15</f>
        <v>3.45</v>
      </c>
      <c r="F15" s="2815">
        <f>D15</f>
        <v>3.45</v>
      </c>
      <c r="G15" s="2815">
        <f>D15</f>
        <v>3.45</v>
      </c>
      <c r="H15" s="2815">
        <v>4.2</v>
      </c>
      <c r="I15" s="2820"/>
      <c r="J15" s="2820"/>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4"/>
      <c r="C16" s="2816">
        <v>45097</v>
      </c>
      <c r="D16" s="2815">
        <v>3.55</v>
      </c>
      <c r="E16" s="2815">
        <f>D16</f>
        <v>3.55</v>
      </c>
      <c r="F16" s="2815">
        <f>D16</f>
        <v>3.55</v>
      </c>
      <c r="G16" s="2815">
        <f>D16</f>
        <v>3.55</v>
      </c>
      <c r="H16" s="2815">
        <v>4.2</v>
      </c>
      <c r="I16" s="2820"/>
      <c r="J16" s="2820"/>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4"/>
      <c r="C17" s="2816">
        <v>44795</v>
      </c>
      <c r="D17" s="2815">
        <v>3.65</v>
      </c>
      <c r="E17" s="2815">
        <v>3.65</v>
      </c>
      <c r="F17" s="2815">
        <v>3.65</v>
      </c>
      <c r="G17" s="2815">
        <v>3.65</v>
      </c>
      <c r="H17" s="2815">
        <v>4.3</v>
      </c>
      <c r="I17" s="2820"/>
      <c r="J17" s="2820"/>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4"/>
      <c r="C18" s="2816">
        <v>44701</v>
      </c>
      <c r="D18" s="2815">
        <v>3.7</v>
      </c>
      <c r="E18" s="2815">
        <f>D18</f>
        <v>3.7</v>
      </c>
      <c r="F18" s="2815">
        <f>D18</f>
        <v>3.7</v>
      </c>
      <c r="G18" s="2815">
        <f>D18</f>
        <v>3.7</v>
      </c>
      <c r="H18" s="2815">
        <v>4.45</v>
      </c>
      <c r="I18" s="2820"/>
      <c r="J18" s="2820"/>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3"/>
      <c r="B19" s="2814"/>
      <c r="C19" s="2816">
        <v>44581</v>
      </c>
      <c r="D19" s="2815">
        <v>3.7</v>
      </c>
      <c r="E19" s="2815">
        <f>D19</f>
        <v>3.7</v>
      </c>
      <c r="F19" s="2815">
        <f>D19</f>
        <v>3.7</v>
      </c>
      <c r="G19" s="2815">
        <f>D19</f>
        <v>3.7</v>
      </c>
      <c r="H19" s="2815">
        <v>4.5999999999999996</v>
      </c>
      <c r="I19" s="2820"/>
      <c r="J19" s="2820"/>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5"/>
      <c r="C20" s="2816">
        <v>44550</v>
      </c>
      <c r="D20" s="2815">
        <v>3.8</v>
      </c>
      <c r="E20" s="2815">
        <f>D20</f>
        <v>3.8</v>
      </c>
      <c r="F20" s="2815">
        <f>D20</f>
        <v>3.8</v>
      </c>
      <c r="G20" s="2815">
        <f>D20</f>
        <v>3.8</v>
      </c>
      <c r="H20" s="2815">
        <v>4.6500000000000004</v>
      </c>
      <c r="I20" s="2815"/>
      <c r="J20" s="2820"/>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5"/>
      <c r="C21" s="2816">
        <v>43941</v>
      </c>
      <c r="D21" s="2815">
        <v>3.85</v>
      </c>
      <c r="E21" s="2815">
        <v>3.85</v>
      </c>
      <c r="F21" s="2815">
        <v>3.85</v>
      </c>
      <c r="G21" s="2815">
        <v>3.85</v>
      </c>
      <c r="H21" s="2815">
        <v>4.6500000000000004</v>
      </c>
      <c r="I21" s="2815"/>
      <c r="J21" s="2815"/>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5"/>
      <c r="C22" s="2816">
        <v>43881</v>
      </c>
      <c r="D22" s="2815">
        <v>4.05</v>
      </c>
      <c r="E22" s="2815">
        <v>4.05</v>
      </c>
      <c r="F22" s="2815">
        <v>4.05</v>
      </c>
      <c r="G22" s="2815">
        <v>4.05</v>
      </c>
      <c r="H22" s="2815">
        <v>4.75</v>
      </c>
      <c r="I22" s="2815"/>
      <c r="J22" s="2815"/>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1"/>
      <c r="B23" s="2815"/>
      <c r="C23" s="2816">
        <v>43789</v>
      </c>
      <c r="D23" s="2815">
        <v>4.1500000000000004</v>
      </c>
      <c r="E23" s="2815">
        <v>4.1500000000000004</v>
      </c>
      <c r="F23" s="2815">
        <v>4.1500000000000004</v>
      </c>
      <c r="G23" s="2815">
        <v>4.1500000000000004</v>
      </c>
      <c r="H23" s="2815">
        <v>4.8</v>
      </c>
      <c r="I23" s="2815"/>
      <c r="J23" s="2815"/>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5"/>
      <c r="C24" s="2816">
        <v>43728</v>
      </c>
      <c r="D24" s="2815">
        <v>4.2</v>
      </c>
      <c r="E24" s="2815">
        <v>4.2</v>
      </c>
      <c r="F24" s="2815">
        <v>4.2</v>
      </c>
      <c r="G24" s="2815">
        <v>4.2</v>
      </c>
      <c r="H24" s="2815">
        <v>4.8499999999999996</v>
      </c>
      <c r="I24" s="2815"/>
      <c r="J24" s="2815"/>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ht="14.25">
      <c r="B25" s="2814" t="s">
        <v>2308</v>
      </c>
      <c r="C25" s="2817">
        <v>43697</v>
      </c>
      <c r="D25" s="2818">
        <v>4.25</v>
      </c>
      <c r="E25" s="2818">
        <v>4.25</v>
      </c>
      <c r="F25" s="2818">
        <v>4.25</v>
      </c>
      <c r="G25" s="2818">
        <v>4.25</v>
      </c>
      <c r="H25" s="2818">
        <v>4.8499999999999996</v>
      </c>
      <c r="I25" s="2818"/>
      <c r="J25" s="2818"/>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ht="14.25">
      <c r="B26" s="2822"/>
      <c r="C26" s="2823">
        <v>42301</v>
      </c>
      <c r="D26" s="2824">
        <v>4.3499999999999996</v>
      </c>
      <c r="E26" s="2824">
        <v>4.3499999999999996</v>
      </c>
      <c r="F26" s="2824">
        <v>4.75</v>
      </c>
      <c r="G26" s="2824">
        <v>4.75</v>
      </c>
      <c r="H26" s="2824">
        <v>4.9000000000000004</v>
      </c>
      <c r="I26" s="2824"/>
      <c r="J26" s="2824"/>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42242</v>
      </c>
      <c r="D27" s="1289">
        <v>4.5999999999999996</v>
      </c>
      <c r="E27" s="1289">
        <v>4.5999999999999996</v>
      </c>
      <c r="F27" s="1289">
        <v>5</v>
      </c>
      <c r="G27" s="1289">
        <v>5</v>
      </c>
      <c r="H27" s="1289">
        <v>5.15</v>
      </c>
      <c r="I27" s="1289">
        <v>2.75</v>
      </c>
      <c r="J27" s="1289">
        <v>3.25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42183</v>
      </c>
      <c r="D28" s="1289">
        <v>4.8499999999999996</v>
      </c>
      <c r="E28" s="1289">
        <v>4.8499999999999996</v>
      </c>
      <c r="F28" s="1289">
        <v>5.25</v>
      </c>
      <c r="G28" s="1289">
        <v>5.25</v>
      </c>
      <c r="H28" s="1289">
        <v>5.4</v>
      </c>
      <c r="I28" s="1289">
        <v>3</v>
      </c>
      <c r="J28" s="1289">
        <v>3.5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42135</v>
      </c>
      <c r="D29" s="1289">
        <v>5.0999999999999996</v>
      </c>
      <c r="E29" s="1289">
        <v>5.0999999999999996</v>
      </c>
      <c r="F29" s="1289">
        <v>5.5</v>
      </c>
      <c r="G29" s="1289">
        <v>5.5</v>
      </c>
      <c r="H29" s="1289">
        <v>5.65</v>
      </c>
      <c r="I29" s="1289">
        <v>3.25</v>
      </c>
      <c r="J29" s="1289">
        <v>3.75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42064</v>
      </c>
      <c r="D30" s="1289">
        <v>5.35</v>
      </c>
      <c r="E30" s="1289">
        <v>5.35</v>
      </c>
      <c r="F30" s="1289">
        <v>5.75</v>
      </c>
      <c r="G30" s="1289">
        <v>5.75</v>
      </c>
      <c r="H30" s="1289">
        <v>5.9</v>
      </c>
      <c r="I30" s="1289"/>
      <c r="J30" s="1289"/>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41965</v>
      </c>
      <c r="D31" s="1289">
        <v>5.6</v>
      </c>
      <c r="E31" s="1289">
        <v>5.6</v>
      </c>
      <c r="F31" s="1289">
        <v>6</v>
      </c>
      <c r="G31" s="1289">
        <v>6</v>
      </c>
      <c r="H31" s="1289">
        <v>6.15</v>
      </c>
      <c r="I31" s="1289"/>
      <c r="J31" s="1289"/>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41096</v>
      </c>
      <c r="D32" s="1289">
        <v>5.6</v>
      </c>
      <c r="E32" s="1289">
        <v>6</v>
      </c>
      <c r="F32" s="1289">
        <v>6.15</v>
      </c>
      <c r="G32" s="1289">
        <v>6.4</v>
      </c>
      <c r="H32" s="1289">
        <v>6.55</v>
      </c>
      <c r="I32" s="1289">
        <v>4</v>
      </c>
      <c r="J32" s="1289">
        <v>4.5</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41068</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40731</v>
      </c>
      <c r="D34" s="1289">
        <v>6.1</v>
      </c>
      <c r="E34" s="1289">
        <v>6.56</v>
      </c>
      <c r="F34" s="1289">
        <v>6.65</v>
      </c>
      <c r="G34" s="1289">
        <v>6.9</v>
      </c>
      <c r="H34" s="1289">
        <v>7.05</v>
      </c>
      <c r="I34" s="1289">
        <v>4.45</v>
      </c>
      <c r="J34" s="1289">
        <v>4.9000000000000004</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40639</v>
      </c>
      <c r="D35" s="1289">
        <v>5.85</v>
      </c>
      <c r="E35" s="1289">
        <v>6.31</v>
      </c>
      <c r="F35" s="1289">
        <v>6.4</v>
      </c>
      <c r="G35" s="1289">
        <v>6.65</v>
      </c>
      <c r="H35" s="1289">
        <v>6.8</v>
      </c>
      <c r="I35" s="1289">
        <v>4.2</v>
      </c>
      <c r="J35" s="1289">
        <v>4.7</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40583</v>
      </c>
      <c r="D36" s="1289">
        <v>5.6</v>
      </c>
      <c r="E36" s="1289">
        <v>6.06</v>
      </c>
      <c r="F36" s="1289">
        <v>6.1</v>
      </c>
      <c r="G36" s="1289">
        <v>6.45</v>
      </c>
      <c r="H36" s="1289">
        <v>6.6</v>
      </c>
      <c r="I36" s="1289">
        <v>4</v>
      </c>
      <c r="J36" s="1289">
        <v>4.5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40538</v>
      </c>
      <c r="D37" s="1289">
        <v>5.35</v>
      </c>
      <c r="E37" s="1289">
        <v>5.81</v>
      </c>
      <c r="F37" s="1289">
        <v>5.85</v>
      </c>
      <c r="G37" s="1289">
        <v>6.22</v>
      </c>
      <c r="H37" s="1289">
        <v>6.4</v>
      </c>
      <c r="I37" s="1289">
        <v>3.75</v>
      </c>
      <c r="J37" s="1289">
        <v>4.3</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40471</v>
      </c>
      <c r="D38" s="1289">
        <v>5.0999999999999996</v>
      </c>
      <c r="E38" s="1289">
        <v>5.56</v>
      </c>
      <c r="F38" s="1289">
        <v>5.6</v>
      </c>
      <c r="G38" s="1289">
        <v>5.96</v>
      </c>
      <c r="H38" s="1289">
        <v>6.14</v>
      </c>
      <c r="I38" s="1289">
        <v>3.5</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39805</v>
      </c>
      <c r="D39" s="1289">
        <v>4.8600000000000003</v>
      </c>
      <c r="E39" s="1289">
        <v>5.31</v>
      </c>
      <c r="F39" s="1289">
        <v>5.4</v>
      </c>
      <c r="G39" s="1289">
        <v>5.76</v>
      </c>
      <c r="H39" s="1289">
        <v>5.94</v>
      </c>
      <c r="I39" s="1289">
        <v>3.33</v>
      </c>
      <c r="J39" s="1289">
        <v>3.87</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39779</v>
      </c>
      <c r="D40" s="1289">
        <v>5.04</v>
      </c>
      <c r="E40" s="1289">
        <v>5.58</v>
      </c>
      <c r="F40" s="1289">
        <v>5.67</v>
      </c>
      <c r="G40" s="1289">
        <v>5.94</v>
      </c>
      <c r="H40" s="1289">
        <v>6.12</v>
      </c>
      <c r="I40" s="1289">
        <v>3.51</v>
      </c>
      <c r="J40" s="1289">
        <v>4.05</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39751</v>
      </c>
      <c r="D41" s="1289">
        <v>6.03</v>
      </c>
      <c r="E41" s="1289">
        <v>6.66</v>
      </c>
      <c r="F41" s="1289">
        <v>6.75</v>
      </c>
      <c r="G41" s="1289">
        <v>7.02</v>
      </c>
      <c r="H41" s="1289">
        <v>7.2</v>
      </c>
      <c r="I41" s="1289">
        <v>4.05</v>
      </c>
      <c r="J41" s="1289">
        <v>4.59</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1">
        <v>39748</v>
      </c>
      <c r="D42" s="1289">
        <v>6.12</v>
      </c>
      <c r="E42" s="1289">
        <v>6.93</v>
      </c>
      <c r="F42" s="1289">
        <v>7.02</v>
      </c>
      <c r="G42" s="1289">
        <v>7.29</v>
      </c>
      <c r="H42" s="1289">
        <v>7.47</v>
      </c>
      <c r="I42" s="1289">
        <v>4.05</v>
      </c>
      <c r="J42" s="1289">
        <v>4.59</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39730</v>
      </c>
      <c r="D43" s="1289">
        <v>6.12</v>
      </c>
      <c r="E43" s="1289">
        <v>6.93</v>
      </c>
      <c r="F43" s="1289">
        <v>7.02</v>
      </c>
      <c r="G43" s="1289">
        <v>7.29</v>
      </c>
      <c r="H43" s="1289">
        <v>7.47</v>
      </c>
      <c r="I43" s="1289">
        <v>4.32</v>
      </c>
      <c r="J43" s="1289">
        <v>4.8600000000000003</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39707</v>
      </c>
      <c r="D44" s="1289">
        <v>6.21</v>
      </c>
      <c r="E44" s="1289">
        <v>7.2</v>
      </c>
      <c r="F44" s="1289">
        <v>7.29</v>
      </c>
      <c r="G44" s="1289">
        <v>7.56</v>
      </c>
      <c r="H44" s="1289">
        <v>7.74</v>
      </c>
      <c r="I44" s="1289">
        <v>4.59</v>
      </c>
      <c r="J44" s="1289">
        <v>5.13</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39437</v>
      </c>
      <c r="D45" s="1289">
        <v>6.57</v>
      </c>
      <c r="E45" s="1289">
        <v>7.47</v>
      </c>
      <c r="F45" s="1289">
        <v>7.56</v>
      </c>
      <c r="G45" s="1289">
        <v>7.74</v>
      </c>
      <c r="H45" s="1289">
        <v>7.83</v>
      </c>
      <c r="I45" s="1289">
        <v>4.7699999999999996</v>
      </c>
      <c r="J45" s="1289">
        <v>5.22</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39340</v>
      </c>
      <c r="D46" s="1289">
        <v>6.48</v>
      </c>
      <c r="E46" s="1289">
        <v>7.29</v>
      </c>
      <c r="F46" s="1289">
        <v>7.47</v>
      </c>
      <c r="G46" s="1289">
        <v>7.65</v>
      </c>
      <c r="H46" s="1289">
        <v>7.83</v>
      </c>
      <c r="I46" s="1289">
        <v>4.7699999999999996</v>
      </c>
      <c r="J46" s="1289">
        <v>5.22</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39316</v>
      </c>
      <c r="D47" s="1289">
        <v>6.21</v>
      </c>
      <c r="E47" s="1289">
        <v>7.02</v>
      </c>
      <c r="F47" s="1289">
        <v>7.2</v>
      </c>
      <c r="G47" s="1289">
        <v>7.38</v>
      </c>
      <c r="H47" s="1289">
        <v>7.56</v>
      </c>
      <c r="I47" s="1289">
        <v>4.59</v>
      </c>
      <c r="J47" s="1289">
        <v>5.04</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39284</v>
      </c>
      <c r="D48" s="1289">
        <v>6.03</v>
      </c>
      <c r="E48" s="1289">
        <v>6.84</v>
      </c>
      <c r="F48" s="1289">
        <v>7.02</v>
      </c>
      <c r="G48" s="1289">
        <v>7.2</v>
      </c>
      <c r="H48" s="1289">
        <v>7.38</v>
      </c>
      <c r="I48" s="1289">
        <v>4.5</v>
      </c>
      <c r="J48" s="1289">
        <v>4.95</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39221</v>
      </c>
      <c r="D49" s="1289">
        <v>5.85</v>
      </c>
      <c r="E49" s="1289">
        <v>6.57</v>
      </c>
      <c r="F49" s="1289">
        <v>6.75</v>
      </c>
      <c r="G49" s="1289">
        <v>6.93</v>
      </c>
      <c r="H49" s="1289">
        <v>7.2</v>
      </c>
      <c r="I49" s="1289">
        <v>4.41</v>
      </c>
      <c r="J49" s="1289">
        <v>4.8600000000000003</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39159</v>
      </c>
      <c r="D50" s="1289">
        <v>5.67</v>
      </c>
      <c r="E50" s="1289">
        <v>6.39</v>
      </c>
      <c r="F50" s="1289">
        <v>6.57</v>
      </c>
      <c r="G50" s="1289">
        <v>6.75</v>
      </c>
      <c r="H50" s="1289">
        <v>7.11</v>
      </c>
      <c r="I50" s="1289">
        <v>4.32</v>
      </c>
      <c r="J50" s="1289">
        <v>4.7699999999999996</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38948</v>
      </c>
      <c r="D51" s="1289">
        <v>5.58</v>
      </c>
      <c r="E51" s="1289">
        <v>6.12</v>
      </c>
      <c r="F51" s="1289">
        <v>6.3</v>
      </c>
      <c r="G51" s="1289">
        <v>6.48</v>
      </c>
      <c r="H51" s="1289">
        <v>6.84</v>
      </c>
      <c r="I51" s="1289">
        <v>4.1399999999999997</v>
      </c>
      <c r="J51" s="1289">
        <v>4.59</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38835</v>
      </c>
      <c r="D52" s="1289">
        <v>5.4</v>
      </c>
      <c r="E52" s="1289">
        <v>5.85</v>
      </c>
      <c r="F52" s="1289">
        <v>6.03</v>
      </c>
      <c r="G52" s="1289">
        <v>6.12</v>
      </c>
      <c r="H52" s="1289">
        <v>6.39</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38428</v>
      </c>
      <c r="D53" s="1289">
        <v>5.22</v>
      </c>
      <c r="E53" s="1289">
        <v>5.58</v>
      </c>
      <c r="F53" s="1289">
        <v>5.76</v>
      </c>
      <c r="G53" s="1289">
        <v>5.85</v>
      </c>
      <c r="H53" s="1289">
        <v>6.12</v>
      </c>
      <c r="I53" s="1289">
        <v>3.96</v>
      </c>
      <c r="J53" s="1289">
        <v>4.41</v>
      </c>
      <c r="L53" s="1289"/>
      <c r="M53" s="1290"/>
      <c r="N53" s="1289"/>
      <c r="O53" s="1289"/>
      <c r="P53" s="1289"/>
      <c r="Q53" s="1289"/>
      <c r="R53" s="1289"/>
      <c r="S53" s="1289"/>
      <c r="T53" s="1289"/>
      <c r="U53" s="1289"/>
      <c r="V53" s="1289"/>
      <c r="W53" s="1289"/>
      <c r="X53" s="1289"/>
      <c r="Y53" s="1289"/>
      <c r="Z53" s="1289"/>
    </row>
    <row r="54" spans="2:26">
      <c r="B54" s="1289"/>
      <c r="C54" s="1290">
        <v>38289</v>
      </c>
      <c r="D54" s="1289">
        <v>5.22</v>
      </c>
      <c r="E54" s="1289">
        <v>5.58</v>
      </c>
      <c r="F54" s="1289">
        <v>5.76</v>
      </c>
      <c r="G54" s="1289">
        <v>5.85</v>
      </c>
      <c r="H54" s="1289">
        <v>6.12</v>
      </c>
      <c r="I54" s="1289">
        <v>3.78</v>
      </c>
      <c r="J54" s="1289">
        <v>4.2300000000000004</v>
      </c>
      <c r="L54" s="1289"/>
      <c r="M54" s="1290"/>
      <c r="N54" s="1289"/>
      <c r="O54" s="1289"/>
      <c r="P54" s="1289"/>
      <c r="Q54" s="1289"/>
      <c r="R54" s="1289"/>
      <c r="S54" s="1289"/>
      <c r="T54" s="1289"/>
      <c r="U54" s="1289"/>
      <c r="V54" s="1289"/>
      <c r="W54" s="1289"/>
      <c r="X54" s="1289"/>
      <c r="Y54" s="1289"/>
      <c r="Z54" s="1289"/>
    </row>
    <row r="55" spans="2:26">
      <c r="B55" s="1289"/>
      <c r="C55" s="1290">
        <v>37308</v>
      </c>
      <c r="D55" s="1289">
        <v>5.04</v>
      </c>
      <c r="E55" s="1289">
        <v>5.31</v>
      </c>
      <c r="F55" s="1289">
        <v>5.49</v>
      </c>
      <c r="G55" s="1289">
        <v>5.58</v>
      </c>
      <c r="H55" s="1289">
        <v>5.76</v>
      </c>
      <c r="I55" s="1289">
        <v>3.6</v>
      </c>
      <c r="J55" s="1289">
        <v>4.05</v>
      </c>
      <c r="L55" s="1289"/>
      <c r="M55" s="1290"/>
      <c r="N55" s="1289"/>
      <c r="O55" s="1289"/>
      <c r="P55" s="1289"/>
      <c r="Q55" s="1289"/>
      <c r="R55" s="1289"/>
      <c r="S55" s="1289"/>
      <c r="T55" s="1289"/>
      <c r="U55" s="1289"/>
      <c r="V55" s="1289"/>
      <c r="W55" s="1289"/>
      <c r="X55" s="1289"/>
      <c r="Y55" s="1289"/>
      <c r="Z55" s="1289"/>
    </row>
    <row r="56" spans="2:26">
      <c r="B56" s="1289"/>
      <c r="C56" s="1290">
        <v>36321</v>
      </c>
      <c r="D56" s="1289">
        <v>5.58</v>
      </c>
      <c r="E56" s="1289">
        <v>5.85</v>
      </c>
      <c r="F56" s="1289">
        <v>5.94</v>
      </c>
      <c r="G56" s="1289">
        <v>6.03</v>
      </c>
      <c r="H56" s="1289">
        <v>6.21</v>
      </c>
      <c r="I56" s="1289">
        <v>4.1399999999999997</v>
      </c>
      <c r="J56" s="1289">
        <v>4.59</v>
      </c>
      <c r="L56" s="1289"/>
      <c r="M56" s="1290"/>
      <c r="N56" s="1289"/>
      <c r="O56" s="1289"/>
      <c r="P56" s="1289"/>
      <c r="Q56" s="1289"/>
      <c r="R56" s="1289"/>
      <c r="S56" s="1289"/>
      <c r="T56" s="1289"/>
      <c r="U56" s="1289"/>
      <c r="V56" s="1289"/>
      <c r="W56" s="1289"/>
      <c r="X56" s="1289"/>
      <c r="Y56" s="1289"/>
      <c r="Z56" s="1289"/>
    </row>
    <row r="57" spans="2:26">
      <c r="B57" s="1289"/>
      <c r="C57" s="1290">
        <v>36136</v>
      </c>
      <c r="D57" s="1289">
        <v>6.12</v>
      </c>
      <c r="E57" s="1289">
        <v>6.39</v>
      </c>
      <c r="F57" s="1289">
        <v>6.66</v>
      </c>
      <c r="G57" s="1289">
        <v>7.2</v>
      </c>
      <c r="H57" s="1289">
        <v>7.56</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35977</v>
      </c>
      <c r="D58" s="1289">
        <v>6.57</v>
      </c>
      <c r="E58" s="1289">
        <v>6.93</v>
      </c>
      <c r="F58" s="1289">
        <v>7.11</v>
      </c>
      <c r="G58" s="1289">
        <v>7.65</v>
      </c>
      <c r="H58" s="1289">
        <v>8.01</v>
      </c>
      <c r="I58" s="1289">
        <v>0</v>
      </c>
      <c r="J58" s="1289">
        <v>0</v>
      </c>
    </row>
    <row r="59" spans="2:26">
      <c r="B59" s="1289"/>
      <c r="C59" s="1290">
        <v>35879</v>
      </c>
      <c r="D59" s="1289">
        <v>7.02</v>
      </c>
      <c r="E59" s="1289">
        <v>7.92</v>
      </c>
      <c r="F59" s="1289">
        <v>9</v>
      </c>
      <c r="G59" s="1289">
        <v>9.7200000000000006</v>
      </c>
      <c r="H59" s="1289">
        <v>10.35</v>
      </c>
      <c r="I59" s="1289">
        <v>0</v>
      </c>
      <c r="J59" s="1289">
        <v>0</v>
      </c>
    </row>
    <row r="60" spans="2:26">
      <c r="B60" s="1289"/>
      <c r="C60" s="1290">
        <v>35726</v>
      </c>
      <c r="D60" s="1289">
        <v>7.65</v>
      </c>
      <c r="E60" s="1289">
        <v>8.64</v>
      </c>
      <c r="F60" s="1289">
        <v>9.36</v>
      </c>
      <c r="G60" s="1289">
        <v>9.9</v>
      </c>
      <c r="H60" s="1289">
        <v>10.53</v>
      </c>
      <c r="I60" s="1289">
        <v>0</v>
      </c>
      <c r="J60" s="1289">
        <v>0</v>
      </c>
    </row>
    <row r="61" spans="2:26">
      <c r="B61" s="1289"/>
      <c r="C61" s="1290">
        <v>35300</v>
      </c>
      <c r="D61" s="1289">
        <v>9.18</v>
      </c>
      <c r="E61" s="1289">
        <v>10.08</v>
      </c>
      <c r="F61" s="1289">
        <v>10.98</v>
      </c>
      <c r="G61" s="1289">
        <v>11.7</v>
      </c>
      <c r="H61" s="1289">
        <v>12.42</v>
      </c>
      <c r="I61" s="1289">
        <v>0</v>
      </c>
      <c r="J61" s="1289">
        <v>0</v>
      </c>
    </row>
    <row r="62" spans="2:26">
      <c r="B62" s="1289"/>
      <c r="C62" s="1290">
        <v>35186</v>
      </c>
      <c r="D62" s="1289">
        <v>9.7200000000000006</v>
      </c>
      <c r="E62" s="1289">
        <v>10.98</v>
      </c>
      <c r="F62" s="1289">
        <v>13.14</v>
      </c>
      <c r="G62" s="1289">
        <v>14.94</v>
      </c>
      <c r="H62" s="1289">
        <v>15.12</v>
      </c>
      <c r="I62" s="1289">
        <v>0</v>
      </c>
      <c r="J62" s="1289">
        <v>0</v>
      </c>
    </row>
    <row r="63" spans="2:26">
      <c r="B63" s="1289"/>
      <c r="C63" s="1290">
        <v>34881</v>
      </c>
      <c r="D63" s="1289">
        <v>10.08</v>
      </c>
      <c r="E63" s="1289">
        <v>12.06</v>
      </c>
      <c r="F63" s="1289">
        <v>13.5</v>
      </c>
      <c r="G63" s="1289">
        <v>15.12</v>
      </c>
      <c r="H63" s="1289">
        <v>15.3</v>
      </c>
      <c r="I63" s="1289">
        <v>0</v>
      </c>
      <c r="J63" s="1289">
        <v>0</v>
      </c>
    </row>
    <row r="64" spans="2:26">
      <c r="B64" s="1289"/>
      <c r="C64" s="1290">
        <v>34700</v>
      </c>
      <c r="D64" s="1289">
        <v>9</v>
      </c>
      <c r="E64" s="1289">
        <v>10.98</v>
      </c>
      <c r="F64" s="1289">
        <v>12.96</v>
      </c>
      <c r="G64" s="1289">
        <v>14.58</v>
      </c>
      <c r="H64" s="1289">
        <v>14.76</v>
      </c>
      <c r="I64" s="1289">
        <v>0</v>
      </c>
      <c r="J64" s="1289">
        <v>0</v>
      </c>
    </row>
    <row r="65" spans="2:10">
      <c r="B65" s="1289"/>
      <c r="C65" s="1290">
        <v>34161</v>
      </c>
      <c r="D65" s="1289">
        <v>9</v>
      </c>
      <c r="E65" s="1289">
        <v>10.98</v>
      </c>
      <c r="F65" s="1289">
        <v>12.24</v>
      </c>
      <c r="G65" s="1289">
        <v>13.86</v>
      </c>
      <c r="H65" s="1289">
        <v>14.04</v>
      </c>
      <c r="I65" s="1289">
        <v>0</v>
      </c>
      <c r="J65" s="1289">
        <v>0</v>
      </c>
    </row>
    <row r="66" spans="2:10">
      <c r="B66" s="1289"/>
      <c r="C66" s="1290">
        <v>34104</v>
      </c>
      <c r="D66" s="1289">
        <v>8.82</v>
      </c>
      <c r="E66" s="1289">
        <v>9.36</v>
      </c>
      <c r="F66" s="1289">
        <v>10.8</v>
      </c>
      <c r="G66" s="1289">
        <v>12.06</v>
      </c>
      <c r="H66" s="1289">
        <v>12.24</v>
      </c>
      <c r="I66" s="1289">
        <v>0</v>
      </c>
      <c r="J66" s="1289">
        <v>0</v>
      </c>
    </row>
    <row r="67" spans="2:10">
      <c r="B67" s="1289"/>
      <c r="C67" s="1290">
        <v>33349</v>
      </c>
      <c r="D67" s="1289">
        <v>8.1</v>
      </c>
      <c r="E67" s="1289">
        <v>8.64</v>
      </c>
      <c r="F67" s="1289">
        <v>9</v>
      </c>
      <c r="G67" s="1289">
        <v>9.5399999999999991</v>
      </c>
      <c r="H67" s="1289">
        <v>9.7200000000000006</v>
      </c>
      <c r="I67" s="1289">
        <v>0</v>
      </c>
      <c r="J67" s="1289">
        <v>0</v>
      </c>
    </row>
    <row r="68" spans="2:10">
      <c r="B68" s="1289"/>
      <c r="C68" s="1290">
        <v>33318</v>
      </c>
      <c r="D68" s="1289">
        <v>9</v>
      </c>
      <c r="E68" s="1289">
        <v>10.08</v>
      </c>
      <c r="F68" s="1289">
        <v>10.8</v>
      </c>
      <c r="G68" s="1289">
        <v>11.52</v>
      </c>
      <c r="H68" s="1289">
        <v>11.88</v>
      </c>
      <c r="I68" s="1289" t="s">
        <v>633</v>
      </c>
      <c r="J68" s="1289" t="s">
        <v>633</v>
      </c>
    </row>
    <row r="69" spans="2:10">
      <c r="B69" s="1289"/>
      <c r="C69" s="1290">
        <v>33106</v>
      </c>
      <c r="D69" s="1289">
        <v>8.64</v>
      </c>
      <c r="E69" s="1289">
        <v>9.36</v>
      </c>
      <c r="F69" s="1289">
        <v>10.08</v>
      </c>
      <c r="G69" s="1289">
        <v>10.8</v>
      </c>
      <c r="H69" s="1289">
        <v>11.16</v>
      </c>
      <c r="I69" s="1289">
        <v>0</v>
      </c>
      <c r="J69" s="1289">
        <v>0</v>
      </c>
    </row>
    <row r="70" spans="2:10">
      <c r="B70" s="1289"/>
      <c r="C70" s="1290">
        <v>32540</v>
      </c>
      <c r="D70" s="1289">
        <v>11.34</v>
      </c>
      <c r="E70" s="1289">
        <v>11.34</v>
      </c>
      <c r="F70" s="1289">
        <v>12.78</v>
      </c>
      <c r="G70" s="1289">
        <v>14.4</v>
      </c>
      <c r="H70" s="1289">
        <v>19.260000000000002</v>
      </c>
      <c r="I70" s="1289">
        <v>0</v>
      </c>
      <c r="J70" s="1289">
        <v>0</v>
      </c>
    </row>
    <row r="71" spans="2:10">
      <c r="B71" s="1289"/>
      <c r="C71" s="1290"/>
      <c r="D71" s="1289"/>
      <c r="E71" s="1289"/>
      <c r="F71" s="1289"/>
      <c r="G71" s="1289"/>
      <c r="H71" s="1289"/>
      <c r="I71" s="1289"/>
      <c r="J71" s="1289"/>
    </row>
    <row r="72" spans="2:10">
      <c r="B72" s="1292"/>
      <c r="C72" s="1293"/>
      <c r="D72" s="1292"/>
      <c r="E72" s="1292"/>
      <c r="F72" s="1292"/>
      <c r="G72" s="1292"/>
      <c r="H72" s="1292"/>
      <c r="I72" s="1292"/>
      <c r="J72" s="1292"/>
    </row>
    <row r="73" spans="2:10">
      <c r="B73" s="1292"/>
      <c r="C73" s="1293"/>
      <c r="D73" s="1292"/>
      <c r="E73" s="1292"/>
      <c r="F73" s="1292"/>
      <c r="G73" s="1292"/>
      <c r="H73" s="1292"/>
      <c r="I73" s="1292"/>
      <c r="J73" s="1292"/>
    </row>
    <row r="74" spans="2:10">
      <c r="B74" s="1292"/>
      <c r="C74" s="1293"/>
      <c r="D74" s="1292"/>
      <c r="E74" s="1292"/>
      <c r="F74" s="1292"/>
      <c r="G74" s="1292"/>
      <c r="H74" s="1292"/>
      <c r="I74" s="1292"/>
      <c r="J74" s="1292"/>
    </row>
    <row r="75" spans="2:10">
      <c r="B75" s="1241"/>
      <c r="C75" s="1241"/>
      <c r="D75" s="1241"/>
      <c r="E75" s="1241"/>
      <c r="F75" s="1241"/>
      <c r="G75" s="1241"/>
      <c r="H75" s="1241"/>
      <c r="I75" s="1241"/>
      <c r="J75" s="1241"/>
    </row>
    <row r="76" spans="2:10">
      <c r="B76" s="1241"/>
      <c r="C76" s="1241"/>
      <c r="D76" s="1241"/>
      <c r="E76" s="1241"/>
      <c r="F76" s="1241"/>
      <c r="G76" s="1241"/>
      <c r="H76" s="1241"/>
      <c r="I76" s="1241"/>
      <c r="J76" s="1241"/>
    </row>
  </sheetData>
  <sheetProtection password="CEE9" sheet="1" objects="1" scenarios="1"/>
  <phoneticPr fontId="134"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A8" sqref="A8"/>
    </sheetView>
  </sheetViews>
  <sheetFormatPr defaultRowHeight="13.5"/>
  <sheetData/>
  <phoneticPr fontId="13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2" workbookViewId="0">
      <selection activeCell="A184" sqref="A184"/>
    </sheetView>
  </sheetViews>
  <sheetFormatPr defaultRowHeight="13.5"/>
  <sheetData/>
  <phoneticPr fontId="134"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X132" sqref="X132"/>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9" workbookViewId="0">
      <selection activeCell="Q55" sqref="Q55"/>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6" workbookViewId="0">
      <selection activeCell="A92" sqref="A92"/>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31"/>
  <sheetViews>
    <sheetView workbookViewId="0">
      <selection activeCell="A55" sqref="A55:XFD59"/>
    </sheetView>
  </sheetViews>
  <sheetFormatPr defaultRowHeight="13.5"/>
  <cols>
    <col min="7" max="7" width="16.875" customWidth="1"/>
  </cols>
  <sheetData>
    <row r="1" spans="1:21">
      <c r="A1" t="s">
        <v>5105</v>
      </c>
      <c r="B1" t="s">
        <v>5106</v>
      </c>
      <c r="C1" t="s">
        <v>5107</v>
      </c>
      <c r="D1" t="s">
        <v>5108</v>
      </c>
      <c r="E1" t="s">
        <v>5109</v>
      </c>
      <c r="F1" t="s">
        <v>5110</v>
      </c>
      <c r="G1" t="s">
        <v>3534</v>
      </c>
      <c r="H1" t="s">
        <v>5111</v>
      </c>
      <c r="I1" t="s">
        <v>5112</v>
      </c>
      <c r="J1" t="s">
        <v>5113</v>
      </c>
      <c r="K1" t="s">
        <v>5114</v>
      </c>
      <c r="L1" t="s">
        <v>5115</v>
      </c>
      <c r="M1" t="s">
        <v>5116</v>
      </c>
      <c r="N1" t="s">
        <v>5117</v>
      </c>
      <c r="O1" t="s">
        <v>5118</v>
      </c>
      <c r="P1" t="s">
        <v>5119</v>
      </c>
      <c r="Q1" t="s">
        <v>5120</v>
      </c>
      <c r="R1" t="s">
        <v>5121</v>
      </c>
      <c r="S1" t="s">
        <v>5122</v>
      </c>
      <c r="T1" t="s">
        <v>5123</v>
      </c>
    </row>
    <row r="2" spans="1:21">
      <c r="U2" t="e">
        <f>T2*12/365/D2</f>
        <v>#DIV/0!</v>
      </c>
    </row>
    <row r="3" spans="1:21">
      <c r="A3">
        <v>1</v>
      </c>
      <c r="B3" t="s">
        <v>5124</v>
      </c>
      <c r="C3" t="s">
        <v>5125</v>
      </c>
      <c r="D3">
        <v>530</v>
      </c>
      <c r="E3" t="s">
        <v>3865</v>
      </c>
      <c r="F3" t="s">
        <v>4915</v>
      </c>
      <c r="G3" t="s">
        <v>3791</v>
      </c>
      <c r="H3" t="s">
        <v>3792</v>
      </c>
      <c r="I3" t="s">
        <v>3793</v>
      </c>
      <c r="J3" t="s">
        <v>3794</v>
      </c>
      <c r="K3" t="s">
        <v>5126</v>
      </c>
      <c r="O3">
        <v>0</v>
      </c>
      <c r="R3">
        <v>0</v>
      </c>
      <c r="S3">
        <v>0</v>
      </c>
      <c r="U3">
        <f t="shared" ref="U3:U66" si="0">T3*12/365/D3</f>
        <v>0</v>
      </c>
    </row>
    <row r="4" spans="1:21">
      <c r="A4">
        <v>2</v>
      </c>
      <c r="B4" t="s">
        <v>5124</v>
      </c>
      <c r="C4" t="s">
        <v>3798</v>
      </c>
      <c r="D4">
        <v>1500</v>
      </c>
      <c r="E4" t="s">
        <v>4022</v>
      </c>
      <c r="F4" t="s">
        <v>4915</v>
      </c>
      <c r="G4" t="s">
        <v>3800</v>
      </c>
      <c r="H4" t="s">
        <v>3801</v>
      </c>
      <c r="I4" t="s">
        <v>3802</v>
      </c>
      <c r="J4" t="s">
        <v>3803</v>
      </c>
      <c r="M4">
        <v>817143.75</v>
      </c>
      <c r="N4">
        <v>817143.75</v>
      </c>
      <c r="O4">
        <v>0</v>
      </c>
      <c r="P4">
        <v>113606.25</v>
      </c>
      <c r="Q4">
        <v>113606.25</v>
      </c>
      <c r="R4">
        <v>0</v>
      </c>
      <c r="S4">
        <v>4.17</v>
      </c>
      <c r="T4">
        <v>190256.25</v>
      </c>
      <c r="U4">
        <f t="shared" si="0"/>
        <v>4.17</v>
      </c>
    </row>
    <row r="5" spans="1:21">
      <c r="A5">
        <v>3</v>
      </c>
      <c r="B5" t="s">
        <v>5124</v>
      </c>
      <c r="C5" t="s">
        <v>3816</v>
      </c>
      <c r="D5">
        <v>52.7</v>
      </c>
      <c r="E5" t="s">
        <v>4022</v>
      </c>
      <c r="F5" t="s">
        <v>4915</v>
      </c>
      <c r="G5" t="s">
        <v>3817</v>
      </c>
      <c r="H5" t="s">
        <v>3818</v>
      </c>
      <c r="I5" t="s">
        <v>3819</v>
      </c>
      <c r="J5" t="s">
        <v>3820</v>
      </c>
      <c r="M5">
        <v>19408.62</v>
      </c>
      <c r="N5">
        <v>19408.62</v>
      </c>
      <c r="O5">
        <v>0</v>
      </c>
      <c r="P5">
        <v>3991.38</v>
      </c>
      <c r="Q5">
        <v>3991.38</v>
      </c>
      <c r="R5">
        <v>0</v>
      </c>
      <c r="S5">
        <v>3.6996667619765535</v>
      </c>
      <c r="T5">
        <v>6469.54</v>
      </c>
      <c r="U5">
        <f t="shared" si="0"/>
        <v>4.0360001039744215</v>
      </c>
    </row>
    <row r="6" spans="1:21">
      <c r="A6">
        <v>4</v>
      </c>
      <c r="B6" t="s">
        <v>5124</v>
      </c>
      <c r="C6" t="s">
        <v>3838</v>
      </c>
      <c r="D6">
        <v>455</v>
      </c>
      <c r="E6" t="s">
        <v>3865</v>
      </c>
      <c r="F6" t="s">
        <v>4915</v>
      </c>
      <c r="G6" t="s">
        <v>5127</v>
      </c>
      <c r="H6" t="s">
        <v>3840</v>
      </c>
      <c r="O6">
        <v>0</v>
      </c>
      <c r="S6">
        <v>0</v>
      </c>
      <c r="U6">
        <f t="shared" si="0"/>
        <v>0</v>
      </c>
    </row>
    <row r="7" spans="1:21">
      <c r="A7">
        <v>5</v>
      </c>
      <c r="B7" t="s">
        <v>5124</v>
      </c>
      <c r="C7" t="s">
        <v>5128</v>
      </c>
      <c r="D7">
        <v>586</v>
      </c>
      <c r="E7" t="s">
        <v>3845</v>
      </c>
      <c r="F7" t="s">
        <v>4915</v>
      </c>
      <c r="O7">
        <v>0</v>
      </c>
      <c r="S7">
        <v>0</v>
      </c>
      <c r="U7">
        <f t="shared" si="0"/>
        <v>0</v>
      </c>
    </row>
    <row r="8" spans="1:21">
      <c r="A8">
        <v>6</v>
      </c>
      <c r="B8" t="s">
        <v>5124</v>
      </c>
      <c r="C8" t="s">
        <v>5129</v>
      </c>
      <c r="D8">
        <v>260</v>
      </c>
      <c r="E8" t="s">
        <v>3845</v>
      </c>
      <c r="F8" t="s">
        <v>4915</v>
      </c>
      <c r="G8" t="s">
        <v>5130</v>
      </c>
      <c r="O8">
        <v>0</v>
      </c>
      <c r="S8">
        <v>0</v>
      </c>
      <c r="U8">
        <f t="shared" si="0"/>
        <v>0</v>
      </c>
    </row>
    <row r="9" spans="1:21">
      <c r="A9">
        <v>7</v>
      </c>
      <c r="B9" t="s">
        <v>5124</v>
      </c>
      <c r="C9" t="s">
        <v>3847</v>
      </c>
      <c r="D9">
        <v>192.1</v>
      </c>
      <c r="E9" t="s">
        <v>3865</v>
      </c>
      <c r="F9" t="s">
        <v>4915</v>
      </c>
      <c r="O9">
        <v>0</v>
      </c>
      <c r="S9">
        <v>0</v>
      </c>
      <c r="U9">
        <f t="shared" si="0"/>
        <v>0</v>
      </c>
    </row>
    <row r="10" spans="1:21">
      <c r="A10">
        <v>8</v>
      </c>
      <c r="B10" t="s">
        <v>5131</v>
      </c>
      <c r="C10" t="s">
        <v>3849</v>
      </c>
      <c r="D10">
        <v>58.82</v>
      </c>
      <c r="E10" t="s">
        <v>4022</v>
      </c>
      <c r="F10" t="s">
        <v>4915</v>
      </c>
      <c r="G10" t="s">
        <v>3850</v>
      </c>
      <c r="H10" t="s">
        <v>3851</v>
      </c>
      <c r="I10" t="s">
        <v>3852</v>
      </c>
      <c r="J10" t="s">
        <v>3853</v>
      </c>
      <c r="M10">
        <v>19698.09</v>
      </c>
      <c r="N10">
        <v>19698.09</v>
      </c>
      <c r="O10">
        <v>0</v>
      </c>
      <c r="P10">
        <v>4454.88</v>
      </c>
      <c r="Q10">
        <v>4454.88</v>
      </c>
      <c r="S10">
        <v>3.6700013507659777</v>
      </c>
      <c r="T10">
        <v>6566.03</v>
      </c>
      <c r="U10">
        <f t="shared" si="0"/>
        <v>3.6700013507659777</v>
      </c>
    </row>
    <row r="11" spans="1:21">
      <c r="A11">
        <v>9</v>
      </c>
      <c r="B11" t="s">
        <v>5131</v>
      </c>
      <c r="C11" t="s">
        <v>3864</v>
      </c>
      <c r="D11">
        <v>240.74</v>
      </c>
      <c r="E11" t="s">
        <v>3865</v>
      </c>
      <c r="F11" t="s">
        <v>4915</v>
      </c>
      <c r="G11" t="s">
        <v>3866</v>
      </c>
      <c r="H11" t="s">
        <v>3867</v>
      </c>
      <c r="I11" t="s">
        <v>3868</v>
      </c>
      <c r="J11" t="s">
        <v>3869</v>
      </c>
      <c r="K11" t="s">
        <v>5132</v>
      </c>
      <c r="O11">
        <v>0</v>
      </c>
      <c r="R11">
        <v>0</v>
      </c>
      <c r="S11">
        <v>0</v>
      </c>
      <c r="U11">
        <f t="shared" si="0"/>
        <v>0</v>
      </c>
    </row>
    <row r="12" spans="1:21">
      <c r="A12">
        <v>10</v>
      </c>
      <c r="B12" t="s">
        <v>5131</v>
      </c>
      <c r="C12">
        <v>808</v>
      </c>
      <c r="D12">
        <v>149.38999999999999</v>
      </c>
      <c r="E12" t="s">
        <v>4022</v>
      </c>
      <c r="F12" t="s">
        <v>4915</v>
      </c>
      <c r="G12" t="s">
        <v>3881</v>
      </c>
      <c r="H12" t="s">
        <v>3882</v>
      </c>
      <c r="I12" t="s">
        <v>3883</v>
      </c>
      <c r="J12" t="s">
        <v>3884</v>
      </c>
      <c r="K12" t="s">
        <v>5133</v>
      </c>
      <c r="M12">
        <v>120759.45</v>
      </c>
      <c r="N12">
        <v>120759.45</v>
      </c>
      <c r="O12">
        <v>0</v>
      </c>
      <c r="P12">
        <v>24036.06</v>
      </c>
      <c r="Q12">
        <v>24036.06</v>
      </c>
      <c r="R12">
        <v>0</v>
      </c>
      <c r="S12">
        <v>4.1699990921986858</v>
      </c>
      <c r="T12">
        <v>18948.25</v>
      </c>
      <c r="U12">
        <f t="shared" si="0"/>
        <v>4.1699990921986858</v>
      </c>
    </row>
    <row r="13" spans="1:21">
      <c r="A13">
        <v>11</v>
      </c>
      <c r="B13" t="s">
        <v>5131</v>
      </c>
      <c r="C13">
        <v>811</v>
      </c>
      <c r="D13">
        <v>124</v>
      </c>
      <c r="E13" t="s">
        <v>4022</v>
      </c>
      <c r="F13" t="s">
        <v>4915</v>
      </c>
      <c r="G13" t="s">
        <v>3866</v>
      </c>
      <c r="H13" t="s">
        <v>3896</v>
      </c>
      <c r="I13" t="s">
        <v>3897</v>
      </c>
      <c r="J13" t="s">
        <v>3898</v>
      </c>
      <c r="M13">
        <v>69380.52</v>
      </c>
      <c r="N13">
        <v>69380.52</v>
      </c>
      <c r="O13">
        <v>0</v>
      </c>
      <c r="P13">
        <v>14505.24</v>
      </c>
      <c r="Q13">
        <v>14505.24</v>
      </c>
      <c r="R13">
        <v>0</v>
      </c>
      <c r="S13">
        <v>6.1317295625276191</v>
      </c>
      <c r="T13">
        <v>23126.84</v>
      </c>
      <c r="U13">
        <f t="shared" si="0"/>
        <v>6.1317295625276191</v>
      </c>
    </row>
    <row r="14" spans="1:21">
      <c r="A14">
        <v>12</v>
      </c>
      <c r="B14" t="s">
        <v>5131</v>
      </c>
      <c r="C14" t="s">
        <v>3919</v>
      </c>
      <c r="D14">
        <v>67.52</v>
      </c>
      <c r="E14" t="s">
        <v>4022</v>
      </c>
      <c r="F14" t="s">
        <v>4915</v>
      </c>
      <c r="G14" t="s">
        <v>3866</v>
      </c>
      <c r="H14" t="s">
        <v>3896</v>
      </c>
      <c r="I14" t="s">
        <v>3897</v>
      </c>
      <c r="J14" t="s">
        <v>3898</v>
      </c>
      <c r="K14" t="s">
        <v>5133</v>
      </c>
      <c r="O14">
        <v>0</v>
      </c>
      <c r="R14">
        <v>0</v>
      </c>
      <c r="S14">
        <v>0</v>
      </c>
      <c r="U14">
        <f t="shared" si="0"/>
        <v>0</v>
      </c>
    </row>
    <row r="15" spans="1:21">
      <c r="A15">
        <v>13</v>
      </c>
      <c r="B15" t="s">
        <v>5131</v>
      </c>
      <c r="C15" t="s">
        <v>3920</v>
      </c>
      <c r="D15">
        <v>221.83</v>
      </c>
      <c r="E15" t="s">
        <v>3865</v>
      </c>
      <c r="F15" t="s">
        <v>4915</v>
      </c>
      <c r="G15" t="s">
        <v>5134</v>
      </c>
      <c r="H15" t="s">
        <v>3922</v>
      </c>
      <c r="I15" t="s">
        <v>3923</v>
      </c>
      <c r="J15" t="s">
        <v>3924</v>
      </c>
      <c r="K15" t="s">
        <v>5135</v>
      </c>
      <c r="O15">
        <v>0</v>
      </c>
      <c r="R15">
        <v>0</v>
      </c>
      <c r="S15">
        <v>0</v>
      </c>
      <c r="U15">
        <f t="shared" si="0"/>
        <v>0</v>
      </c>
    </row>
    <row r="16" spans="1:21">
      <c r="A16">
        <v>14</v>
      </c>
      <c r="B16" t="s">
        <v>5131</v>
      </c>
      <c r="C16" t="s">
        <v>3927</v>
      </c>
      <c r="D16">
        <v>221.83</v>
      </c>
      <c r="E16" t="s">
        <v>3865</v>
      </c>
      <c r="F16" t="s">
        <v>4915</v>
      </c>
      <c r="G16" t="s">
        <v>5134</v>
      </c>
      <c r="H16" t="s">
        <v>3922</v>
      </c>
      <c r="I16" t="s">
        <v>3923</v>
      </c>
      <c r="J16" t="s">
        <v>3924</v>
      </c>
      <c r="K16" t="s">
        <v>5135</v>
      </c>
      <c r="O16">
        <v>0</v>
      </c>
      <c r="R16">
        <v>0</v>
      </c>
      <c r="S16">
        <v>0</v>
      </c>
      <c r="U16">
        <f t="shared" si="0"/>
        <v>0</v>
      </c>
    </row>
    <row r="17" spans="1:21">
      <c r="A17">
        <v>15</v>
      </c>
      <c r="B17" t="s">
        <v>5131</v>
      </c>
      <c r="C17" t="s">
        <v>5136</v>
      </c>
      <c r="D17">
        <v>1428.75</v>
      </c>
      <c r="E17" t="s">
        <v>3865</v>
      </c>
      <c r="F17" t="s">
        <v>4915</v>
      </c>
      <c r="G17" t="s">
        <v>5137</v>
      </c>
      <c r="H17" t="s">
        <v>5138</v>
      </c>
      <c r="I17" t="s">
        <v>3931</v>
      </c>
      <c r="J17" t="s">
        <v>3932</v>
      </c>
      <c r="K17" t="s">
        <v>5133</v>
      </c>
      <c r="O17">
        <v>0</v>
      </c>
      <c r="R17">
        <v>0</v>
      </c>
      <c r="S17">
        <v>0</v>
      </c>
      <c r="U17">
        <f t="shared" si="0"/>
        <v>0</v>
      </c>
    </row>
    <row r="18" spans="1:21">
      <c r="A18">
        <v>16</v>
      </c>
      <c r="B18" t="s">
        <v>5131</v>
      </c>
      <c r="C18" t="s">
        <v>3934</v>
      </c>
      <c r="D18">
        <v>0</v>
      </c>
      <c r="E18" t="s">
        <v>3865</v>
      </c>
      <c r="F18" t="s">
        <v>4915</v>
      </c>
      <c r="K18" t="s">
        <v>5133</v>
      </c>
      <c r="O18">
        <v>0</v>
      </c>
      <c r="R18">
        <v>0</v>
      </c>
      <c r="S18" t="e">
        <v>#DIV/0!</v>
      </c>
      <c r="U18" t="e">
        <f t="shared" si="0"/>
        <v>#DIV/0!</v>
      </c>
    </row>
    <row r="19" spans="1:21">
      <c r="A19">
        <v>17</v>
      </c>
      <c r="B19" t="s">
        <v>5131</v>
      </c>
      <c r="C19" t="s">
        <v>5139</v>
      </c>
      <c r="D19">
        <v>443.83000000000004</v>
      </c>
      <c r="E19" t="s">
        <v>3865</v>
      </c>
      <c r="F19" t="s">
        <v>4915</v>
      </c>
      <c r="G19" t="s">
        <v>5134</v>
      </c>
      <c r="H19" t="s">
        <v>3922</v>
      </c>
      <c r="I19" t="s">
        <v>3923</v>
      </c>
      <c r="J19" t="s">
        <v>3924</v>
      </c>
      <c r="K19" t="s">
        <v>5140</v>
      </c>
      <c r="O19">
        <v>0</v>
      </c>
      <c r="R19">
        <v>0</v>
      </c>
      <c r="S19">
        <v>0</v>
      </c>
      <c r="U19">
        <f t="shared" si="0"/>
        <v>0</v>
      </c>
    </row>
    <row r="20" spans="1:21">
      <c r="A20">
        <v>18</v>
      </c>
      <c r="B20" t="s">
        <v>5141</v>
      </c>
      <c r="C20" t="s">
        <v>3938</v>
      </c>
      <c r="D20">
        <v>58.82</v>
      </c>
      <c r="E20" t="s">
        <v>4022</v>
      </c>
      <c r="F20" t="s">
        <v>4915</v>
      </c>
      <c r="G20" t="s">
        <v>5142</v>
      </c>
      <c r="H20" t="s">
        <v>3940</v>
      </c>
      <c r="I20" t="s">
        <v>3941</v>
      </c>
      <c r="J20" t="s">
        <v>3942</v>
      </c>
      <c r="K20" t="s">
        <v>5135</v>
      </c>
      <c r="M20">
        <v>28822.53</v>
      </c>
      <c r="N20">
        <v>28822.53</v>
      </c>
      <c r="O20">
        <v>0</v>
      </c>
      <c r="P20">
        <v>4454.88</v>
      </c>
      <c r="Q20">
        <v>4454.88</v>
      </c>
      <c r="R20">
        <v>0</v>
      </c>
      <c r="S20">
        <v>5.3699990218591198</v>
      </c>
      <c r="T20">
        <v>9607.51</v>
      </c>
      <c r="U20">
        <f t="shared" si="0"/>
        <v>5.3699990218591198</v>
      </c>
    </row>
    <row r="21" spans="1:21">
      <c r="A21">
        <v>19</v>
      </c>
      <c r="B21" t="s">
        <v>5141</v>
      </c>
      <c r="C21" t="s">
        <v>3955</v>
      </c>
      <c r="D21">
        <v>80</v>
      </c>
      <c r="E21" t="s">
        <v>4022</v>
      </c>
      <c r="F21" t="s">
        <v>4915</v>
      </c>
      <c r="G21" t="s">
        <v>4023</v>
      </c>
      <c r="H21" t="s">
        <v>3957</v>
      </c>
      <c r="I21" t="s">
        <v>3958</v>
      </c>
      <c r="J21" t="s">
        <v>3959</v>
      </c>
      <c r="K21" t="s">
        <v>5135</v>
      </c>
      <c r="M21">
        <v>75250.14</v>
      </c>
      <c r="N21">
        <v>75250.14</v>
      </c>
      <c r="O21">
        <v>0</v>
      </c>
      <c r="P21">
        <v>14977.86</v>
      </c>
      <c r="Q21">
        <v>14977.86</v>
      </c>
      <c r="R21">
        <v>0</v>
      </c>
      <c r="S21">
        <v>10.308238356164384</v>
      </c>
      <c r="T21">
        <v>25083.38</v>
      </c>
      <c r="U21">
        <f t="shared" si="0"/>
        <v>10.308238356164384</v>
      </c>
    </row>
    <row r="22" spans="1:21">
      <c r="A22">
        <v>20</v>
      </c>
      <c r="B22" t="s">
        <v>5141</v>
      </c>
      <c r="C22" t="s">
        <v>3973</v>
      </c>
      <c r="D22">
        <v>117.76</v>
      </c>
      <c r="E22" t="s">
        <v>4022</v>
      </c>
      <c r="F22" t="s">
        <v>4915</v>
      </c>
      <c r="G22" t="s">
        <v>4023</v>
      </c>
      <c r="H22" t="s">
        <v>3957</v>
      </c>
      <c r="I22" t="s">
        <v>3958</v>
      </c>
      <c r="J22" t="s">
        <v>3959</v>
      </c>
      <c r="K22" t="s">
        <v>5135</v>
      </c>
      <c r="M22">
        <v>0</v>
      </c>
      <c r="N22">
        <v>0</v>
      </c>
      <c r="O22">
        <v>0</v>
      </c>
      <c r="P22">
        <v>0</v>
      </c>
      <c r="Q22">
        <v>0</v>
      </c>
      <c r="R22">
        <v>0</v>
      </c>
      <c r="S22">
        <v>0</v>
      </c>
      <c r="U22">
        <f t="shared" si="0"/>
        <v>0</v>
      </c>
    </row>
    <row r="23" spans="1:21">
      <c r="A23">
        <v>21</v>
      </c>
      <c r="B23" t="s">
        <v>5141</v>
      </c>
      <c r="C23" t="s">
        <v>3974</v>
      </c>
      <c r="D23">
        <v>85.54</v>
      </c>
      <c r="E23" t="s">
        <v>4022</v>
      </c>
      <c r="F23" t="s">
        <v>4915</v>
      </c>
      <c r="G23" t="s">
        <v>5143</v>
      </c>
      <c r="H23" t="s">
        <v>3976</v>
      </c>
      <c r="I23" t="s">
        <v>3977</v>
      </c>
      <c r="J23" t="s">
        <v>3978</v>
      </c>
      <c r="K23" t="s">
        <v>5135</v>
      </c>
      <c r="M23">
        <v>35671.26</v>
      </c>
      <c r="N23">
        <v>35671.26</v>
      </c>
      <c r="O23">
        <v>0</v>
      </c>
      <c r="P23">
        <v>6478.59</v>
      </c>
      <c r="Q23">
        <v>6478.59</v>
      </c>
      <c r="R23">
        <v>0</v>
      </c>
      <c r="S23">
        <v>4.5700013772295911</v>
      </c>
      <c r="T23">
        <v>11890.42</v>
      </c>
      <c r="U23">
        <f t="shared" si="0"/>
        <v>4.5700013772295911</v>
      </c>
    </row>
    <row r="24" spans="1:21">
      <c r="A24">
        <v>22</v>
      </c>
      <c r="B24" t="s">
        <v>5141</v>
      </c>
      <c r="C24">
        <v>909</v>
      </c>
      <c r="D24">
        <v>60.81</v>
      </c>
      <c r="E24" t="s">
        <v>3865</v>
      </c>
      <c r="F24" t="s">
        <v>4915</v>
      </c>
      <c r="G24" t="s">
        <v>5144</v>
      </c>
      <c r="H24" t="s">
        <v>5145</v>
      </c>
      <c r="I24" t="s">
        <v>3989</v>
      </c>
      <c r="J24" t="s">
        <v>3990</v>
      </c>
      <c r="K24" t="s">
        <v>5146</v>
      </c>
      <c r="O24">
        <v>0</v>
      </c>
      <c r="R24">
        <v>0</v>
      </c>
      <c r="S24">
        <v>0</v>
      </c>
      <c r="U24">
        <f t="shared" si="0"/>
        <v>0</v>
      </c>
    </row>
    <row r="25" spans="1:21">
      <c r="A25">
        <v>23</v>
      </c>
      <c r="B25" t="s">
        <v>5141</v>
      </c>
      <c r="C25" t="s">
        <v>3993</v>
      </c>
      <c r="D25">
        <v>92.14</v>
      </c>
      <c r="E25" t="s">
        <v>3865</v>
      </c>
      <c r="F25" t="s">
        <v>4915</v>
      </c>
      <c r="G25" t="s">
        <v>5147</v>
      </c>
      <c r="H25" t="s">
        <v>3995</v>
      </c>
      <c r="I25" t="s">
        <v>3996</v>
      </c>
      <c r="J25" t="s">
        <v>3997</v>
      </c>
      <c r="K25" t="s">
        <v>5148</v>
      </c>
      <c r="O25">
        <v>0</v>
      </c>
      <c r="R25">
        <v>0</v>
      </c>
      <c r="S25">
        <v>0</v>
      </c>
      <c r="U25">
        <f t="shared" si="0"/>
        <v>0</v>
      </c>
    </row>
    <row r="26" spans="1:21">
      <c r="A26">
        <v>24</v>
      </c>
      <c r="B26" t="s">
        <v>5141</v>
      </c>
      <c r="C26" t="s">
        <v>5149</v>
      </c>
      <c r="D26">
        <v>125.37</v>
      </c>
      <c r="E26" t="s">
        <v>3865</v>
      </c>
      <c r="F26" t="s">
        <v>4915</v>
      </c>
      <c r="G26" t="s">
        <v>5150</v>
      </c>
      <c r="H26" t="s">
        <v>4002</v>
      </c>
      <c r="I26" t="s">
        <v>4003</v>
      </c>
      <c r="J26" t="s">
        <v>4004</v>
      </c>
      <c r="K26" t="s">
        <v>5151</v>
      </c>
      <c r="O26">
        <v>0</v>
      </c>
      <c r="R26">
        <v>0</v>
      </c>
      <c r="S26">
        <v>0</v>
      </c>
      <c r="U26">
        <f t="shared" si="0"/>
        <v>0</v>
      </c>
    </row>
    <row r="27" spans="1:21">
      <c r="A27">
        <v>25</v>
      </c>
      <c r="B27" t="s">
        <v>5141</v>
      </c>
      <c r="C27" t="s">
        <v>4007</v>
      </c>
      <c r="D27">
        <v>221.83</v>
      </c>
      <c r="E27" t="s">
        <v>4022</v>
      </c>
      <c r="F27" t="s">
        <v>4915</v>
      </c>
      <c r="G27" t="s">
        <v>5152</v>
      </c>
      <c r="H27" t="s">
        <v>4009</v>
      </c>
      <c r="I27" t="s">
        <v>4010</v>
      </c>
      <c r="J27" t="s">
        <v>4011</v>
      </c>
      <c r="K27" t="s">
        <v>5133</v>
      </c>
      <c r="M27">
        <v>86433.3</v>
      </c>
      <c r="N27">
        <v>86433.3</v>
      </c>
      <c r="O27">
        <v>0</v>
      </c>
      <c r="P27">
        <v>16800.84</v>
      </c>
      <c r="Q27">
        <v>16800.84</v>
      </c>
      <c r="R27">
        <v>0</v>
      </c>
      <c r="S27">
        <v>4.6700004137439564</v>
      </c>
      <c r="T27">
        <v>31510.03</v>
      </c>
      <c r="U27">
        <f t="shared" si="0"/>
        <v>4.6700004137439564</v>
      </c>
    </row>
    <row r="28" spans="1:21">
      <c r="A28">
        <v>26</v>
      </c>
      <c r="B28" t="s">
        <v>5141</v>
      </c>
      <c r="C28" t="s">
        <v>4017</v>
      </c>
      <c r="D28">
        <v>221.83</v>
      </c>
      <c r="E28" t="s">
        <v>4022</v>
      </c>
      <c r="F28" t="s">
        <v>4915</v>
      </c>
      <c r="G28" t="s">
        <v>5153</v>
      </c>
      <c r="H28" t="s">
        <v>4019</v>
      </c>
      <c r="I28" t="s">
        <v>4020</v>
      </c>
      <c r="J28" t="s">
        <v>4011</v>
      </c>
      <c r="M28">
        <v>86433.3</v>
      </c>
      <c r="N28">
        <v>86433.3</v>
      </c>
      <c r="O28">
        <v>0</v>
      </c>
      <c r="P28">
        <v>16800.84</v>
      </c>
      <c r="Q28">
        <v>16800.84</v>
      </c>
      <c r="R28">
        <v>0</v>
      </c>
      <c r="S28">
        <v>4.6700004137439564</v>
      </c>
      <c r="T28">
        <v>31510.03</v>
      </c>
      <c r="U28">
        <f t="shared" si="0"/>
        <v>4.6700004137439564</v>
      </c>
    </row>
    <row r="29" spans="1:21">
      <c r="A29">
        <v>27</v>
      </c>
      <c r="B29" t="s">
        <v>5141</v>
      </c>
      <c r="C29" t="s">
        <v>4021</v>
      </c>
      <c r="D29">
        <v>215.89999999999992</v>
      </c>
      <c r="E29" t="s">
        <v>4022</v>
      </c>
      <c r="F29" t="s">
        <v>4915</v>
      </c>
      <c r="G29" t="s">
        <v>4023</v>
      </c>
      <c r="H29" t="s">
        <v>4024</v>
      </c>
      <c r="I29" t="s">
        <v>4025</v>
      </c>
      <c r="J29" t="s">
        <v>4026</v>
      </c>
      <c r="M29">
        <v>66391.95</v>
      </c>
      <c r="N29">
        <v>72302.22</v>
      </c>
      <c r="O29">
        <v>5910.2700000000041</v>
      </c>
      <c r="P29">
        <v>16351.74</v>
      </c>
      <c r="Q29">
        <v>16351.74</v>
      </c>
      <c r="R29">
        <v>0</v>
      </c>
      <c r="S29">
        <v>3.37000006344896</v>
      </c>
      <c r="T29">
        <v>22130.65</v>
      </c>
      <c r="U29">
        <f t="shared" si="0"/>
        <v>3.37000006344896</v>
      </c>
    </row>
    <row r="30" spans="1:21">
      <c r="A30">
        <v>28</v>
      </c>
      <c r="B30" t="s">
        <v>5141</v>
      </c>
      <c r="C30" t="s">
        <v>4034</v>
      </c>
      <c r="D30">
        <v>221.94</v>
      </c>
      <c r="E30" t="s">
        <v>4022</v>
      </c>
      <c r="F30" t="s">
        <v>4915</v>
      </c>
      <c r="G30" t="s">
        <v>5154</v>
      </c>
      <c r="H30" t="s">
        <v>4036</v>
      </c>
      <c r="I30" t="s">
        <v>4020</v>
      </c>
      <c r="J30" t="s">
        <v>4011</v>
      </c>
      <c r="M30">
        <v>86476.14</v>
      </c>
      <c r="N30">
        <v>86476.14</v>
      </c>
      <c r="O30">
        <v>0</v>
      </c>
      <c r="P30">
        <v>16809.18</v>
      </c>
      <c r="Q30">
        <v>16809.18</v>
      </c>
      <c r="R30">
        <v>0</v>
      </c>
      <c r="S30">
        <v>4.6699996666999972</v>
      </c>
      <c r="T30">
        <v>31525.65</v>
      </c>
      <c r="U30">
        <f t="shared" si="0"/>
        <v>4.6699996666999972</v>
      </c>
    </row>
    <row r="31" spans="1:21">
      <c r="A31">
        <v>29</v>
      </c>
      <c r="B31" t="s">
        <v>5141</v>
      </c>
      <c r="C31" t="s">
        <v>4037</v>
      </c>
      <c r="D31">
        <v>221.83</v>
      </c>
      <c r="E31" t="s">
        <v>4022</v>
      </c>
      <c r="F31" t="s">
        <v>4915</v>
      </c>
      <c r="G31" t="s">
        <v>5155</v>
      </c>
      <c r="H31" t="s">
        <v>4039</v>
      </c>
      <c r="I31" t="s">
        <v>4040</v>
      </c>
      <c r="J31" t="s">
        <v>4041</v>
      </c>
      <c r="M31">
        <v>86433.3</v>
      </c>
      <c r="N31">
        <v>86433.3</v>
      </c>
      <c r="O31">
        <v>0</v>
      </c>
      <c r="P31">
        <v>16800.84</v>
      </c>
      <c r="Q31">
        <v>16800.84</v>
      </c>
      <c r="R31">
        <v>0</v>
      </c>
      <c r="S31">
        <v>4.2700006607552732</v>
      </c>
      <c r="T31">
        <v>28811.1</v>
      </c>
      <c r="U31">
        <f t="shared" si="0"/>
        <v>4.2700006607552732</v>
      </c>
    </row>
    <row r="32" spans="1:21">
      <c r="A32">
        <v>30</v>
      </c>
      <c r="B32" t="s">
        <v>5141</v>
      </c>
      <c r="C32" t="s">
        <v>4044</v>
      </c>
      <c r="D32">
        <v>421.28999999999996</v>
      </c>
      <c r="E32" t="s">
        <v>3865</v>
      </c>
      <c r="F32" t="s">
        <v>4915</v>
      </c>
      <c r="G32" t="s">
        <v>5156</v>
      </c>
      <c r="H32" t="s">
        <v>4046</v>
      </c>
      <c r="I32" t="s">
        <v>4047</v>
      </c>
      <c r="J32" t="s">
        <v>3932</v>
      </c>
      <c r="K32" t="s">
        <v>5157</v>
      </c>
      <c r="O32">
        <v>0</v>
      </c>
      <c r="R32">
        <v>0</v>
      </c>
      <c r="S32">
        <v>0</v>
      </c>
      <c r="U32">
        <f t="shared" si="0"/>
        <v>0</v>
      </c>
    </row>
    <row r="33" spans="1:21">
      <c r="A33">
        <v>31</v>
      </c>
      <c r="B33" t="s">
        <v>5141</v>
      </c>
      <c r="C33" t="s">
        <v>4050</v>
      </c>
      <c r="D33">
        <v>171.4</v>
      </c>
      <c r="E33" t="s">
        <v>3865</v>
      </c>
      <c r="F33" t="s">
        <v>4915</v>
      </c>
      <c r="G33" t="s">
        <v>5158</v>
      </c>
      <c r="H33" t="s">
        <v>4052</v>
      </c>
      <c r="I33" t="s">
        <v>4047</v>
      </c>
      <c r="J33" t="s">
        <v>3932</v>
      </c>
      <c r="K33" t="s">
        <v>5157</v>
      </c>
      <c r="O33">
        <v>0</v>
      </c>
      <c r="R33">
        <v>0</v>
      </c>
      <c r="S33">
        <v>0</v>
      </c>
      <c r="U33">
        <f t="shared" si="0"/>
        <v>0</v>
      </c>
    </row>
    <row r="34" spans="1:21">
      <c r="A34">
        <v>32</v>
      </c>
      <c r="B34" t="s">
        <v>5141</v>
      </c>
      <c r="C34" t="s">
        <v>4053</v>
      </c>
      <c r="D34">
        <v>148.56</v>
      </c>
      <c r="E34" t="s">
        <v>4022</v>
      </c>
      <c r="G34" t="s">
        <v>4054</v>
      </c>
      <c r="H34" t="s">
        <v>4055</v>
      </c>
      <c r="I34" t="s">
        <v>4056</v>
      </c>
      <c r="J34" t="s">
        <v>4057</v>
      </c>
      <c r="M34">
        <v>53817.72</v>
      </c>
      <c r="N34">
        <v>53817.72</v>
      </c>
      <c r="O34">
        <v>0</v>
      </c>
      <c r="P34">
        <v>11251.56</v>
      </c>
      <c r="Q34">
        <v>11251.56</v>
      </c>
      <c r="T34">
        <v>17939.240000000002</v>
      </c>
      <c r="U34">
        <f t="shared" si="0"/>
        <v>3.9700002213025867</v>
      </c>
    </row>
    <row r="35" spans="1:21">
      <c r="A35">
        <v>33</v>
      </c>
      <c r="B35" t="s">
        <v>5141</v>
      </c>
      <c r="C35" t="s">
        <v>4070</v>
      </c>
      <c r="D35">
        <v>262.2</v>
      </c>
      <c r="E35" t="s">
        <v>4022</v>
      </c>
      <c r="F35" t="s">
        <v>4915</v>
      </c>
      <c r="G35" t="s">
        <v>4071</v>
      </c>
      <c r="H35" t="s">
        <v>4072</v>
      </c>
      <c r="I35" t="s">
        <v>4073</v>
      </c>
      <c r="J35" t="s">
        <v>4074</v>
      </c>
      <c r="M35">
        <v>95703</v>
      </c>
      <c r="N35">
        <v>95703</v>
      </c>
      <c r="O35">
        <v>0</v>
      </c>
      <c r="P35">
        <v>19858.38</v>
      </c>
      <c r="Q35">
        <v>19858.38</v>
      </c>
      <c r="R35">
        <v>0</v>
      </c>
      <c r="S35">
        <v>4</v>
      </c>
      <c r="T35">
        <v>31901</v>
      </c>
      <c r="U35">
        <f t="shared" si="0"/>
        <v>4</v>
      </c>
    </row>
    <row r="36" spans="1:21">
      <c r="A36">
        <v>34</v>
      </c>
      <c r="B36" t="s">
        <v>5141</v>
      </c>
      <c r="C36" t="s">
        <v>4079</v>
      </c>
      <c r="D36">
        <v>126</v>
      </c>
      <c r="E36" t="s">
        <v>3845</v>
      </c>
      <c r="F36" t="s">
        <v>4915</v>
      </c>
      <c r="G36" t="s">
        <v>5159</v>
      </c>
      <c r="O36">
        <v>0</v>
      </c>
      <c r="R36">
        <v>0</v>
      </c>
      <c r="S36">
        <v>0</v>
      </c>
      <c r="U36">
        <f t="shared" si="0"/>
        <v>0</v>
      </c>
    </row>
    <row r="37" spans="1:21">
      <c r="A37">
        <v>35</v>
      </c>
      <c r="B37" t="s">
        <v>5141</v>
      </c>
      <c r="C37" t="s">
        <v>4081</v>
      </c>
      <c r="D37">
        <v>11.9</v>
      </c>
      <c r="E37" t="s">
        <v>4022</v>
      </c>
      <c r="F37" t="s">
        <v>4915</v>
      </c>
      <c r="G37" t="s">
        <v>4082</v>
      </c>
      <c r="H37" t="s">
        <v>4083</v>
      </c>
      <c r="I37" t="s">
        <v>4084</v>
      </c>
      <c r="J37" t="s">
        <v>4085</v>
      </c>
      <c r="K37" t="s">
        <v>5135</v>
      </c>
      <c r="M37">
        <v>6699.84</v>
      </c>
      <c r="N37">
        <v>8437.26</v>
      </c>
      <c r="O37">
        <v>1737.42</v>
      </c>
      <c r="P37">
        <v>901.29</v>
      </c>
      <c r="Q37">
        <v>901.29</v>
      </c>
      <c r="R37">
        <v>0</v>
      </c>
      <c r="S37">
        <v>6.1699919419822722</v>
      </c>
      <c r="T37">
        <v>2233.2800000000002</v>
      </c>
      <c r="U37">
        <f t="shared" si="0"/>
        <v>6.1699919419822722</v>
      </c>
    </row>
    <row r="38" spans="1:21">
      <c r="A38">
        <v>36</v>
      </c>
      <c r="B38" t="s">
        <v>5141</v>
      </c>
      <c r="C38" t="s">
        <v>4096</v>
      </c>
      <c r="D38">
        <v>14.6</v>
      </c>
      <c r="E38" t="s">
        <v>4022</v>
      </c>
      <c r="F38" t="s">
        <v>4915</v>
      </c>
      <c r="G38" t="s">
        <v>4082</v>
      </c>
      <c r="H38" t="s">
        <v>4097</v>
      </c>
      <c r="I38" t="s">
        <v>4098</v>
      </c>
      <c r="J38" t="s">
        <v>4099</v>
      </c>
      <c r="K38" t="s">
        <v>5135</v>
      </c>
      <c r="M38">
        <v>7993.5</v>
      </c>
      <c r="N38">
        <v>10218.36</v>
      </c>
      <c r="O38">
        <v>2224.8600000000006</v>
      </c>
      <c r="P38">
        <v>1105.77</v>
      </c>
      <c r="Q38">
        <v>1151.75</v>
      </c>
      <c r="R38">
        <v>45.980000000000018</v>
      </c>
      <c r="S38">
        <v>6</v>
      </c>
      <c r="T38">
        <v>2664.5</v>
      </c>
      <c r="U38">
        <f t="shared" si="0"/>
        <v>6</v>
      </c>
    </row>
    <row r="39" spans="1:21">
      <c r="A39">
        <v>37</v>
      </c>
      <c r="B39" t="s">
        <v>5141</v>
      </c>
      <c r="C39" t="s">
        <v>4107</v>
      </c>
      <c r="D39">
        <v>41.2</v>
      </c>
      <c r="E39" t="s">
        <v>4022</v>
      </c>
      <c r="F39" t="s">
        <v>4915</v>
      </c>
      <c r="G39" t="s">
        <v>5160</v>
      </c>
      <c r="H39" t="s">
        <v>4109</v>
      </c>
      <c r="I39" t="s">
        <v>4025</v>
      </c>
      <c r="J39" t="s">
        <v>4110</v>
      </c>
      <c r="K39" t="s">
        <v>5151</v>
      </c>
      <c r="M39">
        <v>16165.86</v>
      </c>
      <c r="N39">
        <v>16165.86</v>
      </c>
      <c r="O39">
        <v>0</v>
      </c>
      <c r="P39">
        <v>3120.39</v>
      </c>
      <c r="Q39">
        <v>3120.39</v>
      </c>
      <c r="R39">
        <v>0</v>
      </c>
      <c r="S39">
        <v>4.3000026599281815</v>
      </c>
      <c r="T39">
        <v>5388.62</v>
      </c>
      <c r="U39">
        <f t="shared" si="0"/>
        <v>4.3000026599281815</v>
      </c>
    </row>
    <row r="40" spans="1:21">
      <c r="A40">
        <v>38</v>
      </c>
      <c r="B40" t="s">
        <v>5161</v>
      </c>
      <c r="C40">
        <v>1000</v>
      </c>
      <c r="D40">
        <v>58.82</v>
      </c>
      <c r="E40" t="s">
        <v>4022</v>
      </c>
      <c r="F40" t="s">
        <v>4915</v>
      </c>
      <c r="G40" t="s">
        <v>4117</v>
      </c>
      <c r="H40" t="s">
        <v>4118</v>
      </c>
      <c r="I40" t="s">
        <v>4119</v>
      </c>
      <c r="J40" t="s">
        <v>4120</v>
      </c>
      <c r="K40" t="s">
        <v>5162</v>
      </c>
      <c r="M40">
        <v>25065.42</v>
      </c>
      <c r="N40">
        <v>25602.15</v>
      </c>
      <c r="O40">
        <v>536.7300000000032</v>
      </c>
      <c r="P40">
        <v>4454.88</v>
      </c>
      <c r="Q40">
        <v>4454.88</v>
      </c>
      <c r="R40">
        <v>0</v>
      </c>
      <c r="S40">
        <v>4.6700022823287197</v>
      </c>
      <c r="T40">
        <v>8355.14</v>
      </c>
      <c r="U40">
        <f t="shared" si="0"/>
        <v>4.6700022823287197</v>
      </c>
    </row>
    <row r="41" spans="1:21">
      <c r="A41">
        <v>39</v>
      </c>
      <c r="B41" t="s">
        <v>5161</v>
      </c>
      <c r="C41" t="s">
        <v>4131</v>
      </c>
      <c r="D41">
        <v>49.25</v>
      </c>
      <c r="E41" t="s">
        <v>4022</v>
      </c>
      <c r="F41" t="s">
        <v>4915</v>
      </c>
      <c r="G41" t="s">
        <v>5163</v>
      </c>
      <c r="H41" t="s">
        <v>4133</v>
      </c>
      <c r="I41" t="s">
        <v>4134</v>
      </c>
      <c r="J41" t="s">
        <v>4135</v>
      </c>
      <c r="M41">
        <v>89392.98</v>
      </c>
      <c r="N41">
        <v>89392.98</v>
      </c>
      <c r="O41">
        <v>0</v>
      </c>
      <c r="P41">
        <v>18230.009999999998</v>
      </c>
      <c r="Q41">
        <v>18230.009999999998</v>
      </c>
      <c r="S41">
        <v>19.891352200820524</v>
      </c>
      <c r="T41">
        <v>29797.66</v>
      </c>
      <c r="U41">
        <f t="shared" si="0"/>
        <v>19.891352200820524</v>
      </c>
    </row>
    <row r="42" spans="1:21">
      <c r="A42">
        <v>40</v>
      </c>
      <c r="B42" t="s">
        <v>5161</v>
      </c>
      <c r="C42" t="s">
        <v>4146</v>
      </c>
      <c r="D42">
        <v>191.45</v>
      </c>
      <c r="E42" t="s">
        <v>4022</v>
      </c>
      <c r="F42" t="s">
        <v>4915</v>
      </c>
      <c r="G42" t="s">
        <v>5163</v>
      </c>
      <c r="H42" t="s">
        <v>4133</v>
      </c>
      <c r="I42" t="s">
        <v>4134</v>
      </c>
      <c r="J42" t="s">
        <v>4135</v>
      </c>
      <c r="O42">
        <v>0</v>
      </c>
      <c r="S42">
        <v>0</v>
      </c>
      <c r="U42">
        <f t="shared" si="0"/>
        <v>0</v>
      </c>
    </row>
    <row r="43" spans="1:21">
      <c r="A43">
        <v>41</v>
      </c>
      <c r="B43" t="s">
        <v>5161</v>
      </c>
      <c r="C43" t="s">
        <v>4147</v>
      </c>
      <c r="D43">
        <v>317.36</v>
      </c>
      <c r="E43" t="s">
        <v>4022</v>
      </c>
      <c r="F43" t="s">
        <v>4915</v>
      </c>
      <c r="G43" t="s">
        <v>4148</v>
      </c>
      <c r="H43" t="s">
        <v>4149</v>
      </c>
      <c r="I43" t="s">
        <v>4150</v>
      </c>
      <c r="J43" t="s">
        <v>4151</v>
      </c>
      <c r="K43" t="s">
        <v>5164</v>
      </c>
      <c r="M43">
        <v>126551.28</v>
      </c>
      <c r="O43">
        <v>-126551.28</v>
      </c>
      <c r="P43">
        <v>24036.06</v>
      </c>
      <c r="R43">
        <v>-24036.06</v>
      </c>
      <c r="S43">
        <v>4.3700004489089785</v>
      </c>
      <c r="T43">
        <v>42183.76</v>
      </c>
      <c r="U43">
        <f t="shared" si="0"/>
        <v>4.3700004489089785</v>
      </c>
    </row>
    <row r="44" spans="1:21">
      <c r="A44">
        <v>42</v>
      </c>
      <c r="B44" t="s">
        <v>5161</v>
      </c>
      <c r="C44" t="s">
        <v>4163</v>
      </c>
      <c r="D44">
        <v>164.92</v>
      </c>
      <c r="E44" t="s">
        <v>4022</v>
      </c>
      <c r="F44" t="s">
        <v>4915</v>
      </c>
      <c r="G44" t="s">
        <v>5165</v>
      </c>
      <c r="H44" t="s">
        <v>4165</v>
      </c>
      <c r="I44" t="s">
        <v>4166</v>
      </c>
      <c r="J44" t="s">
        <v>4099</v>
      </c>
      <c r="K44" t="s">
        <v>5166</v>
      </c>
      <c r="M44">
        <v>70278.600000000006</v>
      </c>
      <c r="N44">
        <v>70278.600000000006</v>
      </c>
      <c r="O44">
        <v>0</v>
      </c>
      <c r="P44">
        <v>12490.62</v>
      </c>
      <c r="Q44">
        <v>12490.62</v>
      </c>
      <c r="R44">
        <v>0</v>
      </c>
      <c r="S44">
        <v>4.6700002325743668</v>
      </c>
      <c r="T44">
        <v>23426.2</v>
      </c>
      <c r="U44">
        <f t="shared" si="0"/>
        <v>4.6700002325743668</v>
      </c>
    </row>
    <row r="45" spans="1:21">
      <c r="A45">
        <v>43</v>
      </c>
      <c r="B45" t="s">
        <v>5161</v>
      </c>
      <c r="C45" t="s">
        <v>4171</v>
      </c>
      <c r="D45">
        <v>305.89</v>
      </c>
      <c r="E45" t="s">
        <v>4022</v>
      </c>
      <c r="F45" t="s">
        <v>4915</v>
      </c>
      <c r="G45" t="s">
        <v>4172</v>
      </c>
      <c r="H45" t="s">
        <v>4173</v>
      </c>
      <c r="I45" t="s">
        <v>3883</v>
      </c>
      <c r="J45" t="s">
        <v>4174</v>
      </c>
      <c r="M45">
        <v>77596.639999999999</v>
      </c>
      <c r="N45">
        <v>77596.639999999999</v>
      </c>
      <c r="O45">
        <v>0</v>
      </c>
      <c r="P45">
        <v>15444.9</v>
      </c>
      <c r="Q45">
        <v>15444.9</v>
      </c>
      <c r="R45">
        <v>0</v>
      </c>
      <c r="S45">
        <v>4.1699996909982415</v>
      </c>
      <c r="T45">
        <v>38798.32</v>
      </c>
      <c r="U45">
        <f t="shared" si="0"/>
        <v>4.1699996909982415</v>
      </c>
    </row>
    <row r="46" spans="1:21">
      <c r="A46">
        <v>44</v>
      </c>
      <c r="B46" t="s">
        <v>5161</v>
      </c>
      <c r="C46" t="s">
        <v>5167</v>
      </c>
      <c r="D46">
        <v>554.87</v>
      </c>
      <c r="E46" t="s">
        <v>4022</v>
      </c>
      <c r="F46" t="s">
        <v>4915</v>
      </c>
      <c r="G46" t="s">
        <v>5168</v>
      </c>
      <c r="H46" t="s">
        <v>4184</v>
      </c>
      <c r="I46" t="s">
        <v>4185</v>
      </c>
      <c r="J46" t="s">
        <v>4186</v>
      </c>
      <c r="K46" t="s">
        <v>5151</v>
      </c>
      <c r="M46">
        <v>270541.92</v>
      </c>
      <c r="N46">
        <v>270541.92</v>
      </c>
      <c r="O46">
        <v>0</v>
      </c>
      <c r="P46">
        <v>48083.46</v>
      </c>
      <c r="Q46">
        <v>48083.46</v>
      </c>
      <c r="R46">
        <v>0</v>
      </c>
      <c r="S46">
        <v>5.3433109717665568</v>
      </c>
      <c r="T46">
        <v>90180.64</v>
      </c>
      <c r="U46">
        <f t="shared" si="0"/>
        <v>5.3433109717665568</v>
      </c>
    </row>
    <row r="47" spans="1:21">
      <c r="A47">
        <v>45</v>
      </c>
      <c r="B47" t="s">
        <v>5161</v>
      </c>
      <c r="C47" t="s">
        <v>4192</v>
      </c>
      <c r="D47">
        <v>80</v>
      </c>
      <c r="E47" t="s">
        <v>4022</v>
      </c>
      <c r="F47" t="s">
        <v>4915</v>
      </c>
      <c r="G47" t="s">
        <v>5168</v>
      </c>
      <c r="H47" t="s">
        <v>4184</v>
      </c>
      <c r="I47" t="s">
        <v>4185</v>
      </c>
      <c r="J47" t="s">
        <v>4186</v>
      </c>
      <c r="O47">
        <v>0</v>
      </c>
      <c r="S47">
        <v>0</v>
      </c>
      <c r="U47">
        <f t="shared" si="0"/>
        <v>0</v>
      </c>
    </row>
    <row r="48" spans="1:21">
      <c r="A48">
        <v>46</v>
      </c>
      <c r="B48" t="s">
        <v>5161</v>
      </c>
      <c r="C48" t="s">
        <v>4193</v>
      </c>
      <c r="D48">
        <v>221.83</v>
      </c>
      <c r="E48" t="s">
        <v>4022</v>
      </c>
      <c r="F48" t="s">
        <v>4915</v>
      </c>
      <c r="G48" t="s">
        <v>5169</v>
      </c>
      <c r="H48" t="s">
        <v>4195</v>
      </c>
      <c r="I48" t="s">
        <v>3794</v>
      </c>
      <c r="J48" t="s">
        <v>4196</v>
      </c>
      <c r="M48">
        <v>82384.89</v>
      </c>
      <c r="N48">
        <v>82384.89</v>
      </c>
      <c r="O48">
        <v>0</v>
      </c>
      <c r="P48">
        <v>16800.84</v>
      </c>
      <c r="Q48">
        <v>16800.84</v>
      </c>
      <c r="R48">
        <v>0</v>
      </c>
      <c r="S48">
        <v>4.0700000432269805</v>
      </c>
      <c r="T48">
        <v>27461.63</v>
      </c>
      <c r="U48">
        <f t="shared" si="0"/>
        <v>4.0700000432269805</v>
      </c>
    </row>
    <row r="49" spans="1:21">
      <c r="A49">
        <v>47</v>
      </c>
      <c r="B49" t="s">
        <v>5161</v>
      </c>
      <c r="C49" t="s">
        <v>4205</v>
      </c>
      <c r="D49">
        <v>221.83</v>
      </c>
      <c r="E49" t="s">
        <v>3845</v>
      </c>
      <c r="F49" t="s">
        <v>4915</v>
      </c>
      <c r="G49" t="s">
        <v>4206</v>
      </c>
      <c r="H49" t="s">
        <v>4207</v>
      </c>
      <c r="I49" t="s">
        <v>4208</v>
      </c>
      <c r="J49" t="s">
        <v>4209</v>
      </c>
      <c r="O49">
        <v>0</v>
      </c>
      <c r="R49">
        <v>0</v>
      </c>
      <c r="S49">
        <v>0</v>
      </c>
      <c r="U49">
        <f t="shared" si="0"/>
        <v>0</v>
      </c>
    </row>
    <row r="50" spans="1:21">
      <c r="A50">
        <v>48</v>
      </c>
      <c r="B50" t="s">
        <v>5161</v>
      </c>
      <c r="C50" t="s">
        <v>5170</v>
      </c>
      <c r="D50">
        <v>448.32</v>
      </c>
      <c r="E50" t="s">
        <v>4022</v>
      </c>
      <c r="F50" t="s">
        <v>4915</v>
      </c>
      <c r="G50" t="s">
        <v>5171</v>
      </c>
      <c r="H50" t="s">
        <v>4214</v>
      </c>
      <c r="I50" t="s">
        <v>3868</v>
      </c>
      <c r="J50" t="s">
        <v>4215</v>
      </c>
      <c r="M50">
        <v>231955.17</v>
      </c>
      <c r="N50">
        <v>231955.17</v>
      </c>
      <c r="O50">
        <v>0</v>
      </c>
      <c r="P50">
        <v>33954.629999999997</v>
      </c>
      <c r="Q50">
        <v>33954.629999999997</v>
      </c>
      <c r="R50">
        <v>0</v>
      </c>
      <c r="S50">
        <v>5.6700001466662746</v>
      </c>
      <c r="T50">
        <v>77318.39</v>
      </c>
      <c r="U50">
        <f t="shared" si="0"/>
        <v>5.6700001466662746</v>
      </c>
    </row>
    <row r="51" spans="1:21">
      <c r="A51">
        <v>49</v>
      </c>
      <c r="B51" t="s">
        <v>5161</v>
      </c>
      <c r="C51" t="s">
        <v>5172</v>
      </c>
      <c r="D51">
        <v>474.36</v>
      </c>
      <c r="E51" t="s">
        <v>4022</v>
      </c>
      <c r="F51" t="s">
        <v>4915</v>
      </c>
      <c r="G51" t="s">
        <v>5173</v>
      </c>
      <c r="H51" t="s">
        <v>4227</v>
      </c>
      <c r="I51" t="s">
        <v>3868</v>
      </c>
      <c r="J51" t="s">
        <v>4215</v>
      </c>
      <c r="M51">
        <v>245427.93</v>
      </c>
      <c r="N51">
        <v>245427.93</v>
      </c>
      <c r="O51">
        <v>0</v>
      </c>
      <c r="P51">
        <v>35926.83</v>
      </c>
      <c r="Q51">
        <v>35926.83</v>
      </c>
      <c r="S51">
        <v>5.6699998960387283</v>
      </c>
      <c r="T51">
        <v>81809.31</v>
      </c>
      <c r="U51">
        <f t="shared" si="0"/>
        <v>5.6699998960387283</v>
      </c>
    </row>
    <row r="52" spans="1:21">
      <c r="A52">
        <v>50</v>
      </c>
      <c r="B52" t="s">
        <v>5161</v>
      </c>
      <c r="C52" t="s">
        <v>4228</v>
      </c>
      <c r="D52">
        <v>388.17</v>
      </c>
      <c r="E52" t="s">
        <v>4022</v>
      </c>
      <c r="F52" t="s">
        <v>4915</v>
      </c>
      <c r="G52" t="s">
        <v>5174</v>
      </c>
      <c r="H52" t="s">
        <v>4230</v>
      </c>
      <c r="I52" t="s">
        <v>3868</v>
      </c>
      <c r="J52" t="s">
        <v>4215</v>
      </c>
      <c r="M52">
        <v>200834.31</v>
      </c>
      <c r="N52">
        <v>200834.31</v>
      </c>
      <c r="O52">
        <v>0</v>
      </c>
      <c r="P52">
        <v>29399.040000000001</v>
      </c>
      <c r="Q52">
        <v>29399.040000000001</v>
      </c>
      <c r="S52">
        <v>5.6700001164579419</v>
      </c>
      <c r="T52">
        <v>66944.77</v>
      </c>
      <c r="U52">
        <f t="shared" si="0"/>
        <v>5.6700001164579419</v>
      </c>
    </row>
    <row r="53" spans="1:21">
      <c r="A53">
        <v>51</v>
      </c>
      <c r="B53" t="s">
        <v>5175</v>
      </c>
      <c r="C53" t="s">
        <v>5176</v>
      </c>
      <c r="D53">
        <v>2545.54</v>
      </c>
      <c r="E53" t="s">
        <v>4022</v>
      </c>
      <c r="F53" t="s">
        <v>4915</v>
      </c>
      <c r="G53" t="s">
        <v>4148</v>
      </c>
      <c r="H53" t="s">
        <v>4233</v>
      </c>
      <c r="I53" t="s">
        <v>4234</v>
      </c>
      <c r="J53" t="s">
        <v>4235</v>
      </c>
      <c r="K53" t="s">
        <v>5133</v>
      </c>
      <c r="M53">
        <v>1061522.01</v>
      </c>
      <c r="N53">
        <v>1061522.01</v>
      </c>
      <c r="O53">
        <v>0</v>
      </c>
      <c r="P53">
        <v>192792.84</v>
      </c>
      <c r="Q53">
        <v>192792.84</v>
      </c>
      <c r="R53">
        <v>0</v>
      </c>
      <c r="S53">
        <v>4.5700000462802466</v>
      </c>
      <c r="T53">
        <v>353840.67</v>
      </c>
      <c r="U53">
        <f t="shared" si="0"/>
        <v>4.5700000462802466</v>
      </c>
    </row>
    <row r="54" spans="1:21">
      <c r="A54">
        <v>52</v>
      </c>
      <c r="B54" t="s">
        <v>5175</v>
      </c>
      <c r="C54" t="s">
        <v>5177</v>
      </c>
      <c r="D54">
        <v>1310.91</v>
      </c>
      <c r="E54" t="s">
        <v>4022</v>
      </c>
      <c r="F54" t="s">
        <v>4915</v>
      </c>
      <c r="G54" t="s">
        <v>4148</v>
      </c>
      <c r="H54" t="s">
        <v>4264</v>
      </c>
      <c r="I54" t="s">
        <v>4265</v>
      </c>
      <c r="J54" t="s">
        <v>4235</v>
      </c>
      <c r="K54" t="s">
        <v>5178</v>
      </c>
      <c r="M54">
        <v>522741.75</v>
      </c>
      <c r="N54">
        <v>522741.75</v>
      </c>
      <c r="O54">
        <v>0</v>
      </c>
      <c r="P54">
        <v>99285.06</v>
      </c>
      <c r="Q54">
        <v>99285.06</v>
      </c>
      <c r="R54">
        <v>0</v>
      </c>
      <c r="S54">
        <v>4.3700000094047393</v>
      </c>
      <c r="T54">
        <v>174247.25</v>
      </c>
      <c r="U54">
        <f t="shared" si="0"/>
        <v>4.3700000094047393</v>
      </c>
    </row>
    <row r="55" spans="1:21">
      <c r="A55">
        <v>53</v>
      </c>
      <c r="B55" t="s">
        <v>5179</v>
      </c>
      <c r="C55" t="s">
        <v>5180</v>
      </c>
      <c r="D55">
        <v>568.59</v>
      </c>
      <c r="E55" t="s">
        <v>4022</v>
      </c>
      <c r="F55" t="s">
        <v>4915</v>
      </c>
      <c r="G55" t="s">
        <v>5134</v>
      </c>
      <c r="H55" t="s">
        <v>4281</v>
      </c>
      <c r="I55" t="s">
        <v>4282</v>
      </c>
      <c r="J55" t="s">
        <v>4283</v>
      </c>
      <c r="K55" t="s">
        <v>5181</v>
      </c>
      <c r="M55">
        <v>485999.94</v>
      </c>
      <c r="N55">
        <v>485999.94</v>
      </c>
      <c r="O55">
        <v>0</v>
      </c>
      <c r="P55">
        <v>82829.55</v>
      </c>
      <c r="Q55">
        <v>82829.55</v>
      </c>
      <c r="R55">
        <v>0</v>
      </c>
      <c r="S55">
        <v>9.367077753259867</v>
      </c>
      <c r="T55">
        <v>161999.98000000001</v>
      </c>
      <c r="U55">
        <f t="shared" si="0"/>
        <v>9.367077753259867</v>
      </c>
    </row>
    <row r="56" spans="1:21">
      <c r="A56">
        <v>54</v>
      </c>
      <c r="B56" t="s">
        <v>5179</v>
      </c>
      <c r="C56" t="s">
        <v>5182</v>
      </c>
      <c r="D56">
        <v>525.05000000000007</v>
      </c>
      <c r="E56" t="s">
        <v>4022</v>
      </c>
      <c r="F56" t="s">
        <v>4915</v>
      </c>
      <c r="G56" t="s">
        <v>5134</v>
      </c>
      <c r="H56" t="s">
        <v>4281</v>
      </c>
      <c r="I56" t="s">
        <v>4282</v>
      </c>
      <c r="J56" t="s">
        <v>4283</v>
      </c>
      <c r="K56" t="s">
        <v>5181</v>
      </c>
      <c r="O56">
        <v>0</v>
      </c>
      <c r="R56">
        <v>0</v>
      </c>
      <c r="S56">
        <v>0</v>
      </c>
      <c r="T56">
        <v>0</v>
      </c>
      <c r="U56">
        <f t="shared" si="0"/>
        <v>0</v>
      </c>
    </row>
    <row r="57" spans="1:21">
      <c r="A57">
        <v>55</v>
      </c>
      <c r="B57" t="s">
        <v>5179</v>
      </c>
      <c r="C57" t="s">
        <v>5183</v>
      </c>
      <c r="D57">
        <v>1526.21</v>
      </c>
      <c r="E57" t="s">
        <v>4022</v>
      </c>
      <c r="F57" t="s">
        <v>4915</v>
      </c>
      <c r="G57" t="s">
        <v>5134</v>
      </c>
      <c r="H57" t="s">
        <v>4298</v>
      </c>
      <c r="I57" t="s">
        <v>3923</v>
      </c>
      <c r="J57" t="s">
        <v>3942</v>
      </c>
      <c r="K57" t="s">
        <v>5146</v>
      </c>
      <c r="M57">
        <v>811052.67</v>
      </c>
      <c r="N57">
        <v>811052.67</v>
      </c>
      <c r="O57">
        <v>0</v>
      </c>
      <c r="P57">
        <v>135447.42000000001</v>
      </c>
      <c r="Q57">
        <v>135447.42000000001</v>
      </c>
      <c r="R57">
        <v>0</v>
      </c>
      <c r="S57">
        <v>5.8237388290970209</v>
      </c>
      <c r="T57">
        <v>270350.89</v>
      </c>
      <c r="U57">
        <f t="shared" si="0"/>
        <v>5.8237388290970209</v>
      </c>
    </row>
    <row r="58" spans="1:21">
      <c r="A58">
        <v>56</v>
      </c>
      <c r="B58" t="s">
        <v>5179</v>
      </c>
      <c r="C58">
        <v>1202</v>
      </c>
      <c r="D58">
        <v>262.17</v>
      </c>
      <c r="E58" t="s">
        <v>4022</v>
      </c>
      <c r="F58" t="s">
        <v>4915</v>
      </c>
      <c r="G58" t="s">
        <v>5134</v>
      </c>
      <c r="H58" t="s">
        <v>4298</v>
      </c>
      <c r="I58" t="s">
        <v>3923</v>
      </c>
      <c r="J58" t="s">
        <v>3942</v>
      </c>
      <c r="K58" t="s">
        <v>5184</v>
      </c>
      <c r="M58">
        <v>0</v>
      </c>
      <c r="N58">
        <v>0</v>
      </c>
      <c r="O58">
        <v>0</v>
      </c>
      <c r="P58">
        <v>0</v>
      </c>
      <c r="Q58">
        <v>0</v>
      </c>
      <c r="R58">
        <v>0</v>
      </c>
      <c r="S58">
        <v>0</v>
      </c>
      <c r="U58">
        <f t="shared" si="0"/>
        <v>0</v>
      </c>
    </row>
    <row r="59" spans="1:21">
      <c r="A59">
        <v>57</v>
      </c>
      <c r="B59" t="s">
        <v>5179</v>
      </c>
      <c r="C59" t="s">
        <v>4303</v>
      </c>
      <c r="D59">
        <v>319.64999999999998</v>
      </c>
      <c r="E59" t="s">
        <v>4022</v>
      </c>
      <c r="F59" t="s">
        <v>4915</v>
      </c>
      <c r="G59" t="s">
        <v>5185</v>
      </c>
      <c r="H59" t="s">
        <v>4305</v>
      </c>
      <c r="I59" t="s">
        <v>4306</v>
      </c>
      <c r="J59" t="s">
        <v>4307</v>
      </c>
      <c r="K59" t="s">
        <v>5133</v>
      </c>
      <c r="M59">
        <v>204176.43</v>
      </c>
      <c r="N59">
        <v>204176.43</v>
      </c>
      <c r="O59">
        <v>0</v>
      </c>
      <c r="P59">
        <v>24209.49</v>
      </c>
      <c r="Q59">
        <v>24209.49</v>
      </c>
      <c r="R59">
        <v>0</v>
      </c>
      <c r="S59">
        <v>6.9999997428694485</v>
      </c>
      <c r="T59">
        <v>68058.81</v>
      </c>
      <c r="U59">
        <f t="shared" si="0"/>
        <v>6.9999997428694485</v>
      </c>
    </row>
    <row r="60" spans="1:21">
      <c r="A60">
        <v>58</v>
      </c>
      <c r="B60" t="s">
        <v>5179</v>
      </c>
      <c r="C60">
        <v>1222</v>
      </c>
      <c r="D60">
        <v>114.04</v>
      </c>
      <c r="E60" t="s">
        <v>4022</v>
      </c>
      <c r="F60" t="s">
        <v>4915</v>
      </c>
      <c r="G60" t="s">
        <v>4314</v>
      </c>
      <c r="H60" t="s">
        <v>4315</v>
      </c>
      <c r="I60" t="s">
        <v>4316</v>
      </c>
      <c r="J60" t="s">
        <v>4317</v>
      </c>
      <c r="K60" t="s">
        <v>5151</v>
      </c>
      <c r="M60">
        <v>43393.65</v>
      </c>
      <c r="N60">
        <v>43393.65</v>
      </c>
      <c r="O60">
        <v>0</v>
      </c>
      <c r="P60">
        <v>8637.09</v>
      </c>
      <c r="Q60">
        <v>8637.09</v>
      </c>
      <c r="R60">
        <v>0</v>
      </c>
      <c r="S60">
        <v>4.1700004324365869</v>
      </c>
      <c r="T60">
        <v>14464.55</v>
      </c>
      <c r="U60">
        <f t="shared" si="0"/>
        <v>4.1700004324365869</v>
      </c>
    </row>
    <row r="61" spans="1:21">
      <c r="A61">
        <v>59</v>
      </c>
      <c r="B61" t="s">
        <v>5179</v>
      </c>
      <c r="C61" t="s">
        <v>4332</v>
      </c>
      <c r="D61">
        <v>262.17</v>
      </c>
      <c r="E61" t="s">
        <v>3845</v>
      </c>
      <c r="F61" t="s">
        <v>4915</v>
      </c>
      <c r="G61" t="s">
        <v>5186</v>
      </c>
      <c r="K61" t="s">
        <v>5133</v>
      </c>
      <c r="O61">
        <v>0</v>
      </c>
      <c r="R61">
        <v>0</v>
      </c>
      <c r="S61">
        <v>0</v>
      </c>
      <c r="U61">
        <f t="shared" si="0"/>
        <v>0</v>
      </c>
    </row>
    <row r="62" spans="1:21">
      <c r="A62">
        <v>60</v>
      </c>
      <c r="B62" t="s">
        <v>5179</v>
      </c>
      <c r="C62" t="s">
        <v>4335</v>
      </c>
      <c r="D62">
        <v>14.6</v>
      </c>
      <c r="E62" t="s">
        <v>3845</v>
      </c>
      <c r="F62" t="s">
        <v>4915</v>
      </c>
      <c r="G62" t="s">
        <v>4336</v>
      </c>
      <c r="O62">
        <v>0</v>
      </c>
      <c r="R62">
        <v>0</v>
      </c>
      <c r="S62">
        <v>0</v>
      </c>
      <c r="U62">
        <f t="shared" si="0"/>
        <v>0</v>
      </c>
    </row>
    <row r="63" spans="1:21">
      <c r="A63">
        <v>61</v>
      </c>
      <c r="B63" t="s">
        <v>5179</v>
      </c>
      <c r="C63" t="s">
        <v>4337</v>
      </c>
      <c r="D63">
        <v>11.9</v>
      </c>
      <c r="E63" t="s">
        <v>4022</v>
      </c>
      <c r="F63" t="s">
        <v>4915</v>
      </c>
      <c r="G63" t="s">
        <v>4338</v>
      </c>
      <c r="H63" t="s">
        <v>4339</v>
      </c>
      <c r="I63" t="s">
        <v>4084</v>
      </c>
      <c r="J63" t="s">
        <v>4085</v>
      </c>
      <c r="K63" t="s">
        <v>5135</v>
      </c>
      <c r="M63">
        <v>6699.84</v>
      </c>
      <c r="N63">
        <v>8328.66</v>
      </c>
      <c r="O63">
        <v>1628.8199999999997</v>
      </c>
      <c r="P63">
        <v>901.29</v>
      </c>
      <c r="Q63">
        <v>901.29</v>
      </c>
      <c r="R63">
        <v>0</v>
      </c>
      <c r="S63">
        <v>6.1699919419822722</v>
      </c>
      <c r="T63">
        <v>2233.2800000000002</v>
      </c>
      <c r="U63">
        <f t="shared" si="0"/>
        <v>6.1699919419822722</v>
      </c>
    </row>
    <row r="64" spans="1:21">
      <c r="A64">
        <v>62</v>
      </c>
      <c r="B64" t="s">
        <v>5179</v>
      </c>
      <c r="C64" t="s">
        <v>4343</v>
      </c>
      <c r="D64">
        <v>41.2</v>
      </c>
      <c r="E64" t="s">
        <v>3845</v>
      </c>
      <c r="F64" t="s">
        <v>4915</v>
      </c>
      <c r="G64" t="s">
        <v>4344</v>
      </c>
      <c r="K64" t="s">
        <v>5135</v>
      </c>
      <c r="O64">
        <v>0</v>
      </c>
      <c r="R64">
        <v>0</v>
      </c>
      <c r="S64">
        <v>0</v>
      </c>
      <c r="U64">
        <f t="shared" si="0"/>
        <v>0</v>
      </c>
    </row>
    <row r="65" spans="1:21">
      <c r="A65">
        <v>63</v>
      </c>
      <c r="B65" t="s">
        <v>5187</v>
      </c>
      <c r="C65">
        <v>1300</v>
      </c>
      <c r="D65">
        <v>58.82</v>
      </c>
      <c r="E65" t="s">
        <v>5188</v>
      </c>
      <c r="F65" t="s">
        <v>4915</v>
      </c>
      <c r="G65" t="s">
        <v>4348</v>
      </c>
      <c r="H65" t="s">
        <v>4349</v>
      </c>
      <c r="I65" t="s">
        <v>4350</v>
      </c>
      <c r="J65" t="s">
        <v>4351</v>
      </c>
      <c r="K65" t="s">
        <v>5162</v>
      </c>
      <c r="M65">
        <v>22381.74</v>
      </c>
      <c r="N65">
        <v>22381.74</v>
      </c>
      <c r="O65">
        <v>0</v>
      </c>
      <c r="P65">
        <v>4454.88</v>
      </c>
      <c r="Q65">
        <v>4454.88</v>
      </c>
      <c r="R65">
        <v>0</v>
      </c>
      <c r="S65">
        <v>4.1699990218591196</v>
      </c>
      <c r="T65">
        <v>7460.58</v>
      </c>
      <c r="U65">
        <f t="shared" si="0"/>
        <v>4.1699990218591196</v>
      </c>
    </row>
    <row r="66" spans="1:21">
      <c r="A66">
        <v>64</v>
      </c>
      <c r="B66" t="s">
        <v>5187</v>
      </c>
      <c r="C66">
        <v>1305</v>
      </c>
      <c r="D66">
        <v>164.92</v>
      </c>
      <c r="E66" t="s">
        <v>4022</v>
      </c>
      <c r="F66" t="s">
        <v>4915</v>
      </c>
      <c r="G66" t="s">
        <v>4606</v>
      </c>
      <c r="H66" t="s">
        <v>4375</v>
      </c>
      <c r="I66" t="s">
        <v>3868</v>
      </c>
      <c r="J66" t="s">
        <v>4215</v>
      </c>
      <c r="K66" t="s">
        <v>5135</v>
      </c>
      <c r="M66">
        <v>70278.600000000006</v>
      </c>
      <c r="N66">
        <v>70278.600000000006</v>
      </c>
      <c r="O66">
        <v>0</v>
      </c>
      <c r="P66">
        <v>12490.62</v>
      </c>
      <c r="Q66">
        <v>12490.62</v>
      </c>
      <c r="R66">
        <v>0</v>
      </c>
      <c r="S66">
        <v>4.6700002325743668</v>
      </c>
      <c r="T66">
        <v>23426.2</v>
      </c>
      <c r="U66">
        <f t="shared" si="0"/>
        <v>4.6700002325743668</v>
      </c>
    </row>
    <row r="67" spans="1:21">
      <c r="A67">
        <v>65</v>
      </c>
      <c r="B67" t="s">
        <v>5187</v>
      </c>
      <c r="C67">
        <v>1306</v>
      </c>
      <c r="D67">
        <v>54.09</v>
      </c>
      <c r="E67" t="s">
        <v>4022</v>
      </c>
      <c r="F67" t="s">
        <v>4915</v>
      </c>
      <c r="G67" t="s">
        <v>4379</v>
      </c>
      <c r="H67" t="s">
        <v>4380</v>
      </c>
      <c r="I67" t="s">
        <v>4381</v>
      </c>
      <c r="J67" t="s">
        <v>4382</v>
      </c>
      <c r="K67" t="s">
        <v>5135</v>
      </c>
      <c r="M67">
        <v>21569.07</v>
      </c>
      <c r="N67">
        <v>32921.19</v>
      </c>
      <c r="O67">
        <v>11352.120000000003</v>
      </c>
      <c r="P67">
        <v>4096.6499999999996</v>
      </c>
      <c r="Q67">
        <v>4096.6499999999996</v>
      </c>
      <c r="R67">
        <v>0</v>
      </c>
      <c r="S67">
        <v>4.3700012916068349</v>
      </c>
      <c r="T67">
        <v>7189.69</v>
      </c>
      <c r="U67">
        <f t="shared" ref="U67:U130" si="1">T67*12/365/D67</f>
        <v>4.3700012916068349</v>
      </c>
    </row>
    <row r="68" spans="1:21">
      <c r="A68">
        <v>66</v>
      </c>
      <c r="B68" t="s">
        <v>5187</v>
      </c>
      <c r="C68" t="s">
        <v>4392</v>
      </c>
      <c r="D68">
        <v>234.93</v>
      </c>
      <c r="E68" t="s">
        <v>4022</v>
      </c>
      <c r="F68" t="s">
        <v>4915</v>
      </c>
      <c r="G68" t="s">
        <v>5189</v>
      </c>
      <c r="H68" t="s">
        <v>4394</v>
      </c>
      <c r="I68" t="s">
        <v>3958</v>
      </c>
      <c r="J68" t="s">
        <v>4395</v>
      </c>
      <c r="K68" t="s">
        <v>5133</v>
      </c>
      <c r="M68">
        <v>115577.97</v>
      </c>
      <c r="N68">
        <v>115577.97</v>
      </c>
      <c r="O68">
        <v>0</v>
      </c>
      <c r="P68">
        <v>22309.23</v>
      </c>
      <c r="Q68">
        <v>22309.23</v>
      </c>
      <c r="R68">
        <v>0</v>
      </c>
      <c r="S68">
        <v>5.3914267671687686</v>
      </c>
      <c r="T68">
        <v>38525.99</v>
      </c>
      <c r="U68">
        <f t="shared" si="1"/>
        <v>5.3914267671687686</v>
      </c>
    </row>
    <row r="69" spans="1:21">
      <c r="A69">
        <v>67</v>
      </c>
      <c r="B69" t="s">
        <v>5187</v>
      </c>
      <c r="C69" t="s">
        <v>5190</v>
      </c>
      <c r="D69">
        <v>59.63</v>
      </c>
      <c r="E69" t="s">
        <v>4022</v>
      </c>
      <c r="F69" t="s">
        <v>4915</v>
      </c>
      <c r="G69" t="s">
        <v>5189</v>
      </c>
      <c r="H69" t="s">
        <v>4394</v>
      </c>
      <c r="I69" t="s">
        <v>3958</v>
      </c>
      <c r="J69" t="s">
        <v>4395</v>
      </c>
      <c r="K69" t="s">
        <v>5191</v>
      </c>
      <c r="M69">
        <v>0</v>
      </c>
      <c r="N69">
        <v>0</v>
      </c>
      <c r="O69">
        <v>0</v>
      </c>
      <c r="P69">
        <v>0</v>
      </c>
      <c r="Q69">
        <v>0</v>
      </c>
      <c r="R69">
        <v>0</v>
      </c>
      <c r="S69">
        <v>0</v>
      </c>
      <c r="U69">
        <f t="shared" si="1"/>
        <v>0</v>
      </c>
    </row>
    <row r="70" spans="1:21">
      <c r="A70">
        <v>68</v>
      </c>
      <c r="B70" t="s">
        <v>5187</v>
      </c>
      <c r="C70" t="s">
        <v>4410</v>
      </c>
      <c r="D70">
        <v>43.25</v>
      </c>
      <c r="E70" t="s">
        <v>4022</v>
      </c>
      <c r="F70" t="s">
        <v>4915</v>
      </c>
      <c r="G70" t="s">
        <v>5192</v>
      </c>
      <c r="H70" t="s">
        <v>4412</v>
      </c>
      <c r="I70" t="s">
        <v>4413</v>
      </c>
      <c r="J70" t="s">
        <v>4414</v>
      </c>
      <c r="M70">
        <v>23724.36</v>
      </c>
      <c r="N70">
        <v>23724.36</v>
      </c>
      <c r="O70">
        <v>0</v>
      </c>
      <c r="P70">
        <v>3275.64</v>
      </c>
      <c r="Q70">
        <v>3275.64</v>
      </c>
      <c r="R70">
        <v>0</v>
      </c>
      <c r="S70">
        <v>6.0113985271993027</v>
      </c>
      <c r="T70">
        <v>7908.12</v>
      </c>
      <c r="U70">
        <f t="shared" si="1"/>
        <v>6.0113985271993027</v>
      </c>
    </row>
    <row r="71" spans="1:21">
      <c r="A71">
        <v>69</v>
      </c>
      <c r="B71" t="s">
        <v>5187</v>
      </c>
      <c r="C71" t="s">
        <v>4425</v>
      </c>
      <c r="D71">
        <v>29.92</v>
      </c>
      <c r="E71" t="s">
        <v>4022</v>
      </c>
      <c r="F71" t="s">
        <v>4915</v>
      </c>
      <c r="G71" t="s">
        <v>4426</v>
      </c>
      <c r="H71" t="s">
        <v>4427</v>
      </c>
      <c r="I71" t="s">
        <v>4428</v>
      </c>
      <c r="J71" t="s">
        <v>4429</v>
      </c>
      <c r="K71" t="s">
        <v>5135</v>
      </c>
      <c r="M71">
        <v>12750.03</v>
      </c>
      <c r="N71">
        <v>20940.63</v>
      </c>
      <c r="O71">
        <v>8190.6</v>
      </c>
      <c r="P71">
        <v>2266.08</v>
      </c>
      <c r="Q71">
        <v>2266.08</v>
      </c>
      <c r="R71">
        <v>0</v>
      </c>
      <c r="S71">
        <v>4.6699985349058677</v>
      </c>
      <c r="T71">
        <v>4250.01</v>
      </c>
      <c r="U71">
        <f t="shared" si="1"/>
        <v>4.6699985349058677</v>
      </c>
    </row>
    <row r="72" spans="1:21">
      <c r="A72">
        <v>70</v>
      </c>
      <c r="B72" t="s">
        <v>5187</v>
      </c>
      <c r="C72" t="s">
        <v>4434</v>
      </c>
      <c r="D72">
        <v>34.270000000000003</v>
      </c>
      <c r="E72" t="s">
        <v>4022</v>
      </c>
      <c r="F72" t="s">
        <v>4915</v>
      </c>
      <c r="G72" t="s">
        <v>4435</v>
      </c>
      <c r="H72" t="s">
        <v>4436</v>
      </c>
      <c r="I72" t="s">
        <v>4437</v>
      </c>
      <c r="J72" t="s">
        <v>4438</v>
      </c>
      <c r="K72" t="s">
        <v>5151</v>
      </c>
      <c r="M72">
        <v>14603.73</v>
      </c>
      <c r="N72">
        <v>14603.73</v>
      </c>
      <c r="O72">
        <v>0</v>
      </c>
      <c r="P72">
        <v>2595.5100000000002</v>
      </c>
      <c r="Q72">
        <v>2595.5100000000002</v>
      </c>
      <c r="R72">
        <v>0</v>
      </c>
      <c r="S72">
        <v>4.6699993204648012</v>
      </c>
      <c r="T72">
        <v>4867.91</v>
      </c>
      <c r="U72">
        <f t="shared" si="1"/>
        <v>4.6699993204648012</v>
      </c>
    </row>
    <row r="73" spans="1:21">
      <c r="A73">
        <v>71</v>
      </c>
      <c r="B73" t="s">
        <v>5187</v>
      </c>
      <c r="C73" t="s">
        <v>4462</v>
      </c>
      <c r="D73">
        <v>102.32</v>
      </c>
      <c r="E73" t="s">
        <v>3845</v>
      </c>
      <c r="F73" t="s">
        <v>4915</v>
      </c>
      <c r="G73" t="s">
        <v>4463</v>
      </c>
      <c r="O73">
        <v>0</v>
      </c>
      <c r="R73">
        <v>0</v>
      </c>
      <c r="S73">
        <v>0</v>
      </c>
      <c r="U73">
        <f t="shared" si="1"/>
        <v>0</v>
      </c>
    </row>
    <row r="74" spans="1:21">
      <c r="A74">
        <v>72</v>
      </c>
      <c r="B74" t="s">
        <v>5187</v>
      </c>
      <c r="C74" t="s">
        <v>5193</v>
      </c>
      <c r="D74">
        <v>1198.1500000000001</v>
      </c>
      <c r="E74" t="s">
        <v>3845</v>
      </c>
      <c r="F74" t="s">
        <v>4915</v>
      </c>
      <c r="G74" t="s">
        <v>4466</v>
      </c>
      <c r="K74" t="s">
        <v>5133</v>
      </c>
      <c r="O74">
        <v>0</v>
      </c>
      <c r="R74">
        <v>0</v>
      </c>
      <c r="S74">
        <v>0</v>
      </c>
      <c r="U74">
        <f t="shared" si="1"/>
        <v>0</v>
      </c>
    </row>
    <row r="75" spans="1:21">
      <c r="A75">
        <v>73</v>
      </c>
      <c r="B75" t="s">
        <v>5187</v>
      </c>
      <c r="C75" t="s">
        <v>4468</v>
      </c>
      <c r="D75">
        <v>218.32</v>
      </c>
      <c r="E75" t="s">
        <v>3845</v>
      </c>
      <c r="F75" t="s">
        <v>4915</v>
      </c>
      <c r="G75" t="s">
        <v>4469</v>
      </c>
      <c r="O75">
        <v>0</v>
      </c>
      <c r="R75">
        <v>0</v>
      </c>
      <c r="S75">
        <v>0</v>
      </c>
      <c r="U75">
        <f t="shared" si="1"/>
        <v>0</v>
      </c>
    </row>
    <row r="76" spans="1:21">
      <c r="A76">
        <v>74</v>
      </c>
      <c r="B76" t="s">
        <v>5187</v>
      </c>
      <c r="C76" t="s">
        <v>4470</v>
      </c>
      <c r="D76">
        <v>202.97</v>
      </c>
      <c r="E76" t="s">
        <v>3845</v>
      </c>
      <c r="F76" t="s">
        <v>4915</v>
      </c>
      <c r="G76" t="s">
        <v>4336</v>
      </c>
      <c r="O76">
        <v>0</v>
      </c>
      <c r="R76">
        <v>0</v>
      </c>
      <c r="S76">
        <v>0</v>
      </c>
      <c r="U76">
        <f t="shared" si="1"/>
        <v>0</v>
      </c>
    </row>
    <row r="77" spans="1:21">
      <c r="A77">
        <v>75</v>
      </c>
      <c r="B77" t="s">
        <v>5187</v>
      </c>
      <c r="C77" t="s">
        <v>4472</v>
      </c>
      <c r="D77">
        <v>11.9</v>
      </c>
      <c r="E77" t="s">
        <v>4022</v>
      </c>
      <c r="F77" t="s">
        <v>4915</v>
      </c>
      <c r="G77" t="s">
        <v>4473</v>
      </c>
      <c r="H77" t="s">
        <v>4474</v>
      </c>
      <c r="I77" t="s">
        <v>4475</v>
      </c>
      <c r="J77" t="s">
        <v>4476</v>
      </c>
      <c r="K77" t="s">
        <v>5135</v>
      </c>
      <c r="M77">
        <v>6298.08</v>
      </c>
      <c r="N77">
        <v>6298.08</v>
      </c>
      <c r="O77">
        <v>0</v>
      </c>
      <c r="P77">
        <v>901.29</v>
      </c>
      <c r="Q77">
        <v>901.29</v>
      </c>
      <c r="R77">
        <v>0</v>
      </c>
      <c r="S77">
        <v>5.8000046045815585</v>
      </c>
      <c r="T77">
        <v>2099.36</v>
      </c>
      <c r="U77">
        <f t="shared" si="1"/>
        <v>5.8000046045815585</v>
      </c>
    </row>
    <row r="78" spans="1:21">
      <c r="A78">
        <v>76</v>
      </c>
      <c r="B78" t="s">
        <v>5187</v>
      </c>
      <c r="C78" t="s">
        <v>4487</v>
      </c>
      <c r="D78">
        <v>14.6</v>
      </c>
      <c r="E78" t="s">
        <v>4022</v>
      </c>
      <c r="F78" t="s">
        <v>4915</v>
      </c>
      <c r="G78" t="s">
        <v>4488</v>
      </c>
      <c r="H78" t="s">
        <v>4489</v>
      </c>
      <c r="I78" t="s">
        <v>4490</v>
      </c>
      <c r="J78" t="s">
        <v>4491</v>
      </c>
      <c r="K78" t="s">
        <v>5135</v>
      </c>
      <c r="M78">
        <v>2631.41</v>
      </c>
      <c r="N78">
        <v>2631.41</v>
      </c>
      <c r="O78">
        <v>0</v>
      </c>
      <c r="P78">
        <v>368.59</v>
      </c>
      <c r="Q78">
        <v>368.59</v>
      </c>
      <c r="R78">
        <v>0</v>
      </c>
      <c r="S78">
        <v>5.925486958153499</v>
      </c>
      <c r="T78">
        <v>2631.41</v>
      </c>
      <c r="U78">
        <f t="shared" si="1"/>
        <v>5.925486958153499</v>
      </c>
    </row>
    <row r="79" spans="1:21">
      <c r="A79">
        <v>77</v>
      </c>
      <c r="B79" t="s">
        <v>5187</v>
      </c>
      <c r="C79" t="s">
        <v>4495</v>
      </c>
      <c r="D79">
        <v>41.2</v>
      </c>
      <c r="E79" t="s">
        <v>3845</v>
      </c>
      <c r="F79" t="s">
        <v>4915</v>
      </c>
      <c r="G79" t="s">
        <v>4463</v>
      </c>
      <c r="O79">
        <v>0</v>
      </c>
      <c r="R79">
        <v>0</v>
      </c>
      <c r="S79">
        <v>0</v>
      </c>
      <c r="U79">
        <f t="shared" si="1"/>
        <v>0</v>
      </c>
    </row>
    <row r="80" spans="1:21">
      <c r="A80">
        <v>78</v>
      </c>
      <c r="B80" t="s">
        <v>5194</v>
      </c>
      <c r="C80">
        <v>1406</v>
      </c>
      <c r="D80">
        <v>56.59</v>
      </c>
      <c r="E80" t="s">
        <v>4022</v>
      </c>
      <c r="F80" t="s">
        <v>4915</v>
      </c>
      <c r="G80" t="s">
        <v>4497</v>
      </c>
      <c r="H80" t="s">
        <v>4498</v>
      </c>
      <c r="I80" t="s">
        <v>4499</v>
      </c>
      <c r="J80" t="s">
        <v>4500</v>
      </c>
      <c r="K80" t="s">
        <v>5135</v>
      </c>
      <c r="M80">
        <v>24115.11</v>
      </c>
      <c r="N80">
        <v>34442.79</v>
      </c>
      <c r="O80">
        <v>10327.68</v>
      </c>
      <c r="P80">
        <v>4285.9799999999996</v>
      </c>
      <c r="Q80">
        <v>4285.9799999999996</v>
      </c>
      <c r="R80">
        <v>0</v>
      </c>
      <c r="S80">
        <v>4.6699978455944828</v>
      </c>
      <c r="T80">
        <v>8038.37</v>
      </c>
      <c r="U80">
        <f t="shared" si="1"/>
        <v>4.6699978455944828</v>
      </c>
    </row>
    <row r="81" spans="1:21">
      <c r="A81">
        <v>79</v>
      </c>
      <c r="B81" t="s">
        <v>5194</v>
      </c>
      <c r="C81" t="s">
        <v>4507</v>
      </c>
      <c r="D81">
        <v>89.45</v>
      </c>
      <c r="E81" t="s">
        <v>4022</v>
      </c>
      <c r="F81" t="s">
        <v>4915</v>
      </c>
      <c r="G81" t="s">
        <v>4508</v>
      </c>
      <c r="H81" t="s">
        <v>4509</v>
      </c>
      <c r="I81" t="s">
        <v>4510</v>
      </c>
      <c r="J81" t="s">
        <v>4511</v>
      </c>
      <c r="K81" t="s">
        <v>5135</v>
      </c>
      <c r="M81">
        <v>34853.07</v>
      </c>
      <c r="N81">
        <v>42199.17</v>
      </c>
      <c r="O81">
        <v>7346.0999999999985</v>
      </c>
      <c r="P81">
        <v>6774.72</v>
      </c>
      <c r="Q81">
        <v>6774.72</v>
      </c>
      <c r="R81">
        <v>0</v>
      </c>
      <c r="S81">
        <v>4.2699994639999383</v>
      </c>
      <c r="T81">
        <v>11617.69</v>
      </c>
      <c r="U81">
        <f t="shared" si="1"/>
        <v>4.2699994639999383</v>
      </c>
    </row>
    <row r="82" spans="1:21">
      <c r="A82">
        <v>80</v>
      </c>
      <c r="B82" t="s">
        <v>5194</v>
      </c>
      <c r="C82" t="s">
        <v>4520</v>
      </c>
      <c r="D82">
        <v>149.38999999999999</v>
      </c>
      <c r="E82" t="s">
        <v>4022</v>
      </c>
      <c r="F82" t="s">
        <v>4915</v>
      </c>
      <c r="G82" t="s">
        <v>4521</v>
      </c>
      <c r="H82" t="s">
        <v>4522</v>
      </c>
      <c r="I82" t="s">
        <v>4523</v>
      </c>
      <c r="J82" t="s">
        <v>4524</v>
      </c>
      <c r="K82" t="s">
        <v>5135</v>
      </c>
      <c r="M82">
        <v>56844.75</v>
      </c>
      <c r="N82">
        <v>56844.75</v>
      </c>
      <c r="O82">
        <v>0</v>
      </c>
      <c r="P82">
        <v>11314.44</v>
      </c>
      <c r="Q82">
        <v>11314.44</v>
      </c>
      <c r="R82">
        <v>0</v>
      </c>
      <c r="S82">
        <v>4.1699990921986858</v>
      </c>
      <c r="T82">
        <v>18948.25</v>
      </c>
      <c r="U82">
        <f t="shared" si="1"/>
        <v>4.1699990921986858</v>
      </c>
    </row>
    <row r="83" spans="1:21">
      <c r="A83">
        <v>81</v>
      </c>
      <c r="B83" t="s">
        <v>5194</v>
      </c>
      <c r="C83">
        <v>1409</v>
      </c>
      <c r="D83">
        <v>59.62</v>
      </c>
      <c r="E83" t="s">
        <v>4022</v>
      </c>
      <c r="F83" t="s">
        <v>4915</v>
      </c>
      <c r="G83" t="s">
        <v>4536</v>
      </c>
      <c r="H83" t="s">
        <v>4537</v>
      </c>
      <c r="I83" t="s">
        <v>4209</v>
      </c>
      <c r="J83" t="s">
        <v>4538</v>
      </c>
      <c r="M83">
        <v>28126.47</v>
      </c>
      <c r="N83">
        <v>28126.47</v>
      </c>
      <c r="O83">
        <v>0</v>
      </c>
      <c r="P83">
        <v>4515.4799999999996</v>
      </c>
      <c r="Q83">
        <v>4515.4799999999996</v>
      </c>
      <c r="R83">
        <v>0</v>
      </c>
      <c r="S83">
        <v>5.1699981159213833</v>
      </c>
      <c r="T83">
        <v>9375.49</v>
      </c>
      <c r="U83">
        <f t="shared" si="1"/>
        <v>5.1699981159213833</v>
      </c>
    </row>
    <row r="84" spans="1:21">
      <c r="A84">
        <v>82</v>
      </c>
      <c r="B84" t="s">
        <v>5194</v>
      </c>
      <c r="C84" t="s">
        <v>4545</v>
      </c>
      <c r="D84">
        <v>32.81</v>
      </c>
      <c r="E84" t="s">
        <v>4022</v>
      </c>
      <c r="F84" t="s">
        <v>4915</v>
      </c>
      <c r="G84" t="s">
        <v>5195</v>
      </c>
      <c r="H84" t="s">
        <v>4547</v>
      </c>
      <c r="I84" t="s">
        <v>4490</v>
      </c>
      <c r="J84" t="s">
        <v>4548</v>
      </c>
      <c r="K84" t="s">
        <v>5135</v>
      </c>
      <c r="M84">
        <v>12484.62</v>
      </c>
      <c r="N84">
        <v>12484.62</v>
      </c>
      <c r="O84">
        <v>0</v>
      </c>
      <c r="P84">
        <v>2484.96</v>
      </c>
      <c r="Q84">
        <v>2484.96</v>
      </c>
      <c r="R84">
        <v>0</v>
      </c>
      <c r="S84">
        <v>4.1700016283040995</v>
      </c>
      <c r="T84">
        <v>4161.54</v>
      </c>
      <c r="U84">
        <f t="shared" si="1"/>
        <v>4.1700016283040995</v>
      </c>
    </row>
    <row r="85" spans="1:21">
      <c r="A85">
        <v>83</v>
      </c>
      <c r="B85" t="s">
        <v>5194</v>
      </c>
      <c r="C85" t="s">
        <v>4556</v>
      </c>
      <c r="D85">
        <v>32.81</v>
      </c>
      <c r="E85" t="s">
        <v>4022</v>
      </c>
      <c r="F85" t="s">
        <v>4915</v>
      </c>
      <c r="G85" t="s">
        <v>4557</v>
      </c>
      <c r="H85" t="s">
        <v>4558</v>
      </c>
      <c r="I85" t="s">
        <v>4559</v>
      </c>
      <c r="J85" t="s">
        <v>3884</v>
      </c>
      <c r="K85" t="s">
        <v>5196</v>
      </c>
      <c r="M85">
        <v>13981.56</v>
      </c>
      <c r="N85">
        <v>13981.56</v>
      </c>
      <c r="O85">
        <v>0</v>
      </c>
      <c r="P85">
        <v>2484.96</v>
      </c>
      <c r="Q85">
        <v>2484.96</v>
      </c>
      <c r="R85">
        <v>0</v>
      </c>
      <c r="S85">
        <v>4.6699962006237659</v>
      </c>
      <c r="T85">
        <v>4660.5200000000004</v>
      </c>
      <c r="U85">
        <f t="shared" si="1"/>
        <v>4.6699962006237659</v>
      </c>
    </row>
    <row r="86" spans="1:21">
      <c r="A86">
        <v>84</v>
      </c>
      <c r="B86" t="s">
        <v>5194</v>
      </c>
      <c r="C86" t="s">
        <v>4572</v>
      </c>
      <c r="D86">
        <v>60</v>
      </c>
      <c r="E86" t="s">
        <v>4022</v>
      </c>
      <c r="F86" t="s">
        <v>4915</v>
      </c>
      <c r="G86" t="s">
        <v>4573</v>
      </c>
      <c r="H86" t="s">
        <v>4574</v>
      </c>
      <c r="I86" t="s">
        <v>4575</v>
      </c>
      <c r="J86" t="s">
        <v>4576</v>
      </c>
      <c r="K86" t="s">
        <v>5135</v>
      </c>
      <c r="M86">
        <v>22830.75</v>
      </c>
      <c r="N86">
        <v>28743.75</v>
      </c>
      <c r="O86">
        <v>5913</v>
      </c>
      <c r="P86">
        <v>4544.25</v>
      </c>
      <c r="Q86">
        <v>4544.25</v>
      </c>
      <c r="R86">
        <v>0</v>
      </c>
      <c r="S86">
        <v>4.17</v>
      </c>
      <c r="T86">
        <v>7610.25</v>
      </c>
      <c r="U86">
        <f t="shared" si="1"/>
        <v>4.17</v>
      </c>
    </row>
    <row r="87" spans="1:21">
      <c r="A87">
        <v>85</v>
      </c>
      <c r="B87" t="s">
        <v>5194</v>
      </c>
      <c r="C87" t="s">
        <v>4586</v>
      </c>
      <c r="D87">
        <v>63.3</v>
      </c>
      <c r="E87" t="s">
        <v>4022</v>
      </c>
      <c r="F87" t="s">
        <v>4915</v>
      </c>
      <c r="G87" t="s">
        <v>4587</v>
      </c>
      <c r="H87" t="s">
        <v>4588</v>
      </c>
      <c r="I87" t="s">
        <v>4575</v>
      </c>
      <c r="J87" t="s">
        <v>4576</v>
      </c>
      <c r="M87">
        <v>24086.43</v>
      </c>
      <c r="N87">
        <v>30324.66</v>
      </c>
      <c r="O87">
        <v>6238.23</v>
      </c>
      <c r="P87">
        <v>4794.18</v>
      </c>
      <c r="Q87">
        <v>4794.18</v>
      </c>
      <c r="R87">
        <v>0</v>
      </c>
      <c r="S87">
        <v>4.1699980523274691</v>
      </c>
      <c r="T87">
        <v>8028.81</v>
      </c>
      <c r="U87">
        <f t="shared" si="1"/>
        <v>4.1699980523274691</v>
      </c>
    </row>
    <row r="88" spans="1:21">
      <c r="A88">
        <v>86</v>
      </c>
      <c r="B88" t="s">
        <v>5194</v>
      </c>
      <c r="C88">
        <v>1412</v>
      </c>
      <c r="D88">
        <v>88.89</v>
      </c>
      <c r="E88" t="s">
        <v>3845</v>
      </c>
      <c r="F88" t="s">
        <v>4915</v>
      </c>
      <c r="G88" t="s">
        <v>4589</v>
      </c>
      <c r="H88" t="s">
        <v>4590</v>
      </c>
      <c r="I88" t="s">
        <v>4591</v>
      </c>
      <c r="J88" t="s">
        <v>4592</v>
      </c>
      <c r="K88" t="s">
        <v>5135</v>
      </c>
      <c r="O88">
        <v>0</v>
      </c>
      <c r="R88">
        <v>0</v>
      </c>
      <c r="S88">
        <v>0</v>
      </c>
      <c r="U88">
        <f t="shared" si="1"/>
        <v>0</v>
      </c>
    </row>
    <row r="89" spans="1:21">
      <c r="A89">
        <v>87</v>
      </c>
      <c r="B89" t="s">
        <v>5194</v>
      </c>
      <c r="C89">
        <v>1426</v>
      </c>
      <c r="D89">
        <v>321.83</v>
      </c>
      <c r="E89" t="s">
        <v>4022</v>
      </c>
      <c r="F89" t="s">
        <v>4915</v>
      </c>
      <c r="G89" t="s">
        <v>5197</v>
      </c>
      <c r="H89" t="s">
        <v>4598</v>
      </c>
      <c r="I89" t="s">
        <v>4599</v>
      </c>
      <c r="J89" t="s">
        <v>4600</v>
      </c>
      <c r="K89" t="s">
        <v>5133</v>
      </c>
      <c r="M89">
        <v>466691.04</v>
      </c>
      <c r="N89">
        <v>466691.04</v>
      </c>
      <c r="O89">
        <v>0</v>
      </c>
      <c r="P89">
        <v>74923.320000000007</v>
      </c>
      <c r="Q89">
        <v>74923.320000000007</v>
      </c>
      <c r="R89">
        <v>0</v>
      </c>
      <c r="S89">
        <v>15.891689265029312</v>
      </c>
      <c r="T89">
        <v>155563.68</v>
      </c>
      <c r="U89">
        <f t="shared" si="1"/>
        <v>15.891689265029312</v>
      </c>
    </row>
    <row r="90" spans="1:21">
      <c r="A90">
        <v>88</v>
      </c>
      <c r="B90" t="s">
        <v>5194</v>
      </c>
      <c r="C90">
        <v>1425</v>
      </c>
      <c r="D90">
        <v>321.94</v>
      </c>
      <c r="E90" t="s">
        <v>4022</v>
      </c>
      <c r="F90" t="s">
        <v>4915</v>
      </c>
      <c r="G90" t="s">
        <v>5197</v>
      </c>
      <c r="H90" t="s">
        <v>4598</v>
      </c>
      <c r="I90" t="s">
        <v>4599</v>
      </c>
      <c r="J90" t="s">
        <v>4600</v>
      </c>
      <c r="K90" t="s">
        <v>5133</v>
      </c>
      <c r="O90">
        <v>0</v>
      </c>
      <c r="R90">
        <v>0</v>
      </c>
      <c r="S90">
        <v>0</v>
      </c>
      <c r="U90">
        <f t="shared" si="1"/>
        <v>0</v>
      </c>
    </row>
    <row r="91" spans="1:21">
      <c r="A91">
        <v>89</v>
      </c>
      <c r="B91" t="s">
        <v>5194</v>
      </c>
      <c r="C91" t="s">
        <v>4604</v>
      </c>
      <c r="D91">
        <v>345.48</v>
      </c>
      <c r="E91" t="s">
        <v>4022</v>
      </c>
      <c r="F91" t="s">
        <v>4915</v>
      </c>
      <c r="G91" t="s">
        <v>5197</v>
      </c>
      <c r="H91" t="s">
        <v>4598</v>
      </c>
      <c r="I91" t="s">
        <v>4599</v>
      </c>
      <c r="J91" t="s">
        <v>4600</v>
      </c>
      <c r="K91" t="s">
        <v>5133</v>
      </c>
      <c r="O91">
        <v>0</v>
      </c>
      <c r="R91">
        <v>0</v>
      </c>
      <c r="S91">
        <v>0</v>
      </c>
      <c r="U91">
        <f t="shared" si="1"/>
        <v>0</v>
      </c>
    </row>
    <row r="92" spans="1:21">
      <c r="A92">
        <v>90</v>
      </c>
      <c r="B92" t="s">
        <v>5194</v>
      </c>
      <c r="C92" t="s">
        <v>4605</v>
      </c>
      <c r="D92">
        <v>406.98</v>
      </c>
      <c r="E92" t="s">
        <v>4022</v>
      </c>
      <c r="F92" t="s">
        <v>4915</v>
      </c>
      <c r="G92" t="s">
        <v>4606</v>
      </c>
      <c r="H92" t="s">
        <v>4607</v>
      </c>
      <c r="I92" t="s">
        <v>4608</v>
      </c>
      <c r="J92" t="s">
        <v>4609</v>
      </c>
      <c r="M92">
        <v>154860.99</v>
      </c>
      <c r="N92">
        <v>154860.99</v>
      </c>
      <c r="O92">
        <v>0</v>
      </c>
      <c r="P92">
        <v>30823.65</v>
      </c>
      <c r="Q92">
        <v>30823.65</v>
      </c>
      <c r="R92">
        <v>0</v>
      </c>
      <c r="S92">
        <v>4.1700003433240633</v>
      </c>
      <c r="T92">
        <v>51620.33</v>
      </c>
      <c r="U92">
        <f t="shared" si="1"/>
        <v>4.1700003433240633</v>
      </c>
    </row>
    <row r="93" spans="1:21">
      <c r="A93">
        <v>91</v>
      </c>
      <c r="C93">
        <v>1422</v>
      </c>
      <c r="D93">
        <v>118.87</v>
      </c>
      <c r="E93" t="s">
        <v>4022</v>
      </c>
      <c r="G93" t="s">
        <v>4620</v>
      </c>
      <c r="H93" t="s">
        <v>4621</v>
      </c>
      <c r="I93" t="s">
        <v>4622</v>
      </c>
      <c r="J93" t="s">
        <v>4414</v>
      </c>
      <c r="M93">
        <v>34384.620000000003</v>
      </c>
      <c r="N93">
        <v>34384.620000000003</v>
      </c>
      <c r="O93">
        <v>0</v>
      </c>
      <c r="P93">
        <v>9002.91</v>
      </c>
      <c r="Q93">
        <v>9002.91</v>
      </c>
      <c r="R93">
        <v>0</v>
      </c>
      <c r="S93">
        <v>3.169998766927379</v>
      </c>
      <c r="T93">
        <v>11461.54</v>
      </c>
      <c r="U93">
        <f t="shared" si="1"/>
        <v>3.169998766927379</v>
      </c>
    </row>
    <row r="94" spans="1:21">
      <c r="A94">
        <v>92</v>
      </c>
      <c r="B94" t="s">
        <v>5194</v>
      </c>
      <c r="C94">
        <v>1423</v>
      </c>
      <c r="D94">
        <v>262.17</v>
      </c>
      <c r="E94" t="s">
        <v>4022</v>
      </c>
      <c r="G94" t="s">
        <v>4631</v>
      </c>
      <c r="H94" t="s">
        <v>4632</v>
      </c>
      <c r="I94" t="s">
        <v>4633</v>
      </c>
      <c r="J94" t="s">
        <v>4634</v>
      </c>
      <c r="M94">
        <v>87797.46</v>
      </c>
      <c r="N94">
        <v>87797.46</v>
      </c>
      <c r="O94">
        <v>0</v>
      </c>
      <c r="P94">
        <v>19856.099999999999</v>
      </c>
      <c r="Q94">
        <v>19856.099999999999</v>
      </c>
      <c r="R94">
        <v>0</v>
      </c>
      <c r="S94">
        <v>3.6700001724281162</v>
      </c>
      <c r="T94">
        <v>29265.82</v>
      </c>
      <c r="U94">
        <f t="shared" si="1"/>
        <v>3.6700001724281162</v>
      </c>
    </row>
    <row r="95" spans="1:21">
      <c r="A95">
        <v>93</v>
      </c>
      <c r="C95">
        <v>1424</v>
      </c>
      <c r="D95">
        <v>275.99999999999994</v>
      </c>
      <c r="E95" t="s">
        <v>3865</v>
      </c>
      <c r="O95">
        <v>0</v>
      </c>
      <c r="R95">
        <v>0</v>
      </c>
      <c r="S95">
        <v>0</v>
      </c>
      <c r="U95">
        <f t="shared" si="1"/>
        <v>0</v>
      </c>
    </row>
    <row r="96" spans="1:21">
      <c r="A96">
        <v>94</v>
      </c>
      <c r="B96" t="s">
        <v>5194</v>
      </c>
      <c r="C96" t="s">
        <v>4643</v>
      </c>
      <c r="D96">
        <v>11.9</v>
      </c>
      <c r="E96" t="s">
        <v>4022</v>
      </c>
      <c r="F96" t="s">
        <v>4915</v>
      </c>
      <c r="G96" t="s">
        <v>4644</v>
      </c>
      <c r="H96" t="s">
        <v>4645</v>
      </c>
      <c r="I96" t="s">
        <v>4025</v>
      </c>
      <c r="J96" t="s">
        <v>4026</v>
      </c>
      <c r="M96">
        <v>4528.1099999999997</v>
      </c>
      <c r="N96">
        <v>4528.1099999999997</v>
      </c>
      <c r="O96">
        <v>0</v>
      </c>
      <c r="P96">
        <v>901.29</v>
      </c>
      <c r="Q96">
        <v>901.29</v>
      </c>
      <c r="R96">
        <v>0</v>
      </c>
      <c r="S96">
        <v>4.1700103603085061</v>
      </c>
      <c r="T96">
        <v>1509.37</v>
      </c>
      <c r="U96">
        <f t="shared" si="1"/>
        <v>4.1700103603085061</v>
      </c>
    </row>
    <row r="97" spans="1:21">
      <c r="A97">
        <v>95</v>
      </c>
      <c r="B97" t="s">
        <v>5194</v>
      </c>
      <c r="C97">
        <v>1420</v>
      </c>
      <c r="D97">
        <v>157.01</v>
      </c>
      <c r="E97" t="s">
        <v>4022</v>
      </c>
      <c r="F97" t="s">
        <v>4915</v>
      </c>
      <c r="G97" t="s">
        <v>5198</v>
      </c>
      <c r="H97" t="s">
        <v>4648</v>
      </c>
      <c r="I97" t="s">
        <v>4649</v>
      </c>
      <c r="J97" t="s">
        <v>4414</v>
      </c>
      <c r="M97">
        <v>59744.28</v>
      </c>
      <c r="N97">
        <v>59744.28</v>
      </c>
      <c r="O97">
        <v>0</v>
      </c>
      <c r="P97">
        <v>11891.55</v>
      </c>
      <c r="Q97">
        <v>11891.55</v>
      </c>
      <c r="R97">
        <v>0</v>
      </c>
      <c r="S97">
        <v>4.1700008637439554</v>
      </c>
      <c r="T97">
        <v>19914.759999999998</v>
      </c>
      <c r="U97">
        <f t="shared" si="1"/>
        <v>4.1700008637439554</v>
      </c>
    </row>
    <row r="98" spans="1:21">
      <c r="A98">
        <v>96</v>
      </c>
      <c r="B98" t="s">
        <v>5194</v>
      </c>
      <c r="C98">
        <v>1421</v>
      </c>
      <c r="D98">
        <v>99.49</v>
      </c>
      <c r="E98" t="s">
        <v>4022</v>
      </c>
      <c r="F98" t="s">
        <v>4915</v>
      </c>
      <c r="G98" t="s">
        <v>4620</v>
      </c>
      <c r="H98" t="s">
        <v>4654</v>
      </c>
      <c r="I98" t="s">
        <v>4649</v>
      </c>
      <c r="J98" t="s">
        <v>4414</v>
      </c>
      <c r="M98">
        <v>37857.18</v>
      </c>
      <c r="N98">
        <v>37857.18</v>
      </c>
      <c r="O98">
        <v>0</v>
      </c>
      <c r="P98">
        <v>7535.13</v>
      </c>
      <c r="Q98">
        <v>7535.13</v>
      </c>
      <c r="R98">
        <v>0</v>
      </c>
      <c r="S98">
        <v>4.1699990499492623</v>
      </c>
      <c r="T98">
        <v>12619.06</v>
      </c>
      <c r="U98">
        <f t="shared" si="1"/>
        <v>4.1699990499492623</v>
      </c>
    </row>
    <row r="99" spans="1:21">
      <c r="A99">
        <v>97</v>
      </c>
      <c r="B99" t="s">
        <v>5194</v>
      </c>
      <c r="C99" t="s">
        <v>5199</v>
      </c>
      <c r="D99">
        <v>40.799999999999997</v>
      </c>
      <c r="E99" t="s">
        <v>4022</v>
      </c>
      <c r="F99" t="s">
        <v>4915</v>
      </c>
      <c r="G99" t="s">
        <v>5200</v>
      </c>
      <c r="H99" t="s">
        <v>4657</v>
      </c>
      <c r="I99" t="s">
        <v>4658</v>
      </c>
      <c r="J99" t="s">
        <v>4659</v>
      </c>
      <c r="M99">
        <v>15524.91</v>
      </c>
      <c r="N99">
        <v>15524.91</v>
      </c>
      <c r="O99">
        <v>0</v>
      </c>
      <c r="P99">
        <v>3090.09</v>
      </c>
      <c r="Q99">
        <v>3090.09</v>
      </c>
      <c r="R99">
        <v>0</v>
      </c>
      <c r="S99">
        <v>4.17</v>
      </c>
      <c r="T99">
        <v>5174.97</v>
      </c>
      <c r="U99">
        <f t="shared" si="1"/>
        <v>4.17</v>
      </c>
    </row>
    <row r="100" spans="1:21">
      <c r="A100">
        <v>98</v>
      </c>
      <c r="B100" t="s">
        <v>5194</v>
      </c>
      <c r="C100" t="s">
        <v>4667</v>
      </c>
      <c r="D100">
        <v>15</v>
      </c>
      <c r="E100" t="s">
        <v>4022</v>
      </c>
      <c r="F100" t="s">
        <v>4915</v>
      </c>
      <c r="G100" t="s">
        <v>5201</v>
      </c>
      <c r="H100" t="s">
        <v>4669</v>
      </c>
      <c r="I100" t="s">
        <v>4670</v>
      </c>
      <c r="J100" t="s">
        <v>4671</v>
      </c>
      <c r="M100">
        <v>6392.07</v>
      </c>
      <c r="N100">
        <v>6392.07</v>
      </c>
      <c r="O100">
        <v>0</v>
      </c>
      <c r="P100">
        <v>1136.07</v>
      </c>
      <c r="Q100">
        <v>1136.07</v>
      </c>
      <c r="R100">
        <v>0</v>
      </c>
      <c r="S100">
        <v>4.6700054794520547</v>
      </c>
      <c r="T100">
        <v>2130.69</v>
      </c>
      <c r="U100">
        <f t="shared" si="1"/>
        <v>4.6700054794520547</v>
      </c>
    </row>
    <row r="101" spans="1:21">
      <c r="A101">
        <v>99</v>
      </c>
      <c r="B101" t="s">
        <v>5202</v>
      </c>
      <c r="C101" t="s">
        <v>4678</v>
      </c>
      <c r="D101">
        <v>365.87</v>
      </c>
      <c r="E101" t="s">
        <v>4022</v>
      </c>
      <c r="F101" t="s">
        <v>4915</v>
      </c>
      <c r="G101" t="s">
        <v>4679</v>
      </c>
      <c r="H101" t="s">
        <v>4680</v>
      </c>
      <c r="I101" t="s">
        <v>4428</v>
      </c>
      <c r="J101" t="s">
        <v>4681</v>
      </c>
      <c r="K101" t="s">
        <v>5151</v>
      </c>
      <c r="M101">
        <v>152572.35</v>
      </c>
      <c r="N101">
        <v>152572.35</v>
      </c>
      <c r="O101">
        <v>0</v>
      </c>
      <c r="P101">
        <v>27710.07</v>
      </c>
      <c r="Q101">
        <v>27710.07</v>
      </c>
      <c r="R101">
        <v>0</v>
      </c>
      <c r="S101">
        <v>4.5699995993786242</v>
      </c>
      <c r="T101">
        <v>50857.45</v>
      </c>
      <c r="U101">
        <f t="shared" si="1"/>
        <v>4.5699995993786242</v>
      </c>
    </row>
    <row r="102" spans="1:21">
      <c r="A102">
        <v>100</v>
      </c>
      <c r="B102" t="s">
        <v>5202</v>
      </c>
      <c r="C102">
        <v>1501</v>
      </c>
      <c r="D102">
        <v>252.15</v>
      </c>
      <c r="E102" t="s">
        <v>4022</v>
      </c>
      <c r="F102" t="s">
        <v>4915</v>
      </c>
      <c r="G102" t="s">
        <v>4687</v>
      </c>
      <c r="H102" t="s">
        <v>4688</v>
      </c>
      <c r="I102" t="s">
        <v>4084</v>
      </c>
      <c r="J102" t="s">
        <v>4689</v>
      </c>
      <c r="K102" t="s">
        <v>5203</v>
      </c>
      <c r="M102">
        <v>98247.09</v>
      </c>
      <c r="N102">
        <v>98247.09</v>
      </c>
      <c r="O102">
        <v>0</v>
      </c>
      <c r="P102">
        <v>19097.22</v>
      </c>
      <c r="Q102">
        <v>19097.22</v>
      </c>
      <c r="R102">
        <v>0</v>
      </c>
      <c r="S102">
        <v>4.2699997555271239</v>
      </c>
      <c r="T102">
        <v>32749.03</v>
      </c>
      <c r="U102">
        <f t="shared" si="1"/>
        <v>4.2699997555271239</v>
      </c>
    </row>
    <row r="103" spans="1:21">
      <c r="A103">
        <v>101</v>
      </c>
      <c r="B103" t="s">
        <v>5202</v>
      </c>
      <c r="C103">
        <v>1502</v>
      </c>
      <c r="D103">
        <v>172.89</v>
      </c>
      <c r="E103" t="s">
        <v>3865</v>
      </c>
      <c r="F103" t="s">
        <v>4915</v>
      </c>
      <c r="G103" t="s">
        <v>4694</v>
      </c>
      <c r="H103" t="s">
        <v>4695</v>
      </c>
      <c r="I103" t="s">
        <v>4696</v>
      </c>
      <c r="J103" t="s">
        <v>4697</v>
      </c>
      <c r="K103" t="s">
        <v>5204</v>
      </c>
      <c r="O103">
        <v>0</v>
      </c>
      <c r="R103">
        <v>0</v>
      </c>
      <c r="S103">
        <v>0</v>
      </c>
      <c r="U103">
        <f t="shared" si="1"/>
        <v>0</v>
      </c>
    </row>
    <row r="104" spans="1:21">
      <c r="A104">
        <v>102</v>
      </c>
      <c r="B104" t="s">
        <v>5202</v>
      </c>
      <c r="C104" t="s">
        <v>4699</v>
      </c>
      <c r="D104">
        <v>407.9</v>
      </c>
      <c r="E104" t="s">
        <v>4022</v>
      </c>
      <c r="F104" t="s">
        <v>4915</v>
      </c>
      <c r="G104" t="s">
        <v>5205</v>
      </c>
      <c r="H104" t="s">
        <v>4701</v>
      </c>
      <c r="I104" t="s">
        <v>4702</v>
      </c>
      <c r="J104" t="s">
        <v>4703</v>
      </c>
      <c r="M104">
        <v>155211.06</v>
      </c>
      <c r="N104">
        <v>155211.06</v>
      </c>
      <c r="O104">
        <v>0</v>
      </c>
      <c r="R104">
        <v>0</v>
      </c>
      <c r="S104">
        <v>4.170000302249746</v>
      </c>
      <c r="T104">
        <v>51737.02</v>
      </c>
      <c r="U104">
        <f t="shared" si="1"/>
        <v>4.170000302249746</v>
      </c>
    </row>
    <row r="105" spans="1:21">
      <c r="A105">
        <v>103</v>
      </c>
      <c r="B105" t="s">
        <v>5202</v>
      </c>
      <c r="C105">
        <v>1505</v>
      </c>
      <c r="D105">
        <v>207.73</v>
      </c>
      <c r="E105" t="s">
        <v>4022</v>
      </c>
      <c r="F105" t="s">
        <v>4915</v>
      </c>
      <c r="G105" t="s">
        <v>5206</v>
      </c>
      <c r="H105" t="s">
        <v>4728</v>
      </c>
      <c r="I105" t="s">
        <v>4702</v>
      </c>
      <c r="J105" t="s">
        <v>4703</v>
      </c>
      <c r="M105">
        <v>79043.850000000006</v>
      </c>
      <c r="N105">
        <v>79043.850000000006</v>
      </c>
      <c r="O105">
        <v>0</v>
      </c>
      <c r="R105">
        <v>0</v>
      </c>
      <c r="S105">
        <v>4.1699993867170839</v>
      </c>
      <c r="T105">
        <v>26347.95</v>
      </c>
      <c r="U105">
        <f t="shared" si="1"/>
        <v>4.1699993867170839</v>
      </c>
    </row>
    <row r="106" spans="1:21">
      <c r="A106">
        <v>104</v>
      </c>
      <c r="B106" t="s">
        <v>5202</v>
      </c>
      <c r="C106" t="s">
        <v>4730</v>
      </c>
      <c r="D106">
        <v>566.25000000000011</v>
      </c>
      <c r="E106" t="s">
        <v>4022</v>
      </c>
      <c r="F106" t="s">
        <v>4915</v>
      </c>
      <c r="G106" t="s">
        <v>5207</v>
      </c>
      <c r="H106" t="s">
        <v>4732</v>
      </c>
      <c r="I106" t="s">
        <v>4040</v>
      </c>
      <c r="J106" t="s">
        <v>4703</v>
      </c>
      <c r="M106">
        <v>215465.19</v>
      </c>
      <c r="N106">
        <v>215465.19</v>
      </c>
      <c r="O106">
        <v>0</v>
      </c>
      <c r="R106">
        <v>0</v>
      </c>
      <c r="S106">
        <v>4.1699997459856659</v>
      </c>
      <c r="T106">
        <v>71821.73</v>
      </c>
      <c r="U106">
        <f t="shared" si="1"/>
        <v>4.1699997459856659</v>
      </c>
    </row>
    <row r="107" spans="1:21">
      <c r="A107">
        <v>105</v>
      </c>
      <c r="B107" t="s">
        <v>5208</v>
      </c>
      <c r="C107" t="s">
        <v>4735</v>
      </c>
      <c r="D107">
        <v>506.16</v>
      </c>
      <c r="E107" t="s">
        <v>4022</v>
      </c>
      <c r="F107" t="s">
        <v>4915</v>
      </c>
      <c r="G107" t="s">
        <v>4644</v>
      </c>
      <c r="H107" t="s">
        <v>4736</v>
      </c>
      <c r="I107" t="s">
        <v>4737</v>
      </c>
      <c r="J107" t="s">
        <v>4738</v>
      </c>
      <c r="K107" t="s">
        <v>5133</v>
      </c>
      <c r="M107">
        <v>192600.21</v>
      </c>
      <c r="N107">
        <v>192600.21</v>
      </c>
      <c r="O107">
        <v>0</v>
      </c>
      <c r="P107">
        <v>38335.29</v>
      </c>
      <c r="Q107">
        <v>38335.29</v>
      </c>
      <c r="R107">
        <v>0</v>
      </c>
      <c r="S107">
        <v>4.170000064953201</v>
      </c>
      <c r="T107">
        <v>64200.07</v>
      </c>
      <c r="U107">
        <f t="shared" si="1"/>
        <v>4.170000064953201</v>
      </c>
    </row>
    <row r="108" spans="1:21">
      <c r="A108">
        <v>106</v>
      </c>
      <c r="B108" t="s">
        <v>5208</v>
      </c>
      <c r="C108">
        <v>1608</v>
      </c>
      <c r="D108">
        <v>150</v>
      </c>
      <c r="E108" t="s">
        <v>4022</v>
      </c>
      <c r="F108" t="s">
        <v>4915</v>
      </c>
      <c r="G108" t="s">
        <v>4742</v>
      </c>
      <c r="H108" t="s">
        <v>4743</v>
      </c>
      <c r="I108" t="s">
        <v>4737</v>
      </c>
      <c r="J108" t="s">
        <v>4738</v>
      </c>
      <c r="K108" t="s">
        <v>5157</v>
      </c>
      <c r="M108">
        <v>57076.89</v>
      </c>
      <c r="N108">
        <v>57076.89</v>
      </c>
      <c r="O108">
        <v>0</v>
      </c>
      <c r="P108">
        <v>11360.64</v>
      </c>
      <c r="Q108">
        <v>11360.64</v>
      </c>
      <c r="R108">
        <v>0</v>
      </c>
      <c r="S108">
        <v>4.1700010958904103</v>
      </c>
      <c r="T108">
        <v>19025.63</v>
      </c>
      <c r="U108">
        <f t="shared" si="1"/>
        <v>4.1700010958904103</v>
      </c>
    </row>
    <row r="109" spans="1:21">
      <c r="A109">
        <v>107</v>
      </c>
      <c r="B109" t="s">
        <v>5208</v>
      </c>
      <c r="C109" t="s">
        <v>4744</v>
      </c>
      <c r="D109">
        <v>1004.65</v>
      </c>
      <c r="E109" t="s">
        <v>4022</v>
      </c>
      <c r="F109" t="s">
        <v>4915</v>
      </c>
      <c r="G109" t="s">
        <v>5185</v>
      </c>
      <c r="H109" t="s">
        <v>4745</v>
      </c>
      <c r="I109" t="s">
        <v>4746</v>
      </c>
      <c r="J109" t="s">
        <v>4747</v>
      </c>
      <c r="K109" t="s">
        <v>5146</v>
      </c>
      <c r="M109">
        <v>382281.87</v>
      </c>
      <c r="N109">
        <v>707725.68</v>
      </c>
      <c r="O109">
        <v>325443.81000000006</v>
      </c>
      <c r="P109">
        <v>76089.69</v>
      </c>
      <c r="Q109">
        <v>76089.69</v>
      </c>
      <c r="R109">
        <v>0</v>
      </c>
      <c r="S109">
        <v>4.169999856830124</v>
      </c>
      <c r="T109">
        <v>127427.29</v>
      </c>
      <c r="U109">
        <f t="shared" si="1"/>
        <v>4.169999856830124</v>
      </c>
    </row>
    <row r="110" spans="1:21">
      <c r="A110">
        <v>108</v>
      </c>
      <c r="B110" t="s">
        <v>5209</v>
      </c>
      <c r="C110">
        <v>1701</v>
      </c>
      <c r="D110">
        <v>303</v>
      </c>
      <c r="E110" t="s">
        <v>4022</v>
      </c>
      <c r="F110" t="s">
        <v>4915</v>
      </c>
      <c r="G110" t="s">
        <v>5210</v>
      </c>
      <c r="H110" t="s">
        <v>4751</v>
      </c>
      <c r="I110" t="s">
        <v>3794</v>
      </c>
      <c r="J110" t="s">
        <v>4752</v>
      </c>
      <c r="M110">
        <v>115295.28</v>
      </c>
      <c r="N110">
        <v>115295.28</v>
      </c>
      <c r="O110">
        <v>0</v>
      </c>
      <c r="P110">
        <v>22948.47</v>
      </c>
      <c r="Q110">
        <v>22948.47</v>
      </c>
      <c r="R110">
        <v>0</v>
      </c>
      <c r="S110">
        <v>4.169999728739997</v>
      </c>
      <c r="T110">
        <v>38431.760000000002</v>
      </c>
      <c r="U110">
        <f t="shared" si="1"/>
        <v>4.169999728739997</v>
      </c>
    </row>
    <row r="111" spans="1:21">
      <c r="A111">
        <v>109</v>
      </c>
      <c r="B111" t="s">
        <v>5209</v>
      </c>
      <c r="C111">
        <v>1702</v>
      </c>
      <c r="D111">
        <v>291</v>
      </c>
      <c r="E111" t="s">
        <v>4022</v>
      </c>
      <c r="F111" t="s">
        <v>4915</v>
      </c>
      <c r="G111" t="s">
        <v>5211</v>
      </c>
      <c r="H111" t="s">
        <v>4765</v>
      </c>
      <c r="I111" t="s">
        <v>3794</v>
      </c>
      <c r="J111" t="s">
        <v>4752</v>
      </c>
      <c r="M111">
        <v>110729.13</v>
      </c>
      <c r="N111">
        <v>110729.13</v>
      </c>
      <c r="O111">
        <v>0</v>
      </c>
      <c r="P111">
        <v>22039.62</v>
      </c>
      <c r="Q111">
        <v>22039.62</v>
      </c>
      <c r="R111">
        <v>0</v>
      </c>
      <c r="S111">
        <v>4.1699997175540178</v>
      </c>
      <c r="T111">
        <v>36909.71</v>
      </c>
      <c r="U111">
        <f t="shared" si="1"/>
        <v>4.1699997175540178</v>
      </c>
    </row>
    <row r="112" spans="1:21">
      <c r="A112">
        <v>110</v>
      </c>
      <c r="B112" t="s">
        <v>5209</v>
      </c>
      <c r="C112">
        <v>1703</v>
      </c>
      <c r="D112">
        <v>263</v>
      </c>
      <c r="E112" t="s">
        <v>4022</v>
      </c>
      <c r="F112" t="s">
        <v>4915</v>
      </c>
      <c r="G112" t="s">
        <v>5212</v>
      </c>
      <c r="H112" t="s">
        <v>4767</v>
      </c>
      <c r="I112" t="s">
        <v>3794</v>
      </c>
      <c r="J112" t="s">
        <v>4752</v>
      </c>
      <c r="M112">
        <v>100074.78</v>
      </c>
      <c r="N112">
        <v>100074.78</v>
      </c>
      <c r="O112">
        <v>0</v>
      </c>
      <c r="P112">
        <v>19918.95</v>
      </c>
      <c r="Q112">
        <v>19918.95</v>
      </c>
      <c r="R112">
        <v>0</v>
      </c>
      <c r="S112">
        <v>4.1699996874837231</v>
      </c>
      <c r="T112">
        <v>33358.26</v>
      </c>
      <c r="U112">
        <f t="shared" si="1"/>
        <v>4.1699996874837231</v>
      </c>
    </row>
    <row r="113" spans="1:21">
      <c r="A113">
        <v>111</v>
      </c>
      <c r="B113" t="s">
        <v>5209</v>
      </c>
      <c r="C113" t="s">
        <v>4768</v>
      </c>
      <c r="D113">
        <v>491.55</v>
      </c>
      <c r="E113" t="s">
        <v>4022</v>
      </c>
      <c r="F113" t="s">
        <v>4915</v>
      </c>
      <c r="G113" t="s">
        <v>5213</v>
      </c>
      <c r="H113" t="s">
        <v>4770</v>
      </c>
      <c r="I113" t="s">
        <v>4771</v>
      </c>
      <c r="J113" t="s">
        <v>4772</v>
      </c>
      <c r="M113">
        <v>290754.69</v>
      </c>
      <c r="N113">
        <v>290754.69</v>
      </c>
      <c r="O113">
        <v>0</v>
      </c>
      <c r="P113">
        <v>46379.37</v>
      </c>
      <c r="Q113">
        <v>46379.369999999995</v>
      </c>
      <c r="R113">
        <v>0</v>
      </c>
      <c r="S113">
        <v>5.170000292616451</v>
      </c>
      <c r="T113">
        <v>77298.289999999994</v>
      </c>
      <c r="U113">
        <f t="shared" si="1"/>
        <v>5.170000292616451</v>
      </c>
    </row>
    <row r="114" spans="1:21">
      <c r="A114">
        <v>112</v>
      </c>
      <c r="B114" t="s">
        <v>5209</v>
      </c>
      <c r="C114" t="s">
        <v>4796</v>
      </c>
      <c r="D114">
        <v>260</v>
      </c>
      <c r="E114" t="s">
        <v>4022</v>
      </c>
      <c r="F114" t="s">
        <v>4915</v>
      </c>
      <c r="G114" t="s">
        <v>4314</v>
      </c>
      <c r="H114" t="s">
        <v>4798</v>
      </c>
      <c r="I114" t="s">
        <v>4771</v>
      </c>
      <c r="J114" t="s">
        <v>4772</v>
      </c>
      <c r="M114">
        <v>177957.78</v>
      </c>
      <c r="N114">
        <v>177957.78</v>
      </c>
      <c r="O114">
        <v>0</v>
      </c>
      <c r="P114">
        <v>27734.31</v>
      </c>
      <c r="Q114">
        <v>27734.31</v>
      </c>
      <c r="R114">
        <v>0</v>
      </c>
      <c r="S114">
        <v>5.1699995785036883</v>
      </c>
      <c r="T114">
        <v>40886.080000000002</v>
      </c>
      <c r="U114">
        <f t="shared" si="1"/>
        <v>5.1699995785036883</v>
      </c>
    </row>
    <row r="115" spans="1:21">
      <c r="A115">
        <v>113</v>
      </c>
      <c r="B115" t="s">
        <v>5209</v>
      </c>
      <c r="C115" t="s">
        <v>4799</v>
      </c>
      <c r="D115">
        <v>30.15</v>
      </c>
      <c r="E115" t="s">
        <v>4022</v>
      </c>
      <c r="F115" t="s">
        <v>4915</v>
      </c>
      <c r="G115" t="s">
        <v>5214</v>
      </c>
      <c r="H115" t="s">
        <v>4801</v>
      </c>
      <c r="I115" t="s">
        <v>3794</v>
      </c>
      <c r="J115" t="s">
        <v>4752</v>
      </c>
      <c r="M115">
        <v>11472.45</v>
      </c>
      <c r="N115">
        <v>11472.45</v>
      </c>
      <c r="O115">
        <v>0</v>
      </c>
      <c r="P115">
        <v>2283.48</v>
      </c>
      <c r="Q115">
        <v>2283.48</v>
      </c>
      <c r="R115">
        <v>0</v>
      </c>
      <c r="S115">
        <v>4.1699993184761128</v>
      </c>
      <c r="T115">
        <v>3824.15</v>
      </c>
      <c r="U115">
        <f t="shared" si="1"/>
        <v>4.1699993184761128</v>
      </c>
    </row>
    <row r="116" spans="1:21">
      <c r="A116">
        <v>114</v>
      </c>
      <c r="B116" t="s">
        <v>5209</v>
      </c>
      <c r="C116" t="s">
        <v>4802</v>
      </c>
      <c r="D116">
        <v>30</v>
      </c>
      <c r="E116" t="s">
        <v>4022</v>
      </c>
      <c r="F116" t="s">
        <v>4915</v>
      </c>
      <c r="G116" t="s">
        <v>5215</v>
      </c>
      <c r="H116" t="s">
        <v>4804</v>
      </c>
      <c r="I116" t="s">
        <v>3794</v>
      </c>
      <c r="J116" t="s">
        <v>4752</v>
      </c>
      <c r="M116">
        <v>11415.39</v>
      </c>
      <c r="N116">
        <v>11415.39</v>
      </c>
      <c r="O116">
        <v>0</v>
      </c>
      <c r="P116">
        <v>2272.14</v>
      </c>
      <c r="Q116">
        <v>2272.14</v>
      </c>
      <c r="R116">
        <v>0</v>
      </c>
      <c r="S116">
        <v>4.1700054794520547</v>
      </c>
      <c r="T116">
        <v>3805.13</v>
      </c>
      <c r="U116">
        <f t="shared" si="1"/>
        <v>4.1700054794520547</v>
      </c>
    </row>
    <row r="117" spans="1:21">
      <c r="A117">
        <v>115</v>
      </c>
      <c r="B117" t="s">
        <v>5216</v>
      </c>
      <c r="C117" t="s">
        <v>4806</v>
      </c>
      <c r="D117">
        <v>330.81</v>
      </c>
      <c r="E117" t="s">
        <v>3845</v>
      </c>
      <c r="F117" t="s">
        <v>4915</v>
      </c>
      <c r="G117" t="s">
        <v>4336</v>
      </c>
      <c r="H117" t="s">
        <v>4807</v>
      </c>
      <c r="I117" t="s">
        <v>4808</v>
      </c>
      <c r="J117" t="s">
        <v>4809</v>
      </c>
      <c r="K117" t="s">
        <v>5133</v>
      </c>
      <c r="O117">
        <v>0</v>
      </c>
      <c r="R117">
        <v>0</v>
      </c>
      <c r="S117">
        <v>0</v>
      </c>
      <c r="U117">
        <f t="shared" si="1"/>
        <v>0</v>
      </c>
    </row>
    <row r="118" spans="1:21">
      <c r="A118">
        <v>116</v>
      </c>
      <c r="B118" t="s">
        <v>5216</v>
      </c>
      <c r="C118" t="s">
        <v>4811</v>
      </c>
      <c r="D118">
        <v>300</v>
      </c>
      <c r="E118" t="s">
        <v>3845</v>
      </c>
      <c r="F118" t="s">
        <v>4915</v>
      </c>
      <c r="G118" t="s">
        <v>4336</v>
      </c>
      <c r="H118" t="s">
        <v>4812</v>
      </c>
      <c r="I118" t="s">
        <v>4808</v>
      </c>
      <c r="J118" t="s">
        <v>4809</v>
      </c>
      <c r="K118" t="s">
        <v>5133</v>
      </c>
      <c r="O118">
        <v>0</v>
      </c>
      <c r="R118">
        <v>0</v>
      </c>
      <c r="S118">
        <v>0</v>
      </c>
      <c r="U118">
        <f t="shared" si="1"/>
        <v>0</v>
      </c>
    </row>
    <row r="119" spans="1:21">
      <c r="A119">
        <v>117</v>
      </c>
      <c r="B119" t="s">
        <v>5216</v>
      </c>
      <c r="C119" t="s">
        <v>4813</v>
      </c>
      <c r="D119">
        <v>360</v>
      </c>
      <c r="E119" t="s">
        <v>3845</v>
      </c>
      <c r="F119" t="s">
        <v>4915</v>
      </c>
      <c r="G119" t="s">
        <v>4336</v>
      </c>
      <c r="H119" t="s">
        <v>4814</v>
      </c>
      <c r="I119" t="s">
        <v>4808</v>
      </c>
      <c r="J119" t="s">
        <v>4809</v>
      </c>
      <c r="K119" t="s">
        <v>5133</v>
      </c>
      <c r="O119">
        <v>0</v>
      </c>
      <c r="R119">
        <v>0</v>
      </c>
      <c r="S119">
        <v>0</v>
      </c>
      <c r="U119">
        <f t="shared" si="1"/>
        <v>0</v>
      </c>
    </row>
    <row r="120" spans="1:21">
      <c r="A120">
        <v>118</v>
      </c>
      <c r="B120" t="s">
        <v>5216</v>
      </c>
      <c r="C120" t="s">
        <v>4815</v>
      </c>
      <c r="D120">
        <v>350</v>
      </c>
      <c r="E120" t="s">
        <v>3845</v>
      </c>
      <c r="F120" t="s">
        <v>4915</v>
      </c>
      <c r="G120" t="s">
        <v>4336</v>
      </c>
      <c r="H120" t="s">
        <v>4816</v>
      </c>
      <c r="I120" t="s">
        <v>4808</v>
      </c>
      <c r="J120" t="s">
        <v>4809</v>
      </c>
      <c r="K120" t="s">
        <v>5133</v>
      </c>
      <c r="O120">
        <v>0</v>
      </c>
      <c r="R120">
        <v>0</v>
      </c>
      <c r="S120">
        <v>0</v>
      </c>
      <c r="U120">
        <f t="shared" si="1"/>
        <v>0</v>
      </c>
    </row>
    <row r="121" spans="1:21">
      <c r="A121">
        <v>119</v>
      </c>
      <c r="B121" t="s">
        <v>5216</v>
      </c>
      <c r="C121">
        <v>1808</v>
      </c>
      <c r="D121">
        <v>320</v>
      </c>
      <c r="E121" t="s">
        <v>3845</v>
      </c>
      <c r="F121" t="s">
        <v>4915</v>
      </c>
      <c r="G121" t="s">
        <v>4336</v>
      </c>
      <c r="H121" t="s">
        <v>4817</v>
      </c>
      <c r="I121" t="s">
        <v>4808</v>
      </c>
      <c r="J121" t="s">
        <v>4809</v>
      </c>
      <c r="K121" t="s">
        <v>5133</v>
      </c>
      <c r="O121">
        <v>0</v>
      </c>
      <c r="R121">
        <v>0</v>
      </c>
      <c r="S121">
        <v>0</v>
      </c>
      <c r="U121">
        <f t="shared" si="1"/>
        <v>0</v>
      </c>
    </row>
    <row r="122" spans="1:21">
      <c r="A122">
        <v>120</v>
      </c>
      <c r="B122" t="s">
        <v>5217</v>
      </c>
      <c r="C122" t="s">
        <v>4819</v>
      </c>
      <c r="D122">
        <v>153</v>
      </c>
      <c r="E122" t="s">
        <v>4022</v>
      </c>
      <c r="F122" t="s">
        <v>4915</v>
      </c>
      <c r="G122" t="s">
        <v>5218</v>
      </c>
      <c r="H122" t="s">
        <v>5219</v>
      </c>
      <c r="I122" t="s">
        <v>4822</v>
      </c>
      <c r="J122" t="s">
        <v>4823</v>
      </c>
      <c r="K122" t="s">
        <v>5220</v>
      </c>
      <c r="M122">
        <v>223380</v>
      </c>
      <c r="N122">
        <v>223380</v>
      </c>
      <c r="O122">
        <v>0</v>
      </c>
      <c r="R122">
        <v>0</v>
      </c>
      <c r="S122">
        <v>15.97000053720118</v>
      </c>
      <c r="T122">
        <v>74320.39</v>
      </c>
      <c r="U122">
        <f t="shared" si="1"/>
        <v>15.97000053720118</v>
      </c>
    </row>
    <row r="123" spans="1:21">
      <c r="A123">
        <v>121</v>
      </c>
      <c r="B123" t="s">
        <v>5217</v>
      </c>
      <c r="C123" t="s">
        <v>4830</v>
      </c>
      <c r="D123">
        <v>60</v>
      </c>
      <c r="E123" t="s">
        <v>4022</v>
      </c>
      <c r="F123" t="s">
        <v>4915</v>
      </c>
      <c r="G123" t="s">
        <v>5221</v>
      </c>
      <c r="H123" t="s">
        <v>4832</v>
      </c>
      <c r="I123" t="s">
        <v>4833</v>
      </c>
      <c r="J123" t="s">
        <v>4834</v>
      </c>
      <c r="K123" t="s">
        <v>5222</v>
      </c>
      <c r="M123">
        <v>44730.75</v>
      </c>
      <c r="N123">
        <v>44730.75</v>
      </c>
      <c r="O123">
        <v>0</v>
      </c>
      <c r="P123">
        <v>4544.25</v>
      </c>
      <c r="Q123">
        <v>4544.25</v>
      </c>
      <c r="R123">
        <v>0</v>
      </c>
      <c r="S123">
        <v>8.17</v>
      </c>
      <c r="T123">
        <v>14910.25</v>
      </c>
      <c r="U123">
        <f t="shared" si="1"/>
        <v>8.17</v>
      </c>
    </row>
    <row r="124" spans="1:21">
      <c r="A124">
        <v>122</v>
      </c>
      <c r="B124" t="s">
        <v>5217</v>
      </c>
      <c r="C124" t="s">
        <v>4855</v>
      </c>
      <c r="D124">
        <v>54</v>
      </c>
      <c r="E124" t="s">
        <v>3865</v>
      </c>
      <c r="F124" t="s">
        <v>4915</v>
      </c>
      <c r="G124" t="s">
        <v>5223</v>
      </c>
      <c r="H124" t="s">
        <v>4857</v>
      </c>
      <c r="I124" t="s">
        <v>3958</v>
      </c>
      <c r="J124" t="s">
        <v>4858</v>
      </c>
      <c r="K124" t="s">
        <v>5146</v>
      </c>
      <c r="O124">
        <v>0</v>
      </c>
      <c r="R124">
        <v>0</v>
      </c>
      <c r="S124">
        <v>0</v>
      </c>
      <c r="U124">
        <f t="shared" si="1"/>
        <v>0</v>
      </c>
    </row>
    <row r="125" spans="1:21">
      <c r="A125">
        <v>123</v>
      </c>
      <c r="B125" t="s">
        <v>5217</v>
      </c>
      <c r="C125" t="s">
        <v>4860</v>
      </c>
      <c r="D125">
        <v>53</v>
      </c>
      <c r="E125" t="s">
        <v>3865</v>
      </c>
      <c r="F125" t="s">
        <v>4915</v>
      </c>
      <c r="K125" t="s">
        <v>631</v>
      </c>
      <c r="O125">
        <v>0</v>
      </c>
      <c r="R125">
        <v>0</v>
      </c>
      <c r="S125">
        <v>0</v>
      </c>
      <c r="U125">
        <f t="shared" si="1"/>
        <v>0</v>
      </c>
    </row>
    <row r="126" spans="1:21">
      <c r="A126">
        <v>124</v>
      </c>
      <c r="B126" t="s">
        <v>5217</v>
      </c>
      <c r="C126" t="s">
        <v>4863</v>
      </c>
      <c r="D126">
        <v>133.85</v>
      </c>
      <c r="E126" t="s">
        <v>4022</v>
      </c>
      <c r="F126" t="s">
        <v>4915</v>
      </c>
      <c r="G126" t="s">
        <v>5224</v>
      </c>
      <c r="H126" t="s">
        <v>4865</v>
      </c>
      <c r="I126" t="s">
        <v>4040</v>
      </c>
      <c r="J126" t="s">
        <v>4041</v>
      </c>
      <c r="K126" t="s">
        <v>5146</v>
      </c>
      <c r="M126">
        <v>124214.46</v>
      </c>
      <c r="N126">
        <v>124214.46</v>
      </c>
      <c r="O126">
        <v>0</v>
      </c>
      <c r="P126">
        <v>10137.450000000001</v>
      </c>
      <c r="Q126">
        <v>10137.450000000001</v>
      </c>
      <c r="R126">
        <v>0</v>
      </c>
      <c r="S126">
        <v>10.169998925396964</v>
      </c>
      <c r="T126">
        <v>41404.82</v>
      </c>
      <c r="U126">
        <f t="shared" si="1"/>
        <v>10.169998925396964</v>
      </c>
    </row>
    <row r="127" spans="1:21">
      <c r="A127">
        <v>125</v>
      </c>
      <c r="B127" t="s">
        <v>5217</v>
      </c>
      <c r="C127" t="s">
        <v>4870</v>
      </c>
      <c r="D127">
        <v>50</v>
      </c>
      <c r="E127" t="s">
        <v>4022</v>
      </c>
      <c r="F127" t="s">
        <v>4915</v>
      </c>
      <c r="G127" t="s">
        <v>5225</v>
      </c>
      <c r="H127" t="s">
        <v>4872</v>
      </c>
      <c r="I127" t="s">
        <v>4873</v>
      </c>
      <c r="J127" t="s">
        <v>4874</v>
      </c>
      <c r="K127" t="s">
        <v>5226</v>
      </c>
      <c r="M127">
        <v>0</v>
      </c>
      <c r="O127">
        <v>0</v>
      </c>
      <c r="P127">
        <v>0</v>
      </c>
      <c r="R127">
        <v>0</v>
      </c>
      <c r="S127">
        <v>20.502910684931507</v>
      </c>
      <c r="T127">
        <v>31181.51</v>
      </c>
      <c r="U127">
        <f t="shared" si="1"/>
        <v>20.502910684931507</v>
      </c>
    </row>
    <row r="128" spans="1:21">
      <c r="A128">
        <v>126</v>
      </c>
      <c r="B128" t="s">
        <v>5217</v>
      </c>
      <c r="C128" t="s">
        <v>4882</v>
      </c>
      <c r="D128">
        <v>116.15</v>
      </c>
      <c r="E128" t="s">
        <v>4022</v>
      </c>
      <c r="F128" t="s">
        <v>4915</v>
      </c>
      <c r="G128" t="s">
        <v>5225</v>
      </c>
      <c r="H128" t="s">
        <v>4872</v>
      </c>
      <c r="I128" t="s">
        <v>4873</v>
      </c>
      <c r="J128" t="s">
        <v>4874</v>
      </c>
      <c r="K128" t="s">
        <v>5226</v>
      </c>
      <c r="O128">
        <v>0</v>
      </c>
      <c r="R128">
        <v>0</v>
      </c>
      <c r="S128">
        <v>0</v>
      </c>
      <c r="U128">
        <f t="shared" si="1"/>
        <v>0</v>
      </c>
    </row>
    <row r="129" spans="1:21">
      <c r="A129">
        <v>127</v>
      </c>
      <c r="B129" t="s">
        <v>5217</v>
      </c>
      <c r="C129" t="s">
        <v>4884</v>
      </c>
      <c r="D129">
        <v>153</v>
      </c>
      <c r="E129" t="s">
        <v>3865</v>
      </c>
      <c r="F129" t="s">
        <v>4915</v>
      </c>
      <c r="G129" t="s">
        <v>4885</v>
      </c>
      <c r="H129" t="s">
        <v>4886</v>
      </c>
      <c r="I129" t="s">
        <v>4887</v>
      </c>
      <c r="J129" t="s">
        <v>4888</v>
      </c>
      <c r="K129" t="s">
        <v>5146</v>
      </c>
      <c r="O129">
        <v>0</v>
      </c>
      <c r="R129">
        <v>0</v>
      </c>
      <c r="S129">
        <v>0</v>
      </c>
      <c r="U129">
        <f t="shared" si="1"/>
        <v>0</v>
      </c>
    </row>
    <row r="130" spans="1:21">
      <c r="A130">
        <v>128</v>
      </c>
      <c r="B130" t="s">
        <v>5217</v>
      </c>
      <c r="C130" t="s">
        <v>4890</v>
      </c>
      <c r="D130">
        <v>30</v>
      </c>
      <c r="E130" t="s">
        <v>4022</v>
      </c>
      <c r="F130" t="s">
        <v>4915</v>
      </c>
      <c r="G130" t="s">
        <v>5227</v>
      </c>
      <c r="H130" t="s">
        <v>4892</v>
      </c>
      <c r="I130" t="s">
        <v>4490</v>
      </c>
      <c r="J130" t="s">
        <v>4491</v>
      </c>
      <c r="K130" t="s">
        <v>5135</v>
      </c>
      <c r="M130">
        <v>30577.89</v>
      </c>
      <c r="N130">
        <v>42841.89</v>
      </c>
      <c r="O130">
        <v>12264</v>
      </c>
      <c r="P130">
        <v>2272.14</v>
      </c>
      <c r="Q130">
        <v>2272.14</v>
      </c>
      <c r="R130">
        <v>0</v>
      </c>
      <c r="S130">
        <v>11.170005479452055</v>
      </c>
      <c r="T130">
        <v>10192.629999999999</v>
      </c>
      <c r="U130">
        <f t="shared" si="1"/>
        <v>11.170005479452055</v>
      </c>
    </row>
    <row r="131" spans="1:21">
      <c r="A131">
        <v>129</v>
      </c>
      <c r="B131" t="s">
        <v>5217</v>
      </c>
      <c r="C131" t="s">
        <v>4896</v>
      </c>
      <c r="D131">
        <v>45</v>
      </c>
      <c r="E131" t="s">
        <v>3845</v>
      </c>
      <c r="F131" t="s">
        <v>4915</v>
      </c>
      <c r="G131" t="s">
        <v>4897</v>
      </c>
      <c r="O131">
        <v>0</v>
      </c>
      <c r="R131">
        <v>0</v>
      </c>
      <c r="S131">
        <v>0</v>
      </c>
      <c r="U131">
        <f t="shared" ref="U131" si="2">T131*12/365/D131</f>
        <v>0</v>
      </c>
    </row>
  </sheetData>
  <phoneticPr fontId="134" type="noConversion"/>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57</vt:i4>
      </vt:variant>
      <vt:variant>
        <vt:lpstr>命名范围</vt:lpstr>
      </vt:variant>
      <vt:variant>
        <vt:i4>168</vt:i4>
      </vt:variant>
    </vt:vector>
  </HeadingPairs>
  <TitlesOfParts>
    <vt:vector size="22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抵押物清单</vt:lpstr>
      <vt:lpstr>数据-汇总表</vt:lpstr>
      <vt:lpstr>数据-取费表</vt:lpstr>
      <vt:lpstr>估价对象房地状况</vt:lpstr>
      <vt:lpstr>海龙大厦7-18层台账</vt:lpstr>
      <vt:lpstr>海龙大厦2-6层台账</vt:lpstr>
      <vt:lpstr>系统读取表</vt:lpstr>
      <vt:lpstr>结果表</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收益法</vt:lpstr>
      <vt:lpstr>比较法-办公租金</vt:lpstr>
      <vt:lpstr>典型户型修正</vt:lpstr>
      <vt:lpstr>结果表-车位</vt:lpstr>
      <vt:lpstr>成本法</vt:lpstr>
      <vt:lpstr>基准地价修正</vt:lpstr>
      <vt:lpstr>收益法-地下</vt:lpstr>
      <vt:lpstr>比较法-车位</vt:lpstr>
      <vt:lpstr>比较法-仓储</vt:lpstr>
      <vt:lpstr>土地比较法-住宅、综合</vt:lpstr>
      <vt:lpstr>土地比较法-工业</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Sheet1</vt:lpstr>
      <vt:lpstr>租金</vt:lpstr>
      <vt:lpstr>售价</vt:lpstr>
      <vt:lpstr>车位租金</vt:lpstr>
      <vt:lpstr>仓储</vt:lpstr>
      <vt:lpstr>Sheet2</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'结果表-车位'!Print_Area</vt:lpstr>
      <vt:lpstr>收益法!Print_Area</vt:lpstr>
      <vt:lpstr>'收益法 (元)'!Print_Area</vt:lpstr>
      <vt:lpstr>'收益法（汇总）'!Print_Area</vt:lpstr>
      <vt:lpstr>'收益法-地下'!Print_Area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2024-10-15T01:55:11Z</dcterms:modified>
</cp:coreProperties>
</file>